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3F31C3F1-AFE4-4D9A-A8B9-E2018CE55842}" xr6:coauthVersionLast="47" xr6:coauthVersionMax="47" xr10:uidLastSave="{00000000-0000-0000-0000-000000000000}"/>
  <bookViews>
    <workbookView xWindow="-120" yWindow="-120" windowWidth="20730" windowHeight="11160" tabRatio="886" firstSheet="1" activeTab="1" xr2:uid="{00000000-000D-0000-FFFF-FFFF00000000}"/>
  </bookViews>
  <sheets>
    <sheet name="Annex-IOC-MAFF" sheetId="14" state="hidden" r:id="rId1"/>
    <sheet name="Annex 1_Summary" sheetId="4" r:id="rId2"/>
    <sheet name="Annex 2_Code" sheetId="27" r:id="rId3"/>
    <sheet name="Annex 3_MAFF" sheetId="24" r:id="rId4"/>
    <sheet name="Annex 4_MoWRAM" sheetId="64" r:id="rId5"/>
    <sheet name="Annex 5_MRD" sheetId="65" r:id="rId6"/>
    <sheet name="Summary by EA, Source &amp; Qtr " sheetId="47" r:id="rId7"/>
    <sheet name="Output" sheetId="50" r:id="rId8"/>
    <sheet name="Comparison Approved &amp; Draft" sheetId="66" r:id="rId9"/>
    <sheet name="Total Inputs_MAFF" sheetId="52"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3" hidden="1">'Annex 3_MAFF'!$B$1:$C$1207</definedName>
    <definedName name="_xlnm._FilterDatabase" localSheetId="4" hidden="1">'Annex 4_MoWRAM'!$BB$1:$BB$130</definedName>
    <definedName name="_xlnm._FilterDatabase" localSheetId="5" hidden="1">'Annex 5_MRD'!$BH$1:$BH$125</definedName>
    <definedName name="_Toc54002926" localSheetId="7">Output!#REF!</definedName>
    <definedName name="List1_Outputs" localSheetId="4">[1]Lists!$B$5:$B$7</definedName>
    <definedName name="List1_Outputs">[2]Lists!$B$5:$B$7</definedName>
    <definedName name="List2_Activities" localSheetId="4">[1]Lists!$B$11:$B$25</definedName>
    <definedName name="List2_Activities">[2]Lists!$B$11:$B$25</definedName>
    <definedName name="List3_Categories" localSheetId="4">[1]Lists!$B$29:$B$41</definedName>
    <definedName name="List3_Categories">[2]Lists!$B$29:$B$41</definedName>
    <definedName name="List4_Funders" localSheetId="4">[1]Lists!$B$49:$B$54</definedName>
    <definedName name="List4_Funders">[2]Lists!$B$49:$B$54</definedName>
    <definedName name="List5_EAs" localSheetId="4">[1]Lists!$B$58:$B$59</definedName>
    <definedName name="List5_EAs">[2]Lists!$B$58:$B$59</definedName>
    <definedName name="List6_IAs" localSheetId="4">[1]Lists!$B$63:$B$64</definedName>
    <definedName name="List6_IAs">[2]Lists!$B$63:$B$64</definedName>
    <definedName name="List7_Sourced" localSheetId="4">[1]Lists!$B$68:$B$69</definedName>
    <definedName name="List7_Sourced">[2]Lists!$B$68:$B$69</definedName>
    <definedName name="_xlnm.Print_Area" localSheetId="1">'Annex 1_Summary'!$B$1:$N$23</definedName>
    <definedName name="_xlnm.Print_Area" localSheetId="4">'Annex 4_MoWRAM'!$A$1:$AH$101</definedName>
    <definedName name="_xlnm.Print_Area" localSheetId="5">'Annex 5_MRD'!$B$1:$AA$97</definedName>
    <definedName name="_xlnm.Print_Area" localSheetId="7">Output!$A$1:$G$26</definedName>
    <definedName name="_xlnm.Print_Titles" localSheetId="3">'Annex 3_MAFF'!$1:$6</definedName>
    <definedName name="_xlnm.Print_Titles" localSheetId="4">'Annex 4_MoWRAM'!$1:$7</definedName>
    <definedName name="_xlnm.Print_Titles" localSheetId="5">'Annex 5_MRD'!$1:$7</definedName>
    <definedName name="Procurement_Package" localSheetId="4">[3]Assumptions!$I$86:$I$120</definedName>
    <definedName name="Procurement_Package">[4]Assumptions!$I$86:$I$120</definedName>
  </definedNames>
  <calcPr calcId="181029"/>
</workbook>
</file>

<file path=xl/calcChain.xml><?xml version="1.0" encoding="utf-8"?>
<calcChain xmlns="http://schemas.openxmlformats.org/spreadsheetml/2006/main">
  <c r="L97" i="64" l="1"/>
  <c r="L96" i="64"/>
  <c r="L55" i="64"/>
  <c r="L63" i="64"/>
  <c r="U63" i="64" s="1"/>
  <c r="T62" i="64"/>
  <c r="L62" i="64"/>
  <c r="L61" i="64"/>
  <c r="S61" i="64" s="1"/>
  <c r="R60" i="64"/>
  <c r="L60" i="64"/>
  <c r="L56" i="64"/>
  <c r="L57" i="64"/>
  <c r="L54" i="64"/>
  <c r="L53" i="64"/>
  <c r="L52" i="64"/>
  <c r="L51" i="64"/>
  <c r="L50" i="64"/>
  <c r="I488" i="24" l="1"/>
  <c r="I446" i="24"/>
  <c r="O446" i="24" s="1"/>
  <c r="I445" i="24"/>
  <c r="Q445" i="24" s="1"/>
  <c r="I444" i="24"/>
  <c r="AH447" i="24"/>
  <c r="AI447" i="24" s="1"/>
  <c r="X447" i="24"/>
  <c r="W447" i="24"/>
  <c r="V447" i="24"/>
  <c r="U447" i="24"/>
  <c r="T447" i="24"/>
  <c r="R447" i="24"/>
  <c r="O447" i="24"/>
  <c r="N447" i="24"/>
  <c r="Q447" i="24"/>
  <c r="AH446" i="24"/>
  <c r="AI446" i="24" s="1"/>
  <c r="X446" i="24"/>
  <c r="W446" i="24"/>
  <c r="V446" i="24"/>
  <c r="U446" i="24"/>
  <c r="T446" i="24"/>
  <c r="N446" i="24"/>
  <c r="AH445" i="24"/>
  <c r="AI445" i="24" s="1"/>
  <c r="X445" i="24"/>
  <c r="W445" i="24"/>
  <c r="V445" i="24"/>
  <c r="U445" i="24"/>
  <c r="T445" i="24"/>
  <c r="N445" i="24"/>
  <c r="R330" i="24"/>
  <c r="Q330" i="24"/>
  <c r="P330" i="24"/>
  <c r="O330" i="24"/>
  <c r="R329" i="24"/>
  <c r="Q329" i="24"/>
  <c r="P329" i="24"/>
  <c r="O329" i="24"/>
  <c r="R328" i="24"/>
  <c r="Q328" i="24"/>
  <c r="P328" i="24"/>
  <c r="O328" i="24"/>
  <c r="S328" i="24" s="1"/>
  <c r="R327" i="24"/>
  <c r="Q327" i="24"/>
  <c r="P327" i="24"/>
  <c r="O327" i="24"/>
  <c r="R326" i="24"/>
  <c r="Q326" i="24"/>
  <c r="P326" i="24"/>
  <c r="O326" i="24"/>
  <c r="R325" i="24"/>
  <c r="Q325" i="24"/>
  <c r="P325" i="24"/>
  <c r="O325" i="24"/>
  <c r="R324" i="24"/>
  <c r="Q324" i="24"/>
  <c r="P324" i="24"/>
  <c r="O324" i="24"/>
  <c r="R323" i="24"/>
  <c r="Q323" i="24"/>
  <c r="P323" i="24"/>
  <c r="O323" i="24"/>
  <c r="R322" i="24"/>
  <c r="Q322" i="24"/>
  <c r="S322" i="24" s="1"/>
  <c r="P322" i="24"/>
  <c r="O322" i="24"/>
  <c r="R321" i="24"/>
  <c r="Q321" i="24"/>
  <c r="P321" i="24"/>
  <c r="O321" i="24"/>
  <c r="R320" i="24"/>
  <c r="Q320" i="24"/>
  <c r="P320" i="24"/>
  <c r="O320" i="24"/>
  <c r="S320" i="24" s="1"/>
  <c r="R319" i="24"/>
  <c r="Q319" i="24"/>
  <c r="P319" i="24"/>
  <c r="O319" i="24"/>
  <c r="R318" i="24"/>
  <c r="Q318" i="24"/>
  <c r="P318" i="24"/>
  <c r="O318" i="24"/>
  <c r="P312" i="24"/>
  <c r="P311" i="24"/>
  <c r="P310" i="24"/>
  <c r="P309" i="24"/>
  <c r="P308" i="24"/>
  <c r="P307" i="24"/>
  <c r="P306" i="24"/>
  <c r="P305" i="24"/>
  <c r="P304" i="24"/>
  <c r="P303" i="24"/>
  <c r="P301" i="24"/>
  <c r="P300" i="24"/>
  <c r="S300" i="24" s="1"/>
  <c r="P299" i="24"/>
  <c r="P298" i="24"/>
  <c r="P297" i="24"/>
  <c r="P296" i="24"/>
  <c r="S312" i="24"/>
  <c r="R312" i="24"/>
  <c r="Q312" i="24"/>
  <c r="O312" i="24"/>
  <c r="R311" i="24"/>
  <c r="Q311" i="24"/>
  <c r="O311" i="24"/>
  <c r="R310" i="24"/>
  <c r="Q310" i="24"/>
  <c r="O310" i="24"/>
  <c r="R309" i="24"/>
  <c r="Q309" i="24"/>
  <c r="O309" i="24"/>
  <c r="S309" i="24" s="1"/>
  <c r="R308" i="24"/>
  <c r="Q308" i="24"/>
  <c r="O308" i="24"/>
  <c r="R307" i="24"/>
  <c r="Q307" i="24"/>
  <c r="O307" i="24"/>
  <c r="R306" i="24"/>
  <c r="Q306" i="24"/>
  <c r="O306" i="24"/>
  <c r="R305" i="24"/>
  <c r="Q305" i="24"/>
  <c r="O305" i="24"/>
  <c r="S305" i="24" s="1"/>
  <c r="R304" i="24"/>
  <c r="Q304" i="24"/>
  <c r="O304" i="24"/>
  <c r="R303" i="24"/>
  <c r="Q303" i="24"/>
  <c r="O303" i="24"/>
  <c r="R301" i="24"/>
  <c r="Q301" i="24"/>
  <c r="S301" i="24" s="1"/>
  <c r="O301" i="24"/>
  <c r="R300" i="24"/>
  <c r="Q300" i="24"/>
  <c r="O300" i="24"/>
  <c r="R299" i="24"/>
  <c r="Q299" i="24"/>
  <c r="O299" i="24"/>
  <c r="R298" i="24"/>
  <c r="Q298" i="24"/>
  <c r="O298" i="24"/>
  <c r="S298" i="24" s="1"/>
  <c r="R297" i="24"/>
  <c r="Q297" i="24"/>
  <c r="O297" i="24"/>
  <c r="R296" i="24"/>
  <c r="Q296" i="24"/>
  <c r="O296" i="24"/>
  <c r="R247" i="24"/>
  <c r="Q247" i="24"/>
  <c r="S247" i="24" s="1"/>
  <c r="P247" i="24"/>
  <c r="O247" i="24"/>
  <c r="R246" i="24"/>
  <c r="Q246" i="24"/>
  <c r="P246" i="24"/>
  <c r="O246" i="24"/>
  <c r="R245" i="24"/>
  <c r="Q245" i="24"/>
  <c r="P245" i="24"/>
  <c r="O245" i="24"/>
  <c r="S245" i="24" s="1"/>
  <c r="R244" i="24"/>
  <c r="Q244" i="24"/>
  <c r="P244" i="24"/>
  <c r="O244" i="24"/>
  <c r="R243" i="24"/>
  <c r="Q243" i="24"/>
  <c r="P243" i="24"/>
  <c r="O243" i="24"/>
  <c r="R242" i="24"/>
  <c r="S242" i="24" s="1"/>
  <c r="Q242" i="24"/>
  <c r="P242" i="24"/>
  <c r="O242" i="24"/>
  <c r="R241" i="24"/>
  <c r="Q241" i="24"/>
  <c r="P241" i="24"/>
  <c r="O241" i="24"/>
  <c r="R240" i="24"/>
  <c r="S240" i="24" s="1"/>
  <c r="Q240" i="24"/>
  <c r="P240" i="24"/>
  <c r="O240" i="24"/>
  <c r="R239" i="24"/>
  <c r="Q239" i="24"/>
  <c r="P239" i="24"/>
  <c r="O239" i="24"/>
  <c r="R238" i="24"/>
  <c r="Q238" i="24"/>
  <c r="P238" i="24"/>
  <c r="O238" i="24"/>
  <c r="R237" i="24"/>
  <c r="Q237" i="24"/>
  <c r="P237" i="24"/>
  <c r="O237" i="24"/>
  <c r="S237" i="24" s="1"/>
  <c r="R234" i="24"/>
  <c r="Q234" i="24"/>
  <c r="P234" i="24"/>
  <c r="O234" i="24"/>
  <c r="S234" i="24" s="1"/>
  <c r="R233" i="24"/>
  <c r="Q233" i="24"/>
  <c r="P233" i="24"/>
  <c r="O233" i="24"/>
  <c r="Q232" i="24"/>
  <c r="P232" i="24"/>
  <c r="O232" i="24"/>
  <c r="R231" i="24"/>
  <c r="Q231" i="24"/>
  <c r="P231" i="24"/>
  <c r="O231" i="24"/>
  <c r="R230" i="24"/>
  <c r="Q230" i="24"/>
  <c r="P230" i="24"/>
  <c r="O230" i="24"/>
  <c r="R229" i="24"/>
  <c r="P229" i="24"/>
  <c r="O229" i="24"/>
  <c r="R228" i="24"/>
  <c r="Q228" i="24"/>
  <c r="P228" i="24"/>
  <c r="O228" i="24"/>
  <c r="R227" i="24"/>
  <c r="Q227" i="24"/>
  <c r="P227" i="24"/>
  <c r="O227" i="24"/>
  <c r="R226" i="24"/>
  <c r="Q226" i="24"/>
  <c r="P226" i="24"/>
  <c r="R225" i="24"/>
  <c r="Q225" i="24"/>
  <c r="P225" i="24"/>
  <c r="O225" i="24"/>
  <c r="R224" i="24"/>
  <c r="Q224" i="24"/>
  <c r="P224" i="24"/>
  <c r="O224" i="24"/>
  <c r="R223" i="24"/>
  <c r="Q223" i="24"/>
  <c r="P223" i="24"/>
  <c r="O223" i="24"/>
  <c r="R222" i="24"/>
  <c r="Q222" i="24"/>
  <c r="P222" i="24"/>
  <c r="O222" i="24"/>
  <c r="R221" i="24"/>
  <c r="Q221" i="24"/>
  <c r="P221" i="24"/>
  <c r="O221" i="24"/>
  <c r="R220" i="24"/>
  <c r="Q220" i="24"/>
  <c r="P220" i="24"/>
  <c r="O220" i="24"/>
  <c r="R219" i="24"/>
  <c r="Q219" i="24"/>
  <c r="P219" i="24"/>
  <c r="O219" i="24"/>
  <c r="R218" i="24"/>
  <c r="Q218" i="24"/>
  <c r="P218" i="24"/>
  <c r="O218" i="24"/>
  <c r="R217" i="24"/>
  <c r="Q217" i="24"/>
  <c r="P217" i="24"/>
  <c r="O217" i="24"/>
  <c r="R216" i="24"/>
  <c r="Q216" i="24"/>
  <c r="P216" i="24"/>
  <c r="O216" i="24"/>
  <c r="R215" i="24"/>
  <c r="Q215" i="24"/>
  <c r="P215" i="24"/>
  <c r="O215" i="24"/>
  <c r="R214" i="24"/>
  <c r="Q214" i="24"/>
  <c r="P214" i="24"/>
  <c r="O214" i="24"/>
  <c r="R213" i="24"/>
  <c r="Q213" i="24"/>
  <c r="P213" i="24"/>
  <c r="O213" i="24"/>
  <c r="R212" i="24"/>
  <c r="Q212" i="24"/>
  <c r="P212" i="24"/>
  <c r="O212" i="24"/>
  <c r="R211" i="24"/>
  <c r="Q211" i="24"/>
  <c r="P211" i="24"/>
  <c r="O211" i="24"/>
  <c r="R210" i="24"/>
  <c r="Q210" i="24"/>
  <c r="P210" i="24"/>
  <c r="O210" i="24"/>
  <c r="R209" i="24"/>
  <c r="Q209" i="24"/>
  <c r="P209" i="24"/>
  <c r="O209" i="24"/>
  <c r="R208" i="24"/>
  <c r="Q208" i="24"/>
  <c r="P208" i="24"/>
  <c r="O208" i="24"/>
  <c r="S208" i="24" s="1"/>
  <c r="R207" i="24"/>
  <c r="Q207" i="24"/>
  <c r="P207" i="24"/>
  <c r="O207" i="24"/>
  <c r="R206" i="24"/>
  <c r="Q206" i="24"/>
  <c r="P206" i="24"/>
  <c r="O206" i="24"/>
  <c r="R205" i="24"/>
  <c r="Q205" i="24"/>
  <c r="P205" i="24"/>
  <c r="O205" i="24"/>
  <c r="R204" i="24"/>
  <c r="Q204" i="24"/>
  <c r="P204" i="24"/>
  <c r="O204" i="24"/>
  <c r="R203" i="24"/>
  <c r="Q203" i="24"/>
  <c r="P203" i="24"/>
  <c r="O203" i="24"/>
  <c r="S203" i="24" s="1"/>
  <c r="R202" i="24"/>
  <c r="Q202" i="24"/>
  <c r="P202" i="24"/>
  <c r="O202" i="24"/>
  <c r="R201" i="24"/>
  <c r="Q201" i="24"/>
  <c r="P201" i="24"/>
  <c r="O201" i="24"/>
  <c r="R200" i="24"/>
  <c r="S200" i="24" s="1"/>
  <c r="Q200" i="24"/>
  <c r="P200" i="24"/>
  <c r="O200" i="24"/>
  <c r="R199" i="24"/>
  <c r="Q199" i="24"/>
  <c r="P199" i="24"/>
  <c r="O199" i="24"/>
  <c r="R198" i="24"/>
  <c r="S198" i="24" s="1"/>
  <c r="Q198" i="24"/>
  <c r="P198" i="24"/>
  <c r="O198" i="24"/>
  <c r="R197" i="24"/>
  <c r="Q197" i="24"/>
  <c r="P197" i="24"/>
  <c r="O197" i="24"/>
  <c r="R196" i="24"/>
  <c r="Q196" i="24"/>
  <c r="P196" i="24"/>
  <c r="O196" i="24"/>
  <c r="R195" i="24"/>
  <c r="Q195" i="24"/>
  <c r="P195" i="24"/>
  <c r="O195" i="24"/>
  <c r="R194" i="24"/>
  <c r="Q194" i="24"/>
  <c r="P194" i="24"/>
  <c r="O194" i="24"/>
  <c r="R193" i="24"/>
  <c r="S193" i="24" s="1"/>
  <c r="Q193" i="24"/>
  <c r="P193" i="24"/>
  <c r="O193" i="24"/>
  <c r="R192" i="24"/>
  <c r="Q192" i="24"/>
  <c r="P192" i="24"/>
  <c r="O192" i="24"/>
  <c r="R191" i="24"/>
  <c r="Q191" i="24"/>
  <c r="P191" i="24"/>
  <c r="O191" i="24"/>
  <c r="R190" i="24"/>
  <c r="Q190" i="24"/>
  <c r="P190" i="24"/>
  <c r="O190" i="24"/>
  <c r="O182" i="24"/>
  <c r="R181" i="24"/>
  <c r="Q181" i="24"/>
  <c r="P181" i="24"/>
  <c r="O181" i="24"/>
  <c r="R180" i="24"/>
  <c r="Q180" i="24"/>
  <c r="P180" i="24"/>
  <c r="O180" i="24"/>
  <c r="R179" i="24"/>
  <c r="Q179" i="24"/>
  <c r="P179" i="24"/>
  <c r="O179" i="24"/>
  <c r="R178" i="24"/>
  <c r="Q178" i="24"/>
  <c r="P178" i="24"/>
  <c r="O178" i="24"/>
  <c r="R177" i="24"/>
  <c r="Q177" i="24"/>
  <c r="P177" i="24"/>
  <c r="O177" i="24"/>
  <c r="R176" i="24"/>
  <c r="Q176" i="24"/>
  <c r="O176" i="24"/>
  <c r="P176" i="24"/>
  <c r="Q175" i="24"/>
  <c r="P175" i="24"/>
  <c r="I100" i="24"/>
  <c r="I99" i="24"/>
  <c r="I98" i="24"/>
  <c r="I97" i="24"/>
  <c r="R79" i="24"/>
  <c r="R78" i="24"/>
  <c r="R77" i="24"/>
  <c r="R76" i="24"/>
  <c r="R70" i="24"/>
  <c r="I36" i="24"/>
  <c r="Q29" i="24"/>
  <c r="P29" i="24"/>
  <c r="Q28" i="24"/>
  <c r="C7" i="66"/>
  <c r="D7" i="66"/>
  <c r="E7" i="66"/>
  <c r="F7" i="66"/>
  <c r="B7" i="66"/>
  <c r="F6" i="66"/>
  <c r="F5" i="66"/>
  <c r="S196" i="24" l="1"/>
  <c r="S199" i="24"/>
  <c r="S201" i="24"/>
  <c r="S202" i="24"/>
  <c r="S205" i="24"/>
  <c r="S210" i="24"/>
  <c r="S224" i="24"/>
  <c r="S238" i="24"/>
  <c r="S241" i="24"/>
  <c r="S243" i="24"/>
  <c r="S299" i="24"/>
  <c r="S304" i="24"/>
  <c r="S318" i="24"/>
  <c r="S206" i="24"/>
  <c r="S207" i="24"/>
  <c r="S211" i="24"/>
  <c r="S213" i="24"/>
  <c r="S216" i="24"/>
  <c r="S222" i="24"/>
  <c r="S227" i="24"/>
  <c r="S228" i="24"/>
  <c r="S246" i="24"/>
  <c r="S303" i="24"/>
  <c r="S307" i="24"/>
  <c r="S311" i="24"/>
  <c r="S321" i="24"/>
  <c r="S324" i="24"/>
  <c r="S326" i="24"/>
  <c r="S327" i="24"/>
  <c r="S209" i="24"/>
  <c r="S212" i="24"/>
  <c r="S214" i="24"/>
  <c r="S217" i="24"/>
  <c r="S239" i="24"/>
  <c r="S306" i="24"/>
  <c r="S310" i="24"/>
  <c r="S325" i="24"/>
  <c r="S329" i="24"/>
  <c r="S244" i="24"/>
  <c r="S308" i="24"/>
  <c r="S319" i="24"/>
  <c r="S323" i="24"/>
  <c r="S330" i="24"/>
  <c r="R446" i="24"/>
  <c r="Q446" i="24"/>
  <c r="R445" i="24"/>
  <c r="S297" i="24"/>
  <c r="P447" i="24"/>
  <c r="S447" i="24" s="1"/>
  <c r="P446" i="24"/>
  <c r="O445" i="24"/>
  <c r="P445" i="24"/>
  <c r="R40" i="24"/>
  <c r="Q40" i="24"/>
  <c r="P40" i="24"/>
  <c r="R39" i="24"/>
  <c r="Q39" i="24"/>
  <c r="P39" i="24"/>
  <c r="O39" i="24"/>
  <c r="O36" i="24"/>
  <c r="N122" i="24"/>
  <c r="S446" i="24" l="1"/>
  <c r="S445" i="24"/>
  <c r="AA445" i="24" s="1"/>
  <c r="Z447" i="24"/>
  <c r="AC447" i="24"/>
  <c r="AB447" i="24"/>
  <c r="AA447" i="24"/>
  <c r="Y447" i="24"/>
  <c r="AC446" i="24"/>
  <c r="AB446" i="24"/>
  <c r="AA446" i="24"/>
  <c r="Z446" i="24"/>
  <c r="Y446" i="24"/>
  <c r="O97" i="24"/>
  <c r="O98" i="24"/>
  <c r="O99" i="24"/>
  <c r="O100" i="24"/>
  <c r="AD447" i="24" l="1"/>
  <c r="AE447" i="24" s="1"/>
  <c r="AB445" i="24"/>
  <c r="AC445" i="24"/>
  <c r="Y445" i="24"/>
  <c r="AD445" i="24" s="1"/>
  <c r="AE445" i="24" s="1"/>
  <c r="Z445" i="24"/>
  <c r="AD446" i="24"/>
  <c r="AE446" i="24" s="1"/>
  <c r="Y2" i="24" l="1"/>
  <c r="M3" i="24" l="1"/>
  <c r="J440" i="24"/>
  <c r="M442" i="24"/>
  <c r="L442" i="24"/>
  <c r="K442" i="24"/>
  <c r="J442" i="24"/>
  <c r="I417" i="24" l="1"/>
  <c r="AA617" i="24" l="1"/>
  <c r="AI318" i="24"/>
  <c r="N449" i="24" l="1"/>
  <c r="O449" i="24"/>
  <c r="P449" i="24"/>
  <c r="Q449" i="24"/>
  <c r="R449" i="24"/>
  <c r="T449" i="24"/>
  <c r="U449" i="24"/>
  <c r="V449" i="24"/>
  <c r="W449" i="24"/>
  <c r="X449" i="24"/>
  <c r="AH449" i="24"/>
  <c r="AI449" i="24" s="1"/>
  <c r="AK449" i="24"/>
  <c r="AN449" i="24"/>
  <c r="S449" i="24" l="1"/>
  <c r="Y449" i="24" s="1"/>
  <c r="Z449" i="24" l="1"/>
  <c r="AA449" i="24"/>
  <c r="AB449" i="24"/>
  <c r="AC449" i="24"/>
  <c r="AD449" i="24" l="1"/>
  <c r="AE449" i="24" s="1"/>
  <c r="I20" i="24"/>
  <c r="I18" i="24"/>
  <c r="I15" i="24"/>
  <c r="I21" i="24"/>
  <c r="M440" i="24"/>
  <c r="L440" i="24"/>
  <c r="K440" i="24"/>
  <c r="AI405" i="24" l="1"/>
  <c r="AI406" i="24"/>
  <c r="AI407" i="24"/>
  <c r="AI408" i="24"/>
  <c r="AI404" i="24"/>
  <c r="T405" i="24"/>
  <c r="U405" i="24"/>
  <c r="V405" i="24"/>
  <c r="W405" i="24"/>
  <c r="X405" i="24"/>
  <c r="T406" i="24"/>
  <c r="U406" i="24"/>
  <c r="V406" i="24"/>
  <c r="W406" i="24"/>
  <c r="X406" i="24"/>
  <c r="T407" i="24"/>
  <c r="U407" i="24"/>
  <c r="V407" i="24"/>
  <c r="W407" i="24"/>
  <c r="X407" i="24"/>
  <c r="T408" i="24"/>
  <c r="U408" i="24"/>
  <c r="V408" i="24"/>
  <c r="W408" i="24"/>
  <c r="X408" i="24"/>
  <c r="X404" i="24"/>
  <c r="W404" i="24"/>
  <c r="V404" i="24"/>
  <c r="U404" i="24"/>
  <c r="T404" i="24"/>
  <c r="J409" i="24"/>
  <c r="M409" i="24"/>
  <c r="L409" i="24"/>
  <c r="K409" i="24"/>
  <c r="J402" i="24"/>
  <c r="O408" i="24"/>
  <c r="P405" i="24"/>
  <c r="Q405" i="24"/>
  <c r="R405" i="24"/>
  <c r="P406" i="24"/>
  <c r="Q406" i="24"/>
  <c r="R406" i="24"/>
  <c r="P407" i="24"/>
  <c r="Q407" i="24"/>
  <c r="R407" i="24"/>
  <c r="P408" i="24"/>
  <c r="Q408" i="24"/>
  <c r="R408" i="24"/>
  <c r="O407" i="24"/>
  <c r="O405" i="24"/>
  <c r="O406" i="24"/>
  <c r="Q404" i="24"/>
  <c r="R404" i="24"/>
  <c r="P404" i="24"/>
  <c r="O404" i="24"/>
  <c r="N405" i="24"/>
  <c r="N406" i="24"/>
  <c r="N407" i="24"/>
  <c r="N408" i="24"/>
  <c r="N404" i="24"/>
  <c r="S404" i="24" l="1"/>
  <c r="R409" i="24"/>
  <c r="Y404" i="24"/>
  <c r="Z404" i="24"/>
  <c r="AA404" i="24"/>
  <c r="AB404" i="24"/>
  <c r="AC404" i="24"/>
  <c r="O409" i="24"/>
  <c r="P409" i="24"/>
  <c r="Q409" i="24"/>
  <c r="N409" i="24"/>
  <c r="S408" i="24"/>
  <c r="S406" i="24"/>
  <c r="S405" i="24"/>
  <c r="S407" i="24"/>
  <c r="S409" i="24" l="1"/>
  <c r="AC405" i="24"/>
  <c r="Y405" i="24"/>
  <c r="Z405" i="24"/>
  <c r="AA405" i="24"/>
  <c r="AB405" i="24"/>
  <c r="AA407" i="24"/>
  <c r="AB407" i="24"/>
  <c r="Z407" i="24"/>
  <c r="Y407" i="24"/>
  <c r="AC407" i="24"/>
  <c r="AA406" i="24"/>
  <c r="AB406" i="24"/>
  <c r="Y406" i="24"/>
  <c r="AC406" i="24"/>
  <c r="Z406" i="24"/>
  <c r="Y408" i="24"/>
  <c r="Z408" i="24"/>
  <c r="AA408" i="24"/>
  <c r="AB408" i="24"/>
  <c r="AC408" i="24"/>
  <c r="AI327" i="24"/>
  <c r="T327" i="24"/>
  <c r="U327" i="24"/>
  <c r="V327" i="24"/>
  <c r="W327" i="24"/>
  <c r="X327" i="24"/>
  <c r="N327" i="24"/>
  <c r="AI401" i="24"/>
  <c r="AC327" i="24" l="1"/>
  <c r="AH17" i="24"/>
  <c r="AH11" i="24"/>
  <c r="AA327" i="24" l="1"/>
  <c r="Y327" i="24"/>
  <c r="Z327" i="24"/>
  <c r="AB327" i="24"/>
  <c r="T498" i="24"/>
  <c r="AH498" i="24"/>
  <c r="AI498" i="24" s="1"/>
  <c r="AH497" i="24"/>
  <c r="AI497" i="24" s="1"/>
  <c r="AH496" i="24"/>
  <c r="AI496" i="24" s="1"/>
  <c r="X498" i="24"/>
  <c r="U498" i="24"/>
  <c r="V498" i="24"/>
  <c r="W498" i="24"/>
  <c r="T496" i="24"/>
  <c r="U496" i="24"/>
  <c r="V496" i="24"/>
  <c r="W496" i="24"/>
  <c r="X496" i="24"/>
  <c r="T497" i="24"/>
  <c r="U497" i="24"/>
  <c r="V497" i="24"/>
  <c r="W497" i="24"/>
  <c r="X497" i="24"/>
  <c r="I498" i="24"/>
  <c r="R498" i="24" s="1"/>
  <c r="I497" i="24"/>
  <c r="P497" i="24" s="1"/>
  <c r="N496" i="24"/>
  <c r="I496" i="24"/>
  <c r="P496" i="24" s="1"/>
  <c r="AD327" i="24" l="1"/>
  <c r="AE327" i="24" s="1"/>
  <c r="R496" i="24"/>
  <c r="Q496" i="24"/>
  <c r="O496" i="24"/>
  <c r="O498" i="24"/>
  <c r="P498" i="24"/>
  <c r="Q498" i="24"/>
  <c r="Q497" i="24"/>
  <c r="R497" i="24"/>
  <c r="O497" i="24"/>
  <c r="S497" i="24" l="1"/>
  <c r="S496" i="24"/>
  <c r="S498" i="24"/>
  <c r="AB497" i="24" l="1"/>
  <c r="AC497" i="24"/>
  <c r="AA497" i="24"/>
  <c r="Y497" i="24"/>
  <c r="Z497" i="24"/>
  <c r="AA498" i="24"/>
  <c r="Z498" i="24"/>
  <c r="AC498" i="24"/>
  <c r="Y498" i="24"/>
  <c r="AB498" i="24"/>
  <c r="AA496" i="24"/>
  <c r="AC496" i="24"/>
  <c r="AB496" i="24"/>
  <c r="Z496" i="24"/>
  <c r="Y496" i="24"/>
  <c r="I19" i="24"/>
  <c r="I17" i="24"/>
  <c r="I16" i="24"/>
  <c r="AD498" i="24" l="1"/>
  <c r="AE498" i="24" s="1"/>
  <c r="AD497" i="24"/>
  <c r="AE497" i="24" s="1"/>
  <c r="AD496" i="24"/>
  <c r="AE496" i="24" s="1"/>
  <c r="M478" i="24"/>
  <c r="M479" i="24"/>
  <c r="M480" i="24"/>
  <c r="L480" i="24"/>
  <c r="K480" i="24"/>
  <c r="J480" i="24"/>
  <c r="AH483" i="24" l="1"/>
  <c r="AI483" i="24" s="1"/>
  <c r="X483" i="24"/>
  <c r="W483" i="24"/>
  <c r="V483" i="24"/>
  <c r="U483" i="24"/>
  <c r="T483" i="24"/>
  <c r="M483" i="24"/>
  <c r="L483" i="24"/>
  <c r="K483" i="24"/>
  <c r="J483" i="24"/>
  <c r="I483" i="24"/>
  <c r="Q494" i="24"/>
  <c r="M482" i="24"/>
  <c r="L482" i="24"/>
  <c r="K482" i="24"/>
  <c r="J482" i="24"/>
  <c r="M481" i="24"/>
  <c r="L481" i="24"/>
  <c r="K481" i="24"/>
  <c r="J481" i="24"/>
  <c r="L479" i="24"/>
  <c r="K479" i="24"/>
  <c r="J479" i="24"/>
  <c r="L478" i="24"/>
  <c r="K478" i="24"/>
  <c r="J478" i="24"/>
  <c r="M475" i="24"/>
  <c r="L475" i="24"/>
  <c r="K475" i="24"/>
  <c r="J475" i="24"/>
  <c r="M474" i="24"/>
  <c r="L474" i="24"/>
  <c r="K474" i="24"/>
  <c r="J474" i="24"/>
  <c r="M473" i="24"/>
  <c r="L473" i="24"/>
  <c r="K473" i="24"/>
  <c r="J473" i="24"/>
  <c r="N468" i="24"/>
  <c r="N467" i="24"/>
  <c r="N466" i="24"/>
  <c r="N465" i="24"/>
  <c r="N464" i="24"/>
  <c r="N483" i="24" l="1"/>
  <c r="R483" i="24"/>
  <c r="O483" i="24"/>
  <c r="P483" i="24"/>
  <c r="Q483" i="24"/>
  <c r="I436" i="24"/>
  <c r="S483" i="24" l="1"/>
  <c r="AC483" i="24" s="1"/>
  <c r="I435" i="24"/>
  <c r="Y483" i="24" l="1"/>
  <c r="Z483" i="24"/>
  <c r="AA483" i="24"/>
  <c r="AB483" i="24"/>
  <c r="T28" i="24"/>
  <c r="U28" i="24"/>
  <c r="V28" i="24"/>
  <c r="W28" i="24"/>
  <c r="X28" i="24"/>
  <c r="T29" i="24"/>
  <c r="U29" i="24"/>
  <c r="V29" i="24"/>
  <c r="W29" i="24"/>
  <c r="X29" i="24"/>
  <c r="AH55" i="24"/>
  <c r="AI55" i="24" s="1"/>
  <c r="X55" i="24"/>
  <c r="W55" i="24"/>
  <c r="V55" i="24"/>
  <c r="U55" i="24"/>
  <c r="T55" i="24"/>
  <c r="AH54" i="24"/>
  <c r="AI54" i="24" s="1"/>
  <c r="X54" i="24"/>
  <c r="W54" i="24"/>
  <c r="V54" i="24"/>
  <c r="U54" i="24"/>
  <c r="T54" i="24"/>
  <c r="AH53" i="24"/>
  <c r="AI53" i="24" s="1"/>
  <c r="X53" i="24"/>
  <c r="W53" i="24"/>
  <c r="V53" i="24"/>
  <c r="U53" i="24"/>
  <c r="T53" i="24"/>
  <c r="AH52" i="24"/>
  <c r="AI52" i="24" s="1"/>
  <c r="X52" i="24"/>
  <c r="W52" i="24"/>
  <c r="V52" i="24"/>
  <c r="U52" i="24"/>
  <c r="T52" i="24"/>
  <c r="AH51" i="24"/>
  <c r="AI51" i="24" s="1"/>
  <c r="X51" i="24"/>
  <c r="W51" i="24"/>
  <c r="V51" i="24"/>
  <c r="U51" i="24"/>
  <c r="T51" i="24"/>
  <c r="AH50" i="24"/>
  <c r="AI50" i="24" s="1"/>
  <c r="X50" i="24"/>
  <c r="W50" i="24"/>
  <c r="V50" i="24"/>
  <c r="U50" i="24"/>
  <c r="T50" i="24"/>
  <c r="AH49" i="24"/>
  <c r="AI49" i="24" s="1"/>
  <c r="X49" i="24"/>
  <c r="W49" i="24"/>
  <c r="V49" i="24"/>
  <c r="U49" i="24"/>
  <c r="T49" i="24"/>
  <c r="AH48" i="24"/>
  <c r="AI48" i="24" s="1"/>
  <c r="X48" i="24"/>
  <c r="W48" i="24"/>
  <c r="V48" i="24"/>
  <c r="U48" i="24"/>
  <c r="T48" i="24"/>
  <c r="AH47" i="24"/>
  <c r="AI47" i="24" s="1"/>
  <c r="X47" i="24"/>
  <c r="W47" i="24"/>
  <c r="V47" i="24"/>
  <c r="U47" i="24"/>
  <c r="T47" i="24"/>
  <c r="AH46" i="24"/>
  <c r="AI46" i="24" s="1"/>
  <c r="X46" i="24"/>
  <c r="W46" i="24"/>
  <c r="V46" i="24"/>
  <c r="U46" i="24"/>
  <c r="T46" i="24"/>
  <c r="AH45" i="24"/>
  <c r="AI45" i="24" s="1"/>
  <c r="X45" i="24"/>
  <c r="W45" i="24"/>
  <c r="V45" i="24"/>
  <c r="U45" i="24"/>
  <c r="T45" i="24"/>
  <c r="AH44" i="24"/>
  <c r="AI44" i="24" s="1"/>
  <c r="X44" i="24"/>
  <c r="W44" i="24"/>
  <c r="V44" i="24"/>
  <c r="U44" i="24"/>
  <c r="T44" i="24"/>
  <c r="AH43" i="24"/>
  <c r="AI43" i="24" s="1"/>
  <c r="X43" i="24"/>
  <c r="W43" i="24"/>
  <c r="V43" i="24"/>
  <c r="U43" i="24"/>
  <c r="T43" i="24"/>
  <c r="T39" i="24"/>
  <c r="U39" i="24"/>
  <c r="V39" i="24"/>
  <c r="W39" i="24"/>
  <c r="X39" i="24"/>
  <c r="AH39" i="24"/>
  <c r="AI39" i="24" s="1"/>
  <c r="T40" i="24"/>
  <c r="U40" i="24"/>
  <c r="V40" i="24"/>
  <c r="W40" i="24"/>
  <c r="X40" i="24"/>
  <c r="AH40" i="24"/>
  <c r="AI40" i="24" s="1"/>
  <c r="T176" i="24"/>
  <c r="U176" i="24"/>
  <c r="V176" i="24"/>
  <c r="W176" i="24"/>
  <c r="X176" i="24"/>
  <c r="AH176" i="24"/>
  <c r="AI176" i="24" s="1"/>
  <c r="T177" i="24"/>
  <c r="U177" i="24"/>
  <c r="V177" i="24"/>
  <c r="W177" i="24"/>
  <c r="X177" i="24"/>
  <c r="AH177" i="24"/>
  <c r="AI177" i="24" s="1"/>
  <c r="AD483" i="24" l="1"/>
  <c r="AE483" i="24" s="1"/>
  <c r="T454" i="24"/>
  <c r="U454" i="24"/>
  <c r="V454" i="24"/>
  <c r="W454" i="24"/>
  <c r="X454" i="24"/>
  <c r="AH454" i="24"/>
  <c r="AI454" i="24" s="1"/>
  <c r="T456" i="24"/>
  <c r="U456" i="24"/>
  <c r="V456" i="24"/>
  <c r="W456" i="24"/>
  <c r="X456" i="24"/>
  <c r="AH456" i="24"/>
  <c r="AI456" i="24" s="1"/>
  <c r="O455" i="24"/>
  <c r="O456" i="24"/>
  <c r="T523" i="24"/>
  <c r="U523" i="24"/>
  <c r="V523" i="24"/>
  <c r="W523" i="24"/>
  <c r="X523" i="24"/>
  <c r="AH523" i="24"/>
  <c r="AI523" i="24" s="1"/>
  <c r="I594" i="24"/>
  <c r="T265" i="24" l="1"/>
  <c r="U265" i="24"/>
  <c r="V265" i="24"/>
  <c r="W265" i="24"/>
  <c r="X265" i="24"/>
  <c r="AI265" i="24"/>
  <c r="T266" i="24"/>
  <c r="U266" i="24"/>
  <c r="V266" i="24"/>
  <c r="W266" i="24"/>
  <c r="X266" i="24"/>
  <c r="AI266" i="24"/>
  <c r="AI247" i="24"/>
  <c r="AI246" i="24"/>
  <c r="AI245" i="24"/>
  <c r="AI244" i="24"/>
  <c r="AI243" i="24"/>
  <c r="AI242" i="24"/>
  <c r="AI241" i="24"/>
  <c r="T241" i="24"/>
  <c r="U241" i="24"/>
  <c r="V241" i="24"/>
  <c r="W241" i="24"/>
  <c r="X241" i="24"/>
  <c r="T242" i="24"/>
  <c r="U242" i="24"/>
  <c r="V242" i="24"/>
  <c r="W242" i="24"/>
  <c r="X242" i="24"/>
  <c r="T243" i="24"/>
  <c r="U243" i="24"/>
  <c r="V243" i="24"/>
  <c r="W243" i="24"/>
  <c r="X243" i="24"/>
  <c r="T244" i="24"/>
  <c r="U244" i="24"/>
  <c r="V244" i="24"/>
  <c r="W244" i="24"/>
  <c r="X244" i="24"/>
  <c r="T245" i="24"/>
  <c r="U245" i="24"/>
  <c r="V245" i="24"/>
  <c r="W245" i="24"/>
  <c r="X245" i="24"/>
  <c r="T246" i="24"/>
  <c r="U246" i="24"/>
  <c r="V246" i="24"/>
  <c r="W246" i="24"/>
  <c r="X246" i="24"/>
  <c r="T247" i="24"/>
  <c r="U247" i="24"/>
  <c r="V247" i="24"/>
  <c r="W247" i="24"/>
  <c r="X247" i="24"/>
  <c r="T232" i="24"/>
  <c r="U232" i="24"/>
  <c r="V232" i="24"/>
  <c r="W232" i="24"/>
  <c r="X232" i="24"/>
  <c r="AI232" i="24"/>
  <c r="T233" i="24"/>
  <c r="U233" i="24"/>
  <c r="V233" i="24"/>
  <c r="W233" i="24"/>
  <c r="X233" i="24"/>
  <c r="AI233" i="24"/>
  <c r="T217" i="24"/>
  <c r="U217" i="24"/>
  <c r="V217" i="24"/>
  <c r="W217" i="24"/>
  <c r="X217" i="24"/>
  <c r="AI217" i="24"/>
  <c r="AH98" i="24"/>
  <c r="AI98" i="24" s="1"/>
  <c r="AH99" i="24"/>
  <c r="AI99" i="24" s="1"/>
  <c r="R232" i="24" l="1"/>
  <c r="S232" i="24" s="1"/>
  <c r="N232" i="24"/>
  <c r="R523" i="24"/>
  <c r="Q523" i="24"/>
  <c r="P523" i="24"/>
  <c r="O523" i="24"/>
  <c r="N523" i="24"/>
  <c r="Z232" i="24" l="1"/>
  <c r="S523" i="24"/>
  <c r="AB232" i="24" l="1"/>
  <c r="Z523" i="24"/>
  <c r="Y523" i="24"/>
  <c r="AC523" i="24"/>
  <c r="AB523" i="24"/>
  <c r="AA523" i="24"/>
  <c r="AA232" i="24"/>
  <c r="Y232" i="24"/>
  <c r="AC232" i="24"/>
  <c r="I481" i="24"/>
  <c r="I479" i="24"/>
  <c r="I478" i="24"/>
  <c r="I476" i="24"/>
  <c r="I475" i="24"/>
  <c r="I474" i="24"/>
  <c r="I473" i="24"/>
  <c r="AD232" i="24" l="1"/>
  <c r="AE232" i="24" s="1"/>
  <c r="AD523" i="24"/>
  <c r="AE523" i="24" s="1"/>
  <c r="N387" i="24"/>
  <c r="O387" i="24"/>
  <c r="P387" i="24"/>
  <c r="Q387" i="24"/>
  <c r="R387" i="24"/>
  <c r="T387" i="24"/>
  <c r="U387" i="24"/>
  <c r="V387" i="24"/>
  <c r="W387" i="24"/>
  <c r="X387" i="24"/>
  <c r="AI387" i="24"/>
  <c r="S387" i="24" l="1"/>
  <c r="Y387" i="24" s="1"/>
  <c r="AA387" i="24" l="1"/>
  <c r="AB387" i="24"/>
  <c r="AC387" i="24"/>
  <c r="Z387" i="24"/>
  <c r="N233" i="24"/>
  <c r="S233" i="24" s="1"/>
  <c r="Y233" i="24" l="1"/>
  <c r="AA233" i="24"/>
  <c r="AB233" i="24"/>
  <c r="Z233" i="24"/>
  <c r="AC233" i="24"/>
  <c r="AD387" i="24"/>
  <c r="AE387" i="24" s="1"/>
  <c r="AZ96" i="65"/>
  <c r="AY96" i="65"/>
  <c r="AX96" i="65"/>
  <c r="AW96" i="65"/>
  <c r="AV96" i="65"/>
  <c r="AA96" i="65"/>
  <c r="Z96" i="65"/>
  <c r="Y96" i="65"/>
  <c r="X96" i="65"/>
  <c r="W96" i="65"/>
  <c r="AA95" i="65"/>
  <c r="Z95" i="65"/>
  <c r="Y95" i="65"/>
  <c r="X95" i="65"/>
  <c r="W95" i="65"/>
  <c r="BI93" i="65"/>
  <c r="BJ93" i="65" s="1"/>
  <c r="AA93" i="65"/>
  <c r="Z93" i="65"/>
  <c r="Y93" i="65"/>
  <c r="X93" i="65"/>
  <c r="W93" i="65"/>
  <c r="P93" i="65"/>
  <c r="O93" i="65"/>
  <c r="N93" i="65"/>
  <c r="S93" i="65" s="1"/>
  <c r="M93" i="65"/>
  <c r="R93" i="65" s="1"/>
  <c r="K93" i="65"/>
  <c r="L93" i="65" s="1"/>
  <c r="BI92" i="65"/>
  <c r="BJ92" i="65" s="1"/>
  <c r="AA92" i="65"/>
  <c r="Z92" i="65"/>
  <c r="Y92" i="65"/>
  <c r="X92" i="65"/>
  <c r="W92" i="65"/>
  <c r="P92" i="65"/>
  <c r="O92" i="65"/>
  <c r="N92" i="65"/>
  <c r="S92" i="65" s="1"/>
  <c r="M92" i="65"/>
  <c r="Q92" i="65" s="1"/>
  <c r="L92" i="65"/>
  <c r="K92" i="65"/>
  <c r="BI91" i="65"/>
  <c r="BJ91" i="65" s="1"/>
  <c r="AA91" i="65"/>
  <c r="Z91" i="65"/>
  <c r="Y91" i="65"/>
  <c r="X91" i="65"/>
  <c r="W91" i="65"/>
  <c r="P91" i="65"/>
  <c r="O91" i="65"/>
  <c r="N91" i="65"/>
  <c r="M91" i="65"/>
  <c r="K91" i="65"/>
  <c r="BI90" i="65"/>
  <c r="BJ90" i="65" s="1"/>
  <c r="AA90" i="65"/>
  <c r="Z90" i="65"/>
  <c r="Y90" i="65"/>
  <c r="X90" i="65"/>
  <c r="W90" i="65"/>
  <c r="P90" i="65"/>
  <c r="O90" i="65"/>
  <c r="N90" i="65"/>
  <c r="M90" i="65"/>
  <c r="K90" i="65"/>
  <c r="BI89" i="65"/>
  <c r="BJ89" i="65" s="1"/>
  <c r="AA89" i="65"/>
  <c r="Z89" i="65"/>
  <c r="Y89" i="65"/>
  <c r="X89" i="65"/>
  <c r="W89" i="65"/>
  <c r="P89" i="65"/>
  <c r="O89" i="65"/>
  <c r="N89" i="65"/>
  <c r="M89" i="65"/>
  <c r="K89" i="65"/>
  <c r="U89" i="65" s="1"/>
  <c r="BI88" i="65"/>
  <c r="BJ88" i="65" s="1"/>
  <c r="AA88" i="65"/>
  <c r="Z88" i="65"/>
  <c r="Y88" i="65"/>
  <c r="X88" i="65"/>
  <c r="W88" i="65"/>
  <c r="Q88" i="65"/>
  <c r="K88" i="65"/>
  <c r="BI87" i="65"/>
  <c r="BJ87" i="65" s="1"/>
  <c r="AA87" i="65"/>
  <c r="Z87" i="65"/>
  <c r="Y87" i="65"/>
  <c r="X87" i="65"/>
  <c r="W87" i="65"/>
  <c r="AE87" i="65" s="1"/>
  <c r="U87" i="65"/>
  <c r="T87" i="65"/>
  <c r="S87" i="65"/>
  <c r="R87" i="65"/>
  <c r="BI86" i="65"/>
  <c r="BJ86" i="65" s="1"/>
  <c r="AA86" i="65"/>
  <c r="Z86" i="65"/>
  <c r="Y86" i="65"/>
  <c r="X86" i="65"/>
  <c r="W86" i="65"/>
  <c r="P86" i="65"/>
  <c r="O86" i="65"/>
  <c r="N86" i="65"/>
  <c r="M86" i="65"/>
  <c r="K86" i="65"/>
  <c r="BI85" i="65"/>
  <c r="BJ85" i="65" s="1"/>
  <c r="AA85" i="65"/>
  <c r="Z85" i="65"/>
  <c r="Y85" i="65"/>
  <c r="X85" i="65"/>
  <c r="W85" i="65"/>
  <c r="AE85" i="65" s="1"/>
  <c r="P85" i="65"/>
  <c r="O85" i="65"/>
  <c r="N85" i="65"/>
  <c r="M85" i="65"/>
  <c r="K85" i="65"/>
  <c r="U85" i="65" s="1"/>
  <c r="AA84" i="65"/>
  <c r="Z84" i="65"/>
  <c r="Y84" i="65"/>
  <c r="X84" i="65"/>
  <c r="W84" i="65"/>
  <c r="AA83" i="65"/>
  <c r="Z83" i="65"/>
  <c r="Y83" i="65"/>
  <c r="X83" i="65"/>
  <c r="W83" i="65"/>
  <c r="BI82" i="65"/>
  <c r="BJ82" i="65" s="1"/>
  <c r="AA82" i="65"/>
  <c r="Z82" i="65"/>
  <c r="Y82" i="65"/>
  <c r="X82" i="65"/>
  <c r="W82" i="65"/>
  <c r="Q82" i="65"/>
  <c r="K82" i="65"/>
  <c r="T82" i="65" s="1"/>
  <c r="BI81" i="65"/>
  <c r="BJ81" i="65" s="1"/>
  <c r="AA81" i="65"/>
  <c r="Z81" i="65"/>
  <c r="Y81" i="65"/>
  <c r="AO81" i="65" s="1"/>
  <c r="X81" i="65"/>
  <c r="AJ81" i="65" s="1"/>
  <c r="W81" i="65"/>
  <c r="AE81" i="65" s="1"/>
  <c r="U81" i="65"/>
  <c r="T81" i="65"/>
  <c r="S81" i="65"/>
  <c r="R81" i="65"/>
  <c r="Q81" i="65"/>
  <c r="L81" i="65"/>
  <c r="BI80" i="65"/>
  <c r="BJ80" i="65" s="1"/>
  <c r="AA80" i="65"/>
  <c r="AY80" i="65" s="1"/>
  <c r="Z80" i="65"/>
  <c r="Y80" i="65"/>
  <c r="X80" i="65"/>
  <c r="AJ80" i="65" s="1"/>
  <c r="W80" i="65"/>
  <c r="AE80" i="65" s="1"/>
  <c r="U80" i="65"/>
  <c r="T80" i="65"/>
  <c r="S80" i="65"/>
  <c r="R80" i="65"/>
  <c r="Q80" i="65"/>
  <c r="L80" i="65"/>
  <c r="BI79" i="65"/>
  <c r="BJ79" i="65" s="1"/>
  <c r="AA79" i="65"/>
  <c r="Z79" i="65"/>
  <c r="Y79" i="65"/>
  <c r="X79" i="65"/>
  <c r="W79" i="65"/>
  <c r="Q79" i="65"/>
  <c r="K79" i="65"/>
  <c r="BI78" i="65"/>
  <c r="BJ78" i="65" s="1"/>
  <c r="AA78" i="65"/>
  <c r="Z78" i="65"/>
  <c r="Y78" i="65"/>
  <c r="X78" i="65"/>
  <c r="W78" i="65"/>
  <c r="Q78" i="65"/>
  <c r="K78" i="65"/>
  <c r="BI77" i="65"/>
  <c r="BJ77" i="65" s="1"/>
  <c r="AA77" i="65"/>
  <c r="Z77" i="65"/>
  <c r="Y77" i="65"/>
  <c r="X77" i="65"/>
  <c r="AH77" i="65" s="1"/>
  <c r="W77" i="65"/>
  <c r="Q77" i="65"/>
  <c r="K77" i="65"/>
  <c r="S77" i="65" s="1"/>
  <c r="BI76" i="65"/>
  <c r="BJ76" i="65" s="1"/>
  <c r="AA76" i="65"/>
  <c r="Z76" i="65"/>
  <c r="Y76" i="65"/>
  <c r="X76" i="65"/>
  <c r="W76" i="65"/>
  <c r="U76" i="65"/>
  <c r="T76" i="65"/>
  <c r="S76" i="65"/>
  <c r="R76" i="65"/>
  <c r="Q76" i="65"/>
  <c r="L76" i="65"/>
  <c r="BI75" i="65"/>
  <c r="BJ75" i="65" s="1"/>
  <c r="AA75" i="65"/>
  <c r="Z75" i="65"/>
  <c r="Y75" i="65"/>
  <c r="X75" i="65"/>
  <c r="W75" i="65"/>
  <c r="U75" i="65"/>
  <c r="T75" i="65"/>
  <c r="S75" i="65"/>
  <c r="R75" i="65"/>
  <c r="Q75" i="65"/>
  <c r="L75" i="65"/>
  <c r="BI74" i="65"/>
  <c r="BJ74" i="65" s="1"/>
  <c r="AY74" i="65"/>
  <c r="AX74" i="65"/>
  <c r="AW74" i="65"/>
  <c r="AV74" i="65"/>
  <c r="AT74" i="65"/>
  <c r="AS74" i="65"/>
  <c r="AR74" i="65"/>
  <c r="AQ74" i="65"/>
  <c r="AO74" i="65"/>
  <c r="AN74" i="65"/>
  <c r="AM74" i="65"/>
  <c r="AL74" i="65"/>
  <c r="AK74" i="65"/>
  <c r="AJ74" i="65"/>
  <c r="AI74" i="65"/>
  <c r="AH74" i="65"/>
  <c r="AG74" i="65"/>
  <c r="W74" i="65"/>
  <c r="AD74" i="65" s="1"/>
  <c r="AY73" i="65"/>
  <c r="AX73" i="65"/>
  <c r="AW73" i="65"/>
  <c r="AV73" i="65"/>
  <c r="AT73" i="65"/>
  <c r="AS73" i="65"/>
  <c r="AR73" i="65"/>
  <c r="AQ73" i="65"/>
  <c r="AO73" i="65"/>
  <c r="AN73" i="65"/>
  <c r="AM73" i="65"/>
  <c r="AL73" i="65"/>
  <c r="AK73" i="65"/>
  <c r="AJ73" i="65"/>
  <c r="AI73" i="65"/>
  <c r="AH73" i="65"/>
  <c r="AG73" i="65"/>
  <c r="W73" i="65"/>
  <c r="AC73" i="65" s="1"/>
  <c r="AA72" i="65"/>
  <c r="Z72" i="65"/>
  <c r="Y72" i="65"/>
  <c r="X72" i="65"/>
  <c r="W72" i="65"/>
  <c r="AZ71" i="65"/>
  <c r="AZ97" i="65" s="1"/>
  <c r="AY71" i="65"/>
  <c r="AY97" i="65" s="1"/>
  <c r="AA109" i="65" s="1"/>
  <c r="G25" i="47" s="1"/>
  <c r="AX71" i="65"/>
  <c r="AX97" i="65" s="1"/>
  <c r="Z109" i="65" s="1"/>
  <c r="F25" i="47" s="1"/>
  <c r="AW71" i="65"/>
  <c r="AW97" i="65" s="1"/>
  <c r="Y109" i="65" s="1"/>
  <c r="E25" i="47" s="1"/>
  <c r="AV71" i="65"/>
  <c r="AV97" i="65" s="1"/>
  <c r="X109" i="65" s="1"/>
  <c r="D25" i="47" s="1"/>
  <c r="AU71" i="65"/>
  <c r="AT71" i="65"/>
  <c r="AS71" i="65"/>
  <c r="AR71" i="65"/>
  <c r="AQ71" i="65"/>
  <c r="BI69" i="65"/>
  <c r="BJ69" i="65" s="1"/>
  <c r="BI68" i="65"/>
  <c r="BJ68" i="65" s="1"/>
  <c r="Q68" i="65"/>
  <c r="K68" i="65"/>
  <c r="L68" i="65" s="1"/>
  <c r="BI67" i="65"/>
  <c r="BJ67" i="65" s="1"/>
  <c r="BI66" i="65"/>
  <c r="BJ66" i="65" s="1"/>
  <c r="BI65" i="65"/>
  <c r="BJ65" i="65" s="1"/>
  <c r="Q65" i="65"/>
  <c r="K65" i="65"/>
  <c r="L65" i="65" s="1"/>
  <c r="T65" i="65" s="1"/>
  <c r="BI64" i="65"/>
  <c r="BJ64" i="65" s="1"/>
  <c r="J62" i="65"/>
  <c r="I62" i="65"/>
  <c r="BI61" i="65"/>
  <c r="BJ61" i="65" s="1"/>
  <c r="BI60" i="65"/>
  <c r="BJ60" i="65" s="1"/>
  <c r="Q60" i="65"/>
  <c r="K60" i="65"/>
  <c r="L60" i="65" s="1"/>
  <c r="BI59" i="65"/>
  <c r="BJ59" i="65" s="1"/>
  <c r="BI58" i="65"/>
  <c r="BJ58" i="65" s="1"/>
  <c r="BI57" i="65"/>
  <c r="BJ57" i="65" s="1"/>
  <c r="Q57" i="65"/>
  <c r="K57" i="65"/>
  <c r="L57" i="65" s="1"/>
  <c r="S57" i="65" s="1"/>
  <c r="BI56" i="65"/>
  <c r="BJ56" i="65" s="1"/>
  <c r="BI55" i="65"/>
  <c r="BJ55" i="65" s="1"/>
  <c r="BI54" i="65"/>
  <c r="BJ54" i="65" s="1"/>
  <c r="S54" i="65"/>
  <c r="Q54" i="65"/>
  <c r="K54" i="65"/>
  <c r="L54" i="65" s="1"/>
  <c r="BI53" i="65"/>
  <c r="BJ53" i="65" s="1"/>
  <c r="BI52" i="65"/>
  <c r="BJ52" i="65" s="1"/>
  <c r="BI51" i="65"/>
  <c r="BJ51" i="65" s="1"/>
  <c r="Q51" i="65"/>
  <c r="K51" i="65"/>
  <c r="L51" i="65" s="1"/>
  <c r="BI50" i="65"/>
  <c r="BJ50" i="65" s="1"/>
  <c r="BI49" i="65"/>
  <c r="BJ49" i="65" s="1"/>
  <c r="BI48" i="65"/>
  <c r="BJ48" i="65" s="1"/>
  <c r="Q48" i="65"/>
  <c r="K48" i="65"/>
  <c r="L48" i="65" s="1"/>
  <c r="R48" i="65" s="1"/>
  <c r="BI47" i="65"/>
  <c r="BJ47" i="65" s="1"/>
  <c r="BI46" i="65"/>
  <c r="BJ46" i="65" s="1"/>
  <c r="AA46" i="65"/>
  <c r="AA47" i="65" s="1"/>
  <c r="AV47" i="65" s="1"/>
  <c r="Z46" i="65"/>
  <c r="Z47" i="65" s="1"/>
  <c r="Y46" i="65"/>
  <c r="Y47" i="65" s="1"/>
  <c r="Y48" i="65" s="1"/>
  <c r="Y49" i="65" s="1"/>
  <c r="Y50" i="65" s="1"/>
  <c r="Y51" i="65" s="1"/>
  <c r="Y52" i="65" s="1"/>
  <c r="Y53" i="65" s="1"/>
  <c r="Y54" i="65" s="1"/>
  <c r="Y55" i="65" s="1"/>
  <c r="Y56" i="65" s="1"/>
  <c r="Y57" i="65" s="1"/>
  <c r="Y58" i="65" s="1"/>
  <c r="Y59" i="65" s="1"/>
  <c r="Y60" i="65" s="1"/>
  <c r="Y61" i="65" s="1"/>
  <c r="Y64" i="65" s="1"/>
  <c r="Y65" i="65" s="1"/>
  <c r="Y66" i="65" s="1"/>
  <c r="Y67" i="65" s="1"/>
  <c r="Y68" i="65" s="1"/>
  <c r="Y69" i="65" s="1"/>
  <c r="X46" i="65"/>
  <c r="X47" i="65" s="1"/>
  <c r="AI47" i="65" s="1"/>
  <c r="W46" i="65"/>
  <c r="W47" i="65" s="1"/>
  <c r="AC47" i="65" s="1"/>
  <c r="BI45" i="65"/>
  <c r="BJ45" i="65" s="1"/>
  <c r="AA45" i="65"/>
  <c r="Z45" i="65"/>
  <c r="Y45" i="65"/>
  <c r="X45" i="65"/>
  <c r="W45" i="65"/>
  <c r="Q45" i="65"/>
  <c r="K45" i="65"/>
  <c r="L45" i="65" s="1"/>
  <c r="BI44" i="65"/>
  <c r="BJ44" i="65" s="1"/>
  <c r="AA44" i="65"/>
  <c r="Z44" i="65"/>
  <c r="Y44" i="65"/>
  <c r="X44" i="65"/>
  <c r="W44" i="65"/>
  <c r="BI43" i="65"/>
  <c r="BJ43" i="65" s="1"/>
  <c r="AA43" i="65"/>
  <c r="Z43" i="65"/>
  <c r="Y43" i="65"/>
  <c r="X43" i="65"/>
  <c r="W43" i="65"/>
  <c r="BI42" i="65"/>
  <c r="BJ42" i="65" s="1"/>
  <c r="AA42" i="65"/>
  <c r="Z42" i="65"/>
  <c r="Y42" i="65"/>
  <c r="X42" i="65"/>
  <c r="W42" i="65"/>
  <c r="Q42" i="65"/>
  <c r="K42" i="65"/>
  <c r="L42" i="65" s="1"/>
  <c r="R42" i="65" s="1"/>
  <c r="R43" i="65" s="1"/>
  <c r="BI41" i="65"/>
  <c r="BJ41" i="65" s="1"/>
  <c r="AA41" i="65"/>
  <c r="AX41" i="65" s="1"/>
  <c r="Z41" i="65"/>
  <c r="AS41" i="65" s="1"/>
  <c r="Y41" i="65"/>
  <c r="X41" i="65"/>
  <c r="AK41" i="65" s="1"/>
  <c r="W41" i="65"/>
  <c r="BI40" i="65"/>
  <c r="BJ40" i="65" s="1"/>
  <c r="AA40" i="65"/>
  <c r="Z40" i="65"/>
  <c r="Y40" i="65"/>
  <c r="X40" i="65"/>
  <c r="W40" i="65"/>
  <c r="BI39" i="65"/>
  <c r="BJ39" i="65" s="1"/>
  <c r="AA39" i="65"/>
  <c r="Z39" i="65"/>
  <c r="Y39" i="65"/>
  <c r="X39" i="65"/>
  <c r="W39" i="65"/>
  <c r="Q39" i="65"/>
  <c r="L39" i="65"/>
  <c r="R39" i="65" s="1"/>
  <c r="K39" i="65"/>
  <c r="BI38" i="65"/>
  <c r="BJ38" i="65" s="1"/>
  <c r="AA38" i="65"/>
  <c r="Z38" i="65"/>
  <c r="Y38" i="65"/>
  <c r="X38" i="65"/>
  <c r="W38" i="65"/>
  <c r="J36" i="65"/>
  <c r="I36" i="65"/>
  <c r="BI35" i="65"/>
  <c r="BJ35" i="65" s="1"/>
  <c r="AA35" i="65"/>
  <c r="Z35" i="65"/>
  <c r="Y35" i="65"/>
  <c r="X35" i="65"/>
  <c r="W35" i="65"/>
  <c r="BI34" i="65"/>
  <c r="BJ34" i="65" s="1"/>
  <c r="AA34" i="65"/>
  <c r="Z34" i="65"/>
  <c r="Y34" i="65"/>
  <c r="X34" i="65"/>
  <c r="W34" i="65"/>
  <c r="N34" i="65"/>
  <c r="K34" i="65"/>
  <c r="L34" i="65" s="1"/>
  <c r="U34" i="65" s="1"/>
  <c r="U35" i="65" s="1"/>
  <c r="BI33" i="65"/>
  <c r="BJ33" i="65" s="1"/>
  <c r="AA33" i="65"/>
  <c r="Z33" i="65"/>
  <c r="Y33" i="65"/>
  <c r="X33" i="65"/>
  <c r="W33" i="65"/>
  <c r="BI32" i="65"/>
  <c r="BJ32" i="65" s="1"/>
  <c r="AA32" i="65"/>
  <c r="Z32" i="65"/>
  <c r="Y32" i="65"/>
  <c r="X32" i="65"/>
  <c r="W32" i="65"/>
  <c r="BI31" i="65"/>
  <c r="BJ31" i="65" s="1"/>
  <c r="AA31" i="65"/>
  <c r="Z31" i="65"/>
  <c r="Y31" i="65"/>
  <c r="X31" i="65"/>
  <c r="W31" i="65"/>
  <c r="N31" i="65"/>
  <c r="Q31" i="65" s="1"/>
  <c r="L31" i="65"/>
  <c r="R31" i="65" s="1"/>
  <c r="K31" i="65"/>
  <c r="BI30" i="65"/>
  <c r="BJ30" i="65" s="1"/>
  <c r="AA30" i="65"/>
  <c r="Z30" i="65"/>
  <c r="Y30" i="65"/>
  <c r="X30" i="65"/>
  <c r="W30" i="65"/>
  <c r="BI29" i="65"/>
  <c r="BJ29" i="65" s="1"/>
  <c r="AA29" i="65"/>
  <c r="Z29" i="65"/>
  <c r="Y29" i="65"/>
  <c r="X29" i="65"/>
  <c r="W29" i="65"/>
  <c r="BI28" i="65"/>
  <c r="BJ28" i="65" s="1"/>
  <c r="AA28" i="65"/>
  <c r="Z28" i="65"/>
  <c r="Y28" i="65"/>
  <c r="X28" i="65"/>
  <c r="W28" i="65"/>
  <c r="N28" i="65"/>
  <c r="Q28" i="65" s="1"/>
  <c r="K28" i="65"/>
  <c r="L28" i="65" s="1"/>
  <c r="U28" i="65" s="1"/>
  <c r="BI27" i="65"/>
  <c r="BJ27" i="65" s="1"/>
  <c r="AA27" i="65"/>
  <c r="AV27" i="65" s="1"/>
  <c r="Z27" i="65"/>
  <c r="AR27" i="65" s="1"/>
  <c r="Y27" i="65"/>
  <c r="X27" i="65"/>
  <c r="AI27" i="65" s="1"/>
  <c r="W27" i="65"/>
  <c r="AE27" i="65" s="1"/>
  <c r="BI26" i="65"/>
  <c r="BJ26" i="65" s="1"/>
  <c r="AA26" i="65"/>
  <c r="Z26" i="65"/>
  <c r="Y26" i="65"/>
  <c r="X26" i="65"/>
  <c r="W26" i="65"/>
  <c r="BI25" i="65"/>
  <c r="BJ25" i="65" s="1"/>
  <c r="AA25" i="65"/>
  <c r="Z25" i="65"/>
  <c r="Y25" i="65"/>
  <c r="X25" i="65"/>
  <c r="W25" i="65"/>
  <c r="N25" i="65"/>
  <c r="K25" i="65"/>
  <c r="H124" i="65" s="1"/>
  <c r="L124" i="65" s="1"/>
  <c r="BI24" i="65"/>
  <c r="BJ24" i="65" s="1"/>
  <c r="AA24" i="65"/>
  <c r="AY24" i="65" s="1"/>
  <c r="Z24" i="65"/>
  <c r="AT24" i="65" s="1"/>
  <c r="Y24" i="65"/>
  <c r="X24" i="65"/>
  <c r="AG24" i="65" s="1"/>
  <c r="W24" i="65"/>
  <c r="AE24" i="65" s="1"/>
  <c r="BI23" i="65"/>
  <c r="BJ23" i="65" s="1"/>
  <c r="AA23" i="65"/>
  <c r="Z23" i="65"/>
  <c r="Y23" i="65"/>
  <c r="X23" i="65"/>
  <c r="W23" i="65"/>
  <c r="BI22" i="65"/>
  <c r="BJ22" i="65" s="1"/>
  <c r="AA22" i="65"/>
  <c r="Z22" i="65"/>
  <c r="Y22" i="65"/>
  <c r="X22" i="65"/>
  <c r="W22" i="65"/>
  <c r="N22" i="65"/>
  <c r="K22" i="65"/>
  <c r="L22" i="65" s="1"/>
  <c r="BI21" i="65"/>
  <c r="BJ21" i="65" s="1"/>
  <c r="AA21" i="65"/>
  <c r="AX21" i="65" s="1"/>
  <c r="Z21" i="65"/>
  <c r="AR21" i="65" s="1"/>
  <c r="Y21" i="65"/>
  <c r="BC21" i="65" s="1"/>
  <c r="X21" i="65"/>
  <c r="W21" i="65"/>
  <c r="AE21" i="65" s="1"/>
  <c r="BI20" i="65"/>
  <c r="BJ20" i="65" s="1"/>
  <c r="AA20" i="65"/>
  <c r="Z20" i="65"/>
  <c r="Y20" i="65"/>
  <c r="X20" i="65"/>
  <c r="W20" i="65"/>
  <c r="BI19" i="65"/>
  <c r="BJ19" i="65" s="1"/>
  <c r="AA19" i="65"/>
  <c r="Z19" i="65"/>
  <c r="Y19" i="65"/>
  <c r="X19" i="65"/>
  <c r="W19" i="65"/>
  <c r="Q19" i="65"/>
  <c r="K19" i="65"/>
  <c r="H123" i="65" s="1"/>
  <c r="L123" i="65" s="1"/>
  <c r="BI18" i="65"/>
  <c r="BJ18" i="65" s="1"/>
  <c r="AA18" i="65"/>
  <c r="BE18" i="65" s="1"/>
  <c r="Z18" i="65"/>
  <c r="AR18" i="65" s="1"/>
  <c r="Y18" i="65"/>
  <c r="BC18" i="65" s="1"/>
  <c r="X18" i="65"/>
  <c r="AJ18" i="65" s="1"/>
  <c r="W18" i="65"/>
  <c r="AB18" i="65" s="1"/>
  <c r="BI17" i="65"/>
  <c r="BJ17" i="65" s="1"/>
  <c r="AA17" i="65"/>
  <c r="Z17" i="65"/>
  <c r="Y17" i="65"/>
  <c r="X17" i="65"/>
  <c r="W17" i="65"/>
  <c r="BI16" i="65"/>
  <c r="BJ16" i="65" s="1"/>
  <c r="AA16" i="65"/>
  <c r="Z16" i="65"/>
  <c r="Y16" i="65"/>
  <c r="X16" i="65"/>
  <c r="W16" i="65"/>
  <c r="N16" i="65"/>
  <c r="Q16" i="65" s="1"/>
  <c r="K16" i="65"/>
  <c r="L16" i="65" s="1"/>
  <c r="R16" i="65" s="1"/>
  <c r="AY15" i="65"/>
  <c r="AX15" i="65"/>
  <c r="AW15" i="65"/>
  <c r="AV15" i="65"/>
  <c r="AJ15" i="65"/>
  <c r="AI15" i="65"/>
  <c r="AH15" i="65"/>
  <c r="AG15" i="65"/>
  <c r="AE15" i="65"/>
  <c r="AD15" i="65"/>
  <c r="AC15" i="65"/>
  <c r="AB15" i="65"/>
  <c r="BI14" i="65"/>
  <c r="BJ14" i="65" s="1"/>
  <c r="AA14" i="65"/>
  <c r="Z14" i="65"/>
  <c r="Y14" i="65"/>
  <c r="X14" i="65"/>
  <c r="W14" i="65"/>
  <c r="BI13" i="65"/>
  <c r="BJ13" i="65" s="1"/>
  <c r="AA13" i="65"/>
  <c r="Z13" i="65"/>
  <c r="Y13" i="65"/>
  <c r="X13" i="65"/>
  <c r="W13" i="65"/>
  <c r="N13" i="65"/>
  <c r="Q13" i="65" s="1"/>
  <c r="K13" i="65"/>
  <c r="AY12" i="65"/>
  <c r="AX12" i="65"/>
  <c r="AW12" i="65"/>
  <c r="AV12" i="65"/>
  <c r="AJ12" i="65"/>
  <c r="AI12" i="65"/>
  <c r="AH12" i="65"/>
  <c r="AG12" i="65"/>
  <c r="AE12" i="65"/>
  <c r="AD12" i="65"/>
  <c r="AC12" i="65"/>
  <c r="AB12" i="65"/>
  <c r="AL76" i="65" l="1"/>
  <c r="S86" i="65"/>
  <c r="S90" i="65"/>
  <c r="T91" i="65"/>
  <c r="U93" i="65"/>
  <c r="L19" i="65"/>
  <c r="T19" i="65" s="1"/>
  <c r="H125" i="65"/>
  <c r="L125" i="65" s="1"/>
  <c r="AR75" i="65"/>
  <c r="AT80" i="65"/>
  <c r="AT81" i="65"/>
  <c r="S91" i="65"/>
  <c r="U91" i="65"/>
  <c r="R82" i="65"/>
  <c r="AL82" i="65" s="1"/>
  <c r="U90" i="65"/>
  <c r="T93" i="65"/>
  <c r="S39" i="65"/>
  <c r="T42" i="65"/>
  <c r="L77" i="65"/>
  <c r="S85" i="65"/>
  <c r="AM85" i="65" s="1"/>
  <c r="L89" i="65"/>
  <c r="R28" i="65"/>
  <c r="R29" i="65" s="1"/>
  <c r="T39" i="65"/>
  <c r="AB42" i="65"/>
  <c r="AX75" i="65"/>
  <c r="AC76" i="65"/>
  <c r="AL80" i="65"/>
  <c r="T85" i="65"/>
  <c r="AD85" i="65" s="1"/>
  <c r="T86" i="65"/>
  <c r="R89" i="65"/>
  <c r="AT89" i="65"/>
  <c r="L91" i="65"/>
  <c r="Q93" i="65"/>
  <c r="U19" i="65"/>
  <c r="U31" i="65"/>
  <c r="AB39" i="65"/>
  <c r="AB40" i="65" s="1"/>
  <c r="AG76" i="65"/>
  <c r="U77" i="65"/>
  <c r="S89" i="65"/>
  <c r="AM89" i="65" s="1"/>
  <c r="AC90" i="65"/>
  <c r="U65" i="65"/>
  <c r="T89" i="65"/>
  <c r="AJ28" i="65"/>
  <c r="AG31" i="65"/>
  <c r="AG32" i="65" s="1"/>
  <c r="S82" i="65"/>
  <c r="AW82" i="65" s="1"/>
  <c r="T90" i="65"/>
  <c r="AR39" i="65"/>
  <c r="U82" i="65"/>
  <c r="AE82" i="65" s="1"/>
  <c r="S28" i="65"/>
  <c r="S29" i="65" s="1"/>
  <c r="AR77" i="65"/>
  <c r="U86" i="65"/>
  <c r="AT86" i="65" s="1"/>
  <c r="AE89" i="65"/>
  <c r="R92" i="65"/>
  <c r="S22" i="65"/>
  <c r="AR22" i="65" s="1"/>
  <c r="S42" i="65"/>
  <c r="AR42" i="65" s="1"/>
  <c r="AN75" i="65"/>
  <c r="AG82" i="65"/>
  <c r="Q85" i="65"/>
  <c r="AC86" i="65"/>
  <c r="AJ89" i="65"/>
  <c r="AD233" i="24"/>
  <c r="AE233" i="24" s="1"/>
  <c r="AS86" i="65"/>
  <c r="AT41" i="65"/>
  <c r="AR28" i="65"/>
  <c r="AQ42" i="65"/>
  <c r="AO75" i="65"/>
  <c r="AN81" i="65"/>
  <c r="AV75" i="65"/>
  <c r="AI41" i="65"/>
  <c r="AQ81" i="65"/>
  <c r="BA21" i="65"/>
  <c r="AT85" i="65"/>
  <c r="AB21" i="65"/>
  <c r="AQ18" i="65"/>
  <c r="AC21" i="65"/>
  <c r="AD24" i="65"/>
  <c r="AD21" i="65"/>
  <c r="AI42" i="65"/>
  <c r="BD18" i="65"/>
  <c r="AO28" i="65"/>
  <c r="AO29" i="65" s="1"/>
  <c r="AR41" i="65"/>
  <c r="AX80" i="65"/>
  <c r="AB27" i="65"/>
  <c r="AQ21" i="65"/>
  <c r="AB24" i="65"/>
  <c r="AT27" i="65"/>
  <c r="AY41" i="65"/>
  <c r="AW75" i="65"/>
  <c r="AY75" i="65"/>
  <c r="AZ12" i="65"/>
  <c r="AU74" i="65"/>
  <c r="AD87" i="65"/>
  <c r="AY89" i="65"/>
  <c r="AD90" i="65"/>
  <c r="AH93" i="65"/>
  <c r="AX93" i="65" s="1"/>
  <c r="AM77" i="65"/>
  <c r="AD80" i="65"/>
  <c r="AS18" i="65"/>
  <c r="AT18" i="65"/>
  <c r="AY27" i="65"/>
  <c r="AC18" i="65"/>
  <c r="AX18" i="65"/>
  <c r="AF15" i="65"/>
  <c r="AD18" i="65"/>
  <c r="AY18" i="65"/>
  <c r="AS21" i="65"/>
  <c r="AH24" i="65"/>
  <c r="AC27" i="65"/>
  <c r="AS80" i="65"/>
  <c r="AB82" i="65"/>
  <c r="AJ91" i="65"/>
  <c r="AY21" i="65"/>
  <c r="AZ15" i="65"/>
  <c r="AG18" i="65"/>
  <c r="BA18" i="65"/>
  <c r="AT21" i="65"/>
  <c r="AI24" i="65"/>
  <c r="AD27" i="65"/>
  <c r="AJ31" i="65"/>
  <c r="AJ32" i="65" s="1"/>
  <c r="AQ39" i="65"/>
  <c r="AG41" i="65"/>
  <c r="AP73" i="65"/>
  <c r="AO80" i="65"/>
  <c r="AD81" i="65"/>
  <c r="AR82" i="65"/>
  <c r="AF12" i="65"/>
  <c r="AK18" i="65"/>
  <c r="BB18" i="65"/>
  <c r="AW21" i="65"/>
  <c r="AM22" i="65"/>
  <c r="AM23" i="65" s="1"/>
  <c r="AJ27" i="65"/>
  <c r="AJ29" i="65" s="1"/>
  <c r="AI39" i="65"/>
  <c r="AI40" i="65" s="1"/>
  <c r="AH41" i="65"/>
  <c r="AI81" i="65"/>
  <c r="AL89" i="65"/>
  <c r="AE74" i="65"/>
  <c r="AM75" i="65"/>
  <c r="AR76" i="65"/>
  <c r="AB76" i="65"/>
  <c r="AW27" i="65"/>
  <c r="AQ41" i="65"/>
  <c r="BE21" i="65"/>
  <c r="AX27" i="65"/>
  <c r="AC87" i="65"/>
  <c r="AB87" i="65"/>
  <c r="AG16" i="65"/>
  <c r="AG17" i="65" s="1"/>
  <c r="AV16" i="65"/>
  <c r="AQ16" i="65"/>
  <c r="AL16" i="65"/>
  <c r="R17" i="65"/>
  <c r="AB16" i="65"/>
  <c r="AI19" i="65"/>
  <c r="AX19" i="65"/>
  <c r="T20" i="65"/>
  <c r="AD19" i="65"/>
  <c r="AN19" i="65"/>
  <c r="AN20" i="65" s="1"/>
  <c r="AJ21" i="65"/>
  <c r="AG21" i="65"/>
  <c r="AK21" i="65"/>
  <c r="BB21" i="65"/>
  <c r="AI21" i="65"/>
  <c r="AH21" i="65"/>
  <c r="AJ19" i="65"/>
  <c r="AJ20" i="65" s="1"/>
  <c r="AT19" i="65"/>
  <c r="AY19" i="65"/>
  <c r="AO19" i="65"/>
  <c r="AO20" i="65" s="1"/>
  <c r="U20" i="65"/>
  <c r="AE19" i="65"/>
  <c r="AS19" i="65"/>
  <c r="U22" i="65"/>
  <c r="T22" i="65"/>
  <c r="R22" i="65"/>
  <c r="S16" i="65"/>
  <c r="V16" i="65" s="1"/>
  <c r="U16" i="65"/>
  <c r="T16" i="65"/>
  <c r="H122" i="65"/>
  <c r="L122" i="65" s="1"/>
  <c r="K36" i="65"/>
  <c r="L13" i="65"/>
  <c r="S23" i="65"/>
  <c r="AC22" i="65"/>
  <c r="AW22" i="65"/>
  <c r="AT34" i="65"/>
  <c r="AY34" i="65"/>
  <c r="AO34" i="65"/>
  <c r="AO35" i="65" s="1"/>
  <c r="AC41" i="65"/>
  <c r="AB41" i="65"/>
  <c r="AE18" i="65"/>
  <c r="Q22" i="65"/>
  <c r="AJ24" i="65"/>
  <c r="AW24" i="65"/>
  <c r="AG27" i="65"/>
  <c r="AV28" i="65"/>
  <c r="AQ28" i="65"/>
  <c r="AL28" i="65"/>
  <c r="S34" i="65"/>
  <c r="Q34" i="65"/>
  <c r="AY31" i="65"/>
  <c r="AT31" i="65"/>
  <c r="AV24" i="65"/>
  <c r="U32" i="65"/>
  <c r="AV21" i="65"/>
  <c r="BD21" i="65"/>
  <c r="AC24" i="65"/>
  <c r="AK24" i="65"/>
  <c r="AX24" i="65"/>
  <c r="Q25" i="65"/>
  <c r="AH27" i="65"/>
  <c r="T28" i="65"/>
  <c r="V28" i="65" s="1"/>
  <c r="AB28" i="65"/>
  <c r="R34" i="65"/>
  <c r="AE34" i="65"/>
  <c r="AE35" i="65" s="1"/>
  <c r="AG39" i="65"/>
  <c r="AG40" i="65" s="1"/>
  <c r="AV39" i="65"/>
  <c r="AL39" i="65"/>
  <c r="AG42" i="65"/>
  <c r="AV42" i="65"/>
  <c r="AL42" i="65"/>
  <c r="AI76" i="65"/>
  <c r="AX76" i="65"/>
  <c r="AN76" i="65"/>
  <c r="AS76" i="65"/>
  <c r="AD76" i="65"/>
  <c r="V76" i="65"/>
  <c r="L25" i="65"/>
  <c r="S25" i="65" s="1"/>
  <c r="AQ24" i="65"/>
  <c r="U29" i="65"/>
  <c r="AE28" i="65"/>
  <c r="AE29" i="65" s="1"/>
  <c r="AY28" i="65"/>
  <c r="S58" i="65"/>
  <c r="AM57" i="65"/>
  <c r="AM58" i="65" s="1"/>
  <c r="AO65" i="65"/>
  <c r="AO66" i="65" s="1"/>
  <c r="U66" i="65"/>
  <c r="AY76" i="65"/>
  <c r="AO76" i="65"/>
  <c r="AE76" i="65"/>
  <c r="AT76" i="65"/>
  <c r="AJ76" i="65"/>
  <c r="AQ31" i="65"/>
  <c r="AV31" i="65"/>
  <c r="AL31" i="65"/>
  <c r="T34" i="65"/>
  <c r="AH18" i="65"/>
  <c r="R19" i="65"/>
  <c r="AR24" i="65"/>
  <c r="AK27" i="65"/>
  <c r="S31" i="65"/>
  <c r="AO31" i="65"/>
  <c r="AO32" i="65" s="1"/>
  <c r="AJ34" i="65"/>
  <c r="AJ35" i="65" s="1"/>
  <c r="AH39" i="65"/>
  <c r="AH40" i="65" s="1"/>
  <c r="AW39" i="65"/>
  <c r="AM39" i="65"/>
  <c r="AM40" i="65" s="1"/>
  <c r="S40" i="65"/>
  <c r="AC39" i="65"/>
  <c r="AC40" i="65" s="1"/>
  <c r="R40" i="65"/>
  <c r="AH42" i="65"/>
  <c r="AW42" i="65"/>
  <c r="AM42" i="65"/>
  <c r="AM43" i="65" s="1"/>
  <c r="AC42" i="65"/>
  <c r="S43" i="65"/>
  <c r="AL48" i="65"/>
  <c r="R49" i="65"/>
  <c r="AI18" i="65"/>
  <c r="AV18" i="65"/>
  <c r="AQ27" i="65"/>
  <c r="AB31" i="65"/>
  <c r="AX39" i="65"/>
  <c r="AN39" i="65"/>
  <c r="AN40" i="65" s="1"/>
  <c r="T40" i="65"/>
  <c r="AD39" i="65"/>
  <c r="AD40" i="65" s="1"/>
  <c r="AS39" i="65"/>
  <c r="AD41" i="65"/>
  <c r="AX42" i="65"/>
  <c r="AN42" i="65"/>
  <c r="AN43" i="65" s="1"/>
  <c r="AD42" i="65"/>
  <c r="T43" i="65"/>
  <c r="AS42" i="65"/>
  <c r="U48" i="65"/>
  <c r="T48" i="65"/>
  <c r="S48" i="65"/>
  <c r="V48" i="65" s="1"/>
  <c r="U68" i="65"/>
  <c r="T68" i="65"/>
  <c r="R68" i="65"/>
  <c r="S68" i="65"/>
  <c r="AJ75" i="65"/>
  <c r="AH75" i="65"/>
  <c r="AG75" i="65"/>
  <c r="AE31" i="65"/>
  <c r="AE32" i="65" s="1"/>
  <c r="AW47" i="65"/>
  <c r="AA48" i="65"/>
  <c r="AA49" i="65" s="1"/>
  <c r="AA50" i="65" s="1"/>
  <c r="AA51" i="65" s="1"/>
  <c r="AA52" i="65" s="1"/>
  <c r="AA53" i="65" s="1"/>
  <c r="AY47" i="65"/>
  <c r="AX47" i="65"/>
  <c r="S19" i="65"/>
  <c r="AS24" i="65"/>
  <c r="AW18" i="65"/>
  <c r="AS27" i="65"/>
  <c r="AM28" i="65"/>
  <c r="AM29" i="65" s="1"/>
  <c r="AH28" i="65"/>
  <c r="AT28" i="65"/>
  <c r="T31" i="65"/>
  <c r="R32" i="65"/>
  <c r="AE41" i="65"/>
  <c r="U45" i="65"/>
  <c r="T45" i="65"/>
  <c r="S45" i="65"/>
  <c r="R45" i="65"/>
  <c r="AT47" i="65"/>
  <c r="AS47" i="65"/>
  <c r="AR47" i="65"/>
  <c r="AQ47" i="65"/>
  <c r="Z48" i="65"/>
  <c r="Z49" i="65" s="1"/>
  <c r="Z50" i="65" s="1"/>
  <c r="Z51" i="65" s="1"/>
  <c r="Z52" i="65" s="1"/>
  <c r="Z53" i="65" s="1"/>
  <c r="AM54" i="65"/>
  <c r="AM55" i="65" s="1"/>
  <c r="U39" i="65"/>
  <c r="V39" i="65" s="1"/>
  <c r="U42" i="65"/>
  <c r="V42" i="65" s="1"/>
  <c r="AN93" i="65"/>
  <c r="AD93" i="65"/>
  <c r="AT93" i="65" s="1"/>
  <c r="AI93" i="65"/>
  <c r="AY93" i="65" s="1"/>
  <c r="AE47" i="65"/>
  <c r="AB47" i="65"/>
  <c r="AD47" i="65"/>
  <c r="W48" i="65"/>
  <c r="W49" i="65" s="1"/>
  <c r="W50" i="65" s="1"/>
  <c r="W51" i="65" s="1"/>
  <c r="W52" i="65" s="1"/>
  <c r="W53" i="65" s="1"/>
  <c r="R51" i="65"/>
  <c r="U51" i="65"/>
  <c r="R54" i="65"/>
  <c r="U54" i="65"/>
  <c r="AB109" i="65"/>
  <c r="W109" i="65"/>
  <c r="AO93" i="65"/>
  <c r="AE93" i="65"/>
  <c r="AJ93" i="65"/>
  <c r="AZ93" i="65" s="1"/>
  <c r="K62" i="65"/>
  <c r="AG47" i="65"/>
  <c r="AJ47" i="65"/>
  <c r="AH47" i="65"/>
  <c r="X48" i="65"/>
  <c r="X49" i="65" s="1"/>
  <c r="X50" i="65" s="1"/>
  <c r="X51" i="65" s="1"/>
  <c r="X52" i="65" s="1"/>
  <c r="X53" i="65" s="1"/>
  <c r="S60" i="65"/>
  <c r="R60" i="65"/>
  <c r="AV41" i="65"/>
  <c r="S51" i="65"/>
  <c r="S55" i="65"/>
  <c r="AG81" i="65"/>
  <c r="AV81" i="65"/>
  <c r="AB81" i="65"/>
  <c r="AL81" i="65"/>
  <c r="V81" i="65"/>
  <c r="AY81" i="65"/>
  <c r="AX81" i="65"/>
  <c r="AJ90" i="65"/>
  <c r="AY90" i="65"/>
  <c r="AO90" i="65"/>
  <c r="AE90" i="65"/>
  <c r="AT90" i="65"/>
  <c r="AH92" i="65"/>
  <c r="AM92" i="65"/>
  <c r="AC92" i="65"/>
  <c r="AR92" i="65"/>
  <c r="AJ41" i="65"/>
  <c r="AW41" i="65"/>
  <c r="AK47" i="65"/>
  <c r="T51" i="65"/>
  <c r="T54" i="65"/>
  <c r="U57" i="65"/>
  <c r="T57" i="65"/>
  <c r="R57" i="65"/>
  <c r="T60" i="65"/>
  <c r="U79" i="65"/>
  <c r="T79" i="65"/>
  <c r="S79" i="65"/>
  <c r="S83" i="65" s="1"/>
  <c r="R79" i="65"/>
  <c r="L79" i="65"/>
  <c r="AW81" i="65"/>
  <c r="AM81" i="65"/>
  <c r="AC81" i="65"/>
  <c r="AR81" i="65"/>
  <c r="AH81" i="65"/>
  <c r="U60" i="65"/>
  <c r="AN65" i="65"/>
  <c r="AN66" i="65" s="1"/>
  <c r="T66" i="65"/>
  <c r="AH91" i="65"/>
  <c r="AW91" i="65"/>
  <c r="AM91" i="65"/>
  <c r="AR91" i="65"/>
  <c r="AC91" i="65"/>
  <c r="AE73" i="65"/>
  <c r="AD73" i="65"/>
  <c r="AB73" i="65"/>
  <c r="AZ73" i="65"/>
  <c r="AS81" i="65"/>
  <c r="AI86" i="65"/>
  <c r="AX86" i="65"/>
  <c r="AN86" i="65"/>
  <c r="AD86" i="65"/>
  <c r="AG92" i="65"/>
  <c r="AV92" i="65"/>
  <c r="AL92" i="65"/>
  <c r="AB92" i="65"/>
  <c r="T92" i="65"/>
  <c r="AQ92" i="65"/>
  <c r="R86" i="65"/>
  <c r="Q86" i="65"/>
  <c r="R65" i="65"/>
  <c r="R78" i="65"/>
  <c r="U78" i="65"/>
  <c r="T78" i="65"/>
  <c r="S78" i="65"/>
  <c r="L78" i="65"/>
  <c r="V80" i="65"/>
  <c r="S65" i="65"/>
  <c r="AU73" i="65"/>
  <c r="AP74" i="65"/>
  <c r="AC80" i="65"/>
  <c r="AR80" i="65"/>
  <c r="AW80" i="65"/>
  <c r="AM80" i="65"/>
  <c r="AH80" i="65"/>
  <c r="U88" i="65"/>
  <c r="T88" i="65"/>
  <c r="S88" i="65"/>
  <c r="R88" i="65"/>
  <c r="L88" i="65"/>
  <c r="AS89" i="65"/>
  <c r="AI89" i="65"/>
  <c r="AX89" i="65"/>
  <c r="AN89" i="65"/>
  <c r="AD89" i="65"/>
  <c r="AI91" i="65"/>
  <c r="AX91" i="65"/>
  <c r="AN91" i="65"/>
  <c r="AD91" i="65"/>
  <c r="AS91" i="65"/>
  <c r="AZ74" i="65"/>
  <c r="AL75" i="65"/>
  <c r="V75" i="65"/>
  <c r="AB75" i="65"/>
  <c r="AQ75" i="65"/>
  <c r="AY77" i="65"/>
  <c r="AE77" i="65"/>
  <c r="AT77" i="65"/>
  <c r="AO77" i="65"/>
  <c r="AJ77" i="65"/>
  <c r="AY91" i="65"/>
  <c r="AO91" i="65"/>
  <c r="AE91" i="65"/>
  <c r="AT91" i="65"/>
  <c r="AI75" i="65"/>
  <c r="AM76" i="65"/>
  <c r="AW76" i="65"/>
  <c r="AW77" i="65"/>
  <c r="AO82" i="65"/>
  <c r="AD82" i="65"/>
  <c r="AR86" i="65"/>
  <c r="AH86" i="65"/>
  <c r="AW86" i="65"/>
  <c r="AM86" i="65"/>
  <c r="V89" i="65"/>
  <c r="AJ85" i="65"/>
  <c r="AY85" i="65"/>
  <c r="AO85" i="65"/>
  <c r="AI90" i="65"/>
  <c r="AX90" i="65"/>
  <c r="AN90" i="65"/>
  <c r="AS90" i="65"/>
  <c r="R91" i="65"/>
  <c r="Q91" i="65"/>
  <c r="AG93" i="65"/>
  <c r="AW93" i="65" s="1"/>
  <c r="AV93" i="65"/>
  <c r="AL93" i="65"/>
  <c r="V93" i="65"/>
  <c r="AB93" i="65"/>
  <c r="AB74" i="65"/>
  <c r="AC75" i="65"/>
  <c r="AS75" i="65"/>
  <c r="R90" i="65"/>
  <c r="Q90" i="65"/>
  <c r="AM93" i="65"/>
  <c r="AC93" i="65"/>
  <c r="AS93" i="65" s="1"/>
  <c r="AC74" i="65"/>
  <c r="AD75" i="65"/>
  <c r="AT75" i="65"/>
  <c r="AV76" i="65"/>
  <c r="AQ76" i="65"/>
  <c r="AH76" i="65"/>
  <c r="R77" i="65"/>
  <c r="R83" i="65" s="1"/>
  <c r="AC85" i="65"/>
  <c r="AR85" i="65"/>
  <c r="AH85" i="65"/>
  <c r="S95" i="65"/>
  <c r="AW85" i="65"/>
  <c r="AJ86" i="65"/>
  <c r="AY86" i="65"/>
  <c r="AO86" i="65"/>
  <c r="AE86" i="65"/>
  <c r="AB89" i="65"/>
  <c r="AQ89" i="65"/>
  <c r="AG89" i="65"/>
  <c r="AV89" i="65"/>
  <c r="AR90" i="65"/>
  <c r="AH90" i="65"/>
  <c r="AW90" i="65"/>
  <c r="AM90" i="65"/>
  <c r="U92" i="65"/>
  <c r="AQ93" i="65"/>
  <c r="AE75" i="65"/>
  <c r="T77" i="65"/>
  <c r="AC77" i="65"/>
  <c r="AB80" i="65"/>
  <c r="AQ80" i="65"/>
  <c r="AG80" i="65"/>
  <c r="AV80" i="65"/>
  <c r="AI82" i="65"/>
  <c r="AX82" i="65"/>
  <c r="AN82" i="65"/>
  <c r="AS82" i="65"/>
  <c r="AS85" i="65"/>
  <c r="AI85" i="65"/>
  <c r="AN85" i="65"/>
  <c r="V87" i="65"/>
  <c r="AC89" i="65"/>
  <c r="AR89" i="65"/>
  <c r="AH89" i="65"/>
  <c r="AW89" i="65"/>
  <c r="AN80" i="65"/>
  <c r="AM82" i="65"/>
  <c r="L82" i="65"/>
  <c r="AV82" i="65"/>
  <c r="Q89" i="65"/>
  <c r="AO89" i="65"/>
  <c r="R85" i="65"/>
  <c r="AI80" i="65"/>
  <c r="AH82" i="65"/>
  <c r="AQ82" i="65"/>
  <c r="L85" i="65"/>
  <c r="L86" i="65"/>
  <c r="L90" i="65"/>
  <c r="U83" i="65" l="1"/>
  <c r="AC82" i="65"/>
  <c r="AC28" i="65"/>
  <c r="U95" i="65"/>
  <c r="AC29" i="65"/>
  <c r="AX85" i="65"/>
  <c r="AY82" i="65"/>
  <c r="AZ82" i="65" s="1"/>
  <c r="AH22" i="65"/>
  <c r="AG28" i="65"/>
  <c r="AG29" i="65" s="1"/>
  <c r="AT82" i="65"/>
  <c r="AU82" i="65" s="1"/>
  <c r="T95" i="65"/>
  <c r="AJ82" i="65"/>
  <c r="V82" i="65"/>
  <c r="U96" i="65"/>
  <c r="AW28" i="65"/>
  <c r="AP75" i="65"/>
  <c r="AD20" i="65"/>
  <c r="AI20" i="65"/>
  <c r="AZ47" i="65"/>
  <c r="AC23" i="65"/>
  <c r="AI43" i="65"/>
  <c r="AZ80" i="65"/>
  <c r="AF89" i="65"/>
  <c r="AZ75" i="65"/>
  <c r="AE20" i="65"/>
  <c r="AU41" i="65"/>
  <c r="AF21" i="65"/>
  <c r="AF82" i="65"/>
  <c r="AF76" i="65"/>
  <c r="AH43" i="65"/>
  <c r="AF87" i="65"/>
  <c r="AZ89" i="65"/>
  <c r="AF27" i="65"/>
  <c r="AU21" i="65"/>
  <c r="AU18" i="65"/>
  <c r="AP82" i="65"/>
  <c r="AU47" i="65"/>
  <c r="AD43" i="65"/>
  <c r="AZ18" i="65"/>
  <c r="AB29" i="65"/>
  <c r="AZ21" i="65"/>
  <c r="AZ27" i="65"/>
  <c r="AF73" i="65"/>
  <c r="AF80" i="65"/>
  <c r="AP89" i="65"/>
  <c r="AG43" i="65"/>
  <c r="AU76" i="65"/>
  <c r="AP76" i="65"/>
  <c r="AP81" i="65"/>
  <c r="AZ24" i="65"/>
  <c r="AZ76" i="65"/>
  <c r="AP80" i="65"/>
  <c r="AF81" i="65"/>
  <c r="AU80" i="65"/>
  <c r="AU81" i="65"/>
  <c r="BE16" i="65"/>
  <c r="BE17" i="65" s="1"/>
  <c r="BB16" i="65"/>
  <c r="BB17" i="65" s="1"/>
  <c r="V17" i="65"/>
  <c r="BD16" i="65"/>
  <c r="BD17" i="65" s="1"/>
  <c r="BC16" i="65"/>
  <c r="BC17" i="65" s="1"/>
  <c r="BA16" i="65"/>
  <c r="BA17" i="65" s="1"/>
  <c r="AK16" i="65"/>
  <c r="AK17" i="65" s="1"/>
  <c r="BE39" i="65"/>
  <c r="BE40" i="65" s="1"/>
  <c r="V40" i="65"/>
  <c r="BD39" i="65"/>
  <c r="BD40" i="65" s="1"/>
  <c r="BC39" i="65"/>
  <c r="BC40" i="65" s="1"/>
  <c r="BB39" i="65"/>
  <c r="BB40" i="65" s="1"/>
  <c r="BA39" i="65"/>
  <c r="BA40" i="65" s="1"/>
  <c r="AK39" i="65"/>
  <c r="AK40" i="65" s="1"/>
  <c r="BB48" i="65"/>
  <c r="BB49" i="65" s="1"/>
  <c r="BA48" i="65"/>
  <c r="BA49" i="65" s="1"/>
  <c r="AK48" i="65"/>
  <c r="AK49" i="65" s="1"/>
  <c r="BE48" i="65"/>
  <c r="BE49" i="65" s="1"/>
  <c r="BD48" i="65"/>
  <c r="BD49" i="65" s="1"/>
  <c r="BC48" i="65"/>
  <c r="BC49" i="65" s="1"/>
  <c r="V49" i="65"/>
  <c r="AK53" i="65"/>
  <c r="AJ53" i="65"/>
  <c r="X54" i="65"/>
  <c r="AG54" i="65" s="1"/>
  <c r="AI53" i="65"/>
  <c r="AH53" i="65"/>
  <c r="AG53" i="65"/>
  <c r="AJ45" i="65"/>
  <c r="AJ46" i="65" s="1"/>
  <c r="AO45" i="65"/>
  <c r="AO46" i="65" s="1"/>
  <c r="AT45" i="65"/>
  <c r="AE45" i="65"/>
  <c r="AE46" i="65" s="1"/>
  <c r="AY45" i="65"/>
  <c r="U46" i="65"/>
  <c r="V43" i="65"/>
  <c r="BD42" i="65"/>
  <c r="BD43" i="65" s="1"/>
  <c r="BE42" i="65"/>
  <c r="BE43" i="65" s="1"/>
  <c r="BC42" i="65"/>
  <c r="BC43" i="65" s="1"/>
  <c r="BB42" i="65"/>
  <c r="BB43" i="65" s="1"/>
  <c r="BA42" i="65"/>
  <c r="BA43" i="65" s="1"/>
  <c r="AK42" i="65"/>
  <c r="AK43" i="65" s="1"/>
  <c r="AO60" i="65"/>
  <c r="AO61" i="65" s="1"/>
  <c r="U61" i="65"/>
  <c r="AU89" i="65"/>
  <c r="BA80" i="65"/>
  <c r="AK80" i="65"/>
  <c r="BE80" i="65"/>
  <c r="BD80" i="65"/>
  <c r="BC80" i="65"/>
  <c r="BB80" i="65"/>
  <c r="AN79" i="65"/>
  <c r="AS79" i="65"/>
  <c r="AX79" i="65"/>
  <c r="AD79" i="65"/>
  <c r="AI79" i="65"/>
  <c r="AH51" i="65"/>
  <c r="AH52" i="65" s="1"/>
  <c r="AW51" i="65"/>
  <c r="S52" i="65"/>
  <c r="AC51" i="65"/>
  <c r="AC52" i="65" s="1"/>
  <c r="AR51" i="65"/>
  <c r="AM51" i="65"/>
  <c r="AM52" i="65" s="1"/>
  <c r="AL54" i="65"/>
  <c r="V54" i="65"/>
  <c r="R55" i="65"/>
  <c r="AX53" i="65"/>
  <c r="AW53" i="65"/>
  <c r="AV53" i="65"/>
  <c r="AY53" i="65"/>
  <c r="AA54" i="65"/>
  <c r="AX54" i="65" s="1"/>
  <c r="S69" i="65"/>
  <c r="AM68" i="65"/>
  <c r="AM69" i="65" s="1"/>
  <c r="AB48" i="65"/>
  <c r="AB49" i="65" s="1"/>
  <c r="BD76" i="65"/>
  <c r="BB76" i="65"/>
  <c r="BA76" i="65"/>
  <c r="BE76" i="65"/>
  <c r="BC76" i="65"/>
  <c r="AK76" i="65"/>
  <c r="AL34" i="65"/>
  <c r="V34" i="65"/>
  <c r="AQ34" i="65"/>
  <c r="AG34" i="65"/>
  <c r="AG35" i="65" s="1"/>
  <c r="R35" i="65"/>
  <c r="AV34" i="65"/>
  <c r="AB34" i="65"/>
  <c r="S35" i="65"/>
  <c r="AC34" i="65"/>
  <c r="AC35" i="65" s="1"/>
  <c r="AH34" i="65"/>
  <c r="AH35" i="65" s="1"/>
  <c r="AW34" i="65"/>
  <c r="AM34" i="65"/>
  <c r="AM35" i="65" s="1"/>
  <c r="AR34" i="65"/>
  <c r="AL17" i="65"/>
  <c r="AI77" i="65"/>
  <c r="AD77" i="65"/>
  <c r="AN77" i="65"/>
  <c r="AX77" i="65"/>
  <c r="AS77" i="65"/>
  <c r="AQ48" i="65"/>
  <c r="AG48" i="65"/>
  <c r="AG49" i="65" s="1"/>
  <c r="R20" i="65"/>
  <c r="AB19" i="65"/>
  <c r="AQ19" i="65"/>
  <c r="AL19" i="65"/>
  <c r="AG19" i="65"/>
  <c r="AG20" i="65" s="1"/>
  <c r="V19" i="65"/>
  <c r="AV19" i="65"/>
  <c r="AF24" i="65"/>
  <c r="AO92" i="65"/>
  <c r="AE92" i="65"/>
  <c r="AT92" i="65"/>
  <c r="AJ92" i="65"/>
  <c r="AQ91" i="65"/>
  <c r="AU91" i="65" s="1"/>
  <c r="AG91" i="65"/>
  <c r="AV91" i="65"/>
  <c r="AZ91" i="65" s="1"/>
  <c r="AL91" i="65"/>
  <c r="AP91" i="65" s="1"/>
  <c r="V91" i="65"/>
  <c r="AB91" i="65"/>
  <c r="AF91" i="65" s="1"/>
  <c r="AB86" i="65"/>
  <c r="AF86" i="65" s="1"/>
  <c r="AQ86" i="65"/>
  <c r="AU86" i="65" s="1"/>
  <c r="AG86" i="65"/>
  <c r="AV86" i="65"/>
  <c r="AZ86" i="65" s="1"/>
  <c r="V86" i="65"/>
  <c r="AL86" i="65"/>
  <c r="AP86" i="65" s="1"/>
  <c r="AO79" i="65"/>
  <c r="AJ79" i="65"/>
  <c r="AE79" i="65"/>
  <c r="AT79" i="65"/>
  <c r="AY79" i="65"/>
  <c r="AZ81" i="65"/>
  <c r="AO51" i="65"/>
  <c r="AO52" i="65" s="1"/>
  <c r="AJ51" i="65"/>
  <c r="AJ52" i="65" s="1"/>
  <c r="U52" i="65"/>
  <c r="AY51" i="65"/>
  <c r="AE51" i="65"/>
  <c r="AE52" i="65" s="1"/>
  <c r="AT51" i="65"/>
  <c r="AL68" i="65"/>
  <c r="V68" i="65"/>
  <c r="R69" i="65"/>
  <c r="AL29" i="65"/>
  <c r="AN16" i="65"/>
  <c r="AN17" i="65" s="1"/>
  <c r="T17" i="65"/>
  <c r="AD16" i="65"/>
  <c r="AD17" i="65" s="1"/>
  <c r="AI16" i="65"/>
  <c r="AI17" i="65" s="1"/>
  <c r="AS16" i="65"/>
  <c r="AX16" i="65"/>
  <c r="AH23" i="65"/>
  <c r="AN54" i="65"/>
  <c r="AN55" i="65" s="1"/>
  <c r="T55" i="65"/>
  <c r="BE81" i="65"/>
  <c r="BD81" i="65"/>
  <c r="BC81" i="65"/>
  <c r="BA81" i="65"/>
  <c r="AK81" i="65"/>
  <c r="BB81" i="65"/>
  <c r="AT48" i="65"/>
  <c r="AJ48" i="65"/>
  <c r="AJ49" i="65" s="1"/>
  <c r="AO48" i="65"/>
  <c r="AO49" i="65" s="1"/>
  <c r="U49" i="65"/>
  <c r="AE48" i="65"/>
  <c r="AE49" i="65" s="1"/>
  <c r="AY48" i="65"/>
  <c r="AR25" i="65"/>
  <c r="AW25" i="65"/>
  <c r="AC25" i="65"/>
  <c r="AC26" i="65" s="1"/>
  <c r="AM25" i="65"/>
  <c r="AM26" i="65" s="1"/>
  <c r="AH25" i="65"/>
  <c r="AH26" i="65" s="1"/>
  <c r="S26" i="65"/>
  <c r="AL65" i="65"/>
  <c r="V65" i="65"/>
  <c r="R66" i="65"/>
  <c r="AF74" i="65"/>
  <c r="BA89" i="65"/>
  <c r="AK89" i="65"/>
  <c r="BE89" i="65"/>
  <c r="BD89" i="65"/>
  <c r="BB89" i="65"/>
  <c r="BC89" i="65"/>
  <c r="AU75" i="65"/>
  <c r="AH78" i="65"/>
  <c r="AW78" i="65"/>
  <c r="AR78" i="65"/>
  <c r="AC78" i="65"/>
  <c r="AM78" i="65"/>
  <c r="AN60" i="65"/>
  <c r="AN61" i="65" s="1"/>
  <c r="T61" i="65"/>
  <c r="AZ41" i="65"/>
  <c r="AG51" i="65"/>
  <c r="AG52" i="65" s="1"/>
  <c r="AV51" i="65"/>
  <c r="AL51" i="65"/>
  <c r="V51" i="65"/>
  <c r="R52" i="65"/>
  <c r="AB51" i="65"/>
  <c r="AQ51" i="65"/>
  <c r="T69" i="65"/>
  <c r="T70" i="65" s="1"/>
  <c r="AN68" i="65"/>
  <c r="AN69" i="65" s="1"/>
  <c r="AB32" i="65"/>
  <c r="AH31" i="65"/>
  <c r="AH32" i="65" s="1"/>
  <c r="AC31" i="65"/>
  <c r="AC32" i="65" s="1"/>
  <c r="AR31" i="65"/>
  <c r="AM31" i="65"/>
  <c r="AM32" i="65" s="1"/>
  <c r="AW31" i="65"/>
  <c r="S32" i="65"/>
  <c r="AN28" i="65"/>
  <c r="AN29" i="65" s="1"/>
  <c r="AI28" i="65"/>
  <c r="AI29" i="65" s="1"/>
  <c r="AS28" i="65"/>
  <c r="AU28" i="65" s="1"/>
  <c r="AD28" i="65"/>
  <c r="AD29" i="65" s="1"/>
  <c r="T29" i="65"/>
  <c r="AX28" i="65"/>
  <c r="AZ28" i="65" s="1"/>
  <c r="AF41" i="65"/>
  <c r="AB43" i="65"/>
  <c r="U13" i="65"/>
  <c r="M12" i="4" s="1"/>
  <c r="R13" i="65"/>
  <c r="T13" i="65"/>
  <c r="S13" i="65"/>
  <c r="K12" i="4" s="1"/>
  <c r="AO16" i="65"/>
  <c r="AO17" i="65" s="1"/>
  <c r="AT16" i="65"/>
  <c r="U17" i="65"/>
  <c r="AE16" i="65"/>
  <c r="AE17" i="65" s="1"/>
  <c r="AY16" i="65"/>
  <c r="AJ16" i="65"/>
  <c r="AJ17" i="65" s="1"/>
  <c r="AL22" i="65"/>
  <c r="V22" i="65"/>
  <c r="R23" i="65"/>
  <c r="AB22" i="65"/>
  <c r="AQ22" i="65"/>
  <c r="AV22" i="65"/>
  <c r="AG22" i="65"/>
  <c r="AG23" i="65" s="1"/>
  <c r="AG79" i="65"/>
  <c r="AV79" i="65"/>
  <c r="AB79" i="65"/>
  <c r="V79" i="65"/>
  <c r="AQ79" i="65"/>
  <c r="AL79" i="65"/>
  <c r="AU24" i="65"/>
  <c r="S96" i="65"/>
  <c r="AM65" i="65"/>
  <c r="AM66" i="65" s="1"/>
  <c r="S66" i="65"/>
  <c r="AX51" i="65"/>
  <c r="AN51" i="65"/>
  <c r="AN52" i="65" s="1"/>
  <c r="AS51" i="65"/>
  <c r="AI51" i="65"/>
  <c r="AI52" i="65" s="1"/>
  <c r="T52" i="65"/>
  <c r="AD51" i="65"/>
  <c r="AD52" i="65" s="1"/>
  <c r="U25" i="65"/>
  <c r="T25" i="65"/>
  <c r="R25" i="65"/>
  <c r="AB85" i="65"/>
  <c r="AQ85" i="65"/>
  <c r="AU85" i="65" s="1"/>
  <c r="AG85" i="65"/>
  <c r="R95" i="65"/>
  <c r="R96" i="65" s="1"/>
  <c r="AV85" i="65"/>
  <c r="AZ85" i="65" s="1"/>
  <c r="V85" i="65"/>
  <c r="AL85" i="65"/>
  <c r="AP85" i="65" s="1"/>
  <c r="AQ77" i="65"/>
  <c r="AL77" i="65"/>
  <c r="V77" i="65"/>
  <c r="AB77" i="65"/>
  <c r="AG77" i="65"/>
  <c r="AV77" i="65"/>
  <c r="AF93" i="65"/>
  <c r="AR93" i="65"/>
  <c r="AU93" i="65" s="1"/>
  <c r="AF75" i="65"/>
  <c r="AL88" i="65"/>
  <c r="V88" i="65"/>
  <c r="AB88" i="65"/>
  <c r="AQ88" i="65"/>
  <c r="AG88" i="65"/>
  <c r="AV88" i="65"/>
  <c r="AD78" i="65"/>
  <c r="AX78" i="65"/>
  <c r="AN78" i="65"/>
  <c r="AS78" i="65"/>
  <c r="AI78" i="65"/>
  <c r="AN92" i="65"/>
  <c r="AD92" i="65"/>
  <c r="AS92" i="65"/>
  <c r="AI92" i="65"/>
  <c r="R58" i="65"/>
  <c r="AL57" i="65"/>
  <c r="V57" i="65"/>
  <c r="T83" i="65"/>
  <c r="T96" i="65" s="1"/>
  <c r="AC53" i="65"/>
  <c r="AB53" i="65"/>
  <c r="AD53" i="65"/>
  <c r="W54" i="65"/>
  <c r="AD54" i="65" s="1"/>
  <c r="AE53" i="65"/>
  <c r="AO42" i="65"/>
  <c r="AO43" i="65" s="1"/>
  <c r="AE42" i="65"/>
  <c r="AF42" i="65" s="1"/>
  <c r="U43" i="65"/>
  <c r="AT42" i="65"/>
  <c r="AU42" i="65" s="1"/>
  <c r="AJ42" i="65"/>
  <c r="AJ43" i="65" s="1"/>
  <c r="AY42" i="65"/>
  <c r="AZ42" i="65" s="1"/>
  <c r="R46" i="65"/>
  <c r="AB45" i="65"/>
  <c r="AG45" i="65"/>
  <c r="AG46" i="65" s="1"/>
  <c r="V45" i="65"/>
  <c r="AQ45" i="65"/>
  <c r="AL45" i="65"/>
  <c r="AV45" i="65"/>
  <c r="AI31" i="65"/>
  <c r="AI32" i="65" s="1"/>
  <c r="AX31" i="65"/>
  <c r="AN31" i="65"/>
  <c r="AN32" i="65" s="1"/>
  <c r="T32" i="65"/>
  <c r="AD31" i="65"/>
  <c r="AD32" i="65" s="1"/>
  <c r="AS31" i="65"/>
  <c r="AO68" i="65"/>
  <c r="AO69" i="65" s="1"/>
  <c r="U69" i="65"/>
  <c r="U70" i="65" s="1"/>
  <c r="AU27" i="65"/>
  <c r="AL49" i="65"/>
  <c r="V29" i="65"/>
  <c r="BD28" i="65"/>
  <c r="BD29" i="65" s="1"/>
  <c r="BC28" i="65"/>
  <c r="BC29" i="65" s="1"/>
  <c r="BE28" i="65"/>
  <c r="BE29" i="65" s="1"/>
  <c r="BB28" i="65"/>
  <c r="BB29" i="65" s="1"/>
  <c r="AK28" i="65"/>
  <c r="AK29" i="65" s="1"/>
  <c r="BA28" i="65"/>
  <c r="BA29" i="65" s="1"/>
  <c r="T35" i="65"/>
  <c r="AD34" i="65"/>
  <c r="AD35" i="65" s="1"/>
  <c r="AS34" i="65"/>
  <c r="AI34" i="65"/>
  <c r="AI35" i="65" s="1"/>
  <c r="AX34" i="65"/>
  <c r="AN34" i="65"/>
  <c r="AN35" i="65" s="1"/>
  <c r="AH29" i="65"/>
  <c r="AC43" i="65"/>
  <c r="AW16" i="65"/>
  <c r="AM16" i="65"/>
  <c r="AM17" i="65" s="1"/>
  <c r="S17" i="65"/>
  <c r="AC16" i="65"/>
  <c r="AC17" i="65" s="1"/>
  <c r="AR16" i="65"/>
  <c r="AH16" i="65"/>
  <c r="AH17" i="65" s="1"/>
  <c r="T23" i="65"/>
  <c r="AD22" i="65"/>
  <c r="AD23" i="65" s="1"/>
  <c r="AS22" i="65"/>
  <c r="AI22" i="65"/>
  <c r="AI23" i="65" s="1"/>
  <c r="AX22" i="65"/>
  <c r="AN22" i="65"/>
  <c r="AN23" i="65" s="1"/>
  <c r="AW79" i="65"/>
  <c r="AC79" i="65"/>
  <c r="AR79" i="65"/>
  <c r="AH79" i="65"/>
  <c r="AM79" i="65"/>
  <c r="AO54" i="65"/>
  <c r="AO55" i="65" s="1"/>
  <c r="AJ54" i="65"/>
  <c r="U55" i="65"/>
  <c r="AL43" i="65"/>
  <c r="BE93" i="65"/>
  <c r="BD93" i="65"/>
  <c r="BC93" i="65"/>
  <c r="BB93" i="65"/>
  <c r="BA93" i="65"/>
  <c r="AK93" i="65"/>
  <c r="AP93" i="65"/>
  <c r="BC75" i="65"/>
  <c r="BB75" i="65"/>
  <c r="BA75" i="65"/>
  <c r="AK75" i="65"/>
  <c r="BE75" i="65"/>
  <c r="BD75" i="65"/>
  <c r="AC88" i="65"/>
  <c r="AC95" i="65" s="1"/>
  <c r="AR88" i="65"/>
  <c r="AH88" i="65"/>
  <c r="AW88" i="65"/>
  <c r="AM88" i="65"/>
  <c r="AT78" i="65"/>
  <c r="AO78" i="65"/>
  <c r="AE78" i="65"/>
  <c r="AY78" i="65"/>
  <c r="AJ78" i="65"/>
  <c r="T58" i="65"/>
  <c r="AN57" i="65"/>
  <c r="AN58" i="65" s="1"/>
  <c r="AL60" i="65"/>
  <c r="V60" i="65"/>
  <c r="R61" i="65"/>
  <c r="AO39" i="65"/>
  <c r="AO40" i="65" s="1"/>
  <c r="U40" i="65"/>
  <c r="AE39" i="65"/>
  <c r="AE40" i="65" s="1"/>
  <c r="AF40" i="65" s="1"/>
  <c r="AT39" i="65"/>
  <c r="AU39" i="65" s="1"/>
  <c r="AJ39" i="65"/>
  <c r="AJ40" i="65" s="1"/>
  <c r="AY39" i="65"/>
  <c r="AZ39" i="65" s="1"/>
  <c r="S46" i="65"/>
  <c r="AC45" i="65"/>
  <c r="AC46" i="65" s="1"/>
  <c r="AR45" i="65"/>
  <c r="AW45" i="65"/>
  <c r="AH45" i="65"/>
  <c r="AH46" i="65" s="1"/>
  <c r="AM45" i="65"/>
  <c r="AM46" i="65" s="1"/>
  <c r="AR19" i="65"/>
  <c r="AH19" i="65"/>
  <c r="AH20" i="65" s="1"/>
  <c r="AW19" i="65"/>
  <c r="AM19" i="65"/>
  <c r="AM20" i="65" s="1"/>
  <c r="S20" i="65"/>
  <c r="AC19" i="65"/>
  <c r="AC20" i="65" s="1"/>
  <c r="S49" i="65"/>
  <c r="AC48" i="65"/>
  <c r="AC49" i="65" s="1"/>
  <c r="AR48" i="65"/>
  <c r="AW48" i="65"/>
  <c r="AM48" i="65"/>
  <c r="AM49" i="65" s="1"/>
  <c r="AH48" i="65"/>
  <c r="AH49" i="65" s="1"/>
  <c r="V31" i="65"/>
  <c r="AL40" i="65"/>
  <c r="AV48" i="65"/>
  <c r="AT22" i="65"/>
  <c r="AJ22" i="65"/>
  <c r="AJ23" i="65" s="1"/>
  <c r="AY22" i="65"/>
  <c r="AO22" i="65"/>
  <c r="AO23" i="65" s="1"/>
  <c r="U23" i="65"/>
  <c r="AE22" i="65"/>
  <c r="AE23" i="65" s="1"/>
  <c r="AT88" i="65"/>
  <c r="AJ88" i="65"/>
  <c r="AY88" i="65"/>
  <c r="AO88" i="65"/>
  <c r="AE88" i="65"/>
  <c r="Z54" i="65"/>
  <c r="AQ54" i="65" s="1"/>
  <c r="AS53" i="65"/>
  <c r="AT53" i="65"/>
  <c r="AR53" i="65"/>
  <c r="AQ53" i="65"/>
  <c r="AB17" i="65"/>
  <c r="AB90" i="65"/>
  <c r="AF90" i="65" s="1"/>
  <c r="AQ90" i="65"/>
  <c r="AU90" i="65" s="1"/>
  <c r="AG90" i="65"/>
  <c r="AV90" i="65"/>
  <c r="AZ90" i="65" s="1"/>
  <c r="AL90" i="65"/>
  <c r="AP90" i="65" s="1"/>
  <c r="V90" i="65"/>
  <c r="AD88" i="65"/>
  <c r="AS88" i="65"/>
  <c r="AI88" i="65"/>
  <c r="AX88" i="65"/>
  <c r="AN88" i="65"/>
  <c r="AL78" i="65"/>
  <c r="V78" i="65"/>
  <c r="V83" i="65" s="1"/>
  <c r="AG78" i="65"/>
  <c r="AQ78" i="65"/>
  <c r="AB78" i="65"/>
  <c r="AV78" i="65"/>
  <c r="V92" i="65"/>
  <c r="U58" i="65"/>
  <c r="AO57" i="65"/>
  <c r="AO58" i="65" s="1"/>
  <c r="S61" i="65"/>
  <c r="AM60" i="65"/>
  <c r="AM61" i="65" s="1"/>
  <c r="AF47" i="65"/>
  <c r="AS45" i="65"/>
  <c r="AD45" i="65"/>
  <c r="AD46" i="65" s="1"/>
  <c r="AN45" i="65"/>
  <c r="AN46" i="65" s="1"/>
  <c r="AI45" i="65"/>
  <c r="AI46" i="65" s="1"/>
  <c r="T46" i="65"/>
  <c r="AX45" i="65"/>
  <c r="T49" i="65"/>
  <c r="AD48" i="65"/>
  <c r="AD49" i="65" s="1"/>
  <c r="AS48" i="65"/>
  <c r="AN48" i="65"/>
  <c r="AN49" i="65" s="1"/>
  <c r="AI48" i="65"/>
  <c r="AI49" i="65" s="1"/>
  <c r="AX48" i="65"/>
  <c r="AL32" i="65"/>
  <c r="AF18" i="65"/>
  <c r="L12" i="4" l="1"/>
  <c r="T62" i="65"/>
  <c r="J12" i="4"/>
  <c r="AK82" i="65"/>
  <c r="BB82" i="65"/>
  <c r="BE82" i="65"/>
  <c r="BD82" i="65"/>
  <c r="BC82" i="65"/>
  <c r="BA82" i="65"/>
  <c r="R62" i="65"/>
  <c r="S62" i="65"/>
  <c r="AY54" i="65"/>
  <c r="AD83" i="65"/>
  <c r="AT83" i="65"/>
  <c r="AT96" i="65" s="1"/>
  <c r="AT97" i="65" s="1"/>
  <c r="AA108" i="65" s="1"/>
  <c r="G24" i="47" s="1"/>
  <c r="AZ16" i="65"/>
  <c r="AU31" i="65"/>
  <c r="AE95" i="65"/>
  <c r="AR83" i="65"/>
  <c r="AR96" i="65" s="1"/>
  <c r="AR97" i="65" s="1"/>
  <c r="Y108" i="65" s="1"/>
  <c r="E24" i="47" s="1"/>
  <c r="AU19" i="65"/>
  <c r="AD95" i="65"/>
  <c r="AF39" i="65"/>
  <c r="AZ31" i="65"/>
  <c r="AU51" i="65"/>
  <c r="AF16" i="65"/>
  <c r="AF17" i="65" s="1"/>
  <c r="AP42" i="65"/>
  <c r="AP43" i="65" s="1"/>
  <c r="AU92" i="65"/>
  <c r="AZ53" i="65"/>
  <c r="AZ48" i="65"/>
  <c r="AP92" i="65"/>
  <c r="AS83" i="65"/>
  <c r="AS96" i="65" s="1"/>
  <c r="AS97" i="65" s="1"/>
  <c r="Z108" i="65" s="1"/>
  <c r="F24" i="47" s="1"/>
  <c r="AP78" i="65"/>
  <c r="AE83" i="65"/>
  <c r="AU16" i="65"/>
  <c r="AF88" i="65"/>
  <c r="AF77" i="65"/>
  <c r="AC83" i="65"/>
  <c r="AC96" i="65" s="1"/>
  <c r="AE43" i="65"/>
  <c r="AF31" i="65"/>
  <c r="AL58" i="65"/>
  <c r="AP57" i="65"/>
  <c r="AP58" i="65" s="1"/>
  <c r="AD55" i="65"/>
  <c r="AU34" i="65"/>
  <c r="AZ78" i="65"/>
  <c r="AP39" i="65"/>
  <c r="AP40" i="65" s="1"/>
  <c r="V61" i="65"/>
  <c r="BC60" i="65"/>
  <c r="BC61" i="65" s="1"/>
  <c r="AZ45" i="65"/>
  <c r="AF53" i="65"/>
  <c r="AP88" i="65"/>
  <c r="BC77" i="65"/>
  <c r="BB77" i="65"/>
  <c r="BD77" i="65"/>
  <c r="BA77" i="65"/>
  <c r="AK77" i="65"/>
  <c r="BE77" i="65"/>
  <c r="AZ79" i="65"/>
  <c r="BB22" i="65"/>
  <c r="BB23" i="65" s="1"/>
  <c r="BA22" i="65"/>
  <c r="BA23" i="65" s="1"/>
  <c r="AK22" i="65"/>
  <c r="AK23" i="65" s="1"/>
  <c r="V23" i="65"/>
  <c r="BD22" i="65"/>
  <c r="BD23" i="65" s="1"/>
  <c r="BE22" i="65"/>
  <c r="BE23" i="65" s="1"/>
  <c r="BC22" i="65"/>
  <c r="BC23" i="65" s="1"/>
  <c r="S14" i="65"/>
  <c r="AC13" i="65"/>
  <c r="AC14" i="65" s="1"/>
  <c r="AR13" i="65"/>
  <c r="AH13" i="65"/>
  <c r="AH14" i="65" s="1"/>
  <c r="AM13" i="65"/>
  <c r="AM14" i="65" s="1"/>
  <c r="AM71" i="65" s="1"/>
  <c r="AM97" i="65" s="1"/>
  <c r="Y107" i="65" s="1"/>
  <c r="E23" i="47" s="1"/>
  <c r="AW13" i="65"/>
  <c r="BE51" i="65"/>
  <c r="BE52" i="65" s="1"/>
  <c r="V52" i="65"/>
  <c r="BD51" i="65"/>
  <c r="BD52" i="65" s="1"/>
  <c r="BA51" i="65"/>
  <c r="BA52" i="65" s="1"/>
  <c r="AK51" i="65"/>
  <c r="AK52" i="65" s="1"/>
  <c r="BB51" i="65"/>
  <c r="BB52" i="65" s="1"/>
  <c r="BC51" i="65"/>
  <c r="BC52" i="65" s="1"/>
  <c r="V66" i="65"/>
  <c r="BC65" i="65"/>
  <c r="BC66" i="65" s="1"/>
  <c r="AP28" i="65"/>
  <c r="AP29" i="65" s="1"/>
  <c r="R70" i="65"/>
  <c r="BB34" i="65"/>
  <c r="BB35" i="65" s="1"/>
  <c r="BA34" i="65"/>
  <c r="BA35" i="65" s="1"/>
  <c r="AK34" i="65"/>
  <c r="AK35" i="65" s="1"/>
  <c r="BE34" i="65"/>
  <c r="BE35" i="65" s="1"/>
  <c r="BD34" i="65"/>
  <c r="BD35" i="65" s="1"/>
  <c r="BC34" i="65"/>
  <c r="BC35" i="65" s="1"/>
  <c r="V35" i="65"/>
  <c r="S70" i="65"/>
  <c r="AB54" i="65"/>
  <c r="AB55" i="65" s="1"/>
  <c r="AG55" i="65"/>
  <c r="AF22" i="65"/>
  <c r="AF23" i="65" s="1"/>
  <c r="AB23" i="65"/>
  <c r="BE91" i="65"/>
  <c r="BD91" i="65"/>
  <c r="BC91" i="65"/>
  <c r="BB91" i="65"/>
  <c r="BA91" i="65"/>
  <c r="AK91" i="65"/>
  <c r="AF19" i="65"/>
  <c r="AF20" i="65" s="1"/>
  <c r="AB20" i="65"/>
  <c r="AF78" i="65"/>
  <c r="Z55" i="65"/>
  <c r="Z56" i="65" s="1"/>
  <c r="Z57" i="65" s="1"/>
  <c r="BD57" i="65" s="1"/>
  <c r="BD58" i="65" s="1"/>
  <c r="AR54" i="65"/>
  <c r="V32" i="65"/>
  <c r="BD31" i="65"/>
  <c r="BD32" i="65" s="1"/>
  <c r="BB31" i="65"/>
  <c r="BB32" i="65" s="1"/>
  <c r="BE31" i="65"/>
  <c r="BE32" i="65" s="1"/>
  <c r="BC31" i="65"/>
  <c r="BC32" i="65" s="1"/>
  <c r="BA31" i="65"/>
  <c r="BA32" i="65" s="1"/>
  <c r="AK31" i="65"/>
  <c r="AK32" i="65" s="1"/>
  <c r="AL61" i="65"/>
  <c r="AP60" i="65"/>
  <c r="AP61" i="65" s="1"/>
  <c r="AL46" i="65"/>
  <c r="AP45" i="65"/>
  <c r="AP46" i="65" s="1"/>
  <c r="AP77" i="65"/>
  <c r="AB95" i="65"/>
  <c r="AF85" i="65"/>
  <c r="AP22" i="65"/>
  <c r="AP23" i="65" s="1"/>
  <c r="AL23" i="65"/>
  <c r="AS13" i="65"/>
  <c r="AI13" i="65"/>
  <c r="AI14" i="65" s="1"/>
  <c r="AX13" i="65"/>
  <c r="AN13" i="65"/>
  <c r="AN14" i="65" s="1"/>
  <c r="AD13" i="65"/>
  <c r="AD14" i="65" s="1"/>
  <c r="T14" i="65"/>
  <c r="AP51" i="65"/>
  <c r="AP52" i="65" s="1"/>
  <c r="AL52" i="65"/>
  <c r="AL66" i="65"/>
  <c r="AP65" i="65"/>
  <c r="AP66" i="65" s="1"/>
  <c r="BC68" i="65"/>
  <c r="BC69" i="65" s="1"/>
  <c r="V69" i="65"/>
  <c r="V70" i="65" s="1"/>
  <c r="BE86" i="65"/>
  <c r="BD86" i="65"/>
  <c r="BC86" i="65"/>
  <c r="AK86" i="65"/>
  <c r="BB86" i="65"/>
  <c r="BA86" i="65"/>
  <c r="AP34" i="65"/>
  <c r="AP35" i="65" s="1"/>
  <c r="AL35" i="65"/>
  <c r="AA55" i="65"/>
  <c r="AA56" i="65" s="1"/>
  <c r="AA57" i="65" s="1"/>
  <c r="BE57" i="65" s="1"/>
  <c r="BE58" i="65" s="1"/>
  <c r="AW54" i="65"/>
  <c r="AF51" i="65"/>
  <c r="AB52" i="65"/>
  <c r="AF52" i="65" s="1"/>
  <c r="BB88" i="65"/>
  <c r="BA88" i="65"/>
  <c r="AK88" i="65"/>
  <c r="BE88" i="65"/>
  <c r="BD88" i="65"/>
  <c r="BC88" i="65"/>
  <c r="AU78" i="65"/>
  <c r="U62" i="65"/>
  <c r="AP48" i="65"/>
  <c r="AP49" i="65" s="1"/>
  <c r="AU45" i="65"/>
  <c r="AB83" i="65"/>
  <c r="AU77" i="65"/>
  <c r="AV25" i="65"/>
  <c r="R26" i="65"/>
  <c r="AL25" i="65"/>
  <c r="AB25" i="65"/>
  <c r="AQ25" i="65"/>
  <c r="AG25" i="65"/>
  <c r="AG26" i="65" s="1"/>
  <c r="V25" i="65"/>
  <c r="R14" i="65"/>
  <c r="AB13" i="65"/>
  <c r="AQ13" i="65"/>
  <c r="AG13" i="65"/>
  <c r="AG14" i="65" s="1"/>
  <c r="AV13" i="65"/>
  <c r="V13" i="65"/>
  <c r="AL13" i="65"/>
  <c r="AZ51" i="65"/>
  <c r="AF28" i="65"/>
  <c r="AF29" i="65" s="1"/>
  <c r="AP68" i="65"/>
  <c r="AP69" i="65" s="1"/>
  <c r="AL69" i="65"/>
  <c r="AZ19" i="65"/>
  <c r="AP16" i="65"/>
  <c r="AP17" i="65" s="1"/>
  <c r="AF48" i="65"/>
  <c r="AF49" i="65" s="1"/>
  <c r="BE54" i="65"/>
  <c r="BE55" i="65" s="1"/>
  <c r="V55" i="65"/>
  <c r="BD54" i="65"/>
  <c r="BD55" i="65" s="1"/>
  <c r="BA54" i="65"/>
  <c r="BA55" i="65" s="1"/>
  <c r="AK54" i="65"/>
  <c r="AK55" i="65" s="1"/>
  <c r="BB54" i="65"/>
  <c r="BB55" i="65" s="1"/>
  <c r="BC54" i="65"/>
  <c r="BC55" i="65" s="1"/>
  <c r="AF79" i="65"/>
  <c r="BE90" i="65"/>
  <c r="BD90" i="65"/>
  <c r="BC90" i="65"/>
  <c r="BB90" i="65"/>
  <c r="BA90" i="65"/>
  <c r="AK90" i="65"/>
  <c r="BA45" i="65"/>
  <c r="BA46" i="65" s="1"/>
  <c r="AK45" i="65"/>
  <c r="AK46" i="65" s="1"/>
  <c r="BE45" i="65"/>
  <c r="BE46" i="65" s="1"/>
  <c r="BD45" i="65"/>
  <c r="BD46" i="65" s="1"/>
  <c r="BC45" i="65"/>
  <c r="BC46" i="65" s="1"/>
  <c r="BB45" i="65"/>
  <c r="BB46" i="65" s="1"/>
  <c r="V46" i="65"/>
  <c r="BC57" i="65"/>
  <c r="BC58" i="65" s="1"/>
  <c r="V58" i="65"/>
  <c r="AN25" i="65"/>
  <c r="AN26" i="65" s="1"/>
  <c r="AS25" i="65"/>
  <c r="T26" i="65"/>
  <c r="AD25" i="65"/>
  <c r="AD26" i="65" s="1"/>
  <c r="AX25" i="65"/>
  <c r="AI25" i="65"/>
  <c r="AI26" i="65" s="1"/>
  <c r="AJ13" i="65"/>
  <c r="AJ14" i="65" s="1"/>
  <c r="U14" i="65"/>
  <c r="AY13" i="65"/>
  <c r="AO13" i="65"/>
  <c r="AO14" i="65" s="1"/>
  <c r="AE13" i="65"/>
  <c r="AE14" i="65" s="1"/>
  <c r="AT13" i="65"/>
  <c r="AQ83" i="65"/>
  <c r="AQ96" i="65" s="1"/>
  <c r="AQ97" i="65" s="1"/>
  <c r="X108" i="65" s="1"/>
  <c r="D24" i="47" s="1"/>
  <c r="BE19" i="65"/>
  <c r="BE20" i="65" s="1"/>
  <c r="BB19" i="65"/>
  <c r="BB20" i="65" s="1"/>
  <c r="V20" i="65"/>
  <c r="BD19" i="65"/>
  <c r="BD20" i="65" s="1"/>
  <c r="BC19" i="65"/>
  <c r="BC20" i="65" s="1"/>
  <c r="BA19" i="65"/>
  <c r="BA20" i="65" s="1"/>
  <c r="AK19" i="65"/>
  <c r="AK20" i="65" s="1"/>
  <c r="AB35" i="65"/>
  <c r="AF35" i="65" s="1"/>
  <c r="AF34" i="65"/>
  <c r="AL55" i="65"/>
  <c r="AP54" i="65"/>
  <c r="AP55" i="65" s="1"/>
  <c r="X55" i="65"/>
  <c r="X56" i="65" s="1"/>
  <c r="X57" i="65" s="1"/>
  <c r="BB57" i="65" s="1"/>
  <c r="BB58" i="65" s="1"/>
  <c r="AH54" i="65"/>
  <c r="AH55" i="65" s="1"/>
  <c r="BA92" i="65"/>
  <c r="AF92" i="65"/>
  <c r="AK92" i="65"/>
  <c r="AZ88" i="65"/>
  <c r="AP31" i="65"/>
  <c r="AP32" i="65" s="1"/>
  <c r="BB78" i="65"/>
  <c r="BE78" i="65"/>
  <c r="BD78" i="65"/>
  <c r="BC78" i="65"/>
  <c r="BA78" i="65"/>
  <c r="AK78" i="65"/>
  <c r="AT54" i="65"/>
  <c r="BA85" i="65"/>
  <c r="AK85" i="65"/>
  <c r="V95" i="65"/>
  <c r="V96" i="65" s="1"/>
  <c r="BE85" i="65"/>
  <c r="BD85" i="65"/>
  <c r="BC85" i="65"/>
  <c r="BB85" i="65"/>
  <c r="AJ25" i="65"/>
  <c r="AJ26" i="65" s="1"/>
  <c r="AY25" i="65"/>
  <c r="AT25" i="65"/>
  <c r="AE25" i="65"/>
  <c r="AE26" i="65" s="1"/>
  <c r="U26" i="65"/>
  <c r="AO25" i="65"/>
  <c r="AO26" i="65" s="1"/>
  <c r="AP79" i="65"/>
  <c r="AZ22" i="65"/>
  <c r="AI54" i="65"/>
  <c r="AI55" i="65" s="1"/>
  <c r="AU48" i="65"/>
  <c r="AZ34" i="65"/>
  <c r="AV54" i="65"/>
  <c r="AJ55" i="65"/>
  <c r="W55" i="65"/>
  <c r="W56" i="65" s="1"/>
  <c r="W57" i="65" s="1"/>
  <c r="AC54" i="65"/>
  <c r="AC55" i="65" s="1"/>
  <c r="BE79" i="65"/>
  <c r="BD79" i="65"/>
  <c r="BA79" i="65"/>
  <c r="AK79" i="65"/>
  <c r="BB79" i="65"/>
  <c r="BC79" i="65"/>
  <c r="AU53" i="65"/>
  <c r="AE54" i="65"/>
  <c r="AE55" i="65" s="1"/>
  <c r="AF45" i="65"/>
  <c r="AB46" i="65"/>
  <c r="AF46" i="65" s="1"/>
  <c r="AU88" i="65"/>
  <c r="AZ77" i="65"/>
  <c r="AU79" i="65"/>
  <c r="AU22" i="65"/>
  <c r="AF43" i="65"/>
  <c r="AF32" i="65"/>
  <c r="AS54" i="65"/>
  <c r="AP19" i="65"/>
  <c r="AP20" i="65" s="1"/>
  <c r="AL20" i="65"/>
  <c r="E23" i="50" l="1"/>
  <c r="E24" i="50" s="1"/>
  <c r="AZ54" i="65"/>
  <c r="V62" i="65"/>
  <c r="AE96" i="65"/>
  <c r="AD96" i="65"/>
  <c r="BA83" i="65"/>
  <c r="BD83" i="65"/>
  <c r="BE83" i="65"/>
  <c r="AU83" i="65"/>
  <c r="AU96" i="65" s="1"/>
  <c r="AU97" i="65" s="1"/>
  <c r="BC83" i="65"/>
  <c r="AU54" i="65"/>
  <c r="BA95" i="65"/>
  <c r="AF83" i="65"/>
  <c r="AU25" i="65"/>
  <c r="BC95" i="65"/>
  <c r="AF95" i="65"/>
  <c r="AB96" i="65"/>
  <c r="BB83" i="65"/>
  <c r="U71" i="65"/>
  <c r="U97" i="65" s="1"/>
  <c r="U36" i="65"/>
  <c r="AZ13" i="65"/>
  <c r="BB95" i="65"/>
  <c r="AB26" i="65"/>
  <c r="AF25" i="65"/>
  <c r="AF26" i="65" s="1"/>
  <c r="S71" i="65"/>
  <c r="S97" i="65" s="1"/>
  <c r="S36" i="65"/>
  <c r="AU13" i="65"/>
  <c r="T71" i="65"/>
  <c r="T97" i="65" s="1"/>
  <c r="T36" i="65"/>
  <c r="AB108" i="65"/>
  <c r="W108" i="65"/>
  <c r="BE95" i="65"/>
  <c r="BE96" i="65" s="1"/>
  <c r="R71" i="65"/>
  <c r="R97" i="65" s="1"/>
  <c r="R36" i="65"/>
  <c r="AZ25" i="65"/>
  <c r="AN71" i="65"/>
  <c r="AN97" i="65" s="1"/>
  <c r="Z107" i="65" s="1"/>
  <c r="F23" i="47" s="1"/>
  <c r="Z58" i="65"/>
  <c r="Z59" i="65" s="1"/>
  <c r="Z60" i="65" s="1"/>
  <c r="AR57" i="65"/>
  <c r="AQ57" i="65"/>
  <c r="AT57" i="65"/>
  <c r="AS57" i="65"/>
  <c r="X58" i="65"/>
  <c r="X59" i="65" s="1"/>
  <c r="X60" i="65" s="1"/>
  <c r="AH57" i="65"/>
  <c r="AH58" i="65" s="1"/>
  <c r="AJ57" i="65"/>
  <c r="AJ58" i="65" s="1"/>
  <c r="AG57" i="65"/>
  <c r="AG58" i="65" s="1"/>
  <c r="AI57" i="65"/>
  <c r="AI58" i="65" s="1"/>
  <c r="AL26" i="65"/>
  <c r="AP25" i="65"/>
  <c r="AP26" i="65" s="1"/>
  <c r="W58" i="65"/>
  <c r="W59" i="65" s="1"/>
  <c r="W60" i="65" s="1"/>
  <c r="AC57" i="65"/>
  <c r="AC58" i="65" s="1"/>
  <c r="AD57" i="65"/>
  <c r="AD58" i="65" s="1"/>
  <c r="AE57" i="65"/>
  <c r="AE58" i="65" s="1"/>
  <c r="AB57" i="65"/>
  <c r="BD95" i="65"/>
  <c r="AF13" i="65"/>
  <c r="AF14" i="65" s="1"/>
  <c r="AB14" i="65"/>
  <c r="AF54" i="65"/>
  <c r="AF55" i="65" s="1"/>
  <c r="W116" i="65"/>
  <c r="AK57" i="65"/>
  <c r="AK58" i="65" s="1"/>
  <c r="AA58" i="65"/>
  <c r="AA59" i="65" s="1"/>
  <c r="AA60" i="65" s="1"/>
  <c r="AW57" i="65"/>
  <c r="AY57" i="65"/>
  <c r="AV57" i="65"/>
  <c r="AX57" i="65"/>
  <c r="AO71" i="65"/>
  <c r="AO97" i="65" s="1"/>
  <c r="AA107" i="65" s="1"/>
  <c r="G23" i="47" s="1"/>
  <c r="BA57" i="65"/>
  <c r="BA58" i="65" s="1"/>
  <c r="AP13" i="65"/>
  <c r="AP14" i="65" s="1"/>
  <c r="AL14" i="65"/>
  <c r="V26" i="65"/>
  <c r="BD25" i="65"/>
  <c r="BD26" i="65" s="1"/>
  <c r="AK25" i="65"/>
  <c r="AK26" i="65" s="1"/>
  <c r="BC25" i="65"/>
  <c r="BC26" i="65" s="1"/>
  <c r="BE25" i="65"/>
  <c r="BE26" i="65" s="1"/>
  <c r="BB25" i="65"/>
  <c r="BB26" i="65" s="1"/>
  <c r="BA25" i="65"/>
  <c r="BA26" i="65" s="1"/>
  <c r="BA13" i="65"/>
  <c r="BA14" i="65" s="1"/>
  <c r="AK13" i="65"/>
  <c r="AK14" i="65" s="1"/>
  <c r="BC13" i="65"/>
  <c r="BC14" i="65" s="1"/>
  <c r="BE13" i="65"/>
  <c r="BE14" i="65" s="1"/>
  <c r="V14" i="65"/>
  <c r="V71" i="65" s="1"/>
  <c r="E7" i="50" s="1"/>
  <c r="BD13" i="65"/>
  <c r="BD14" i="65" s="1"/>
  <c r="BB13" i="65"/>
  <c r="BB14" i="65" s="1"/>
  <c r="V97" i="65" l="1"/>
  <c r="AP71" i="65"/>
  <c r="AP97" i="65" s="1"/>
  <c r="BC96" i="65"/>
  <c r="BA96" i="65"/>
  <c r="AF96" i="65"/>
  <c r="BC71" i="65"/>
  <c r="AL71" i="65"/>
  <c r="AL97" i="65" s="1"/>
  <c r="X107" i="65" s="1"/>
  <c r="BD96" i="65"/>
  <c r="BB96" i="65"/>
  <c r="AB58" i="65"/>
  <c r="AF58" i="65" s="1"/>
  <c r="AF57" i="65"/>
  <c r="X61" i="65"/>
  <c r="X64" i="65" s="1"/>
  <c r="AJ60" i="65"/>
  <c r="AJ61" i="65" s="1"/>
  <c r="AI60" i="65"/>
  <c r="AI61" i="65" s="1"/>
  <c r="AG60" i="65"/>
  <c r="AG61" i="65" s="1"/>
  <c r="AH60" i="65"/>
  <c r="AH61" i="65" s="1"/>
  <c r="AK60" i="65"/>
  <c r="AK61" i="65" s="1"/>
  <c r="BB60" i="65"/>
  <c r="BB61" i="65" s="1"/>
  <c r="W61" i="65"/>
  <c r="W64" i="65" s="1"/>
  <c r="AD60" i="65"/>
  <c r="AD61" i="65" s="1"/>
  <c r="AC60" i="65"/>
  <c r="AC61" i="65" s="1"/>
  <c r="AE60" i="65"/>
  <c r="AE61" i="65" s="1"/>
  <c r="AB60" i="65"/>
  <c r="BA60" i="65"/>
  <c r="BA61" i="65" s="1"/>
  <c r="V36" i="65"/>
  <c r="Z61" i="65"/>
  <c r="Z64" i="65" s="1"/>
  <c r="AS60" i="65"/>
  <c r="AT60" i="65"/>
  <c r="AQ60" i="65"/>
  <c r="AR60" i="65"/>
  <c r="BD60" i="65"/>
  <c r="BD61" i="65" s="1"/>
  <c r="AZ57" i="65"/>
  <c r="AU57" i="65"/>
  <c r="AA61" i="65"/>
  <c r="AA64" i="65" s="1"/>
  <c r="AV60" i="65"/>
  <c r="AY60" i="65"/>
  <c r="AX60" i="65"/>
  <c r="AW60" i="65"/>
  <c r="BE60" i="65"/>
  <c r="BE61" i="65" s="1"/>
  <c r="W107" i="65" l="1"/>
  <c r="D23" i="47"/>
  <c r="BC97" i="65"/>
  <c r="AB107" i="65"/>
  <c r="AZ60" i="65"/>
  <c r="AW64" i="65"/>
  <c r="AV64" i="65"/>
  <c r="AX64" i="65"/>
  <c r="AA65" i="65"/>
  <c r="AY64" i="65"/>
  <c r="W115" i="65"/>
  <c r="W117" i="65" s="1"/>
  <c r="V3" i="65"/>
  <c r="AT64" i="65"/>
  <c r="AS64" i="65"/>
  <c r="AQ64" i="65"/>
  <c r="Z65" i="65"/>
  <c r="AR64" i="65"/>
  <c r="AB64" i="65"/>
  <c r="AE64" i="65"/>
  <c r="AD64" i="65"/>
  <c r="AC64" i="65"/>
  <c r="W65" i="65"/>
  <c r="AU60" i="65"/>
  <c r="AF60" i="65"/>
  <c r="AB61" i="65"/>
  <c r="AJ64" i="65"/>
  <c r="X65" i="65"/>
  <c r="AI64" i="65"/>
  <c r="AG64" i="65"/>
  <c r="AK64" i="65"/>
  <c r="AH64" i="65"/>
  <c r="AU64" i="65" l="1"/>
  <c r="AF61" i="65"/>
  <c r="Z66" i="65"/>
  <c r="Z67" i="65" s="1"/>
  <c r="Z68" i="65" s="1"/>
  <c r="AS65" i="65"/>
  <c r="AT65" i="65"/>
  <c r="AQ65" i="65"/>
  <c r="AR65" i="65"/>
  <c r="BD65" i="65"/>
  <c r="BD66" i="65" s="1"/>
  <c r="AA66" i="65"/>
  <c r="AA67" i="65" s="1"/>
  <c r="AA68" i="65" s="1"/>
  <c r="AX65" i="65"/>
  <c r="AY65" i="65"/>
  <c r="AV65" i="65"/>
  <c r="AW65" i="65"/>
  <c r="BE65" i="65"/>
  <c r="BE66" i="65" s="1"/>
  <c r="W66" i="65"/>
  <c r="W67" i="65" s="1"/>
  <c r="W68" i="65" s="1"/>
  <c r="AD65" i="65"/>
  <c r="AD66" i="65" s="1"/>
  <c r="AE65" i="65"/>
  <c r="AE66" i="65" s="1"/>
  <c r="AB65" i="65"/>
  <c r="AB66" i="65" s="1"/>
  <c r="AC65" i="65"/>
  <c r="AC66" i="65" s="1"/>
  <c r="BA65" i="65"/>
  <c r="BA66" i="65" s="1"/>
  <c r="AZ64" i="65"/>
  <c r="X66" i="65"/>
  <c r="X67" i="65" s="1"/>
  <c r="X68" i="65" s="1"/>
  <c r="AI65" i="65"/>
  <c r="AI66" i="65" s="1"/>
  <c r="AJ65" i="65"/>
  <c r="AJ66" i="65" s="1"/>
  <c r="AG65" i="65"/>
  <c r="AG66" i="65" s="1"/>
  <c r="AH65" i="65"/>
  <c r="AH66" i="65" s="1"/>
  <c r="BB65" i="65"/>
  <c r="BB66" i="65" s="1"/>
  <c r="AK65" i="65"/>
  <c r="AK66" i="65" s="1"/>
  <c r="AF64" i="65"/>
  <c r="AU65" i="65" l="1"/>
  <c r="AZ65" i="65"/>
  <c r="Z69" i="65"/>
  <c r="AQ68" i="65"/>
  <c r="AS68" i="65"/>
  <c r="AT68" i="65"/>
  <c r="AR68" i="65"/>
  <c r="BD68" i="65"/>
  <c r="BD69" i="65" s="1"/>
  <c r="BD71" i="65" s="1"/>
  <c r="BD97" i="65" s="1"/>
  <c r="AF65" i="65"/>
  <c r="AF66" i="65" s="1"/>
  <c r="W69" i="65"/>
  <c r="AE68" i="65"/>
  <c r="AE69" i="65" s="1"/>
  <c r="AE71" i="65" s="1"/>
  <c r="AE97" i="65" s="1"/>
  <c r="AA105" i="65" s="1"/>
  <c r="G21" i="47" s="1"/>
  <c r="AD68" i="65"/>
  <c r="AD69" i="65" s="1"/>
  <c r="AD71" i="65" s="1"/>
  <c r="AD97" i="65" s="1"/>
  <c r="Z105" i="65" s="1"/>
  <c r="F21" i="47" s="1"/>
  <c r="AC68" i="65"/>
  <c r="AC69" i="65" s="1"/>
  <c r="AC71" i="65" s="1"/>
  <c r="AC97" i="65" s="1"/>
  <c r="Y105" i="65" s="1"/>
  <c r="E21" i="47" s="1"/>
  <c r="AB68" i="65"/>
  <c r="BA68" i="65"/>
  <c r="BA69" i="65" s="1"/>
  <c r="BA71" i="65" s="1"/>
  <c r="BA97" i="65" s="1"/>
  <c r="AA69" i="65"/>
  <c r="AV68" i="65"/>
  <c r="AY68" i="65"/>
  <c r="AW68" i="65"/>
  <c r="AX68" i="65"/>
  <c r="BE68" i="65"/>
  <c r="BE69" i="65" s="1"/>
  <c r="BE71" i="65" s="1"/>
  <c r="BE97" i="65" s="1"/>
  <c r="X69" i="65"/>
  <c r="AH68" i="65"/>
  <c r="AH69" i="65" s="1"/>
  <c r="AH71" i="65" s="1"/>
  <c r="AH97" i="65" s="1"/>
  <c r="Y106" i="65" s="1"/>
  <c r="E22" i="47" s="1"/>
  <c r="AJ68" i="65"/>
  <c r="AJ69" i="65" s="1"/>
  <c r="AJ71" i="65" s="1"/>
  <c r="AJ97" i="65" s="1"/>
  <c r="AA106" i="65" s="1"/>
  <c r="G22" i="47" s="1"/>
  <c r="AI68" i="65"/>
  <c r="AI69" i="65" s="1"/>
  <c r="AI71" i="65" s="1"/>
  <c r="AI97" i="65" s="1"/>
  <c r="Z106" i="65" s="1"/>
  <c r="F22" i="47" s="1"/>
  <c r="AG68" i="65"/>
  <c r="AG69" i="65" s="1"/>
  <c r="AG71" i="65" s="1"/>
  <c r="AG97" i="65" s="1"/>
  <c r="X106" i="65" s="1"/>
  <c r="D22" i="47" s="1"/>
  <c r="BB68" i="65"/>
  <c r="BB69" i="65" s="1"/>
  <c r="BB71" i="65" s="1"/>
  <c r="BB97" i="65" s="1"/>
  <c r="AK68" i="65"/>
  <c r="AK69" i="65" s="1"/>
  <c r="AK71" i="65" s="1"/>
  <c r="AK97" i="65" s="1"/>
  <c r="AU68" i="65" l="1"/>
  <c r="Z110" i="65"/>
  <c r="E12" i="4" s="1"/>
  <c r="Y110" i="65"/>
  <c r="D12" i="4" s="1"/>
  <c r="AB69" i="65"/>
  <c r="AF68" i="65"/>
  <c r="AA110" i="65"/>
  <c r="F12" i="4" s="1"/>
  <c r="AZ68" i="65"/>
  <c r="W106" i="65"/>
  <c r="AB106" i="65"/>
  <c r="BE98" i="65"/>
  <c r="AF69" i="65" l="1"/>
  <c r="AF71" i="65" s="1"/>
  <c r="AF97" i="65" s="1"/>
  <c r="AB71" i="65"/>
  <c r="AB97" i="65" s="1"/>
  <c r="X105" i="65" s="1"/>
  <c r="D21" i="47" s="1"/>
  <c r="X110" i="65" l="1"/>
  <c r="AB105" i="65"/>
  <c r="W105" i="65"/>
  <c r="W110" i="65" s="1"/>
  <c r="W111" i="65" s="1"/>
  <c r="AB110" i="65" l="1"/>
  <c r="C12" i="4"/>
  <c r="I137" i="64"/>
  <c r="H108" i="64"/>
  <c r="G108" i="64"/>
  <c r="D108" i="64" s="1"/>
  <c r="AI102" i="64"/>
  <c r="AC101" i="64"/>
  <c r="BD100" i="64"/>
  <c r="BD99" i="64"/>
  <c r="BC98" i="64"/>
  <c r="BD98" i="64" s="1"/>
  <c r="AB98" i="64"/>
  <c r="AA98" i="64"/>
  <c r="Z98" i="64"/>
  <c r="Y98" i="64"/>
  <c r="X98" i="64"/>
  <c r="Q98" i="64"/>
  <c r="L98" i="64"/>
  <c r="U98" i="64" s="1"/>
  <c r="B98" i="64"/>
  <c r="A98" i="64" s="1"/>
  <c r="BC97" i="64"/>
  <c r="BD97" i="64" s="1"/>
  <c r="AB97" i="64"/>
  <c r="AA97" i="64"/>
  <c r="Z97" i="64"/>
  <c r="Y97" i="64"/>
  <c r="X97" i="64"/>
  <c r="R97" i="64"/>
  <c r="Q97" i="64"/>
  <c r="S97" i="64"/>
  <c r="B97" i="64"/>
  <c r="A97" i="64" s="1"/>
  <c r="BC96" i="64"/>
  <c r="BD96" i="64" s="1"/>
  <c r="AB96" i="64"/>
  <c r="AA96" i="64"/>
  <c r="Z96" i="64"/>
  <c r="Y96" i="64"/>
  <c r="X96" i="64"/>
  <c r="Q96" i="64"/>
  <c r="U96" i="64"/>
  <c r="B96" i="64"/>
  <c r="A96" i="64" s="1"/>
  <c r="BC95" i="64"/>
  <c r="BD95" i="64" s="1"/>
  <c r="AY95" i="64"/>
  <c r="AZ95" i="64" s="1"/>
  <c r="AB95" i="64"/>
  <c r="AA95" i="64"/>
  <c r="Z95" i="64"/>
  <c r="Y95" i="64"/>
  <c r="X95" i="64"/>
  <c r="B95" i="64"/>
  <c r="A95" i="64"/>
  <c r="BC94" i="64"/>
  <c r="BD94" i="64" s="1"/>
  <c r="AB94" i="64"/>
  <c r="AA94" i="64"/>
  <c r="Z94" i="64"/>
  <c r="Y94" i="64"/>
  <c r="X94" i="64"/>
  <c r="AL94" i="64" s="1"/>
  <c r="S94" i="64"/>
  <c r="Q94" i="64"/>
  <c r="L94" i="64"/>
  <c r="U94" i="64" s="1"/>
  <c r="B94" i="64"/>
  <c r="A94" i="64" s="1"/>
  <c r="BC93" i="64"/>
  <c r="BD93" i="64" s="1"/>
  <c r="AB93" i="64"/>
  <c r="AA93" i="64"/>
  <c r="Z93" i="64"/>
  <c r="Y93" i="64"/>
  <c r="X93" i="64"/>
  <c r="Q93" i="64"/>
  <c r="L93" i="64"/>
  <c r="B93" i="64"/>
  <c r="A93" i="64" s="1"/>
  <c r="BC92" i="64"/>
  <c r="BD92" i="64" s="1"/>
  <c r="AB92" i="64"/>
  <c r="AA92" i="64"/>
  <c r="Z92" i="64"/>
  <c r="Y92" i="64"/>
  <c r="AP92" i="64" s="1"/>
  <c r="X92" i="64"/>
  <c r="Q92" i="64"/>
  <c r="L92" i="64"/>
  <c r="U92" i="64" s="1"/>
  <c r="B92" i="64"/>
  <c r="A92" i="64" s="1"/>
  <c r="BC91" i="64"/>
  <c r="BD91" i="64" s="1"/>
  <c r="AB91" i="64"/>
  <c r="AA91" i="64"/>
  <c r="Z91" i="64"/>
  <c r="Y91" i="64"/>
  <c r="X91" i="64"/>
  <c r="B91" i="64"/>
  <c r="A91" i="64" s="1"/>
  <c r="BC90" i="64"/>
  <c r="BD90" i="64" s="1"/>
  <c r="AB90" i="64"/>
  <c r="AA90" i="64"/>
  <c r="Z90" i="64"/>
  <c r="Y90" i="64"/>
  <c r="X90" i="64"/>
  <c r="B90" i="64"/>
  <c r="A90" i="64" s="1"/>
  <c r="BC89" i="64"/>
  <c r="BD89" i="64" s="1"/>
  <c r="AB89" i="64"/>
  <c r="AA89" i="64"/>
  <c r="AV89" i="64" s="1"/>
  <c r="Z89" i="64"/>
  <c r="Y89" i="64"/>
  <c r="X89" i="64"/>
  <c r="Q89" i="64"/>
  <c r="L89" i="64"/>
  <c r="S89" i="64" s="1"/>
  <c r="B89" i="64"/>
  <c r="A89" i="64" s="1"/>
  <c r="BC88" i="64"/>
  <c r="BD88" i="64" s="1"/>
  <c r="AB88" i="64"/>
  <c r="AA88" i="64"/>
  <c r="Z88" i="64"/>
  <c r="Y88" i="64"/>
  <c r="X88" i="64"/>
  <c r="Q88" i="64"/>
  <c r="L88" i="64"/>
  <c r="U88" i="64" s="1"/>
  <c r="B88" i="64"/>
  <c r="A88" i="64" s="1"/>
  <c r="BC87" i="64"/>
  <c r="BD87" i="64" s="1"/>
  <c r="AB87" i="64"/>
  <c r="AA87" i="64"/>
  <c r="Z87" i="64"/>
  <c r="Y87" i="64"/>
  <c r="X87" i="64"/>
  <c r="U87" i="64"/>
  <c r="T87" i="64"/>
  <c r="S87" i="64"/>
  <c r="R87" i="64"/>
  <c r="Q87" i="64"/>
  <c r="B87" i="64"/>
  <c r="A87" i="64" s="1"/>
  <c r="BC86" i="64"/>
  <c r="BD86" i="64" s="1"/>
  <c r="AB86" i="64"/>
  <c r="AA86" i="64"/>
  <c r="Z86" i="64"/>
  <c r="Y86" i="64"/>
  <c r="X86" i="64"/>
  <c r="U86" i="64"/>
  <c r="T86" i="64"/>
  <c r="S86" i="64"/>
  <c r="R86" i="64"/>
  <c r="Q86" i="64"/>
  <c r="B86" i="64"/>
  <c r="A86" i="64" s="1"/>
  <c r="BC85" i="64"/>
  <c r="BD85" i="64" s="1"/>
  <c r="AB85" i="64"/>
  <c r="AA85" i="64"/>
  <c r="Z85" i="64"/>
  <c r="Y85" i="64"/>
  <c r="X85" i="64"/>
  <c r="U85" i="64"/>
  <c r="T85" i="64"/>
  <c r="S85" i="64"/>
  <c r="R85" i="64"/>
  <c r="Q85" i="64"/>
  <c r="B85" i="64"/>
  <c r="A85" i="64" s="1"/>
  <c r="BC84" i="64"/>
  <c r="BD84" i="64" s="1"/>
  <c r="AB84" i="64"/>
  <c r="AA84" i="64"/>
  <c r="Z84" i="64"/>
  <c r="Y84" i="64"/>
  <c r="X84" i="64"/>
  <c r="B84" i="64"/>
  <c r="A84" i="64" s="1"/>
  <c r="BC83" i="64"/>
  <c r="BD83" i="64" s="1"/>
  <c r="AB83" i="64"/>
  <c r="AA83" i="64"/>
  <c r="Z83" i="64"/>
  <c r="Y83" i="64"/>
  <c r="X83" i="64"/>
  <c r="B83" i="64"/>
  <c r="A83" i="64" s="1"/>
  <c r="BC82" i="64"/>
  <c r="BD82" i="64" s="1"/>
  <c r="AB82" i="64"/>
  <c r="AA82" i="64"/>
  <c r="Z82" i="64"/>
  <c r="Y82" i="64"/>
  <c r="X82" i="64"/>
  <c r="B82" i="64"/>
  <c r="A82" i="64" s="1"/>
  <c r="BC81" i="64"/>
  <c r="BD81" i="64" s="1"/>
  <c r="AB81" i="64"/>
  <c r="AA81" i="64"/>
  <c r="Z81" i="64"/>
  <c r="Y81" i="64"/>
  <c r="X81" i="64"/>
  <c r="Q81" i="64"/>
  <c r="L81" i="64"/>
  <c r="U81" i="64" s="1"/>
  <c r="B81" i="64"/>
  <c r="A81" i="64"/>
  <c r="BC80" i="64"/>
  <c r="BD80" i="64" s="1"/>
  <c r="AB80" i="64"/>
  <c r="AA80" i="64"/>
  <c r="Z80" i="64"/>
  <c r="Y80" i="64"/>
  <c r="X80" i="64"/>
  <c r="Q80" i="64"/>
  <c r="L80" i="64"/>
  <c r="T80" i="64" s="1"/>
  <c r="B80" i="64"/>
  <c r="A80" i="64" s="1"/>
  <c r="BC79" i="64"/>
  <c r="BD79" i="64" s="1"/>
  <c r="AB79" i="64"/>
  <c r="AA79" i="64"/>
  <c r="Z79" i="64"/>
  <c r="Y79" i="64"/>
  <c r="AM79" i="64" s="1"/>
  <c r="X79" i="64"/>
  <c r="Q79" i="64"/>
  <c r="L79" i="64"/>
  <c r="R79" i="64" s="1"/>
  <c r="B79" i="64"/>
  <c r="A79" i="64" s="1"/>
  <c r="BC78" i="64"/>
  <c r="BD78" i="64" s="1"/>
  <c r="AB78" i="64"/>
  <c r="AA78" i="64"/>
  <c r="Z78" i="64"/>
  <c r="Y78" i="64"/>
  <c r="X78" i="64"/>
  <c r="Q78" i="64"/>
  <c r="L78" i="64"/>
  <c r="R78" i="64" s="1"/>
  <c r="B78" i="64"/>
  <c r="A78" i="64" s="1"/>
  <c r="BC77" i="64"/>
  <c r="BD77" i="64" s="1"/>
  <c r="AB77" i="64"/>
  <c r="AA77" i="64"/>
  <c r="Z77" i="64"/>
  <c r="Y77" i="64"/>
  <c r="AP77" i="64" s="1"/>
  <c r="X77" i="64"/>
  <c r="U77" i="64"/>
  <c r="R77" i="64"/>
  <c r="Q77" i="64"/>
  <c r="L77" i="64"/>
  <c r="T77" i="64" s="1"/>
  <c r="B77" i="64"/>
  <c r="A77" i="64" s="1"/>
  <c r="BC76" i="64"/>
  <c r="BD76" i="64" s="1"/>
  <c r="AB76" i="64"/>
  <c r="AA76" i="64"/>
  <c r="Z76" i="64"/>
  <c r="Y76" i="64"/>
  <c r="X76" i="64"/>
  <c r="Q76" i="64"/>
  <c r="L76" i="64"/>
  <c r="U76" i="64" s="1"/>
  <c r="B76" i="64"/>
  <c r="A76" i="64" s="1"/>
  <c r="BC75" i="64"/>
  <c r="BD75" i="64" s="1"/>
  <c r="AB75" i="64"/>
  <c r="AA75" i="64"/>
  <c r="Z75" i="64"/>
  <c r="Y75" i="64"/>
  <c r="X75" i="64"/>
  <c r="Q75" i="64"/>
  <c r="L75" i="64"/>
  <c r="B75" i="64"/>
  <c r="A75" i="64" s="1"/>
  <c r="BC74" i="64"/>
  <c r="BD74" i="64" s="1"/>
  <c r="AB74" i="64"/>
  <c r="AA74" i="64"/>
  <c r="Z74" i="64"/>
  <c r="Y74" i="64"/>
  <c r="X74" i="64"/>
  <c r="Q74" i="64"/>
  <c r="L74" i="64"/>
  <c r="B74" i="64"/>
  <c r="A74" i="64" s="1"/>
  <c r="BC73" i="64"/>
  <c r="BD73" i="64" s="1"/>
  <c r="AB73" i="64"/>
  <c r="AA73" i="64"/>
  <c r="Z73" i="64"/>
  <c r="Y73" i="64"/>
  <c r="X73" i="64"/>
  <c r="S73" i="64"/>
  <c r="Q73" i="64"/>
  <c r="L73" i="64"/>
  <c r="T73" i="64" s="1"/>
  <c r="B73" i="64"/>
  <c r="A73" i="64" s="1"/>
  <c r="BC72" i="64"/>
  <c r="BD72" i="64" s="1"/>
  <c r="AB72" i="64"/>
  <c r="AA72" i="64"/>
  <c r="Z72" i="64"/>
  <c r="Y72" i="64"/>
  <c r="X72" i="64"/>
  <c r="Q72" i="64"/>
  <c r="L72" i="64"/>
  <c r="T72" i="64" s="1"/>
  <c r="B72" i="64"/>
  <c r="A72" i="64" s="1"/>
  <c r="BC71" i="64"/>
  <c r="BD71" i="64" s="1"/>
  <c r="AB71" i="64"/>
  <c r="AA71" i="64"/>
  <c r="Z71" i="64"/>
  <c r="Y71" i="64"/>
  <c r="X71" i="64"/>
  <c r="B71" i="64"/>
  <c r="A71" i="64" s="1"/>
  <c r="BC70" i="64"/>
  <c r="BD70" i="64" s="1"/>
  <c r="AB70" i="64"/>
  <c r="AA70" i="64"/>
  <c r="Z70" i="64"/>
  <c r="Y70" i="64"/>
  <c r="X70" i="64"/>
  <c r="B70" i="64"/>
  <c r="A70" i="64" s="1"/>
  <c r="BC69" i="64"/>
  <c r="BD69" i="64" s="1"/>
  <c r="AB69" i="64"/>
  <c r="AA69" i="64"/>
  <c r="Z69" i="64"/>
  <c r="Y69" i="64"/>
  <c r="X69" i="64"/>
  <c r="B69" i="64"/>
  <c r="A69" i="64" s="1"/>
  <c r="BC68" i="64"/>
  <c r="BD68" i="64" s="1"/>
  <c r="AB68" i="64"/>
  <c r="AA68" i="64"/>
  <c r="Z68" i="64"/>
  <c r="Y68" i="64"/>
  <c r="X68" i="64"/>
  <c r="B68" i="64"/>
  <c r="A68" i="64" s="1"/>
  <c r="BC67" i="64"/>
  <c r="BD67" i="64" s="1"/>
  <c r="AB67" i="64"/>
  <c r="AA67" i="64"/>
  <c r="Z67" i="64"/>
  <c r="Y67" i="64"/>
  <c r="X67" i="64"/>
  <c r="B67" i="64"/>
  <c r="A67" i="64" s="1"/>
  <c r="BC63" i="64"/>
  <c r="BD63" i="64" s="1"/>
  <c r="AB63" i="64"/>
  <c r="AA63" i="64"/>
  <c r="AW63" i="64" s="1"/>
  <c r="Z63" i="64"/>
  <c r="AQ63" i="64" s="1"/>
  <c r="Y63" i="64"/>
  <c r="AN63" i="64" s="1"/>
  <c r="X63" i="64"/>
  <c r="AJ63" i="64" s="1"/>
  <c r="Q63" i="64"/>
  <c r="U64" i="64"/>
  <c r="B63" i="64"/>
  <c r="A63" i="64" s="1"/>
  <c r="BC62" i="64"/>
  <c r="BD62" i="64" s="1"/>
  <c r="AB62" i="64"/>
  <c r="AA62" i="64"/>
  <c r="AX62" i="64" s="1"/>
  <c r="Z62" i="64"/>
  <c r="AQ62" i="64" s="1"/>
  <c r="Y62" i="64"/>
  <c r="AP62" i="64" s="1"/>
  <c r="X62" i="64"/>
  <c r="AI62" i="64" s="1"/>
  <c r="Q62" i="64"/>
  <c r="B62" i="64"/>
  <c r="A62" i="64" s="1"/>
  <c r="BC61" i="64"/>
  <c r="BD61" i="64" s="1"/>
  <c r="AB61" i="64"/>
  <c r="AA61" i="64"/>
  <c r="AU61" i="64" s="1"/>
  <c r="Z61" i="64"/>
  <c r="AT61" i="64" s="1"/>
  <c r="Y61" i="64"/>
  <c r="AP61" i="64" s="1"/>
  <c r="X61" i="64"/>
  <c r="AL61" i="64" s="1"/>
  <c r="Q61" i="64"/>
  <c r="B61" i="64"/>
  <c r="A61" i="64"/>
  <c r="BC60" i="64"/>
  <c r="BD60" i="64" s="1"/>
  <c r="AB60" i="64"/>
  <c r="AA60" i="64"/>
  <c r="AV60" i="64" s="1"/>
  <c r="Z60" i="64"/>
  <c r="AT60" i="64" s="1"/>
  <c r="Y60" i="64"/>
  <c r="AN60" i="64" s="1"/>
  <c r="X60" i="64"/>
  <c r="AK60" i="64" s="1"/>
  <c r="Q60" i="64"/>
  <c r="B60" i="64"/>
  <c r="A60" i="64" s="1"/>
  <c r="AB58" i="64"/>
  <c r="AA58" i="64"/>
  <c r="Z58" i="64"/>
  <c r="Y58" i="64"/>
  <c r="X58" i="64"/>
  <c r="BC57" i="64"/>
  <c r="BD57" i="64" s="1"/>
  <c r="AB57" i="64"/>
  <c r="AA57" i="64"/>
  <c r="AV57" i="64" s="1"/>
  <c r="Z57" i="64"/>
  <c r="AQ57" i="64" s="1"/>
  <c r="Y57" i="64"/>
  <c r="X57" i="64"/>
  <c r="AK57" i="64" s="1"/>
  <c r="Q57" i="64"/>
  <c r="U57" i="64"/>
  <c r="V57" i="64" s="1"/>
  <c r="B57" i="64"/>
  <c r="A57" i="64" s="1"/>
  <c r="BC56" i="64"/>
  <c r="BD56" i="64" s="1"/>
  <c r="AB56" i="64"/>
  <c r="AA56" i="64"/>
  <c r="AX56" i="64" s="1"/>
  <c r="Z56" i="64"/>
  <c r="AS56" i="64" s="1"/>
  <c r="Y56" i="64"/>
  <c r="X56" i="64"/>
  <c r="AK56" i="64" s="1"/>
  <c r="Q56" i="64"/>
  <c r="U56" i="64"/>
  <c r="B56" i="64"/>
  <c r="A56" i="64" s="1"/>
  <c r="BC55" i="64"/>
  <c r="BD55" i="64" s="1"/>
  <c r="AB55" i="64"/>
  <c r="AA55" i="64"/>
  <c r="AW55" i="64" s="1"/>
  <c r="Z55" i="64"/>
  <c r="AQ55" i="64" s="1"/>
  <c r="Y55" i="64"/>
  <c r="X55" i="64"/>
  <c r="T55" i="64"/>
  <c r="U55" i="64" s="1"/>
  <c r="Q55" i="64"/>
  <c r="B55" i="64"/>
  <c r="A55" i="64" s="1"/>
  <c r="BC54" i="64"/>
  <c r="BD54" i="64" s="1"/>
  <c r="AB54" i="64"/>
  <c r="AA54" i="64"/>
  <c r="AX54" i="64" s="1"/>
  <c r="Z54" i="64"/>
  <c r="AT54" i="64" s="1"/>
  <c r="Y54" i="64"/>
  <c r="AP54" i="64" s="1"/>
  <c r="X54" i="64"/>
  <c r="AL54" i="64" s="1"/>
  <c r="Q54" i="64"/>
  <c r="T54" i="64"/>
  <c r="B54" i="64"/>
  <c r="A54" i="64" s="1"/>
  <c r="BC53" i="64"/>
  <c r="BD53" i="64" s="1"/>
  <c r="AB53" i="64"/>
  <c r="AA53" i="64"/>
  <c r="Z53" i="64"/>
  <c r="AR53" i="64" s="1"/>
  <c r="Y53" i="64"/>
  <c r="AP53" i="64" s="1"/>
  <c r="X53" i="64"/>
  <c r="AL53" i="64" s="1"/>
  <c r="S53" i="64"/>
  <c r="Q53" i="64"/>
  <c r="B53" i="64"/>
  <c r="A53" i="64" s="1"/>
  <c r="BC52" i="64"/>
  <c r="BD52" i="64" s="1"/>
  <c r="AB52" i="64"/>
  <c r="AA52" i="64"/>
  <c r="AU52" i="64" s="1"/>
  <c r="Z52" i="64"/>
  <c r="AT52" i="64" s="1"/>
  <c r="Y52" i="64"/>
  <c r="AM52" i="64" s="1"/>
  <c r="X52" i="64"/>
  <c r="Q52" i="64"/>
  <c r="S52" i="64"/>
  <c r="B52" i="64"/>
  <c r="A52" i="64" s="1"/>
  <c r="BC51" i="64"/>
  <c r="BD51" i="64" s="1"/>
  <c r="AB51" i="64"/>
  <c r="AA51" i="64"/>
  <c r="Z51" i="64"/>
  <c r="Y51" i="64"/>
  <c r="AP51" i="64" s="1"/>
  <c r="X51" i="64"/>
  <c r="AL51" i="64" s="1"/>
  <c r="Q51" i="64"/>
  <c r="R51" i="64"/>
  <c r="B51" i="64"/>
  <c r="A51" i="64" s="1"/>
  <c r="BC50" i="64"/>
  <c r="BD50" i="64" s="1"/>
  <c r="AB50" i="64"/>
  <c r="AA50" i="64"/>
  <c r="AU50" i="64" s="1"/>
  <c r="Z50" i="64"/>
  <c r="AT50" i="64" s="1"/>
  <c r="Y50" i="64"/>
  <c r="AO50" i="64" s="1"/>
  <c r="X50" i="64"/>
  <c r="Q50" i="64"/>
  <c r="R50" i="64"/>
  <c r="V50" i="64" s="1"/>
  <c r="B50" i="64"/>
  <c r="A50" i="64" s="1"/>
  <c r="BC49" i="64"/>
  <c r="BD49" i="64" s="1"/>
  <c r="AB49" i="64"/>
  <c r="AH49" i="64" s="1"/>
  <c r="AA49" i="64"/>
  <c r="Z49" i="64"/>
  <c r="AQ49" i="64" s="1"/>
  <c r="Y49" i="64"/>
  <c r="AP49" i="64" s="1"/>
  <c r="X49" i="64"/>
  <c r="AI49" i="64" s="1"/>
  <c r="BC48" i="64"/>
  <c r="BD48" i="64" s="1"/>
  <c r="AB48" i="64"/>
  <c r="AH48" i="64" s="1"/>
  <c r="AA48" i="64"/>
  <c r="AW48" i="64" s="1"/>
  <c r="Z48" i="64"/>
  <c r="Y48" i="64"/>
  <c r="X48" i="64"/>
  <c r="AL48" i="64" s="1"/>
  <c r="AB47" i="64"/>
  <c r="AH47" i="64" s="1"/>
  <c r="AA47" i="64"/>
  <c r="AG47" i="64" s="1"/>
  <c r="Z47" i="64"/>
  <c r="AF47" i="64" s="1"/>
  <c r="Y47" i="64"/>
  <c r="AE47" i="64" s="1"/>
  <c r="X47" i="64"/>
  <c r="AD47" i="64" s="1"/>
  <c r="AB46" i="64"/>
  <c r="AA46" i="64"/>
  <c r="Z46" i="64"/>
  <c r="Y46" i="64"/>
  <c r="X46" i="64"/>
  <c r="P46" i="64"/>
  <c r="O46" i="64"/>
  <c r="N46" i="64"/>
  <c r="M46" i="64"/>
  <c r="L46" i="64"/>
  <c r="AB45" i="64"/>
  <c r="AH45" i="64" s="1"/>
  <c r="AA45" i="64"/>
  <c r="AG45" i="64" s="1"/>
  <c r="Z45" i="64"/>
  <c r="AF45" i="64" s="1"/>
  <c r="Y45" i="64"/>
  <c r="AE45" i="64" s="1"/>
  <c r="X45" i="64"/>
  <c r="AD45" i="64" s="1"/>
  <c r="BC44" i="64"/>
  <c r="BD44" i="64" s="1"/>
  <c r="AB44" i="64"/>
  <c r="AA44" i="64"/>
  <c r="Y44" i="64"/>
  <c r="U44" i="64"/>
  <c r="AT44" i="64" s="1"/>
  <c r="T44" i="64"/>
  <c r="AS44" i="64" s="1"/>
  <c r="S44" i="64"/>
  <c r="AJ44" i="64" s="1"/>
  <c r="R44" i="64"/>
  <c r="AI44" i="64" s="1"/>
  <c r="Q44" i="64"/>
  <c r="B44" i="64"/>
  <c r="BC43" i="64"/>
  <c r="BD43" i="64" s="1"/>
  <c r="AB43" i="64"/>
  <c r="AA43" i="64"/>
  <c r="AX43" i="64" s="1"/>
  <c r="Y43" i="64"/>
  <c r="U43" i="64"/>
  <c r="AT43" i="64" s="1"/>
  <c r="T43" i="64"/>
  <c r="AS43" i="64" s="1"/>
  <c r="S43" i="64"/>
  <c r="R43" i="64"/>
  <c r="Q43" i="64"/>
  <c r="B43" i="64"/>
  <c r="BC42" i="64"/>
  <c r="BD42" i="64" s="1"/>
  <c r="AB42" i="64"/>
  <c r="AA42" i="64"/>
  <c r="AV42" i="64" s="1"/>
  <c r="Y42" i="64"/>
  <c r="U42" i="64"/>
  <c r="T42" i="64"/>
  <c r="AS42" i="64" s="1"/>
  <c r="S42" i="64"/>
  <c r="AR42" i="64" s="1"/>
  <c r="R42" i="64"/>
  <c r="AQ42" i="64" s="1"/>
  <c r="Q42" i="64"/>
  <c r="B42" i="64"/>
  <c r="BC41" i="64"/>
  <c r="BD41" i="64" s="1"/>
  <c r="AK41" i="64"/>
  <c r="AJ41" i="64"/>
  <c r="AB41" i="64"/>
  <c r="AA41" i="64"/>
  <c r="Y41" i="64"/>
  <c r="U41" i="64"/>
  <c r="T41" i="64"/>
  <c r="S41" i="64"/>
  <c r="R41" i="64"/>
  <c r="AQ41" i="64" s="1"/>
  <c r="Q41" i="64"/>
  <c r="Q46" i="64" s="1"/>
  <c r="B41" i="64"/>
  <c r="BC40" i="64"/>
  <c r="BD40" i="64" s="1"/>
  <c r="AB40" i="64"/>
  <c r="AH40" i="64" s="1"/>
  <c r="AA40" i="64"/>
  <c r="AG40" i="64" s="1"/>
  <c r="Z40" i="64"/>
  <c r="AF40" i="64" s="1"/>
  <c r="Y40" i="64"/>
  <c r="AE40" i="64" s="1"/>
  <c r="X40" i="64"/>
  <c r="AD40" i="64" s="1"/>
  <c r="B40" i="64"/>
  <c r="BC39" i="64"/>
  <c r="BD39" i="64" s="1"/>
  <c r="AB39" i="64"/>
  <c r="AH39" i="64" s="1"/>
  <c r="AA39" i="64"/>
  <c r="AG39" i="64" s="1"/>
  <c r="Z39" i="64"/>
  <c r="AF39" i="64" s="1"/>
  <c r="Y39" i="64"/>
  <c r="AE39" i="64" s="1"/>
  <c r="X39" i="64"/>
  <c r="AD39" i="64" s="1"/>
  <c r="B39" i="64"/>
  <c r="BC38" i="64"/>
  <c r="BD38" i="64" s="1"/>
  <c r="AB38" i="64"/>
  <c r="AH38" i="64" s="1"/>
  <c r="AA38" i="64"/>
  <c r="AG38" i="64" s="1"/>
  <c r="Z38" i="64"/>
  <c r="AF38" i="64" s="1"/>
  <c r="Y38" i="64"/>
  <c r="AE38" i="64" s="1"/>
  <c r="X38" i="64"/>
  <c r="AD38" i="64" s="1"/>
  <c r="B38" i="64"/>
  <c r="BC37" i="64"/>
  <c r="BD37" i="64" s="1"/>
  <c r="AB37" i="64"/>
  <c r="AA37" i="64"/>
  <c r="Z37" i="64"/>
  <c r="Y37" i="64"/>
  <c r="X37" i="64"/>
  <c r="P37" i="64"/>
  <c r="O37" i="64"/>
  <c r="N37" i="64"/>
  <c r="M37" i="64"/>
  <c r="L37" i="64"/>
  <c r="B37" i="64"/>
  <c r="BC35" i="64"/>
  <c r="BD35" i="64" s="1"/>
  <c r="AB35" i="64"/>
  <c r="AA35" i="64"/>
  <c r="AU35" i="64" s="1"/>
  <c r="Z35" i="64"/>
  <c r="Y35" i="64"/>
  <c r="AP35" i="64" s="1"/>
  <c r="X35" i="64"/>
  <c r="U35" i="64"/>
  <c r="T35" i="64"/>
  <c r="S35" i="64"/>
  <c r="R35" i="64"/>
  <c r="Q35" i="64"/>
  <c r="B35" i="64"/>
  <c r="BC34" i="64"/>
  <c r="BD34" i="64" s="1"/>
  <c r="AB34" i="64"/>
  <c r="AA34" i="64"/>
  <c r="AW34" i="64" s="1"/>
  <c r="Z34" i="64"/>
  <c r="AT34" i="64" s="1"/>
  <c r="Y34" i="64"/>
  <c r="X34" i="64"/>
  <c r="AL34" i="64" s="1"/>
  <c r="U34" i="64"/>
  <c r="T34" i="64"/>
  <c r="S34" i="64"/>
  <c r="R34" i="64"/>
  <c r="Q34" i="64"/>
  <c r="B34" i="64"/>
  <c r="BC33" i="64"/>
  <c r="BD33" i="64" s="1"/>
  <c r="AU33" i="64"/>
  <c r="AB33" i="64"/>
  <c r="AA33" i="64"/>
  <c r="AW33" i="64" s="1"/>
  <c r="Z33" i="64"/>
  <c r="Y33" i="64"/>
  <c r="X33" i="64"/>
  <c r="U33" i="64"/>
  <c r="T33" i="64"/>
  <c r="S33" i="64"/>
  <c r="R33" i="64"/>
  <c r="Q33" i="64"/>
  <c r="B33" i="64"/>
  <c r="BC32" i="64"/>
  <c r="BD32" i="64" s="1"/>
  <c r="AB32" i="64"/>
  <c r="AA32" i="64"/>
  <c r="AW32" i="64" s="1"/>
  <c r="Z32" i="64"/>
  <c r="Y32" i="64"/>
  <c r="AP32" i="64" s="1"/>
  <c r="X32" i="64"/>
  <c r="U32" i="64"/>
  <c r="T32" i="64"/>
  <c r="S32" i="64"/>
  <c r="R32" i="64"/>
  <c r="Q32" i="64"/>
  <c r="B32" i="64"/>
  <c r="BC31" i="64"/>
  <c r="BD31" i="64" s="1"/>
  <c r="AB31" i="64"/>
  <c r="AA31" i="64"/>
  <c r="AU31" i="64" s="1"/>
  <c r="Z31" i="64"/>
  <c r="Y31" i="64"/>
  <c r="AP31" i="64" s="1"/>
  <c r="X31" i="64"/>
  <c r="U31" i="64"/>
  <c r="T31" i="64"/>
  <c r="S31" i="64"/>
  <c r="R31" i="64"/>
  <c r="Q31" i="64"/>
  <c r="B31" i="64"/>
  <c r="BC30" i="64"/>
  <c r="BD30" i="64" s="1"/>
  <c r="AB30" i="64"/>
  <c r="AA30" i="64"/>
  <c r="Z30" i="64"/>
  <c r="Y30" i="64"/>
  <c r="X30" i="64"/>
  <c r="B30" i="64"/>
  <c r="A30" i="64"/>
  <c r="BC29" i="64"/>
  <c r="BD29" i="64" s="1"/>
  <c r="AB29" i="64"/>
  <c r="AA29" i="64"/>
  <c r="Z29" i="64"/>
  <c r="Y29" i="64"/>
  <c r="AP29" i="64" s="1"/>
  <c r="X29" i="64"/>
  <c r="U29" i="64"/>
  <c r="T29" i="64"/>
  <c r="S29" i="64"/>
  <c r="R29" i="64"/>
  <c r="Q29" i="64"/>
  <c r="B29" i="64"/>
  <c r="BC28" i="64"/>
  <c r="BD28" i="64" s="1"/>
  <c r="AB28" i="64"/>
  <c r="AA28" i="64"/>
  <c r="AV28" i="64" s="1"/>
  <c r="Z28" i="64"/>
  <c r="AT28" i="64" s="1"/>
  <c r="Y28" i="64"/>
  <c r="AP28" i="64" s="1"/>
  <c r="X28" i="64"/>
  <c r="U28" i="64"/>
  <c r="T28" i="64"/>
  <c r="S28" i="64"/>
  <c r="R28" i="64"/>
  <c r="Q28" i="64"/>
  <c r="B28" i="64"/>
  <c r="BC27" i="64"/>
  <c r="BD27" i="64" s="1"/>
  <c r="AB27" i="64"/>
  <c r="AA27" i="64"/>
  <c r="AU27" i="64" s="1"/>
  <c r="Z27" i="64"/>
  <c r="Y27" i="64"/>
  <c r="AP27" i="64" s="1"/>
  <c r="X27" i="64"/>
  <c r="U27" i="64"/>
  <c r="T27" i="64"/>
  <c r="S27" i="64"/>
  <c r="R27" i="64"/>
  <c r="Q27" i="64"/>
  <c r="B27" i="64"/>
  <c r="BC26" i="64"/>
  <c r="BD26" i="64" s="1"/>
  <c r="AB26" i="64"/>
  <c r="AA26" i="64"/>
  <c r="AU26" i="64" s="1"/>
  <c r="Z26" i="64"/>
  <c r="Y26" i="64"/>
  <c r="AP26" i="64" s="1"/>
  <c r="X26" i="64"/>
  <c r="U26" i="64"/>
  <c r="T26" i="64"/>
  <c r="S26" i="64"/>
  <c r="R26" i="64"/>
  <c r="Q26" i="64"/>
  <c r="B26" i="64"/>
  <c r="BC25" i="64"/>
  <c r="BD25" i="64" s="1"/>
  <c r="AB25" i="64"/>
  <c r="AA25" i="64"/>
  <c r="AX25" i="64" s="1"/>
  <c r="Z25" i="64"/>
  <c r="Y25" i="64"/>
  <c r="AN25" i="64" s="1"/>
  <c r="X25" i="64"/>
  <c r="U25" i="64"/>
  <c r="T25" i="64"/>
  <c r="S25" i="64"/>
  <c r="R25" i="64"/>
  <c r="Q25" i="64"/>
  <c r="B25" i="64"/>
  <c r="BC24" i="64"/>
  <c r="BD24" i="64" s="1"/>
  <c r="AB24" i="64"/>
  <c r="AA24" i="64"/>
  <c r="AW24" i="64" s="1"/>
  <c r="Z24" i="64"/>
  <c r="AS24" i="64" s="1"/>
  <c r="Y24" i="64"/>
  <c r="X24" i="64"/>
  <c r="U24" i="64"/>
  <c r="AL24" i="64" s="1"/>
  <c r="T24" i="64"/>
  <c r="S24" i="64"/>
  <c r="R24" i="64"/>
  <c r="Q24" i="64"/>
  <c r="B24" i="64"/>
  <c r="BC23" i="64"/>
  <c r="BD23" i="64" s="1"/>
  <c r="AB23" i="64"/>
  <c r="AA23" i="64"/>
  <c r="AW23" i="64" s="1"/>
  <c r="Z23" i="64"/>
  <c r="Y23" i="64"/>
  <c r="X23" i="64"/>
  <c r="U23" i="64"/>
  <c r="T23" i="64"/>
  <c r="S23" i="64"/>
  <c r="R23" i="64"/>
  <c r="Q23" i="64"/>
  <c r="B23" i="64"/>
  <c r="BC22" i="64"/>
  <c r="BD22" i="64" s="1"/>
  <c r="AB22" i="64"/>
  <c r="AA22" i="64"/>
  <c r="Z22" i="64"/>
  <c r="Y22" i="64"/>
  <c r="X22" i="64"/>
  <c r="B22" i="64"/>
  <c r="B21" i="64"/>
  <c r="BC20" i="64"/>
  <c r="BD20" i="64" s="1"/>
  <c r="U20" i="64"/>
  <c r="T20" i="64"/>
  <c r="V20" i="64" s="1"/>
  <c r="Q20" i="64"/>
  <c r="B20" i="64"/>
  <c r="BC19" i="64"/>
  <c r="BD19" i="64" s="1"/>
  <c r="U19" i="64"/>
  <c r="T19" i="64"/>
  <c r="V19" i="64" s="1"/>
  <c r="Q19" i="64"/>
  <c r="B19" i="64"/>
  <c r="BC18" i="64"/>
  <c r="BD18" i="64" s="1"/>
  <c r="AB18" i="64"/>
  <c r="AB19" i="64" s="1"/>
  <c r="AB20" i="64" s="1"/>
  <c r="AA18" i="64"/>
  <c r="Z18" i="64"/>
  <c r="Y18" i="64"/>
  <c r="X18" i="64"/>
  <c r="AJ18" i="64" s="1"/>
  <c r="U18" i="64"/>
  <c r="T18" i="64"/>
  <c r="S18" i="64"/>
  <c r="R18" i="64"/>
  <c r="Q18" i="64"/>
  <c r="B18" i="64"/>
  <c r="BC17" i="64"/>
  <c r="BD17" i="64" s="1"/>
  <c r="AB17" i="64"/>
  <c r="AA17" i="64"/>
  <c r="AU17" i="64" s="1"/>
  <c r="Z17" i="64"/>
  <c r="Y17" i="64"/>
  <c r="X17" i="64"/>
  <c r="U17" i="64"/>
  <c r="T17" i="64"/>
  <c r="S17" i="64"/>
  <c r="R17" i="64"/>
  <c r="Q17" i="64"/>
  <c r="B17" i="64"/>
  <c r="BC16" i="64"/>
  <c r="BD16" i="64" s="1"/>
  <c r="AB16" i="64"/>
  <c r="AA16" i="64"/>
  <c r="AX16" i="64" s="1"/>
  <c r="Z16" i="64"/>
  <c r="Y16" i="64"/>
  <c r="X16" i="64"/>
  <c r="U16" i="64"/>
  <c r="T16" i="64"/>
  <c r="S16" i="64"/>
  <c r="R16" i="64"/>
  <c r="Q16" i="64"/>
  <c r="B16" i="64"/>
  <c r="BC15" i="64"/>
  <c r="BD15" i="64" s="1"/>
  <c r="AB15" i="64"/>
  <c r="AA15" i="64"/>
  <c r="Z15" i="64"/>
  <c r="Y15" i="64"/>
  <c r="X15" i="64"/>
  <c r="B15" i="64"/>
  <c r="A15" i="64" s="1"/>
  <c r="B14" i="64"/>
  <c r="BC13" i="64"/>
  <c r="BD13" i="64" s="1"/>
  <c r="AB13" i="64"/>
  <c r="AA13" i="64"/>
  <c r="AW13" i="64" s="1"/>
  <c r="Z13" i="64"/>
  <c r="Y13" i="64"/>
  <c r="X13" i="64"/>
  <c r="AK13" i="64" s="1"/>
  <c r="U13" i="64"/>
  <c r="T13" i="64"/>
  <c r="S13" i="64"/>
  <c r="R13" i="64"/>
  <c r="Q13" i="64"/>
  <c r="B13" i="64"/>
  <c r="BC12" i="64"/>
  <c r="BD12" i="64" s="1"/>
  <c r="AB12" i="64"/>
  <c r="AA12" i="64"/>
  <c r="AX12" i="64" s="1"/>
  <c r="Z12" i="64"/>
  <c r="Y12" i="64"/>
  <c r="X12" i="64"/>
  <c r="U12" i="64"/>
  <c r="T12" i="64"/>
  <c r="S12" i="64"/>
  <c r="R12" i="64"/>
  <c r="Q12" i="64"/>
  <c r="B12" i="64"/>
  <c r="BC11" i="64"/>
  <c r="BD11" i="64" s="1"/>
  <c r="AB11" i="64"/>
  <c r="AA11" i="64"/>
  <c r="AW11" i="64" s="1"/>
  <c r="Z11" i="64"/>
  <c r="AQ11" i="64" s="1"/>
  <c r="Y11" i="64"/>
  <c r="AM11" i="64" s="1"/>
  <c r="X11" i="64"/>
  <c r="AI11" i="64" s="1"/>
  <c r="U11" i="64"/>
  <c r="T11" i="64"/>
  <c r="S11" i="64"/>
  <c r="Q11" i="64"/>
  <c r="BC10" i="64"/>
  <c r="BD10" i="64" s="1"/>
  <c r="AB10" i="64"/>
  <c r="AA10" i="64"/>
  <c r="AX10" i="64" s="1"/>
  <c r="Z10" i="64"/>
  <c r="Y10" i="64"/>
  <c r="X10" i="64"/>
  <c r="U10" i="64"/>
  <c r="T10" i="64"/>
  <c r="S10" i="64"/>
  <c r="R10" i="64"/>
  <c r="Q10" i="64"/>
  <c r="B10" i="64"/>
  <c r="BC9" i="64"/>
  <c r="BC8" i="64"/>
  <c r="AL44" i="64" l="1"/>
  <c r="AS33" i="64"/>
  <c r="V35" i="64"/>
  <c r="AQ44" i="64"/>
  <c r="AK55" i="64"/>
  <c r="AL86" i="64"/>
  <c r="AL16" i="64"/>
  <c r="V25" i="64"/>
  <c r="AP12" i="64"/>
  <c r="AP16" i="64"/>
  <c r="V23" i="64"/>
  <c r="R80" i="64"/>
  <c r="AQ80" i="64" s="1"/>
  <c r="R81" i="64"/>
  <c r="V85" i="64"/>
  <c r="AN85" i="64"/>
  <c r="AP86" i="64"/>
  <c r="S88" i="64"/>
  <c r="AR25" i="64"/>
  <c r="V16" i="64"/>
  <c r="AT12" i="64"/>
  <c r="AS17" i="64"/>
  <c r="AJ23" i="64"/>
  <c r="AK26" i="64"/>
  <c r="AL27" i="64"/>
  <c r="AI28" i="64"/>
  <c r="AL31" i="64"/>
  <c r="AK33" i="64"/>
  <c r="AP43" i="64"/>
  <c r="U80" i="64"/>
  <c r="S81" i="64"/>
  <c r="AV81" i="64"/>
  <c r="AS87" i="64"/>
  <c r="R98" i="64"/>
  <c r="AQ51" i="64"/>
  <c r="AP10" i="64"/>
  <c r="AT10" i="64"/>
  <c r="AS13" i="64"/>
  <c r="AR87" i="64"/>
  <c r="AW61" i="64"/>
  <c r="AR12" i="64"/>
  <c r="AU16" i="64"/>
  <c r="AS34" i="64"/>
  <c r="AN11" i="64"/>
  <c r="AO11" i="64"/>
  <c r="U58" i="64"/>
  <c r="AP56" i="64"/>
  <c r="AS12" i="64"/>
  <c r="AN13" i="64"/>
  <c r="AJ13" i="64"/>
  <c r="AW16" i="64"/>
  <c r="AK17" i="64"/>
  <c r="AK24" i="64"/>
  <c r="AS27" i="64"/>
  <c r="V28" i="64"/>
  <c r="AS29" i="64"/>
  <c r="AT32" i="64"/>
  <c r="AP34" i="64"/>
  <c r="AF35" i="64"/>
  <c r="S46" i="64"/>
  <c r="AR41" i="64"/>
  <c r="AL43" i="64"/>
  <c r="AR44" i="64"/>
  <c r="AQ77" i="64"/>
  <c r="S78" i="64"/>
  <c r="S80" i="64"/>
  <c r="T81" i="64"/>
  <c r="AV85" i="64"/>
  <c r="U89" i="64"/>
  <c r="R92" i="64"/>
  <c r="AR94" i="64"/>
  <c r="R96" i="64"/>
  <c r="AQ96" i="64" s="1"/>
  <c r="AI98" i="64"/>
  <c r="AP17" i="64"/>
  <c r="AM24" i="64"/>
  <c r="AH25" i="64"/>
  <c r="AL26" i="64"/>
  <c r="AL28" i="64"/>
  <c r="T46" i="64"/>
  <c r="AS41" i="64"/>
  <c r="AN42" i="64"/>
  <c r="AS52" i="64"/>
  <c r="U72" i="64"/>
  <c r="AP72" i="64" s="1"/>
  <c r="R76" i="64"/>
  <c r="AI76" i="64" s="1"/>
  <c r="T78" i="64"/>
  <c r="AK78" i="64" s="1"/>
  <c r="AU79" i="64"/>
  <c r="AH85" i="64"/>
  <c r="R88" i="64"/>
  <c r="V88" i="64" s="1"/>
  <c r="AE88" i="64" s="1"/>
  <c r="AX88" i="64"/>
  <c r="AL89" i="64"/>
  <c r="AP89" i="64"/>
  <c r="S37" i="64"/>
  <c r="AP41" i="64"/>
  <c r="S79" i="64"/>
  <c r="U90" i="64"/>
  <c r="AS86" i="64"/>
  <c r="AT87" i="64"/>
  <c r="T88" i="64"/>
  <c r="AK88" i="64" s="1"/>
  <c r="AR89" i="64"/>
  <c r="R94" i="64"/>
  <c r="AT98" i="64"/>
  <c r="AP13" i="64"/>
  <c r="AR16" i="64"/>
  <c r="AQ26" i="64"/>
  <c r="AR31" i="64"/>
  <c r="V32" i="64"/>
  <c r="AJ42" i="64"/>
  <c r="AI48" i="64"/>
  <c r="T53" i="64"/>
  <c r="AT72" i="64"/>
  <c r="U73" i="64"/>
  <c r="AX73" i="64" s="1"/>
  <c r="S77" i="64"/>
  <c r="AJ77" i="64" s="1"/>
  <c r="AQ78" i="64"/>
  <c r="T79" i="64"/>
  <c r="AK80" i="64"/>
  <c r="AN81" i="64"/>
  <c r="AL10" i="64"/>
  <c r="AL12" i="64"/>
  <c r="AQ13" i="64"/>
  <c r="AP18" i="64"/>
  <c r="AO23" i="64"/>
  <c r="AL25" i="64"/>
  <c r="V44" i="64"/>
  <c r="AJ48" i="64"/>
  <c r="AW78" i="64"/>
  <c r="U79" i="64"/>
  <c r="AP80" i="64"/>
  <c r="AK85" i="64"/>
  <c r="AL87" i="64"/>
  <c r="T94" i="64"/>
  <c r="AS18" i="64"/>
  <c r="AQ23" i="64"/>
  <c r="AJ29" i="64"/>
  <c r="V33" i="64"/>
  <c r="AH33" i="64" s="1"/>
  <c r="AK35" i="64"/>
  <c r="AR54" i="64"/>
  <c r="AN56" i="64"/>
  <c r="S98" i="64"/>
  <c r="AR98" i="64" s="1"/>
  <c r="AP55" i="64"/>
  <c r="AP57" i="64"/>
  <c r="AU80" i="64"/>
  <c r="AF85" i="64"/>
  <c r="AP88" i="64"/>
  <c r="T89" i="64"/>
  <c r="AP94" i="64"/>
  <c r="T98" i="64"/>
  <c r="AT31" i="64"/>
  <c r="AQ17" i="64"/>
  <c r="AK16" i="64"/>
  <c r="AV17" i="64"/>
  <c r="AH23" i="64"/>
  <c r="AW28" i="64"/>
  <c r="AR51" i="64"/>
  <c r="AO61" i="64"/>
  <c r="AV27" i="64"/>
  <c r="AK54" i="64"/>
  <c r="AR62" i="64"/>
  <c r="AS26" i="64"/>
  <c r="AR60" i="64"/>
  <c r="AT11" i="64"/>
  <c r="AX26" i="64"/>
  <c r="AL29" i="64"/>
  <c r="AM41" i="64"/>
  <c r="AX48" i="64"/>
  <c r="AI53" i="64"/>
  <c r="AI55" i="64"/>
  <c r="AR63" i="64"/>
  <c r="AO80" i="64"/>
  <c r="AL23" i="64"/>
  <c r="AV25" i="64"/>
  <c r="AK29" i="64"/>
  <c r="AM35" i="64"/>
  <c r="AO41" i="64"/>
  <c r="AS63" i="64"/>
  <c r="AI25" i="64"/>
  <c r="AJ35" i="64"/>
  <c r="AV52" i="64"/>
  <c r="AU55" i="64"/>
  <c r="AI88" i="64"/>
  <c r="AX11" i="64"/>
  <c r="AI16" i="64"/>
  <c r="AL18" i="64"/>
  <c r="AJ24" i="64"/>
  <c r="AI24" i="64"/>
  <c r="AJ25" i="64"/>
  <c r="AI26" i="64"/>
  <c r="AM28" i="64"/>
  <c r="AJ31" i="64"/>
  <c r="AM32" i="64"/>
  <c r="AS50" i="64"/>
  <c r="AW52" i="64"/>
  <c r="AN54" i="64"/>
  <c r="AX55" i="64"/>
  <c r="AL60" i="64"/>
  <c r="AS61" i="64"/>
  <c r="AV73" i="64"/>
  <c r="AU81" i="64"/>
  <c r="AN87" i="64"/>
  <c r="AQ10" i="64"/>
  <c r="AM18" i="64"/>
  <c r="AJ16" i="64"/>
  <c r="AJ17" i="64"/>
  <c r="AI17" i="64"/>
  <c r="AK18" i="64"/>
  <c r="AJ27" i="64"/>
  <c r="AG28" i="64"/>
  <c r="AN28" i="64"/>
  <c r="AN32" i="64"/>
  <c r="AI33" i="64"/>
  <c r="AO35" i="64"/>
  <c r="AX52" i="64"/>
  <c r="AJ57" i="64"/>
  <c r="AV61" i="64"/>
  <c r="AW73" i="64"/>
  <c r="AN23" i="64"/>
  <c r="AU24" i="64"/>
  <c r="AT27" i="64"/>
  <c r="AO28" i="64"/>
  <c r="AO32" i="64"/>
  <c r="AW60" i="64"/>
  <c r="AV63" i="64"/>
  <c r="AR86" i="64"/>
  <c r="AL17" i="64"/>
  <c r="AP23" i="64"/>
  <c r="AX24" i="64"/>
  <c r="AV26" i="64"/>
  <c r="AU28" i="64"/>
  <c r="AV31" i="64"/>
  <c r="AV32" i="64"/>
  <c r="AL33" i="64"/>
  <c r="AE49" i="64"/>
  <c r="AS51" i="64"/>
  <c r="AX60" i="64"/>
  <c r="AN80" i="64"/>
  <c r="AJ49" i="64"/>
  <c r="AO49" i="64"/>
  <c r="AJ53" i="64"/>
  <c r="AR80" i="64"/>
  <c r="AW10" i="64"/>
  <c r="AX34" i="64"/>
  <c r="AG35" i="64"/>
  <c r="AF49" i="64"/>
  <c r="AW85" i="64"/>
  <c r="AU11" i="64"/>
  <c r="AW17" i="64"/>
  <c r="AN18" i="64"/>
  <c r="X19" i="64"/>
  <c r="X20" i="64" s="1"/>
  <c r="AI23" i="64"/>
  <c r="AF25" i="64"/>
  <c r="AX28" i="64"/>
  <c r="AR29" i="64"/>
  <c r="AX32" i="64"/>
  <c r="AI34" i="64"/>
  <c r="AV35" i="64"/>
  <c r="AW42" i="64"/>
  <c r="AU43" i="64"/>
  <c r="AJ51" i="64"/>
  <c r="AO52" i="64"/>
  <c r="AU56" i="64"/>
  <c r="AX85" i="64"/>
  <c r="AJ97" i="64"/>
  <c r="AV11" i="64"/>
  <c r="AO12" i="64"/>
  <c r="AS16" i="64"/>
  <c r="AX17" i="64"/>
  <c r="Y19" i="64"/>
  <c r="AT25" i="64"/>
  <c r="AW26" i="64"/>
  <c r="AN27" i="64"/>
  <c r="AT29" i="64"/>
  <c r="AN31" i="64"/>
  <c r="AQ33" i="64"/>
  <c r="AJ34" i="64"/>
  <c r="AK34" i="64"/>
  <c r="AW35" i="64"/>
  <c r="AX42" i="64"/>
  <c r="AV43" i="64"/>
  <c r="AK49" i="64"/>
  <c r="AN50" i="64"/>
  <c r="AK51" i="64"/>
  <c r="AN53" i="64"/>
  <c r="AU54" i="64"/>
  <c r="AV56" i="64"/>
  <c r="AU57" i="64"/>
  <c r="AO88" i="64"/>
  <c r="AT16" i="64"/>
  <c r="AK23" i="64"/>
  <c r="AU25" i="64"/>
  <c r="AR27" i="64"/>
  <c r="AG32" i="64"/>
  <c r="AW43" i="64"/>
  <c r="AM49" i="64"/>
  <c r="AO51" i="64"/>
  <c r="AQ53" i="64"/>
  <c r="AV54" i="64"/>
  <c r="AU60" i="64"/>
  <c r="AT62" i="64"/>
  <c r="AX63" i="64"/>
  <c r="AO77" i="64"/>
  <c r="AX79" i="64"/>
  <c r="AL80" i="64"/>
  <c r="AI80" i="64"/>
  <c r="AN89" i="64"/>
  <c r="AS78" i="64"/>
  <c r="AM88" i="64"/>
  <c r="AT89" i="64"/>
  <c r="AJ98" i="64"/>
  <c r="AM13" i="64"/>
  <c r="AV16" i="64"/>
  <c r="AO17" i="64"/>
  <c r="AW25" i="64"/>
  <c r="AX33" i="64"/>
  <c r="AR49" i="64"/>
  <c r="AV50" i="64"/>
  <c r="AN73" i="64"/>
  <c r="AM80" i="64"/>
  <c r="AI85" i="64"/>
  <c r="AN88" i="64"/>
  <c r="AX89" i="64"/>
  <c r="AI94" i="64"/>
  <c r="AK98" i="64"/>
  <c r="AO13" i="64"/>
  <c r="AR23" i="64"/>
  <c r="AO26" i="64"/>
  <c r="AK48" i="64"/>
  <c r="AS49" i="64"/>
  <c r="AW50" i="64"/>
  <c r="AT51" i="64"/>
  <c r="AJ54" i="64"/>
  <c r="AI56" i="64"/>
  <c r="AX61" i="64"/>
  <c r="AK63" i="64"/>
  <c r="AO73" i="64"/>
  <c r="AN77" i="64"/>
  <c r="AR77" i="64"/>
  <c r="AU85" i="64"/>
  <c r="AJ86" i="64"/>
  <c r="AJ87" i="64"/>
  <c r="AS88" i="64"/>
  <c r="AJ94" i="64"/>
  <c r="AI96" i="64"/>
  <c r="AL11" i="64"/>
  <c r="AR13" i="64"/>
  <c r="AF16" i="64"/>
  <c r="AL19" i="64"/>
  <c r="AX23" i="64"/>
  <c r="AS25" i="64"/>
  <c r="AM27" i="64"/>
  <c r="AM31" i="64"/>
  <c r="AU32" i="64"/>
  <c r="AJ33" i="64"/>
  <c r="AV34" i="64"/>
  <c r="AL35" i="64"/>
  <c r="AI35" i="64"/>
  <c r="AO42" i="64"/>
  <c r="AM43" i="64"/>
  <c r="AU48" i="64"/>
  <c r="AT49" i="64"/>
  <c r="AX50" i="64"/>
  <c r="AM54" i="64"/>
  <c r="AM56" i="64"/>
  <c r="AI57" i="64"/>
  <c r="AL63" i="64"/>
  <c r="AL76" i="64"/>
  <c r="AL77" i="64"/>
  <c r="AS80" i="64"/>
  <c r="AI81" i="64"/>
  <c r="AK86" i="64"/>
  <c r="AK87" i="64"/>
  <c r="AU88" i="64"/>
  <c r="AK94" i="64"/>
  <c r="AQ94" i="64"/>
  <c r="AH20" i="64"/>
  <c r="AI32" i="64"/>
  <c r="AJ32" i="64"/>
  <c r="AJ12" i="64"/>
  <c r="AT13" i="64"/>
  <c r="AL13" i="64"/>
  <c r="AG16" i="64"/>
  <c r="AE16" i="64"/>
  <c r="AH16" i="64"/>
  <c r="AA19" i="64"/>
  <c r="AU18" i="64"/>
  <c r="AX18" i="64"/>
  <c r="AW18" i="64"/>
  <c r="AQ18" i="64"/>
  <c r="AJ26" i="64"/>
  <c r="AN26" i="64"/>
  <c r="V26" i="64"/>
  <c r="AK10" i="64"/>
  <c r="T37" i="64"/>
  <c r="AR10" i="64"/>
  <c r="AJ11" i="64"/>
  <c r="AN12" i="64"/>
  <c r="AM12" i="64"/>
  <c r="AR18" i="64"/>
  <c r="AM23" i="64"/>
  <c r="AP24" i="64"/>
  <c r="AJ28" i="64"/>
  <c r="AK31" i="64"/>
  <c r="AO31" i="64"/>
  <c r="V31" i="64"/>
  <c r="R37" i="64"/>
  <c r="V10" i="64"/>
  <c r="AT18" i="64"/>
  <c r="AH28" i="64"/>
  <c r="AF28" i="64"/>
  <c r="AE28" i="64"/>
  <c r="AD28" i="64"/>
  <c r="AV12" i="64"/>
  <c r="AU12" i="64"/>
  <c r="V17" i="64"/>
  <c r="AV18" i="64"/>
  <c r="AI12" i="64"/>
  <c r="V12" i="64"/>
  <c r="AV13" i="64"/>
  <c r="AX13" i="64"/>
  <c r="V18" i="64"/>
  <c r="AI18" i="64"/>
  <c r="AH19" i="64"/>
  <c r="AE19" i="64"/>
  <c r="AD19" i="64"/>
  <c r="V24" i="64"/>
  <c r="AX29" i="64"/>
  <c r="AW29" i="64"/>
  <c r="AV29" i="64"/>
  <c r="AU29" i="64"/>
  <c r="AG23" i="64"/>
  <c r="AD23" i="64"/>
  <c r="U37" i="64"/>
  <c r="V11" i="64"/>
  <c r="AK11" i="64"/>
  <c r="AO16" i="64"/>
  <c r="AM16" i="64"/>
  <c r="AT24" i="64"/>
  <c r="AN16" i="64"/>
  <c r="AN10" i="64"/>
  <c r="AM10" i="64"/>
  <c r="AJ10" i="64"/>
  <c r="F129" i="64"/>
  <c r="F116" i="64" s="1"/>
  <c r="E126" i="64"/>
  <c r="G124" i="64"/>
  <c r="D123" i="64"/>
  <c r="F121" i="64"/>
  <c r="D126" i="64"/>
  <c r="E124" i="64"/>
  <c r="G122" i="64"/>
  <c r="D121" i="64"/>
  <c r="G125" i="64"/>
  <c r="D124" i="64"/>
  <c r="F122" i="64"/>
  <c r="F125" i="64"/>
  <c r="E122" i="64"/>
  <c r="E125" i="64"/>
  <c r="G123" i="64"/>
  <c r="D122" i="64"/>
  <c r="G126" i="64"/>
  <c r="D125" i="64"/>
  <c r="F123" i="64"/>
  <c r="G121" i="64"/>
  <c r="G129" i="64"/>
  <c r="G116" i="64" s="1"/>
  <c r="E121" i="64"/>
  <c r="F126" i="64"/>
  <c r="F124" i="64"/>
  <c r="E123" i="64"/>
  <c r="AS10" i="64"/>
  <c r="AP11" i="64"/>
  <c r="V13" i="64"/>
  <c r="AI13" i="64"/>
  <c r="AN17" i="64"/>
  <c r="AJ19" i="64"/>
  <c r="AE23" i="64"/>
  <c r="AU23" i="64"/>
  <c r="AO25" i="64"/>
  <c r="AM25" i="64"/>
  <c r="AP25" i="64"/>
  <c r="AR26" i="64"/>
  <c r="AT26" i="64"/>
  <c r="AI29" i="64"/>
  <c r="V29" i="64"/>
  <c r="AS31" i="64"/>
  <c r="AH32" i="64"/>
  <c r="AF32" i="64"/>
  <c r="AE32" i="64"/>
  <c r="AD32" i="64"/>
  <c r="Z19" i="64"/>
  <c r="AI10" i="64"/>
  <c r="AG25" i="64"/>
  <c r="AE25" i="64"/>
  <c r="AD25" i="64"/>
  <c r="Q37" i="64"/>
  <c r="AV10" i="64"/>
  <c r="AU10" i="64"/>
  <c r="AO10" i="64"/>
  <c r="AS11" i="64"/>
  <c r="AR11" i="64"/>
  <c r="AK12" i="64"/>
  <c r="AW12" i="64"/>
  <c r="AU13" i="64"/>
  <c r="AD16" i="64"/>
  <c r="AR17" i="64"/>
  <c r="AT17" i="64"/>
  <c r="AF23" i="64"/>
  <c r="AV23" i="64"/>
  <c r="AK27" i="64"/>
  <c r="V27" i="64"/>
  <c r="AL32" i="64"/>
  <c r="AE50" i="64"/>
  <c r="AD50" i="64"/>
  <c r="AH50" i="64"/>
  <c r="AF50" i="64"/>
  <c r="AG50" i="64"/>
  <c r="AL52" i="64"/>
  <c r="AK52" i="64"/>
  <c r="AI52" i="64"/>
  <c r="AQ32" i="64"/>
  <c r="AT42" i="64"/>
  <c r="AL42" i="64"/>
  <c r="AQ16" i="64"/>
  <c r="AO18" i="64"/>
  <c r="AS23" i="64"/>
  <c r="AN24" i="64"/>
  <c r="AV24" i="64"/>
  <c r="AQ25" i="64"/>
  <c r="AO27" i="64"/>
  <c r="AW27" i="64"/>
  <c r="AR28" i="64"/>
  <c r="AM29" i="64"/>
  <c r="AW31" i="64"/>
  <c r="AR32" i="64"/>
  <c r="AO33" i="64"/>
  <c r="AN33" i="64"/>
  <c r="AM33" i="64"/>
  <c r="AO34" i="64"/>
  <c r="AM34" i="64"/>
  <c r="AX41" i="64"/>
  <c r="AW41" i="64"/>
  <c r="AV41" i="64"/>
  <c r="AU41" i="64"/>
  <c r="V42" i="64"/>
  <c r="AP42" i="64"/>
  <c r="AQ43" i="64"/>
  <c r="AI43" i="64"/>
  <c r="V43" i="64"/>
  <c r="AX44" i="64"/>
  <c r="AW44" i="64"/>
  <c r="AV44" i="64"/>
  <c r="AU44" i="64"/>
  <c r="AF48" i="64"/>
  <c r="AT48" i="64"/>
  <c r="AS48" i="64"/>
  <c r="AR48" i="64"/>
  <c r="AQ48" i="64"/>
  <c r="AX49" i="64"/>
  <c r="AW49" i="64"/>
  <c r="AG49" i="64"/>
  <c r="AV49" i="64"/>
  <c r="AU49" i="64"/>
  <c r="V54" i="64"/>
  <c r="V60" i="64"/>
  <c r="R64" i="64"/>
  <c r="AI60" i="64"/>
  <c r="AQ60" i="64"/>
  <c r="AQ28" i="64"/>
  <c r="AP44" i="64"/>
  <c r="AO44" i="64"/>
  <c r="AN44" i="64"/>
  <c r="AM44" i="64"/>
  <c r="AM17" i="64"/>
  <c r="AM19" i="64"/>
  <c r="AT23" i="64"/>
  <c r="AO24" i="64"/>
  <c r="AM26" i="64"/>
  <c r="AX27" i="64"/>
  <c r="AK28" i="64"/>
  <c r="AS28" i="64"/>
  <c r="AN29" i="64"/>
  <c r="AX31" i="64"/>
  <c r="AK32" i="64"/>
  <c r="AS32" i="64"/>
  <c r="AT33" i="64"/>
  <c r="AR33" i="64"/>
  <c r="AP33" i="64"/>
  <c r="AR34" i="64"/>
  <c r="AN34" i="64"/>
  <c r="AN35" i="64"/>
  <c r="AR43" i="64"/>
  <c r="AJ43" i="64"/>
  <c r="AI51" i="64"/>
  <c r="V51" i="64"/>
  <c r="AM51" i="64"/>
  <c r="AT53" i="64"/>
  <c r="AS53" i="64"/>
  <c r="AT57" i="64"/>
  <c r="AS57" i="64"/>
  <c r="AR57" i="64"/>
  <c r="AM60" i="64"/>
  <c r="R61" i="64"/>
  <c r="AK25" i="64"/>
  <c r="AI27" i="64"/>
  <c r="AQ27" i="64"/>
  <c r="AO29" i="64"/>
  <c r="AI31" i="64"/>
  <c r="AQ31" i="64"/>
  <c r="AT35" i="64"/>
  <c r="AR35" i="64"/>
  <c r="AL50" i="64"/>
  <c r="AK50" i="64"/>
  <c r="AJ50" i="64"/>
  <c r="S58" i="64"/>
  <c r="AJ52" i="64"/>
  <c r="AX53" i="64"/>
  <c r="AW53" i="64"/>
  <c r="AV53" i="64"/>
  <c r="AU53" i="64"/>
  <c r="AQ24" i="64"/>
  <c r="AG33" i="64"/>
  <c r="AF33" i="64"/>
  <c r="AD33" i="64"/>
  <c r="AQ35" i="64"/>
  <c r="AH44" i="64"/>
  <c r="AG44" i="64"/>
  <c r="AF44" i="64"/>
  <c r="AE44" i="64"/>
  <c r="AD44" i="64"/>
  <c r="AM50" i="64"/>
  <c r="AQ12" i="64"/>
  <c r="AR24" i="64"/>
  <c r="AQ29" i="64"/>
  <c r="AE33" i="64"/>
  <c r="AS35" i="64"/>
  <c r="V52" i="64"/>
  <c r="AN52" i="64"/>
  <c r="T58" i="64"/>
  <c r="V53" i="64"/>
  <c r="AK53" i="64"/>
  <c r="AT56" i="64"/>
  <c r="AL56" i="64"/>
  <c r="V56" i="64"/>
  <c r="V34" i="64"/>
  <c r="U46" i="64"/>
  <c r="AX51" i="64"/>
  <c r="AW51" i="64"/>
  <c r="AV51" i="64"/>
  <c r="AU51" i="64"/>
  <c r="AH57" i="64"/>
  <c r="AG57" i="64"/>
  <c r="AF57" i="64"/>
  <c r="AE57" i="64"/>
  <c r="AD57" i="64"/>
  <c r="U65" i="64"/>
  <c r="AE35" i="64"/>
  <c r="AD35" i="64"/>
  <c r="AH35" i="64"/>
  <c r="AO48" i="64"/>
  <c r="AN48" i="64"/>
  <c r="AM48" i="64"/>
  <c r="AE48" i="64"/>
  <c r="AP48" i="64"/>
  <c r="R58" i="64"/>
  <c r="AI50" i="64"/>
  <c r="AT55" i="64"/>
  <c r="AS55" i="64"/>
  <c r="AR55" i="64"/>
  <c r="AK79" i="64"/>
  <c r="AO79" i="64"/>
  <c r="AU34" i="64"/>
  <c r="AX35" i="64"/>
  <c r="AL41" i="64"/>
  <c r="AT41" i="64"/>
  <c r="AI42" i="64"/>
  <c r="AN43" i="64"/>
  <c r="AK44" i="64"/>
  <c r="AD49" i="64"/>
  <c r="AL49" i="64"/>
  <c r="AP50" i="64"/>
  <c r="AP52" i="64"/>
  <c r="AO54" i="64"/>
  <c r="AW54" i="64"/>
  <c r="AJ55" i="64"/>
  <c r="AO60" i="64"/>
  <c r="AJ73" i="64"/>
  <c r="U74" i="64"/>
  <c r="T74" i="64"/>
  <c r="S74" i="64"/>
  <c r="R74" i="64"/>
  <c r="U75" i="64"/>
  <c r="T75" i="64"/>
  <c r="AS75" i="64" s="1"/>
  <c r="S75" i="64"/>
  <c r="AJ75" i="64" s="1"/>
  <c r="R75" i="64"/>
  <c r="AM75" i="64" s="1"/>
  <c r="AL79" i="64"/>
  <c r="AX87" i="64"/>
  <c r="AW87" i="64"/>
  <c r="AV87" i="64"/>
  <c r="AU87" i="64"/>
  <c r="AS89" i="64"/>
  <c r="AK89" i="64"/>
  <c r="AO89" i="64"/>
  <c r="AO43" i="64"/>
  <c r="AQ50" i="64"/>
  <c r="AQ52" i="64"/>
  <c r="AO56" i="64"/>
  <c r="AW56" i="64"/>
  <c r="AP60" i="64"/>
  <c r="V62" i="64"/>
  <c r="T64" i="64"/>
  <c r="AS62" i="64"/>
  <c r="AT63" i="64"/>
  <c r="AL73" i="64"/>
  <c r="AX77" i="64"/>
  <c r="AW77" i="64"/>
  <c r="AV77" i="64"/>
  <c r="AU77" i="64"/>
  <c r="AI92" i="64"/>
  <c r="AN41" i="64"/>
  <c r="AK42" i="64"/>
  <c r="R46" i="64"/>
  <c r="AD48" i="64"/>
  <c r="AN49" i="64"/>
  <c r="AR50" i="64"/>
  <c r="AN51" i="64"/>
  <c r="AR52" i="64"/>
  <c r="AM53" i="64"/>
  <c r="AI54" i="64"/>
  <c r="AQ54" i="64"/>
  <c r="AL55" i="64"/>
  <c r="AL57" i="64"/>
  <c r="AW62" i="64"/>
  <c r="V63" i="64"/>
  <c r="AQ76" i="64"/>
  <c r="AP79" i="64"/>
  <c r="AT79" i="64"/>
  <c r="U93" i="64"/>
  <c r="AL93" i="64" s="1"/>
  <c r="T93" i="64"/>
  <c r="S93" i="64"/>
  <c r="AV93" i="64" s="1"/>
  <c r="R93" i="64"/>
  <c r="R99" i="64" s="1"/>
  <c r="AM55" i="64"/>
  <c r="AQ56" i="64"/>
  <c r="AM57" i="64"/>
  <c r="AJ62" i="64"/>
  <c r="AK72" i="64"/>
  <c r="AN74" i="64"/>
  <c r="AM74" i="64"/>
  <c r="AN75" i="64"/>
  <c r="AI77" i="64"/>
  <c r="V77" i="64"/>
  <c r="AM77" i="64"/>
  <c r="AI78" i="64"/>
  <c r="AS79" i="64"/>
  <c r="AW89" i="64"/>
  <c r="AV33" i="64"/>
  <c r="AQ34" i="64"/>
  <c r="V41" i="64"/>
  <c r="AM42" i="64"/>
  <c r="AU42" i="64"/>
  <c r="AV48" i="64"/>
  <c r="AO53" i="64"/>
  <c r="AS54" i="64"/>
  <c r="V55" i="64"/>
  <c r="AN55" i="64"/>
  <c r="AV55" i="64"/>
  <c r="AJ56" i="64"/>
  <c r="AR56" i="64"/>
  <c r="AN57" i="64"/>
  <c r="AW57" i="64"/>
  <c r="AJ60" i="64"/>
  <c r="AS60" i="64"/>
  <c r="AK61" i="64"/>
  <c r="AN62" i="64"/>
  <c r="AM62" i="64"/>
  <c r="AK62" i="64"/>
  <c r="AO63" i="64"/>
  <c r="AM63" i="64"/>
  <c r="AS74" i="64"/>
  <c r="AR75" i="64"/>
  <c r="AP76" i="64"/>
  <c r="AK77" i="64"/>
  <c r="AI79" i="64"/>
  <c r="AT81" i="64"/>
  <c r="AL81" i="64"/>
  <c r="AI41" i="64"/>
  <c r="AK43" i="64"/>
  <c r="AG48" i="64"/>
  <c r="AO55" i="64"/>
  <c r="AO57" i="64"/>
  <c r="AX57" i="64"/>
  <c r="AL62" i="64"/>
  <c r="AL72" i="64"/>
  <c r="AV74" i="64"/>
  <c r="AV75" i="64"/>
  <c r="AT76" i="64"/>
  <c r="AR78" i="64"/>
  <c r="AJ78" i="64"/>
  <c r="AV78" i="64"/>
  <c r="AP93" i="64"/>
  <c r="AV62" i="64"/>
  <c r="AU62" i="64"/>
  <c r="AO62" i="64"/>
  <c r="AP63" i="64"/>
  <c r="AK73" i="64"/>
  <c r="AX76" i="64"/>
  <c r="AU76" i="64"/>
  <c r="AS77" i="64"/>
  <c r="AG85" i="64"/>
  <c r="AE85" i="64"/>
  <c r="AD85" i="64"/>
  <c r="AI87" i="64"/>
  <c r="V87" i="64"/>
  <c r="AQ92" i="64"/>
  <c r="AU63" i="64"/>
  <c r="AO72" i="64"/>
  <c r="AW72" i="64"/>
  <c r="AQ74" i="64"/>
  <c r="S76" i="64"/>
  <c r="AV76" i="64" s="1"/>
  <c r="AT77" i="64"/>
  <c r="U78" i="64"/>
  <c r="AM78" i="64"/>
  <c r="AU78" i="64"/>
  <c r="AJ80" i="64"/>
  <c r="AT80" i="64"/>
  <c r="AO86" i="64"/>
  <c r="AN86" i="64"/>
  <c r="AM86" i="64"/>
  <c r="AR88" i="64"/>
  <c r="AJ88" i="64"/>
  <c r="AV88" i="64"/>
  <c r="AT92" i="64"/>
  <c r="AS94" i="64"/>
  <c r="AL96" i="64"/>
  <c r="AN97" i="64"/>
  <c r="AM97" i="64"/>
  <c r="AR97" i="64"/>
  <c r="V98" i="64"/>
  <c r="T76" i="64"/>
  <c r="AK76" i="64" s="1"/>
  <c r="AN78" i="64"/>
  <c r="AP81" i="64"/>
  <c r="AO85" i="64"/>
  <c r="AM85" i="64"/>
  <c r="AP85" i="64"/>
  <c r="AQ86" i="64"/>
  <c r="AX92" i="64"/>
  <c r="AU92" i="64"/>
  <c r="AX94" i="64"/>
  <c r="AT94" i="64"/>
  <c r="AQ97" i="64"/>
  <c r="R73" i="64"/>
  <c r="AR73" i="64"/>
  <c r="AM76" i="64"/>
  <c r="AO78" i="64"/>
  <c r="AX80" i="64"/>
  <c r="AW80" i="64"/>
  <c r="AV80" i="64"/>
  <c r="AQ81" i="64"/>
  <c r="AM81" i="64"/>
  <c r="AT85" i="64"/>
  <c r="AS85" i="64"/>
  <c r="AR85" i="64"/>
  <c r="AR90" i="64" s="1"/>
  <c r="AQ85" i="64"/>
  <c r="AW86" i="64"/>
  <c r="AV86" i="64"/>
  <c r="AU86" i="64"/>
  <c r="AX86" i="64"/>
  <c r="AT88" i="64"/>
  <c r="AL88" i="64"/>
  <c r="AV97" i="64"/>
  <c r="AU97" i="64"/>
  <c r="AX97" i="64"/>
  <c r="I108" i="64"/>
  <c r="R72" i="64"/>
  <c r="AQ72" i="64" s="1"/>
  <c r="AS73" i="64"/>
  <c r="AQ79" i="64"/>
  <c r="AX81" i="64"/>
  <c r="AI86" i="64"/>
  <c r="V86" i="64"/>
  <c r="AD88" i="64"/>
  <c r="AH88" i="64"/>
  <c r="AG88" i="64"/>
  <c r="AL92" i="64"/>
  <c r="AO93" i="64"/>
  <c r="AM93" i="64"/>
  <c r="V94" i="64"/>
  <c r="U97" i="64"/>
  <c r="T97" i="64"/>
  <c r="AL98" i="64"/>
  <c r="AI63" i="64"/>
  <c r="S72" i="64"/>
  <c r="K11" i="4" s="1"/>
  <c r="AS72" i="64"/>
  <c r="AU74" i="64"/>
  <c r="AW79" i="64"/>
  <c r="AR81" i="64"/>
  <c r="AJ81" i="64"/>
  <c r="S90" i="64"/>
  <c r="AP87" i="64"/>
  <c r="AM87" i="64"/>
  <c r="AJ89" i="64"/>
  <c r="AP96" i="64"/>
  <c r="AP98" i="64"/>
  <c r="AQ98" i="64"/>
  <c r="T90" i="64"/>
  <c r="AW93" i="64"/>
  <c r="AX93" i="64"/>
  <c r="AT96" i="64"/>
  <c r="AI97" i="64"/>
  <c r="AS98" i="64"/>
  <c r="AX96" i="64"/>
  <c r="AU96" i="64"/>
  <c r="AX98" i="64"/>
  <c r="AO81" i="64"/>
  <c r="AJ85" i="64"/>
  <c r="AT86" i="64"/>
  <c r="AW88" i="64"/>
  <c r="S92" i="64"/>
  <c r="AT93" i="64"/>
  <c r="AM94" i="64"/>
  <c r="AU94" i="64"/>
  <c r="S96" i="64"/>
  <c r="AJ96" i="64" s="1"/>
  <c r="AM98" i="64"/>
  <c r="AU98" i="64"/>
  <c r="AO87" i="64"/>
  <c r="T92" i="64"/>
  <c r="AN94" i="64"/>
  <c r="AV94" i="64"/>
  <c r="T96" i="64"/>
  <c r="AW96" i="64" s="1"/>
  <c r="AN98" i="64"/>
  <c r="AV98" i="64"/>
  <c r="AL85" i="64"/>
  <c r="R89" i="64"/>
  <c r="AQ89" i="64" s="1"/>
  <c r="AM92" i="64"/>
  <c r="AO94" i="64"/>
  <c r="AW94" i="64"/>
  <c r="AM96" i="64"/>
  <c r="AO98" i="64"/>
  <c r="AW98" i="64"/>
  <c r="AQ87" i="64"/>
  <c r="AN92" i="64"/>
  <c r="J11" i="4" l="1"/>
  <c r="V92" i="64"/>
  <c r="V79" i="64"/>
  <c r="L11" i="4"/>
  <c r="AX72" i="64"/>
  <c r="V80" i="64"/>
  <c r="M11" i="4"/>
  <c r="AT73" i="64"/>
  <c r="AP73" i="64"/>
  <c r="V97" i="64"/>
  <c r="F128" i="64"/>
  <c r="F115" i="64" s="1"/>
  <c r="AS96" i="64"/>
  <c r="AF88" i="64"/>
  <c r="AY88" i="64" s="1"/>
  <c r="AZ88" i="64" s="1"/>
  <c r="AQ61" i="64"/>
  <c r="T65" i="64"/>
  <c r="T67" i="64" s="1"/>
  <c r="R65" i="64"/>
  <c r="R67" i="64" s="1"/>
  <c r="AY28" i="64"/>
  <c r="AZ28" i="64" s="1"/>
  <c r="AG80" i="64"/>
  <c r="AE80" i="64"/>
  <c r="AF80" i="64"/>
  <c r="AD80" i="64"/>
  <c r="AH80" i="64"/>
  <c r="AN93" i="64"/>
  <c r="AS92" i="64"/>
  <c r="AJ79" i="64"/>
  <c r="AV92" i="64"/>
  <c r="AN79" i="64"/>
  <c r="AS81" i="64"/>
  <c r="V81" i="64"/>
  <c r="U99" i="64"/>
  <c r="AT97" i="64"/>
  <c r="AQ88" i="64"/>
  <c r="AV79" i="64"/>
  <c r="AW81" i="64"/>
  <c r="AR79" i="64"/>
  <c r="T82" i="64"/>
  <c r="AK81" i="64"/>
  <c r="AL90" i="64"/>
  <c r="AV90" i="64"/>
  <c r="AW90" i="64"/>
  <c r="AY16" i="64"/>
  <c r="AZ16" i="64" s="1"/>
  <c r="AN90" i="64"/>
  <c r="AK90" i="64"/>
  <c r="AY35" i="64"/>
  <c r="AZ35" i="64" s="1"/>
  <c r="AT90" i="64"/>
  <c r="AX99" i="64"/>
  <c r="AX90" i="64"/>
  <c r="AY48" i="64"/>
  <c r="AZ48" i="64" s="1"/>
  <c r="AJ90" i="64"/>
  <c r="AP19" i="64"/>
  <c r="AO19" i="64"/>
  <c r="AN19" i="64"/>
  <c r="Y20" i="64"/>
  <c r="AK19" i="64"/>
  <c r="AI19" i="64"/>
  <c r="AH92" i="64"/>
  <c r="AF92" i="64"/>
  <c r="AE92" i="64"/>
  <c r="AD92" i="64"/>
  <c r="AG92" i="64"/>
  <c r="AR92" i="64"/>
  <c r="AX78" i="64"/>
  <c r="AL78" i="64"/>
  <c r="AT78" i="64"/>
  <c r="AW76" i="64"/>
  <c r="AS76" i="64"/>
  <c r="AH79" i="64"/>
  <c r="AG79" i="64"/>
  <c r="AF79" i="64"/>
  <c r="AD79" i="64"/>
  <c r="AE79" i="64"/>
  <c r="AT74" i="64"/>
  <c r="AL74" i="64"/>
  <c r="AX74" i="64"/>
  <c r="AI61" i="64"/>
  <c r="V61" i="64"/>
  <c r="V64" i="64" s="1"/>
  <c r="AF60" i="64"/>
  <c r="AH60" i="64"/>
  <c r="AG60" i="64"/>
  <c r="AE60" i="64"/>
  <c r="AD60" i="64"/>
  <c r="AH43" i="64"/>
  <c r="AG43" i="64"/>
  <c r="AF43" i="64"/>
  <c r="AE43" i="64"/>
  <c r="AD43" i="64"/>
  <c r="AV96" i="64"/>
  <c r="AV99" i="64" s="1"/>
  <c r="S82" i="64"/>
  <c r="AR72" i="64"/>
  <c r="AJ72" i="64"/>
  <c r="AV72" i="64"/>
  <c r="AN72" i="64"/>
  <c r="AH98" i="64"/>
  <c r="AG98" i="64"/>
  <c r="AF98" i="64"/>
  <c r="AE98" i="64"/>
  <c r="AD98" i="64"/>
  <c r="AH87" i="64"/>
  <c r="AG87" i="64"/>
  <c r="AF87" i="64"/>
  <c r="AE87" i="64"/>
  <c r="AD87" i="64"/>
  <c r="V75" i="64"/>
  <c r="AU75" i="64"/>
  <c r="AQ75" i="64"/>
  <c r="AI75" i="64"/>
  <c r="AR61" i="64"/>
  <c r="AJ61" i="64"/>
  <c r="AJ67" i="64" s="1"/>
  <c r="S64" i="64"/>
  <c r="S65" i="64" s="1"/>
  <c r="S67" i="64" s="1"/>
  <c r="AN61" i="64"/>
  <c r="E128" i="64"/>
  <c r="E115" i="64" s="1"/>
  <c r="G128" i="64"/>
  <c r="G115" i="64" s="1"/>
  <c r="F127" i="64"/>
  <c r="F114" i="64" s="1"/>
  <c r="AH55" i="64"/>
  <c r="AG55" i="64"/>
  <c r="AF55" i="64"/>
  <c r="AE55" i="64"/>
  <c r="AD55" i="64"/>
  <c r="AH51" i="64"/>
  <c r="AG51" i="64"/>
  <c r="AF51" i="64"/>
  <c r="AE51" i="64"/>
  <c r="AD51" i="64"/>
  <c r="AD54" i="64"/>
  <c r="AH54" i="64"/>
  <c r="AG54" i="64"/>
  <c r="AF54" i="64"/>
  <c r="AE54" i="64"/>
  <c r="AY32" i="64"/>
  <c r="AZ32" i="64" s="1"/>
  <c r="AJ20" i="64"/>
  <c r="AI20" i="64"/>
  <c r="AL20" i="64"/>
  <c r="AL67" i="64" s="1"/>
  <c r="AU93" i="64"/>
  <c r="AU99" i="64" s="1"/>
  <c r="AP90" i="64"/>
  <c r="AT99" i="64"/>
  <c r="AN76" i="64"/>
  <c r="AR76" i="64"/>
  <c r="AJ76" i="64"/>
  <c r="AO75" i="64"/>
  <c r="V76" i="64"/>
  <c r="AO74" i="64"/>
  <c r="AY49" i="64"/>
  <c r="AZ49" i="64" s="1"/>
  <c r="U67" i="64"/>
  <c r="AH53" i="64"/>
  <c r="AG53" i="64"/>
  <c r="AF53" i="64"/>
  <c r="AE53" i="64"/>
  <c r="AD53" i="64"/>
  <c r="AY25" i="64"/>
  <c r="AZ25" i="64" s="1"/>
  <c r="D128" i="64"/>
  <c r="H122" i="64"/>
  <c r="D129" i="64"/>
  <c r="AU89" i="64"/>
  <c r="AU90" i="64" s="1"/>
  <c r="AM89" i="64"/>
  <c r="AI89" i="64"/>
  <c r="AI90" i="64" s="1"/>
  <c r="V89" i="64"/>
  <c r="V90" i="64" s="1"/>
  <c r="AY57" i="64"/>
  <c r="AZ57" i="64" s="1"/>
  <c r="AY33" i="64"/>
  <c r="AZ33" i="64" s="1"/>
  <c r="E113" i="64"/>
  <c r="H124" i="64"/>
  <c r="H126" i="64"/>
  <c r="AH17" i="64"/>
  <c r="AE17" i="64"/>
  <c r="AD17" i="64"/>
  <c r="AG17" i="64"/>
  <c r="AF17" i="64"/>
  <c r="AK96" i="64"/>
  <c r="AO96" i="64"/>
  <c r="AG97" i="64"/>
  <c r="AF97" i="64"/>
  <c r="AE97" i="64"/>
  <c r="AD97" i="64"/>
  <c r="AH97" i="64"/>
  <c r="AY85" i="64"/>
  <c r="R90" i="64"/>
  <c r="AY44" i="64"/>
  <c r="AZ44" i="64" s="1"/>
  <c r="AP74" i="64"/>
  <c r="AF42" i="64"/>
  <c r="AE42" i="64"/>
  <c r="AD42" i="64"/>
  <c r="AG42" i="64"/>
  <c r="AH42" i="64"/>
  <c r="AY50" i="64"/>
  <c r="AZ50" i="64" s="1"/>
  <c r="AF13" i="64"/>
  <c r="AD13" i="64"/>
  <c r="AH13" i="64"/>
  <c r="AE13" i="64"/>
  <c r="AG13" i="64"/>
  <c r="G127" i="64"/>
  <c r="G114" i="64" s="1"/>
  <c r="AM90" i="64"/>
  <c r="AK97" i="64"/>
  <c r="AS97" i="64"/>
  <c r="AW97" i="64"/>
  <c r="AO90" i="64"/>
  <c r="AG63" i="64"/>
  <c r="AE63" i="64"/>
  <c r="AH63" i="64"/>
  <c r="AF63" i="64"/>
  <c r="AD63" i="64"/>
  <c r="AE18" i="64"/>
  <c r="AH18" i="64"/>
  <c r="AG18" i="64"/>
  <c r="AF18" i="64"/>
  <c r="AD18" i="64"/>
  <c r="AL97" i="64"/>
  <c r="AL99" i="64" s="1"/>
  <c r="AP97" i="64"/>
  <c r="AP99" i="64" s="1"/>
  <c r="V96" i="64"/>
  <c r="AW92" i="64"/>
  <c r="AO97" i="64"/>
  <c r="U82" i="64"/>
  <c r="U100" i="64" s="1"/>
  <c r="AH41" i="64"/>
  <c r="AG41" i="64"/>
  <c r="AF41" i="64"/>
  <c r="AE41" i="64"/>
  <c r="AD41" i="64"/>
  <c r="V46" i="64"/>
  <c r="AS93" i="64"/>
  <c r="AK93" i="64"/>
  <c r="V74" i="64"/>
  <c r="AI74" i="64"/>
  <c r="AG34" i="64"/>
  <c r="AE34" i="64"/>
  <c r="AH34" i="64"/>
  <c r="AD34" i="64"/>
  <c r="AF34" i="64"/>
  <c r="AE52" i="64"/>
  <c r="AD52" i="64"/>
  <c r="AH52" i="64"/>
  <c r="AG52" i="64"/>
  <c r="AF52" i="64"/>
  <c r="G113" i="64"/>
  <c r="E127" i="64"/>
  <c r="E114" i="64" s="1"/>
  <c r="E129" i="64"/>
  <c r="E116" i="64" s="1"/>
  <c r="AH11" i="64"/>
  <c r="AF11" i="64"/>
  <c r="AG11" i="64"/>
  <c r="AE11" i="64"/>
  <c r="AD11" i="64"/>
  <c r="V37" i="64"/>
  <c r="AF10" i="64"/>
  <c r="AE10" i="64"/>
  <c r="AH10" i="64"/>
  <c r="AG10" i="64"/>
  <c r="AD10" i="64"/>
  <c r="AH26" i="64"/>
  <c r="AG26" i="64"/>
  <c r="AF26" i="64"/>
  <c r="AE26" i="64"/>
  <c r="AD26" i="64"/>
  <c r="AX19" i="64"/>
  <c r="AA20" i="64"/>
  <c r="AU19" i="64"/>
  <c r="AG19" i="64"/>
  <c r="AW19" i="64"/>
  <c r="AV19" i="64"/>
  <c r="V78" i="64"/>
  <c r="AI93" i="64"/>
  <c r="AI99" i="64" s="1"/>
  <c r="V93" i="64"/>
  <c r="AW75" i="64"/>
  <c r="AK75" i="64"/>
  <c r="AQ93" i="64"/>
  <c r="AQ99" i="64" s="1"/>
  <c r="AQ90" i="64"/>
  <c r="AR93" i="64"/>
  <c r="AJ93" i="64"/>
  <c r="AL75" i="64"/>
  <c r="AX75" i="64"/>
  <c r="AP75" i="64"/>
  <c r="AN96" i="64"/>
  <c r="AN99" i="64" s="1"/>
  <c r="AM99" i="64"/>
  <c r="T99" i="64"/>
  <c r="T100" i="64" s="1"/>
  <c r="T101" i="64" s="1"/>
  <c r="AK92" i="64"/>
  <c r="AO92" i="64"/>
  <c r="AR96" i="64"/>
  <c r="AO76" i="64"/>
  <c r="AH94" i="64"/>
  <c r="AG94" i="64"/>
  <c r="AF94" i="64"/>
  <c r="AE94" i="64"/>
  <c r="AD94" i="64"/>
  <c r="R82" i="64"/>
  <c r="AI72" i="64"/>
  <c r="AM72" i="64"/>
  <c r="V72" i="64"/>
  <c r="AU72" i="64"/>
  <c r="AS90" i="64"/>
  <c r="AT75" i="64"/>
  <c r="AM61" i="64"/>
  <c r="AH77" i="64"/>
  <c r="AG77" i="64"/>
  <c r="AF77" i="64"/>
  <c r="AE77" i="64"/>
  <c r="AD77" i="64"/>
  <c r="AR74" i="64"/>
  <c r="AJ74" i="64"/>
  <c r="AD56" i="64"/>
  <c r="AH56" i="64"/>
  <c r="AG56" i="64"/>
  <c r="AF56" i="64"/>
  <c r="AE56" i="64"/>
  <c r="V58" i="64"/>
  <c r="D113" i="64"/>
  <c r="H121" i="64"/>
  <c r="F113" i="64"/>
  <c r="AD24" i="64"/>
  <c r="AH24" i="64"/>
  <c r="AG24" i="64"/>
  <c r="AF24" i="64"/>
  <c r="AE24" i="64"/>
  <c r="AK74" i="64"/>
  <c r="AW74" i="64"/>
  <c r="AR19" i="64"/>
  <c r="Z20" i="64"/>
  <c r="AT19" i="64"/>
  <c r="AQ19" i="64"/>
  <c r="AS19" i="64"/>
  <c r="AH29" i="64"/>
  <c r="AG29" i="64"/>
  <c r="AF29" i="64"/>
  <c r="AD29" i="64"/>
  <c r="AE29" i="64"/>
  <c r="H125" i="64"/>
  <c r="H123" i="64"/>
  <c r="AY23" i="64"/>
  <c r="AZ23" i="64" s="1"/>
  <c r="AF12" i="64"/>
  <c r="AE12" i="64"/>
  <c r="AG12" i="64"/>
  <c r="AD12" i="64"/>
  <c r="AH12" i="64"/>
  <c r="AE31" i="64"/>
  <c r="AH31" i="64"/>
  <c r="AF31" i="64"/>
  <c r="AG31" i="64"/>
  <c r="AD31" i="64"/>
  <c r="AK20" i="64"/>
  <c r="AK67" i="64" s="1"/>
  <c r="AF19" i="64"/>
  <c r="S99" i="64"/>
  <c r="S100" i="64" s="1"/>
  <c r="AJ92" i="64"/>
  <c r="AG86" i="64"/>
  <c r="AF86" i="64"/>
  <c r="AE86" i="64"/>
  <c r="AD86" i="64"/>
  <c r="AH86" i="64"/>
  <c r="AU73" i="64"/>
  <c r="AM73" i="64"/>
  <c r="AI73" i="64"/>
  <c r="V73" i="64"/>
  <c r="AQ73" i="64"/>
  <c r="AQ82" i="64" s="1"/>
  <c r="AF62" i="64"/>
  <c r="AE62" i="64"/>
  <c r="AH62" i="64"/>
  <c r="AG62" i="64"/>
  <c r="AD62" i="64"/>
  <c r="AP78" i="64"/>
  <c r="AE27" i="64"/>
  <c r="AH27" i="64"/>
  <c r="AG27" i="64"/>
  <c r="AF27" i="64"/>
  <c r="AD27" i="64"/>
  <c r="D127" i="64"/>
  <c r="AD20" i="64"/>
  <c r="D5" i="50" l="1"/>
  <c r="R100" i="64"/>
  <c r="R101" i="64" s="1"/>
  <c r="V99" i="64"/>
  <c r="AS82" i="64"/>
  <c r="F117" i="64"/>
  <c r="D130" i="64"/>
  <c r="F130" i="64"/>
  <c r="U101" i="64"/>
  <c r="AI67" i="64"/>
  <c r="AY80" i="64"/>
  <c r="AZ80" i="64" s="1"/>
  <c r="AW99" i="64"/>
  <c r="AV82" i="64"/>
  <c r="AV100" i="64" s="1"/>
  <c r="G117" i="64"/>
  <c r="AF81" i="64"/>
  <c r="AH81" i="64"/>
  <c r="AE81" i="64"/>
  <c r="AG81" i="64"/>
  <c r="AD81" i="64"/>
  <c r="AY41" i="64"/>
  <c r="AZ41" i="64" s="1"/>
  <c r="AL82" i="64"/>
  <c r="AW82" i="64"/>
  <c r="AK82" i="64"/>
  <c r="AO99" i="64"/>
  <c r="AO100" i="64" s="1"/>
  <c r="AY56" i="64"/>
  <c r="AZ56" i="64" s="1"/>
  <c r="AY94" i="64"/>
  <c r="AZ94" i="64" s="1"/>
  <c r="AS99" i="64"/>
  <c r="AS100" i="64" s="1"/>
  <c r="AY11" i="64"/>
  <c r="AZ11" i="64" s="1"/>
  <c r="AY13" i="64"/>
  <c r="AZ13" i="64" s="1"/>
  <c r="AO82" i="64"/>
  <c r="AY19" i="64"/>
  <c r="AZ19" i="64" s="1"/>
  <c r="AN82" i="64"/>
  <c r="AN100" i="64" s="1"/>
  <c r="AP20" i="64"/>
  <c r="AP67" i="64" s="1"/>
  <c r="AE20" i="64"/>
  <c r="AO20" i="64"/>
  <c r="AO67" i="64" s="1"/>
  <c r="AN20" i="64"/>
  <c r="AN67" i="64" s="1"/>
  <c r="AM20" i="64"/>
  <c r="AM67" i="64" s="1"/>
  <c r="AY24" i="64"/>
  <c r="AZ24" i="64" s="1"/>
  <c r="AI82" i="64"/>
  <c r="AI100" i="64" s="1"/>
  <c r="V65" i="64"/>
  <c r="D12" i="50" s="1"/>
  <c r="AY29" i="64"/>
  <c r="AZ29" i="64" s="1"/>
  <c r="AY77" i="64"/>
  <c r="AZ77" i="64" s="1"/>
  <c r="AY17" i="64"/>
  <c r="AZ17" i="64" s="1"/>
  <c r="D116" i="64"/>
  <c r="H129" i="64"/>
  <c r="H116" i="64" s="1"/>
  <c r="AY79" i="64"/>
  <c r="AZ79" i="64" s="1"/>
  <c r="AQ100" i="64"/>
  <c r="AJ99" i="64"/>
  <c r="AF74" i="64"/>
  <c r="AE74" i="64"/>
  <c r="AD74" i="64"/>
  <c r="AH74" i="64"/>
  <c r="AG74" i="64"/>
  <c r="AP82" i="64"/>
  <c r="AP100" i="64" s="1"/>
  <c r="H113" i="64"/>
  <c r="AU82" i="64"/>
  <c r="AU100" i="64" s="1"/>
  <c r="AY26" i="64"/>
  <c r="AZ26" i="64" s="1"/>
  <c r="AY51" i="64"/>
  <c r="AY98" i="64"/>
  <c r="AZ98" i="64" s="1"/>
  <c r="AJ82" i="64"/>
  <c r="AG93" i="64"/>
  <c r="AF93" i="64"/>
  <c r="AE93" i="64"/>
  <c r="AD93" i="64"/>
  <c r="AH93" i="64"/>
  <c r="AT82" i="64"/>
  <c r="AT100" i="64" s="1"/>
  <c r="AY27" i="64"/>
  <c r="AZ27" i="64" s="1"/>
  <c r="AH96" i="64"/>
  <c r="AF96" i="64"/>
  <c r="AE96" i="64"/>
  <c r="AD96" i="64"/>
  <c r="AG96" i="64"/>
  <c r="S101" i="64"/>
  <c r="AD72" i="64"/>
  <c r="V82" i="64"/>
  <c r="V100" i="64" s="1"/>
  <c r="D22" i="50" s="1"/>
  <c r="D24" i="50" s="1"/>
  <c r="AH72" i="64"/>
  <c r="AG72" i="64"/>
  <c r="AF72" i="64"/>
  <c r="AE72" i="64"/>
  <c r="AY34" i="64"/>
  <c r="AZ34" i="64" s="1"/>
  <c r="AG75" i="64"/>
  <c r="AF75" i="64"/>
  <c r="AE75" i="64"/>
  <c r="AD75" i="64"/>
  <c r="AH75" i="64"/>
  <c r="AR82" i="64"/>
  <c r="AE61" i="64"/>
  <c r="AH61" i="64"/>
  <c r="AG61" i="64"/>
  <c r="AF61" i="64"/>
  <c r="AD61" i="64"/>
  <c r="E117" i="64"/>
  <c r="H128" i="64"/>
  <c r="H115" i="64" s="1"/>
  <c r="D115" i="64"/>
  <c r="AY55" i="64"/>
  <c r="AZ55" i="64" s="1"/>
  <c r="AM82" i="64"/>
  <c r="AM100" i="64" s="1"/>
  <c r="AY63" i="64"/>
  <c r="AZ63" i="64" s="1"/>
  <c r="AZ85" i="64"/>
  <c r="AE89" i="64"/>
  <c r="AE90" i="64" s="1"/>
  <c r="AH89" i="64"/>
  <c r="AH90" i="64" s="1"/>
  <c r="AG89" i="64"/>
  <c r="AG90" i="64" s="1"/>
  <c r="AF89" i="64"/>
  <c r="AF90" i="64" s="1"/>
  <c r="AD89" i="64"/>
  <c r="AD90" i="64" s="1"/>
  <c r="AY87" i="64"/>
  <c r="AZ87" i="64" s="1"/>
  <c r="AY60" i="64"/>
  <c r="AR99" i="64"/>
  <c r="AY92" i="64"/>
  <c r="AZ92" i="64" s="1"/>
  <c r="AH37" i="64"/>
  <c r="AF37" i="64"/>
  <c r="AD37" i="64"/>
  <c r="AG37" i="64"/>
  <c r="AE37" i="64"/>
  <c r="AY86" i="64"/>
  <c r="AZ86" i="64" s="1"/>
  <c r="AY31" i="64"/>
  <c r="AZ31" i="64" s="1"/>
  <c r="AY12" i="64"/>
  <c r="AZ12" i="64" s="1"/>
  <c r="AY18" i="64"/>
  <c r="AZ18" i="64" s="1"/>
  <c r="AL100" i="64"/>
  <c r="AL101" i="64" s="1"/>
  <c r="H104" i="64" s="1"/>
  <c r="G15" i="47" s="1"/>
  <c r="AX82" i="64"/>
  <c r="AX100" i="64" s="1"/>
  <c r="AE46" i="64"/>
  <c r="AD46" i="64"/>
  <c r="AH46" i="64"/>
  <c r="AF46" i="64"/>
  <c r="AG46" i="64"/>
  <c r="AY42" i="64"/>
  <c r="AZ42" i="64" s="1"/>
  <c r="AY53" i="64"/>
  <c r="AZ53" i="64" s="1"/>
  <c r="AH76" i="64"/>
  <c r="AG76" i="64"/>
  <c r="AF76" i="64"/>
  <c r="AE76" i="64"/>
  <c r="AD76" i="64"/>
  <c r="AY43" i="64"/>
  <c r="AZ43" i="64" s="1"/>
  <c r="AR20" i="64"/>
  <c r="AR67" i="64" s="1"/>
  <c r="AQ20" i="64"/>
  <c r="AQ67" i="64" s="1"/>
  <c r="AS20" i="64"/>
  <c r="AS67" i="64" s="1"/>
  <c r="AT20" i="64"/>
  <c r="AT67" i="64" s="1"/>
  <c r="AF20" i="64"/>
  <c r="AE73" i="64"/>
  <c r="AD73" i="64"/>
  <c r="AH73" i="64"/>
  <c r="AG73" i="64"/>
  <c r="AF73" i="64"/>
  <c r="H127" i="64"/>
  <c r="H114" i="64" s="1"/>
  <c r="D114" i="64"/>
  <c r="AY62" i="64"/>
  <c r="AZ62" i="64" s="1"/>
  <c r="AK99" i="64"/>
  <c r="AH78" i="64"/>
  <c r="AG78" i="64"/>
  <c r="AF78" i="64"/>
  <c r="AE78" i="64"/>
  <c r="AD78" i="64"/>
  <c r="AW20" i="64"/>
  <c r="AW67" i="64" s="1"/>
  <c r="AU20" i="64"/>
  <c r="AU67" i="64" s="1"/>
  <c r="AX20" i="64"/>
  <c r="AX67" i="64" s="1"/>
  <c r="AV20" i="64"/>
  <c r="AV67" i="64" s="1"/>
  <c r="AG20" i="64"/>
  <c r="AY10" i="64"/>
  <c r="G130" i="64"/>
  <c r="AY52" i="64"/>
  <c r="AZ52" i="64" s="1"/>
  <c r="AW100" i="64"/>
  <c r="AY97" i="64"/>
  <c r="AZ97" i="64" s="1"/>
  <c r="E130" i="64"/>
  <c r="AY54" i="64"/>
  <c r="AZ54" i="64" s="1"/>
  <c r="AE99" i="64" l="1"/>
  <c r="D117" i="64"/>
  <c r="AI101" i="64"/>
  <c r="E104" i="64" s="1"/>
  <c r="D15" i="47" s="1"/>
  <c r="AV101" i="64"/>
  <c r="F107" i="64" s="1"/>
  <c r="E18" i="47" s="1"/>
  <c r="AK100" i="64"/>
  <c r="AK101" i="64" s="1"/>
  <c r="G104" i="64" s="1"/>
  <c r="F15" i="47" s="1"/>
  <c r="AY81" i="64"/>
  <c r="AZ81" i="64" s="1"/>
  <c r="AE67" i="64"/>
  <c r="AD99" i="64"/>
  <c r="AO101" i="64"/>
  <c r="G105" i="64" s="1"/>
  <c r="F16" i="47" s="1"/>
  <c r="AS101" i="64"/>
  <c r="G106" i="64" s="1"/>
  <c r="F17" i="47" s="1"/>
  <c r="H117" i="64"/>
  <c r="H130" i="64"/>
  <c r="AY76" i="64"/>
  <c r="AZ76" i="64" s="1"/>
  <c r="AG67" i="64"/>
  <c r="AD67" i="64"/>
  <c r="AJ100" i="64"/>
  <c r="AJ101" i="64" s="1"/>
  <c r="F104" i="64" s="1"/>
  <c r="E15" i="47" s="1"/>
  <c r="AN101" i="64"/>
  <c r="F105" i="64" s="1"/>
  <c r="E16" i="47" s="1"/>
  <c r="AM101" i="64"/>
  <c r="E105" i="64" s="1"/>
  <c r="AH67" i="64"/>
  <c r="AF99" i="64"/>
  <c r="AY20" i="64"/>
  <c r="AZ20" i="64" s="1"/>
  <c r="AG99" i="64"/>
  <c r="AP101" i="64"/>
  <c r="H105" i="64" s="1"/>
  <c r="G16" i="47" s="1"/>
  <c r="AY46" i="64"/>
  <c r="AZ46" i="64" s="1"/>
  <c r="AH99" i="64"/>
  <c r="AR100" i="64"/>
  <c r="AR101" i="64" s="1"/>
  <c r="F106" i="64" s="1"/>
  <c r="E17" i="47" s="1"/>
  <c r="AZ60" i="64"/>
  <c r="V67" i="64"/>
  <c r="V101" i="64" s="1"/>
  <c r="AW101" i="64"/>
  <c r="G107" i="64" s="1"/>
  <c r="F18" i="47" s="1"/>
  <c r="AD82" i="64"/>
  <c r="AY72" i="64"/>
  <c r="AQ101" i="64"/>
  <c r="E106" i="64" s="1"/>
  <c r="D17" i="47" s="1"/>
  <c r="AF67" i="64"/>
  <c r="AF101" i="64" s="1"/>
  <c r="AY89" i="64"/>
  <c r="AZ89" i="64" s="1"/>
  <c r="AE82" i="64"/>
  <c r="AE100" i="64" s="1"/>
  <c r="AY58" i="64"/>
  <c r="AZ58" i="64" s="1"/>
  <c r="AZ51" i="64"/>
  <c r="AF82" i="64"/>
  <c r="AT101" i="64"/>
  <c r="H106" i="64" s="1"/>
  <c r="AU101" i="64"/>
  <c r="E107" i="64" s="1"/>
  <c r="D18" i="47" s="1"/>
  <c r="AY37" i="64"/>
  <c r="AZ37" i="64" s="1"/>
  <c r="AZ10" i="64"/>
  <c r="AY73" i="64"/>
  <c r="AZ73" i="64" s="1"/>
  <c r="AY61" i="64"/>
  <c r="AZ61" i="64" s="1"/>
  <c r="AG82" i="64"/>
  <c r="AG100" i="64" s="1"/>
  <c r="AY96" i="64"/>
  <c r="AZ96" i="64" s="1"/>
  <c r="AY93" i="64"/>
  <c r="AZ93" i="64" s="1"/>
  <c r="AY74" i="64"/>
  <c r="AZ74" i="64" s="1"/>
  <c r="AY78" i="64"/>
  <c r="AZ78" i="64" s="1"/>
  <c r="AX101" i="64"/>
  <c r="H107" i="64" s="1"/>
  <c r="G18" i="47" s="1"/>
  <c r="AY75" i="64"/>
  <c r="AZ75" i="64" s="1"/>
  <c r="AH82" i="64"/>
  <c r="AD100" i="64" l="1"/>
  <c r="AH100" i="64"/>
  <c r="AH101" i="64" s="1"/>
  <c r="D104" i="64"/>
  <c r="I104" i="64" s="1"/>
  <c r="AE101" i="64"/>
  <c r="AG101" i="64"/>
  <c r="AY99" i="64"/>
  <c r="AZ99" i="64" s="1"/>
  <c r="G109" i="64"/>
  <c r="E11" i="4" s="1"/>
  <c r="AD101" i="64"/>
  <c r="F109" i="64"/>
  <c r="D11" i="4" s="1"/>
  <c r="AF100" i="64"/>
  <c r="H109" i="64"/>
  <c r="F11" i="4" s="1"/>
  <c r="G17" i="47"/>
  <c r="D105" i="64"/>
  <c r="I105" i="64" s="1"/>
  <c r="D16" i="47"/>
  <c r="D106" i="64"/>
  <c r="AY64" i="64"/>
  <c r="AY82" i="64"/>
  <c r="AZ82" i="64" s="1"/>
  <c r="AZ72" i="64"/>
  <c r="D107" i="64"/>
  <c r="AY90" i="64"/>
  <c r="AZ90" i="64" s="1"/>
  <c r="E109" i="64"/>
  <c r="C11" i="4" s="1"/>
  <c r="AY100" i="64" l="1"/>
  <c r="AZ100" i="64" s="1"/>
  <c r="D109" i="64"/>
  <c r="I109" i="64" s="1"/>
  <c r="AY65" i="64"/>
  <c r="AZ64" i="64"/>
  <c r="I107" i="64"/>
  <c r="I106" i="64"/>
  <c r="J109" i="64" l="1"/>
  <c r="K105" i="64"/>
  <c r="K106" i="64"/>
  <c r="K107" i="64"/>
  <c r="K104" i="64"/>
  <c r="K108" i="64"/>
  <c r="AY67" i="64"/>
  <c r="AZ65" i="64"/>
  <c r="K109" i="64" l="1"/>
  <c r="AZ67" i="64"/>
  <c r="AY101" i="64"/>
  <c r="AZ101" i="64" l="1"/>
  <c r="AD109" i="64"/>
  <c r="N420" i="24" l="1"/>
  <c r="I420" i="24"/>
  <c r="N417" i="24"/>
  <c r="R417" i="24"/>
  <c r="N413" i="24"/>
  <c r="I302" i="24"/>
  <c r="N284" i="24"/>
  <c r="I284" i="24"/>
  <c r="M282" i="24"/>
  <c r="L282" i="24"/>
  <c r="K282" i="24"/>
  <c r="J282" i="24"/>
  <c r="I281" i="24"/>
  <c r="N281" i="24"/>
  <c r="M279" i="24"/>
  <c r="L279" i="24"/>
  <c r="K279" i="24"/>
  <c r="J279" i="24"/>
  <c r="N278" i="24"/>
  <c r="I278" i="24"/>
  <c r="P302" i="24" l="1"/>
  <c r="P313" i="24" s="1"/>
  <c r="R302" i="24"/>
  <c r="R313" i="24" s="1"/>
  <c r="Q302" i="24"/>
  <c r="Q313" i="24" s="1"/>
  <c r="O302" i="24"/>
  <c r="Q417" i="24"/>
  <c r="O417" i="24"/>
  <c r="P417" i="24"/>
  <c r="N282" i="24"/>
  <c r="N279" i="24"/>
  <c r="O313" i="24" l="1"/>
  <c r="S302" i="24"/>
  <c r="S417" i="24"/>
  <c r="N242" i="24" l="1"/>
  <c r="N243" i="24"/>
  <c r="N244" i="24"/>
  <c r="N245" i="24"/>
  <c r="N246" i="24"/>
  <c r="N247" i="24"/>
  <c r="M248" i="24"/>
  <c r="N241" i="24"/>
  <c r="L248" i="24"/>
  <c r="K248" i="24"/>
  <c r="J248" i="24"/>
  <c r="Y242" i="24" l="1"/>
  <c r="AC242" i="24"/>
  <c r="AB242" i="24"/>
  <c r="Z242" i="24"/>
  <c r="AA242" i="24"/>
  <c r="Z245" i="24"/>
  <c r="AA245" i="24"/>
  <c r="AB245" i="24"/>
  <c r="AC245" i="24"/>
  <c r="Y245" i="24"/>
  <c r="Z243" i="24"/>
  <c r="AB243" i="24"/>
  <c r="AC243" i="24"/>
  <c r="Y243" i="24"/>
  <c r="AA243" i="24"/>
  <c r="AA241" i="24"/>
  <c r="AB241" i="24"/>
  <c r="AC241" i="24"/>
  <c r="Z241" i="24"/>
  <c r="Y241" i="24"/>
  <c r="Y244" i="24"/>
  <c r="Z244" i="24"/>
  <c r="AB244" i="24"/>
  <c r="AC244" i="24"/>
  <c r="AA244" i="24"/>
  <c r="AB246" i="24"/>
  <c r="AC246" i="24"/>
  <c r="Y246" i="24"/>
  <c r="AA246" i="24"/>
  <c r="Z246" i="24"/>
  <c r="Z247" i="24"/>
  <c r="AB247" i="24"/>
  <c r="AA247" i="24"/>
  <c r="Y247" i="24"/>
  <c r="AC247" i="24"/>
  <c r="N176" i="24"/>
  <c r="N177" i="24"/>
  <c r="AD242" i="24" l="1"/>
  <c r="AE242" i="24" s="1"/>
  <c r="AD243" i="24"/>
  <c r="AE243" i="24" s="1"/>
  <c r="AD244" i="24"/>
  <c r="AE244" i="24" s="1"/>
  <c r="AD241" i="24"/>
  <c r="AE241" i="24" s="1"/>
  <c r="AD246" i="24"/>
  <c r="AE246" i="24" s="1"/>
  <c r="AD247" i="24"/>
  <c r="AE247" i="24" s="1"/>
  <c r="AD245" i="24"/>
  <c r="AE245" i="24" s="1"/>
  <c r="S176" i="24"/>
  <c r="S177" i="24"/>
  <c r="AB176" i="24" l="1"/>
  <c r="AC176" i="24"/>
  <c r="Z176" i="24"/>
  <c r="Y176" i="24"/>
  <c r="AA176" i="24"/>
  <c r="Y177" i="24"/>
  <c r="Z177" i="24"/>
  <c r="AB177" i="24"/>
  <c r="AA177" i="24"/>
  <c r="AC177" i="24"/>
  <c r="O266" i="24"/>
  <c r="N266" i="24"/>
  <c r="R266" i="24"/>
  <c r="Q266" i="24"/>
  <c r="P266" i="24"/>
  <c r="AD177" i="24" l="1"/>
  <c r="AE177" i="24" s="1"/>
  <c r="AD176" i="24"/>
  <c r="AE176" i="24" s="1"/>
  <c r="S266" i="24"/>
  <c r="N217" i="24"/>
  <c r="Z266" i="24" l="1"/>
  <c r="AA266" i="24"/>
  <c r="AB266" i="24"/>
  <c r="Y266" i="24"/>
  <c r="AC266" i="24"/>
  <c r="Z217" i="24" l="1"/>
  <c r="AB217" i="24"/>
  <c r="AC217" i="24"/>
  <c r="Y217" i="24"/>
  <c r="AA217" i="24"/>
  <c r="AD266" i="24"/>
  <c r="AE266" i="24" s="1"/>
  <c r="R265" i="24"/>
  <c r="N265" i="24"/>
  <c r="Q265" i="24"/>
  <c r="O265" i="24"/>
  <c r="P265" i="24"/>
  <c r="AD217" i="24" l="1"/>
  <c r="AE217" i="24" s="1"/>
  <c r="S265" i="24"/>
  <c r="Y265" i="24" l="1"/>
  <c r="Z265" i="24"/>
  <c r="AB265" i="24"/>
  <c r="AC265" i="24"/>
  <c r="AA265" i="24"/>
  <c r="N269" i="24"/>
  <c r="O269" i="24"/>
  <c r="P269" i="24"/>
  <c r="Q269" i="24"/>
  <c r="R269" i="24"/>
  <c r="T269" i="24"/>
  <c r="U269" i="24"/>
  <c r="V269" i="24"/>
  <c r="W269" i="24"/>
  <c r="X269" i="24"/>
  <c r="AI269" i="24"/>
  <c r="AD265" i="24" l="1"/>
  <c r="AE265" i="24" s="1"/>
  <c r="S269" i="24"/>
  <c r="Z269" i="24" s="1"/>
  <c r="AB269" i="24" l="1"/>
  <c r="AA269" i="24"/>
  <c r="Y269" i="24"/>
  <c r="AC269" i="24"/>
  <c r="AD269" i="24" l="1"/>
  <c r="AE269" i="24" s="1"/>
  <c r="N454" i="24" l="1"/>
  <c r="R454" i="24"/>
  <c r="O454" i="24"/>
  <c r="Q454" i="24"/>
  <c r="P454" i="24"/>
  <c r="T455" i="24"/>
  <c r="Q456" i="24"/>
  <c r="R456" i="24"/>
  <c r="P456" i="24"/>
  <c r="N456" i="24"/>
  <c r="S454" i="24" l="1"/>
  <c r="S456" i="24"/>
  <c r="O40" i="24"/>
  <c r="N40" i="24"/>
  <c r="N39" i="24"/>
  <c r="AH38" i="24"/>
  <c r="AI38" i="24" s="1"/>
  <c r="X38" i="24"/>
  <c r="W38" i="24"/>
  <c r="V38" i="24"/>
  <c r="U38" i="24"/>
  <c r="T38" i="24"/>
  <c r="R38" i="24"/>
  <c r="Q38" i="24"/>
  <c r="P38" i="24"/>
  <c r="O38" i="24"/>
  <c r="N38" i="24"/>
  <c r="Y456" i="24" l="1"/>
  <c r="AC456" i="24"/>
  <c r="AB456" i="24"/>
  <c r="Z456" i="24"/>
  <c r="AA456" i="24"/>
  <c r="AA454" i="24"/>
  <c r="AB454" i="24"/>
  <c r="Z454" i="24"/>
  <c r="Y454" i="24"/>
  <c r="AC454" i="24"/>
  <c r="S38" i="24"/>
  <c r="AC38" i="24" s="1"/>
  <c r="S40" i="24"/>
  <c r="S39" i="24"/>
  <c r="T97" i="24"/>
  <c r="N98" i="24"/>
  <c r="N99" i="24"/>
  <c r="R98" i="24"/>
  <c r="J101" i="24"/>
  <c r="K101" i="24"/>
  <c r="L101" i="24"/>
  <c r="M101" i="24"/>
  <c r="T30" i="24"/>
  <c r="T27" i="24"/>
  <c r="N29" i="24"/>
  <c r="N28" i="24"/>
  <c r="O28" i="24"/>
  <c r="P28" i="24"/>
  <c r="R28" i="24"/>
  <c r="O29" i="24"/>
  <c r="R29" i="24"/>
  <c r="AD454" i="24" l="1"/>
  <c r="AE454" i="24" s="1"/>
  <c r="Y39" i="24"/>
  <c r="AB39" i="24"/>
  <c r="Z39" i="24"/>
  <c r="AA39" i="24"/>
  <c r="AC39" i="24"/>
  <c r="AA40" i="24"/>
  <c r="Y40" i="24"/>
  <c r="Z40" i="24"/>
  <c r="AC40" i="24"/>
  <c r="AB40" i="24"/>
  <c r="AD456" i="24"/>
  <c r="AE456" i="24" s="1"/>
  <c r="P99" i="24"/>
  <c r="Q98" i="24"/>
  <c r="Z38" i="24"/>
  <c r="P98" i="24"/>
  <c r="AA38" i="24"/>
  <c r="Q99" i="24"/>
  <c r="AB38" i="24"/>
  <c r="Y38" i="24"/>
  <c r="R99" i="24"/>
  <c r="S29" i="24"/>
  <c r="S28" i="24"/>
  <c r="AD39" i="24" l="1"/>
  <c r="AE39" i="24" s="1"/>
  <c r="AD40" i="24"/>
  <c r="AE40" i="24" s="1"/>
  <c r="Z28" i="24"/>
  <c r="AA28" i="24"/>
  <c r="AB28" i="24"/>
  <c r="AC28" i="24"/>
  <c r="Y28" i="24"/>
  <c r="Z29" i="24"/>
  <c r="AA29" i="24"/>
  <c r="AB29" i="24"/>
  <c r="AC29" i="24"/>
  <c r="Y29" i="24"/>
  <c r="S99" i="24"/>
  <c r="S98" i="24"/>
  <c r="AD38" i="24"/>
  <c r="AE38" i="24" s="1"/>
  <c r="AD28" i="24" l="1"/>
  <c r="AE28" i="24" s="1"/>
  <c r="AA98" i="24"/>
  <c r="Y98" i="24"/>
  <c r="Z98" i="24"/>
  <c r="AB98" i="24"/>
  <c r="AC98" i="24"/>
  <c r="AD29" i="24"/>
  <c r="AE29" i="24" s="1"/>
  <c r="Y99" i="24"/>
  <c r="AB99" i="24"/>
  <c r="Z99" i="24"/>
  <c r="AA99" i="24"/>
  <c r="AC99" i="24"/>
  <c r="N21" i="24"/>
  <c r="N20" i="24"/>
  <c r="N19" i="24"/>
  <c r="N18" i="24"/>
  <c r="N17" i="24"/>
  <c r="N16" i="24"/>
  <c r="N15" i="24"/>
  <c r="J22" i="24"/>
  <c r="K22" i="24"/>
  <c r="L22" i="24"/>
  <c r="M22" i="24"/>
  <c r="N24" i="24"/>
  <c r="AD98" i="24" l="1"/>
  <c r="AE98" i="24" s="1"/>
  <c r="AD99" i="24"/>
  <c r="AE99" i="24" s="1"/>
  <c r="I22" i="24"/>
  <c r="N22" i="24"/>
  <c r="B10" i="52" l="1"/>
  <c r="N401" i="24" l="1"/>
  <c r="L402" i="24"/>
  <c r="K402" i="24"/>
  <c r="Q70" i="24" l="1"/>
  <c r="Q87" i="24"/>
  <c r="M87" i="24"/>
  <c r="R87" i="24" s="1"/>
  <c r="I86" i="24"/>
  <c r="I83" i="24"/>
  <c r="I84" i="24"/>
  <c r="I85" i="24"/>
  <c r="I82" i="24"/>
  <c r="Q76" i="24"/>
  <c r="I73" i="24"/>
  <c r="I67" i="24"/>
  <c r="I61" i="24"/>
  <c r="I60" i="24"/>
  <c r="I59" i="24"/>
  <c r="I58" i="24"/>
  <c r="Q58" i="24" s="1"/>
  <c r="I55" i="24"/>
  <c r="I54" i="24"/>
  <c r="I53" i="24"/>
  <c r="I52" i="24"/>
  <c r="I51" i="24"/>
  <c r="I50" i="24"/>
  <c r="Q50" i="24" s="1"/>
  <c r="I48" i="24"/>
  <c r="I49" i="24"/>
  <c r="I47" i="24"/>
  <c r="I44" i="24"/>
  <c r="I45" i="24"/>
  <c r="I46" i="24"/>
  <c r="I43" i="24"/>
  <c r="I56" i="24" l="1"/>
  <c r="R55" i="24"/>
  <c r="Q55" i="24"/>
  <c r="P55" i="24"/>
  <c r="O55" i="24"/>
  <c r="N55" i="24"/>
  <c r="R54" i="24"/>
  <c r="Q54" i="24"/>
  <c r="P54" i="24"/>
  <c r="O54" i="24"/>
  <c r="N54" i="24"/>
  <c r="R53" i="24"/>
  <c r="Q53" i="24"/>
  <c r="P53" i="24"/>
  <c r="O53" i="24"/>
  <c r="N53" i="24"/>
  <c r="R52" i="24"/>
  <c r="Q52" i="24"/>
  <c r="P52" i="24"/>
  <c r="O52" i="24"/>
  <c r="N52" i="24"/>
  <c r="R51" i="24"/>
  <c r="Q51" i="24"/>
  <c r="P51" i="24"/>
  <c r="O51" i="24"/>
  <c r="N51" i="24"/>
  <c r="P50" i="24"/>
  <c r="O50" i="24"/>
  <c r="N50" i="24"/>
  <c r="R49" i="24"/>
  <c r="Q49" i="24"/>
  <c r="P49" i="24"/>
  <c r="O49" i="24"/>
  <c r="N49" i="24"/>
  <c r="R48" i="24"/>
  <c r="Q48" i="24"/>
  <c r="P48" i="24"/>
  <c r="O48" i="24"/>
  <c r="N48" i="24"/>
  <c r="R47" i="24"/>
  <c r="Q47" i="24"/>
  <c r="P47" i="24"/>
  <c r="O47" i="24"/>
  <c r="N47" i="24"/>
  <c r="R46" i="24"/>
  <c r="Q46" i="24"/>
  <c r="P46" i="24"/>
  <c r="O46" i="24"/>
  <c r="N46" i="24"/>
  <c r="R45" i="24"/>
  <c r="Q45" i="24"/>
  <c r="P45" i="24"/>
  <c r="O45" i="24"/>
  <c r="N45" i="24"/>
  <c r="R44" i="24"/>
  <c r="Q44" i="24"/>
  <c r="P44" i="24"/>
  <c r="O44" i="24"/>
  <c r="N44" i="24"/>
  <c r="R43" i="24"/>
  <c r="Q43" i="24"/>
  <c r="P43" i="24"/>
  <c r="O43" i="24"/>
  <c r="N43" i="24"/>
  <c r="AH37" i="24"/>
  <c r="AI37" i="24" s="1"/>
  <c r="X37" i="24"/>
  <c r="W37" i="24"/>
  <c r="V37" i="24"/>
  <c r="U37" i="24"/>
  <c r="T37" i="24"/>
  <c r="N37" i="24"/>
  <c r="I37" i="24"/>
  <c r="Q37" i="24" s="1"/>
  <c r="AH36" i="24"/>
  <c r="AI36" i="24" s="1"/>
  <c r="X36" i="24"/>
  <c r="W36" i="24"/>
  <c r="V36" i="24"/>
  <c r="U36" i="24"/>
  <c r="T36" i="24"/>
  <c r="N36" i="24"/>
  <c r="AH35" i="24"/>
  <c r="AI35" i="24" s="1"/>
  <c r="X35" i="24"/>
  <c r="W35" i="24"/>
  <c r="V35" i="24"/>
  <c r="U35" i="24"/>
  <c r="T35" i="24"/>
  <c r="R35" i="24"/>
  <c r="Q35" i="24"/>
  <c r="P35" i="24"/>
  <c r="O35" i="24"/>
  <c r="N35" i="24"/>
  <c r="O56" i="24" l="1"/>
  <c r="Q56" i="24"/>
  <c r="R56" i="24"/>
  <c r="S45" i="24"/>
  <c r="S35" i="24"/>
  <c r="AB35" i="24" s="1"/>
  <c r="S44" i="24"/>
  <c r="S48" i="24"/>
  <c r="S50" i="24"/>
  <c r="S52" i="24"/>
  <c r="S54" i="24"/>
  <c r="P36" i="24"/>
  <c r="P37" i="24"/>
  <c r="S43" i="24"/>
  <c r="S47" i="24"/>
  <c r="R36" i="24"/>
  <c r="R37" i="24"/>
  <c r="S46" i="24"/>
  <c r="S49" i="24"/>
  <c r="S51" i="24"/>
  <c r="S53" i="24"/>
  <c r="S55" i="24"/>
  <c r="Q36" i="24"/>
  <c r="O37" i="24"/>
  <c r="K147" i="24"/>
  <c r="L147" i="24"/>
  <c r="M147" i="24"/>
  <c r="J147" i="24"/>
  <c r="K117" i="24"/>
  <c r="L117" i="24"/>
  <c r="M117" i="24"/>
  <c r="J117" i="24"/>
  <c r="K134" i="24"/>
  <c r="L134" i="24"/>
  <c r="M134" i="24"/>
  <c r="J134" i="24"/>
  <c r="AB48" i="24" l="1"/>
  <c r="Z48" i="24"/>
  <c r="Y48" i="24"/>
  <c r="AC48" i="24"/>
  <c r="AA48" i="24"/>
  <c r="Z44" i="24"/>
  <c r="AB44" i="24"/>
  <c r="AC44" i="24"/>
  <c r="Y44" i="24"/>
  <c r="AA44" i="24"/>
  <c r="AB50" i="24"/>
  <c r="Z50" i="24"/>
  <c r="Y50" i="24"/>
  <c r="AC50" i="24"/>
  <c r="AA50" i="24"/>
  <c r="Z53" i="24"/>
  <c r="AB53" i="24"/>
  <c r="Y53" i="24"/>
  <c r="AA53" i="24"/>
  <c r="AC53" i="24"/>
  <c r="Z47" i="24"/>
  <c r="AC47" i="24"/>
  <c r="Y47" i="24"/>
  <c r="AA47" i="24"/>
  <c r="AB47" i="24"/>
  <c r="Z51" i="24"/>
  <c r="AA51" i="24"/>
  <c r="AB51" i="24"/>
  <c r="Y51" i="24"/>
  <c r="AC51" i="24"/>
  <c r="Z55" i="24"/>
  <c r="Y55" i="24"/>
  <c r="AA55" i="24"/>
  <c r="AC55" i="24"/>
  <c r="AB55" i="24"/>
  <c r="AB45" i="24"/>
  <c r="Z45" i="24"/>
  <c r="AC45" i="24"/>
  <c r="AA45" i="24"/>
  <c r="Y45" i="24"/>
  <c r="AB54" i="24"/>
  <c r="Z54" i="24"/>
  <c r="Y54" i="24"/>
  <c r="AC54" i="24"/>
  <c r="AA54" i="24"/>
  <c r="Z43" i="24"/>
  <c r="AC43" i="24"/>
  <c r="AA43" i="24"/>
  <c r="Y43" i="24"/>
  <c r="AB43" i="24"/>
  <c r="S56" i="24"/>
  <c r="Z49" i="24"/>
  <c r="AB49" i="24"/>
  <c r="AC49" i="24"/>
  <c r="Y49" i="24"/>
  <c r="AA49" i="24"/>
  <c r="AB46" i="24"/>
  <c r="AC46" i="24"/>
  <c r="Z46" i="24"/>
  <c r="AA46" i="24"/>
  <c r="Y46" i="24"/>
  <c r="AB52" i="24"/>
  <c r="Z52" i="24"/>
  <c r="Y52" i="24"/>
  <c r="AC52" i="24"/>
  <c r="AA52" i="24"/>
  <c r="AC35" i="24"/>
  <c r="Z35" i="24"/>
  <c r="AA35" i="24"/>
  <c r="Y35" i="24"/>
  <c r="S36" i="24"/>
  <c r="S37" i="24"/>
  <c r="AA37" i="24" s="1"/>
  <c r="N11" i="24"/>
  <c r="AD53" i="24" l="1"/>
  <c r="AE53" i="24" s="1"/>
  <c r="AD44" i="24"/>
  <c r="AE44" i="24" s="1"/>
  <c r="AD52" i="24"/>
  <c r="AE52" i="24" s="1"/>
  <c r="AD45" i="24"/>
  <c r="AE45" i="24" s="1"/>
  <c r="AD55" i="24"/>
  <c r="AE55" i="24" s="1"/>
  <c r="AD43" i="24"/>
  <c r="AE43" i="24" s="1"/>
  <c r="Y36" i="24"/>
  <c r="S41" i="24"/>
  <c r="AD49" i="24"/>
  <c r="AE49" i="24" s="1"/>
  <c r="AD47" i="24"/>
  <c r="AE47" i="24" s="1"/>
  <c r="AD46" i="24"/>
  <c r="AE46" i="24" s="1"/>
  <c r="AD50" i="24"/>
  <c r="AE50" i="24" s="1"/>
  <c r="AD51" i="24"/>
  <c r="AE51" i="24" s="1"/>
  <c r="AD54" i="24"/>
  <c r="AE54" i="24" s="1"/>
  <c r="AD48" i="24"/>
  <c r="AE48" i="24" s="1"/>
  <c r="AD35" i="24"/>
  <c r="AE35" i="24" s="1"/>
  <c r="AC36" i="24"/>
  <c r="AB37" i="24"/>
  <c r="Z36" i="24"/>
  <c r="AB36" i="24"/>
  <c r="AA36" i="24"/>
  <c r="Y37" i="24"/>
  <c r="Z37" i="24"/>
  <c r="AC37" i="24"/>
  <c r="AI203" i="24"/>
  <c r="AD36" i="24" l="1"/>
  <c r="AE36" i="24" s="1"/>
  <c r="AD37" i="24"/>
  <c r="AE37" i="24" s="1"/>
  <c r="T83" i="24"/>
  <c r="U83" i="24"/>
  <c r="V83" i="24"/>
  <c r="W83" i="24"/>
  <c r="X83" i="24"/>
  <c r="O83" i="24"/>
  <c r="P83" i="24"/>
  <c r="Q83" i="24"/>
  <c r="R83" i="24"/>
  <c r="N89" i="24"/>
  <c r="N83" i="24"/>
  <c r="S83" i="24" l="1"/>
  <c r="AC83" i="24" s="1"/>
  <c r="Y83" i="24" l="1"/>
  <c r="Z83" i="24"/>
  <c r="AA83" i="24"/>
  <c r="AB83" i="24"/>
  <c r="AD83" i="24" l="1"/>
  <c r="AE83" i="24" s="1"/>
  <c r="J56" i="24" l="1"/>
  <c r="K56" i="24"/>
  <c r="L56" i="24"/>
  <c r="M56" i="24"/>
  <c r="T200" i="24" l="1"/>
  <c r="U200" i="24"/>
  <c r="V200" i="24"/>
  <c r="W200" i="24"/>
  <c r="X200" i="24"/>
  <c r="AI200" i="24"/>
  <c r="T201" i="24"/>
  <c r="U201" i="24"/>
  <c r="V201" i="24"/>
  <c r="W201" i="24"/>
  <c r="X201" i="24"/>
  <c r="AI201" i="24"/>
  <c r="T202" i="24"/>
  <c r="U202" i="24"/>
  <c r="V202" i="24"/>
  <c r="W202" i="24"/>
  <c r="X202" i="24"/>
  <c r="AI202" i="24"/>
  <c r="T203" i="24"/>
  <c r="U203" i="24"/>
  <c r="V203" i="24"/>
  <c r="W203" i="24"/>
  <c r="X203" i="24"/>
  <c r="T204" i="24"/>
  <c r="U204" i="24"/>
  <c r="V204" i="24"/>
  <c r="W204" i="24"/>
  <c r="X204" i="24"/>
  <c r="AI204" i="24"/>
  <c r="T205" i="24"/>
  <c r="U205" i="24"/>
  <c r="V205" i="24"/>
  <c r="W205" i="24"/>
  <c r="X205" i="24"/>
  <c r="AI205" i="24"/>
  <c r="T206" i="24"/>
  <c r="U206" i="24"/>
  <c r="V206" i="24"/>
  <c r="W206" i="24"/>
  <c r="X206" i="24"/>
  <c r="AI206" i="24"/>
  <c r="N200" i="24"/>
  <c r="N201" i="24"/>
  <c r="N202" i="24"/>
  <c r="N203" i="24"/>
  <c r="N204" i="24"/>
  <c r="N205" i="24"/>
  <c r="N206" i="24"/>
  <c r="AC201" i="24" l="1"/>
  <c r="AA205" i="24"/>
  <c r="AC206" i="24"/>
  <c r="S204" i="24"/>
  <c r="AB204" i="24" s="1"/>
  <c r="AB202" i="24"/>
  <c r="AB200" i="24"/>
  <c r="Z201" i="24" l="1"/>
  <c r="AA201" i="24"/>
  <c r="Y201" i="24"/>
  <c r="AB201" i="24"/>
  <c r="Y205" i="24"/>
  <c r="Z205" i="24"/>
  <c r="AB205" i="24"/>
  <c r="AC205" i="24"/>
  <c r="Y206" i="24"/>
  <c r="Y202" i="24"/>
  <c r="AC202" i="24"/>
  <c r="AB206" i="24"/>
  <c r="Y203" i="24"/>
  <c r="AB203" i="24"/>
  <c r="AC203" i="24"/>
  <c r="Z204" i="24"/>
  <c r="AA204" i="24"/>
  <c r="Y204" i="24"/>
  <c r="AA203" i="24"/>
  <c r="Y200" i="24"/>
  <c r="AA200" i="24"/>
  <c r="Z200" i="24"/>
  <c r="AC200" i="24"/>
  <c r="AC204" i="24"/>
  <c r="Z203" i="24"/>
  <c r="Z202" i="24"/>
  <c r="AA202" i="24"/>
  <c r="Z206" i="24"/>
  <c r="AA206" i="24"/>
  <c r="AD201" i="24" l="1"/>
  <c r="AE201" i="24" s="1"/>
  <c r="AD205" i="24"/>
  <c r="AE205" i="24" s="1"/>
  <c r="AD202" i="24"/>
  <c r="AE202" i="24" s="1"/>
  <c r="AD206" i="24"/>
  <c r="AE206" i="24" s="1"/>
  <c r="AD200" i="24"/>
  <c r="AE200" i="24" s="1"/>
  <c r="AD204" i="24"/>
  <c r="AE204" i="24" s="1"/>
  <c r="AD203" i="24"/>
  <c r="AE203" i="24" s="1"/>
  <c r="N318" i="24" l="1"/>
  <c r="N319" i="24"/>
  <c r="N320" i="24"/>
  <c r="N321" i="24"/>
  <c r="N322" i="24"/>
  <c r="N323" i="24"/>
  <c r="N324" i="24"/>
  <c r="N325" i="24"/>
  <c r="N326" i="24"/>
  <c r="N328" i="24"/>
  <c r="N329" i="24"/>
  <c r="N330" i="24"/>
  <c r="T173" i="24"/>
  <c r="U173" i="24"/>
  <c r="V173" i="24"/>
  <c r="W173" i="24"/>
  <c r="X173" i="24"/>
  <c r="AH173" i="24"/>
  <c r="AI173" i="24" s="1"/>
  <c r="T174" i="24"/>
  <c r="U174" i="24"/>
  <c r="V174" i="24"/>
  <c r="W174" i="24"/>
  <c r="X174" i="24"/>
  <c r="AH174" i="24"/>
  <c r="AI174" i="24" s="1"/>
  <c r="T175" i="24"/>
  <c r="U175" i="24"/>
  <c r="V175" i="24"/>
  <c r="W175" i="24"/>
  <c r="X175" i="24"/>
  <c r="AH175" i="24"/>
  <c r="AI175" i="24" s="1"/>
  <c r="T178" i="24"/>
  <c r="U178" i="24"/>
  <c r="V178" i="24"/>
  <c r="W178" i="24"/>
  <c r="X178" i="24"/>
  <c r="AH178" i="24"/>
  <c r="AI178" i="24" s="1"/>
  <c r="T179" i="24"/>
  <c r="U179" i="24"/>
  <c r="V179" i="24"/>
  <c r="W179" i="24"/>
  <c r="X179" i="24"/>
  <c r="AH179" i="24"/>
  <c r="AI179" i="24" s="1"/>
  <c r="T180" i="24"/>
  <c r="U180" i="24"/>
  <c r="V180" i="24"/>
  <c r="W180" i="24"/>
  <c r="X180" i="24"/>
  <c r="AH180" i="24"/>
  <c r="AI180" i="24" s="1"/>
  <c r="T181" i="24"/>
  <c r="U181" i="24"/>
  <c r="V181" i="24"/>
  <c r="W181" i="24"/>
  <c r="X181" i="24"/>
  <c r="AH181" i="24"/>
  <c r="AI181" i="24" s="1"/>
  <c r="T182" i="24"/>
  <c r="U182" i="24"/>
  <c r="V182" i="24"/>
  <c r="W182" i="24"/>
  <c r="X182" i="24"/>
  <c r="AH182" i="24"/>
  <c r="AI182" i="24" s="1"/>
  <c r="O175" i="24" l="1"/>
  <c r="O174" i="24"/>
  <c r="R175" i="24"/>
  <c r="R173" i="24"/>
  <c r="Q173" i="24"/>
  <c r="O173" i="24"/>
  <c r="P173" i="24"/>
  <c r="S173" i="24" l="1"/>
  <c r="AB173" i="24" s="1"/>
  <c r="S178" i="24"/>
  <c r="S181" i="24"/>
  <c r="S180" i="24"/>
  <c r="S175" i="24"/>
  <c r="S179" i="24"/>
  <c r="AC173" i="24" l="1"/>
  <c r="Y173" i="24"/>
  <c r="AA173" i="24"/>
  <c r="Z173" i="24"/>
  <c r="AA175" i="24"/>
  <c r="AC175" i="24"/>
  <c r="AB175" i="24"/>
  <c r="Z175" i="24"/>
  <c r="Y175" i="24"/>
  <c r="Y180" i="24"/>
  <c r="AC180" i="24"/>
  <c r="AA180" i="24"/>
  <c r="Z180" i="24"/>
  <c r="AB180" i="24"/>
  <c r="Y178" i="24"/>
  <c r="AC178" i="24"/>
  <c r="AB178" i="24"/>
  <c r="Z178" i="24"/>
  <c r="AA178" i="24"/>
  <c r="AA181" i="24"/>
  <c r="Y181" i="24"/>
  <c r="AC181" i="24"/>
  <c r="Z181" i="24"/>
  <c r="AB181" i="24"/>
  <c r="AA179" i="24"/>
  <c r="Z179" i="24"/>
  <c r="AB179" i="24"/>
  <c r="AC179" i="24"/>
  <c r="Y179" i="24"/>
  <c r="N173" i="24"/>
  <c r="N174" i="24"/>
  <c r="N175" i="24"/>
  <c r="N178" i="24"/>
  <c r="N179" i="24"/>
  <c r="N180" i="24"/>
  <c r="N181" i="24"/>
  <c r="N182" i="24"/>
  <c r="AD173" i="24" l="1"/>
  <c r="AE173" i="24" s="1"/>
  <c r="AD178" i="24"/>
  <c r="AE178" i="24" s="1"/>
  <c r="AD180" i="24"/>
  <c r="AE180" i="24" s="1"/>
  <c r="AD179" i="24"/>
  <c r="AE179" i="24" s="1"/>
  <c r="AD181" i="24"/>
  <c r="AE181" i="24" s="1"/>
  <c r="AD175" i="24"/>
  <c r="AE175" i="24" s="1"/>
  <c r="S11" i="24"/>
  <c r="S12" i="24" s="1"/>
  <c r="N162" i="24" l="1"/>
  <c r="N163" i="24"/>
  <c r="N164" i="24"/>
  <c r="N165" i="24"/>
  <c r="N166" i="24"/>
  <c r="N167" i="24"/>
  <c r="N168" i="24"/>
  <c r="N169" i="24"/>
  <c r="N170" i="24"/>
  <c r="N171" i="24"/>
  <c r="N172" i="24"/>
  <c r="N365" i="24"/>
  <c r="N366" i="24"/>
  <c r="N367" i="24"/>
  <c r="N368" i="24"/>
  <c r="N369" i="24"/>
  <c r="N370" i="24"/>
  <c r="N371" i="24"/>
  <c r="N372" i="24"/>
  <c r="N364" i="24"/>
  <c r="N363" i="24"/>
  <c r="N361" i="24"/>
  <c r="N362" i="24"/>
  <c r="N360" i="24"/>
  <c r="N359" i="24"/>
  <c r="N358" i="24"/>
  <c r="N357" i="24"/>
  <c r="N310" i="24" l="1"/>
  <c r="N385" i="24"/>
  <c r="N384" i="24"/>
  <c r="N378" i="24"/>
  <c r="N183" i="24"/>
  <c r="M183" i="24"/>
  <c r="L183" i="24"/>
  <c r="K183" i="24"/>
  <c r="J183" i="24"/>
  <c r="O413" i="24"/>
  <c r="O414" i="24" s="1"/>
  <c r="P89" i="24" l="1"/>
  <c r="M428" i="24" l="1"/>
  <c r="M425" i="24"/>
  <c r="M421" i="24"/>
  <c r="M418" i="24"/>
  <c r="L428" i="24"/>
  <c r="L425" i="24"/>
  <c r="L421" i="24"/>
  <c r="L418" i="24"/>
  <c r="K428" i="24"/>
  <c r="K425" i="24"/>
  <c r="K421" i="24"/>
  <c r="K418" i="24"/>
  <c r="J428" i="24"/>
  <c r="J425" i="24"/>
  <c r="J421" i="24"/>
  <c r="J418" i="24"/>
  <c r="M414" i="24"/>
  <c r="L414" i="24"/>
  <c r="K414" i="24"/>
  <c r="J414" i="24"/>
  <c r="I440" i="24"/>
  <c r="R441" i="24"/>
  <c r="I442" i="24"/>
  <c r="I443" i="24"/>
  <c r="J443" i="24"/>
  <c r="K443" i="24"/>
  <c r="L443" i="24"/>
  <c r="M443" i="24"/>
  <c r="R444" i="24"/>
  <c r="I448" i="24"/>
  <c r="Q448" i="24" s="1"/>
  <c r="I450" i="24"/>
  <c r="O450" i="24" s="1"/>
  <c r="O451" i="24"/>
  <c r="P451" i="24"/>
  <c r="Q451" i="24"/>
  <c r="R451" i="24"/>
  <c r="O452" i="24"/>
  <c r="P452" i="24"/>
  <c r="Q452" i="24"/>
  <c r="R452" i="24"/>
  <c r="O453" i="24"/>
  <c r="P453" i="24"/>
  <c r="Q453" i="24"/>
  <c r="R453" i="24"/>
  <c r="P455" i="24"/>
  <c r="Q455" i="24"/>
  <c r="R455" i="24"/>
  <c r="O457" i="24"/>
  <c r="O458" i="24"/>
  <c r="P458" i="24"/>
  <c r="Q458" i="24"/>
  <c r="R458" i="24"/>
  <c r="AH458" i="24"/>
  <c r="AI458" i="24" s="1"/>
  <c r="N458" i="24"/>
  <c r="V458" i="24"/>
  <c r="T458" i="24"/>
  <c r="U458" i="24"/>
  <c r="W458" i="24"/>
  <c r="X458" i="24"/>
  <c r="P171" i="24"/>
  <c r="O171" i="24"/>
  <c r="Q415" i="24"/>
  <c r="Q418" i="24" s="1"/>
  <c r="R413" i="24"/>
  <c r="R414" i="24" s="1"/>
  <c r="P401" i="24"/>
  <c r="O398" i="24"/>
  <c r="O386" i="24"/>
  <c r="R379" i="24"/>
  <c r="O357" i="24"/>
  <c r="O345" i="24"/>
  <c r="O341" i="24"/>
  <c r="R338" i="24"/>
  <c r="Q337" i="24"/>
  <c r="O333" i="24"/>
  <c r="O287" i="24"/>
  <c r="O281" i="24"/>
  <c r="R278" i="24"/>
  <c r="O264" i="24"/>
  <c r="Q256" i="24"/>
  <c r="Q184" i="24"/>
  <c r="AC643" i="24" s="1"/>
  <c r="Q164" i="24"/>
  <c r="R164" i="24"/>
  <c r="P164" i="24"/>
  <c r="O164" i="24"/>
  <c r="O162" i="24"/>
  <c r="Q156" i="24"/>
  <c r="R156" i="24"/>
  <c r="P156" i="24"/>
  <c r="O156" i="24"/>
  <c r="O155" i="24"/>
  <c r="O149" i="24"/>
  <c r="O136" i="24"/>
  <c r="P87" i="24"/>
  <c r="O87" i="24"/>
  <c r="O82" i="24"/>
  <c r="O79" i="24"/>
  <c r="Q73" i="24"/>
  <c r="R73" i="24"/>
  <c r="Q72" i="24"/>
  <c r="R72" i="24"/>
  <c r="P72" i="24"/>
  <c r="O72" i="24"/>
  <c r="Q71" i="24"/>
  <c r="R71" i="24"/>
  <c r="P71" i="24"/>
  <c r="O70" i="24"/>
  <c r="Q64" i="24"/>
  <c r="O64" i="24"/>
  <c r="R64" i="24"/>
  <c r="O250" i="24"/>
  <c r="R170" i="24"/>
  <c r="Q170" i="24"/>
  <c r="P170" i="24"/>
  <c r="O170" i="24"/>
  <c r="AH591" i="24"/>
  <c r="AI591" i="24" s="1"/>
  <c r="AH453" i="24"/>
  <c r="AI453" i="24" s="1"/>
  <c r="X453" i="24"/>
  <c r="W453" i="24"/>
  <c r="V453" i="24"/>
  <c r="U453" i="24"/>
  <c r="T453" i="24"/>
  <c r="AH451" i="24"/>
  <c r="AI451" i="24" s="1"/>
  <c r="X451" i="24"/>
  <c r="W451" i="24"/>
  <c r="V451" i="24"/>
  <c r="U451" i="24"/>
  <c r="T451" i="24"/>
  <c r="O484" i="24"/>
  <c r="P484" i="24"/>
  <c r="Q484" i="24"/>
  <c r="R484" i="24"/>
  <c r="T484" i="24"/>
  <c r="U484" i="24"/>
  <c r="V484" i="24"/>
  <c r="W484" i="24"/>
  <c r="X484" i="24"/>
  <c r="AH484" i="24"/>
  <c r="AI484" i="24" s="1"/>
  <c r="AH164" i="24"/>
  <c r="AI164" i="24" s="1"/>
  <c r="X164" i="24"/>
  <c r="W164" i="24"/>
  <c r="V164" i="24"/>
  <c r="U164" i="24"/>
  <c r="T164" i="24"/>
  <c r="X170" i="24"/>
  <c r="W170" i="24"/>
  <c r="V170" i="24"/>
  <c r="U170" i="24"/>
  <c r="T170" i="24"/>
  <c r="X345" i="24"/>
  <c r="W345" i="24"/>
  <c r="V345" i="24"/>
  <c r="U345" i="24"/>
  <c r="T345" i="24"/>
  <c r="X382" i="24"/>
  <c r="W382" i="24"/>
  <c r="V382" i="24"/>
  <c r="U382" i="24"/>
  <c r="T382" i="24"/>
  <c r="X381" i="24"/>
  <c r="W381" i="24"/>
  <c r="V381" i="24"/>
  <c r="U381" i="24"/>
  <c r="T381" i="24"/>
  <c r="X380" i="24"/>
  <c r="W380" i="24"/>
  <c r="V380" i="24"/>
  <c r="U380" i="24"/>
  <c r="T380" i="24"/>
  <c r="X92" i="24"/>
  <c r="W92" i="24"/>
  <c r="V92" i="24"/>
  <c r="U92" i="24"/>
  <c r="T92" i="24"/>
  <c r="X89" i="24"/>
  <c r="W89" i="24"/>
  <c r="V89" i="24"/>
  <c r="U89" i="24"/>
  <c r="T89" i="24"/>
  <c r="X88" i="24"/>
  <c r="AC88" i="24" s="1"/>
  <c r="W88" i="24"/>
  <c r="AB88" i="24" s="1"/>
  <c r="V88" i="24"/>
  <c r="AA88" i="24" s="1"/>
  <c r="U88" i="24"/>
  <c r="Z88" i="24" s="1"/>
  <c r="T88" i="24"/>
  <c r="Y88" i="24" s="1"/>
  <c r="X87" i="24"/>
  <c r="W87" i="24"/>
  <c r="V87" i="24"/>
  <c r="U87" i="24"/>
  <c r="T87" i="24"/>
  <c r="X86" i="24"/>
  <c r="W86" i="24"/>
  <c r="V86" i="24"/>
  <c r="U86" i="24"/>
  <c r="T86" i="24"/>
  <c r="X85" i="24"/>
  <c r="W85" i="24"/>
  <c r="V85" i="24"/>
  <c r="U85" i="24"/>
  <c r="T85" i="24"/>
  <c r="X84" i="24"/>
  <c r="W84" i="24"/>
  <c r="V84" i="24"/>
  <c r="U84" i="24"/>
  <c r="T84" i="24"/>
  <c r="X82" i="24"/>
  <c r="W82" i="24"/>
  <c r="V82" i="24"/>
  <c r="U82" i="24"/>
  <c r="T82" i="24"/>
  <c r="X106" i="24"/>
  <c r="W106" i="24"/>
  <c r="V106" i="24"/>
  <c r="U106" i="24"/>
  <c r="T106" i="24"/>
  <c r="X109" i="24"/>
  <c r="W109" i="24"/>
  <c r="V109" i="24"/>
  <c r="U109" i="24"/>
  <c r="T109" i="24"/>
  <c r="X113" i="24"/>
  <c r="W113" i="24"/>
  <c r="V113" i="24"/>
  <c r="U113" i="24"/>
  <c r="T113" i="24"/>
  <c r="X116" i="24"/>
  <c r="W116" i="24"/>
  <c r="V116" i="24"/>
  <c r="U116" i="24"/>
  <c r="T116" i="24"/>
  <c r="X115" i="24"/>
  <c r="W115" i="24"/>
  <c r="V115" i="24"/>
  <c r="U115" i="24"/>
  <c r="T115" i="24"/>
  <c r="X114" i="24"/>
  <c r="W114" i="24"/>
  <c r="V114" i="24"/>
  <c r="U114" i="24"/>
  <c r="T114" i="24"/>
  <c r="X133" i="24"/>
  <c r="W133" i="24"/>
  <c r="V133" i="24"/>
  <c r="U133" i="24"/>
  <c r="T133" i="24"/>
  <c r="X132" i="24"/>
  <c r="W132" i="24"/>
  <c r="V132" i="24"/>
  <c r="U132" i="24"/>
  <c r="T132" i="24"/>
  <c r="X129" i="24"/>
  <c r="W129" i="24"/>
  <c r="V129" i="24"/>
  <c r="U129" i="24"/>
  <c r="T129" i="24"/>
  <c r="X146" i="24"/>
  <c r="W146" i="24"/>
  <c r="V146" i="24"/>
  <c r="U146" i="24"/>
  <c r="T146" i="24"/>
  <c r="X145" i="24"/>
  <c r="W145" i="24"/>
  <c r="V145" i="24"/>
  <c r="U145" i="24"/>
  <c r="T145" i="24"/>
  <c r="X144" i="24"/>
  <c r="W144" i="24"/>
  <c r="V144" i="24"/>
  <c r="U144" i="24"/>
  <c r="T144" i="24"/>
  <c r="X143" i="24"/>
  <c r="W143" i="24"/>
  <c r="V143" i="24"/>
  <c r="U143" i="24"/>
  <c r="T143" i="24"/>
  <c r="X156" i="24"/>
  <c r="W156" i="24"/>
  <c r="V156" i="24"/>
  <c r="U156" i="24"/>
  <c r="T156" i="24"/>
  <c r="X154" i="24"/>
  <c r="W154" i="24"/>
  <c r="V154" i="24"/>
  <c r="U154" i="24"/>
  <c r="T154" i="24"/>
  <c r="X153" i="24"/>
  <c r="W153" i="24"/>
  <c r="V153" i="24"/>
  <c r="U153" i="24"/>
  <c r="T153" i="24"/>
  <c r="X152" i="24"/>
  <c r="W152" i="24"/>
  <c r="V152" i="24"/>
  <c r="U152" i="24"/>
  <c r="T152" i="24"/>
  <c r="X151" i="24"/>
  <c r="W151" i="24"/>
  <c r="V151" i="24"/>
  <c r="U151" i="24"/>
  <c r="T151" i="24"/>
  <c r="X150" i="24"/>
  <c r="W150" i="24"/>
  <c r="V150" i="24"/>
  <c r="U150" i="24"/>
  <c r="T150" i="24"/>
  <c r="X198" i="24"/>
  <c r="W198" i="24"/>
  <c r="V198" i="24"/>
  <c r="U198" i="24"/>
  <c r="T198" i="24"/>
  <c r="X197" i="24"/>
  <c r="W197" i="24"/>
  <c r="V197" i="24"/>
  <c r="U197" i="24"/>
  <c r="T197" i="24"/>
  <c r="X196" i="24"/>
  <c r="W196" i="24"/>
  <c r="V196" i="24"/>
  <c r="U196" i="24"/>
  <c r="T196" i="24"/>
  <c r="X195" i="24"/>
  <c r="W195" i="24"/>
  <c r="V195" i="24"/>
  <c r="U195" i="24"/>
  <c r="T195" i="24"/>
  <c r="X194" i="24"/>
  <c r="W194" i="24"/>
  <c r="V194" i="24"/>
  <c r="U194" i="24"/>
  <c r="T194" i="24"/>
  <c r="X193" i="24"/>
  <c r="W193" i="24"/>
  <c r="V193" i="24"/>
  <c r="U193" i="24"/>
  <c r="T193" i="24"/>
  <c r="X192" i="24"/>
  <c r="W192" i="24"/>
  <c r="V192" i="24"/>
  <c r="U192" i="24"/>
  <c r="T192" i="24"/>
  <c r="X191" i="24"/>
  <c r="W191" i="24"/>
  <c r="V191" i="24"/>
  <c r="U191" i="24"/>
  <c r="T191" i="24"/>
  <c r="X190" i="24"/>
  <c r="W190" i="24"/>
  <c r="V190" i="24"/>
  <c r="U190" i="24"/>
  <c r="T190" i="24"/>
  <c r="X210" i="24"/>
  <c r="W210" i="24"/>
  <c r="V210" i="24"/>
  <c r="U210" i="24"/>
  <c r="T210" i="24"/>
  <c r="X209" i="24"/>
  <c r="W209" i="24"/>
  <c r="V209" i="24"/>
  <c r="U209" i="24"/>
  <c r="T209" i="24"/>
  <c r="X208" i="24"/>
  <c r="W208" i="24"/>
  <c r="V208" i="24"/>
  <c r="U208" i="24"/>
  <c r="T208" i="24"/>
  <c r="X207" i="24"/>
  <c r="W207" i="24"/>
  <c r="V207" i="24"/>
  <c r="U207" i="24"/>
  <c r="T207" i="24"/>
  <c r="X231" i="24"/>
  <c r="W231" i="24"/>
  <c r="V231" i="24"/>
  <c r="U231" i="24"/>
  <c r="T231" i="24"/>
  <c r="X230" i="24"/>
  <c r="W230" i="24"/>
  <c r="V230" i="24"/>
  <c r="U230" i="24"/>
  <c r="T230" i="24"/>
  <c r="X229" i="24"/>
  <c r="W229" i="24"/>
  <c r="V229" i="24"/>
  <c r="U229" i="24"/>
  <c r="T229" i="24"/>
  <c r="X228" i="24"/>
  <c r="W228" i="24"/>
  <c r="V228" i="24"/>
  <c r="U228" i="24"/>
  <c r="T228" i="24"/>
  <c r="X227" i="24"/>
  <c r="W227" i="24"/>
  <c r="V227" i="24"/>
  <c r="U227" i="24"/>
  <c r="T227" i="24"/>
  <c r="X226" i="24"/>
  <c r="W226" i="24"/>
  <c r="V226" i="24"/>
  <c r="U226" i="24"/>
  <c r="T226" i="24"/>
  <c r="X225" i="24"/>
  <c r="W225" i="24"/>
  <c r="V225" i="24"/>
  <c r="U225" i="24"/>
  <c r="T225" i="24"/>
  <c r="X224" i="24"/>
  <c r="W224" i="24"/>
  <c r="V224" i="24"/>
  <c r="U224" i="24"/>
  <c r="T224" i="24"/>
  <c r="X223" i="24"/>
  <c r="W223" i="24"/>
  <c r="V223" i="24"/>
  <c r="U223" i="24"/>
  <c r="T223" i="24"/>
  <c r="X222" i="24"/>
  <c r="W222" i="24"/>
  <c r="V222" i="24"/>
  <c r="U222" i="24"/>
  <c r="T222" i="24"/>
  <c r="X221" i="24"/>
  <c r="W221" i="24"/>
  <c r="V221" i="24"/>
  <c r="U221" i="24"/>
  <c r="T221" i="24"/>
  <c r="X220" i="24"/>
  <c r="W220" i="24"/>
  <c r="V220" i="24"/>
  <c r="U220" i="24"/>
  <c r="T220" i="24"/>
  <c r="X219" i="24"/>
  <c r="W219" i="24"/>
  <c r="V219" i="24"/>
  <c r="U219" i="24"/>
  <c r="T219" i="24"/>
  <c r="X218" i="24"/>
  <c r="W218" i="24"/>
  <c r="V218" i="24"/>
  <c r="U218" i="24"/>
  <c r="T218" i="24"/>
  <c r="X216" i="24"/>
  <c r="W216" i="24"/>
  <c r="V216" i="24"/>
  <c r="U216" i="24"/>
  <c r="T216" i="24"/>
  <c r="X215" i="24"/>
  <c r="W215" i="24"/>
  <c r="V215" i="24"/>
  <c r="U215" i="24"/>
  <c r="T215" i="24"/>
  <c r="X214" i="24"/>
  <c r="W214" i="24"/>
  <c r="V214" i="24"/>
  <c r="U214" i="24"/>
  <c r="T214" i="24"/>
  <c r="X267" i="24"/>
  <c r="W267" i="24"/>
  <c r="V267" i="24"/>
  <c r="U267" i="24"/>
  <c r="T267" i="24"/>
  <c r="X264" i="24"/>
  <c r="W264" i="24"/>
  <c r="V264" i="24"/>
  <c r="U264" i="24"/>
  <c r="T264" i="24"/>
  <c r="X263" i="24"/>
  <c r="W263" i="24"/>
  <c r="V263" i="24"/>
  <c r="U263" i="24"/>
  <c r="T263" i="24"/>
  <c r="X262" i="24"/>
  <c r="W262" i="24"/>
  <c r="V262" i="24"/>
  <c r="U262" i="24"/>
  <c r="T262" i="24"/>
  <c r="X261" i="24"/>
  <c r="W261" i="24"/>
  <c r="V261" i="24"/>
  <c r="U261" i="24"/>
  <c r="T261" i="24"/>
  <c r="X260" i="24"/>
  <c r="W260" i="24"/>
  <c r="V260" i="24"/>
  <c r="U260" i="24"/>
  <c r="T260" i="24"/>
  <c r="X270" i="24"/>
  <c r="AC270" i="24" s="1"/>
  <c r="W270" i="24"/>
  <c r="AB270" i="24" s="1"/>
  <c r="V270" i="24"/>
  <c r="AA270" i="24" s="1"/>
  <c r="U270" i="24"/>
  <c r="Z270" i="24" s="1"/>
  <c r="T270" i="24"/>
  <c r="Y270" i="24" s="1"/>
  <c r="X273" i="24"/>
  <c r="W273" i="24"/>
  <c r="V273" i="24"/>
  <c r="U273" i="24"/>
  <c r="T273" i="24"/>
  <c r="X272" i="24"/>
  <c r="W272" i="24"/>
  <c r="V272" i="24"/>
  <c r="U272" i="24"/>
  <c r="T272" i="24"/>
  <c r="X271" i="24"/>
  <c r="W271" i="24"/>
  <c r="V271" i="24"/>
  <c r="U271" i="24"/>
  <c r="T271" i="24"/>
  <c r="X278" i="24"/>
  <c r="W278" i="24"/>
  <c r="V278" i="24"/>
  <c r="U278" i="24"/>
  <c r="T278" i="24"/>
  <c r="X281" i="24"/>
  <c r="W281" i="24"/>
  <c r="V281" i="24"/>
  <c r="U281" i="24"/>
  <c r="T281" i="24"/>
  <c r="X308" i="24"/>
  <c r="W308" i="24"/>
  <c r="V308" i="24"/>
  <c r="U308" i="24"/>
  <c r="T308" i="24"/>
  <c r="X307" i="24"/>
  <c r="W307" i="24"/>
  <c r="V307" i="24"/>
  <c r="U307" i="24"/>
  <c r="T307" i="24"/>
  <c r="X306" i="24"/>
  <c r="W306" i="24"/>
  <c r="V306" i="24"/>
  <c r="U306" i="24"/>
  <c r="T306" i="24"/>
  <c r="X305" i="24"/>
  <c r="W305" i="24"/>
  <c r="V305" i="24"/>
  <c r="U305" i="24"/>
  <c r="T305" i="24"/>
  <c r="X304" i="24"/>
  <c r="W304" i="24"/>
  <c r="V304" i="24"/>
  <c r="U304" i="24"/>
  <c r="T304" i="24"/>
  <c r="X312" i="24"/>
  <c r="W312" i="24"/>
  <c r="V312" i="24"/>
  <c r="U312" i="24"/>
  <c r="T312" i="24"/>
  <c r="X311" i="24"/>
  <c r="W311" i="24"/>
  <c r="V311" i="24"/>
  <c r="U311" i="24"/>
  <c r="T311" i="24"/>
  <c r="X310" i="24"/>
  <c r="W310" i="24"/>
  <c r="V310" i="24"/>
  <c r="U310" i="24"/>
  <c r="T310" i="24"/>
  <c r="X309" i="24"/>
  <c r="W309" i="24"/>
  <c r="V309" i="24"/>
  <c r="U309" i="24"/>
  <c r="T309" i="24"/>
  <c r="X330" i="24"/>
  <c r="W330" i="24"/>
  <c r="V330" i="24"/>
  <c r="U330" i="24"/>
  <c r="T330" i="24"/>
  <c r="X329" i="24"/>
  <c r="W329" i="24"/>
  <c r="V329" i="24"/>
  <c r="U329" i="24"/>
  <c r="T329" i="24"/>
  <c r="X328" i="24"/>
  <c r="W328" i="24"/>
  <c r="V328" i="24"/>
  <c r="U328" i="24"/>
  <c r="T328" i="24"/>
  <c r="X326" i="24"/>
  <c r="W326" i="24"/>
  <c r="V326" i="24"/>
  <c r="U326" i="24"/>
  <c r="T326" i="24"/>
  <c r="X325" i="24"/>
  <c r="W325" i="24"/>
  <c r="V325" i="24"/>
  <c r="U325" i="24"/>
  <c r="T325" i="24"/>
  <c r="X324" i="24"/>
  <c r="W324" i="24"/>
  <c r="V324" i="24"/>
  <c r="U324" i="24"/>
  <c r="T324" i="24"/>
  <c r="X323" i="24"/>
  <c r="W323" i="24"/>
  <c r="V323" i="24"/>
  <c r="U323" i="24"/>
  <c r="T323" i="24"/>
  <c r="X322" i="24"/>
  <c r="W322" i="24"/>
  <c r="V322" i="24"/>
  <c r="U322" i="24"/>
  <c r="T322" i="24"/>
  <c r="X321" i="24"/>
  <c r="W321" i="24"/>
  <c r="V321" i="24"/>
  <c r="U321" i="24"/>
  <c r="T321" i="24"/>
  <c r="X320" i="24"/>
  <c r="W320" i="24"/>
  <c r="V320" i="24"/>
  <c r="U320" i="24"/>
  <c r="T320" i="24"/>
  <c r="X319" i="24"/>
  <c r="W319" i="24"/>
  <c r="V319" i="24"/>
  <c r="U319" i="24"/>
  <c r="T319" i="24"/>
  <c r="X318" i="24"/>
  <c r="W318" i="24"/>
  <c r="V318" i="24"/>
  <c r="U318" i="24"/>
  <c r="T318" i="24"/>
  <c r="X338" i="24"/>
  <c r="W338" i="24"/>
  <c r="V338" i="24"/>
  <c r="U338" i="24"/>
  <c r="T338" i="24"/>
  <c r="X337" i="24"/>
  <c r="W337" i="24"/>
  <c r="V337" i="24"/>
  <c r="U337" i="24"/>
  <c r="T337" i="24"/>
  <c r="X336" i="24"/>
  <c r="W336" i="24"/>
  <c r="V336" i="24"/>
  <c r="U336" i="24"/>
  <c r="T336" i="24"/>
  <c r="X335" i="24"/>
  <c r="W335" i="24"/>
  <c r="V335" i="24"/>
  <c r="U335" i="24"/>
  <c r="T335" i="24"/>
  <c r="X334" i="24"/>
  <c r="W334" i="24"/>
  <c r="V334" i="24"/>
  <c r="U334" i="24"/>
  <c r="T334" i="24"/>
  <c r="X333" i="24"/>
  <c r="W333" i="24"/>
  <c r="V333" i="24"/>
  <c r="U333" i="24"/>
  <c r="T333" i="24"/>
  <c r="X342" i="24"/>
  <c r="W342" i="24"/>
  <c r="V342" i="24"/>
  <c r="U342" i="24"/>
  <c r="T342" i="24"/>
  <c r="X341" i="24"/>
  <c r="W341" i="24"/>
  <c r="V341" i="24"/>
  <c r="U341" i="24"/>
  <c r="T341" i="24"/>
  <c r="X347" i="24"/>
  <c r="W347" i="24"/>
  <c r="V347" i="24"/>
  <c r="U347" i="24"/>
  <c r="T347" i="24"/>
  <c r="X352" i="24"/>
  <c r="W352" i="24"/>
  <c r="V352" i="24"/>
  <c r="U352" i="24"/>
  <c r="T352" i="24"/>
  <c r="X351" i="24"/>
  <c r="W351" i="24"/>
  <c r="V351" i="24"/>
  <c r="U351" i="24"/>
  <c r="T351" i="24"/>
  <c r="X350" i="24"/>
  <c r="W350" i="24"/>
  <c r="V350" i="24"/>
  <c r="U350" i="24"/>
  <c r="T350" i="24"/>
  <c r="X349" i="24"/>
  <c r="W349" i="24"/>
  <c r="V349" i="24"/>
  <c r="U349" i="24"/>
  <c r="T349" i="24"/>
  <c r="X372" i="24"/>
  <c r="W372" i="24"/>
  <c r="V372" i="24"/>
  <c r="U372" i="24"/>
  <c r="T372" i="24"/>
  <c r="X371" i="24"/>
  <c r="W371" i="24"/>
  <c r="V371" i="24"/>
  <c r="U371" i="24"/>
  <c r="T371" i="24"/>
  <c r="X370" i="24"/>
  <c r="W370" i="24"/>
  <c r="V370" i="24"/>
  <c r="U370" i="24"/>
  <c r="T370" i="24"/>
  <c r="X369" i="24"/>
  <c r="W369" i="24"/>
  <c r="V369" i="24"/>
  <c r="U369" i="24"/>
  <c r="T369" i="24"/>
  <c r="X368" i="24"/>
  <c r="W368" i="24"/>
  <c r="V368" i="24"/>
  <c r="U368" i="24"/>
  <c r="T368" i="24"/>
  <c r="X401" i="24"/>
  <c r="W401" i="24"/>
  <c r="V401" i="24"/>
  <c r="U401" i="24"/>
  <c r="T401" i="24"/>
  <c r="X400" i="24"/>
  <c r="W400" i="24"/>
  <c r="V400" i="24"/>
  <c r="U400" i="24"/>
  <c r="T400" i="24"/>
  <c r="X399" i="24"/>
  <c r="W399" i="24"/>
  <c r="V399" i="24"/>
  <c r="U399" i="24"/>
  <c r="T399" i="24"/>
  <c r="X398" i="24"/>
  <c r="W398" i="24"/>
  <c r="V398" i="24"/>
  <c r="U398" i="24"/>
  <c r="T398" i="24"/>
  <c r="T388" i="24"/>
  <c r="U388" i="24"/>
  <c r="V388" i="24"/>
  <c r="W388" i="24"/>
  <c r="X388" i="24"/>
  <c r="T389" i="24"/>
  <c r="U389" i="24"/>
  <c r="V389" i="24"/>
  <c r="W389" i="24"/>
  <c r="X389" i="24"/>
  <c r="T390" i="24"/>
  <c r="U390" i="24"/>
  <c r="V390" i="24"/>
  <c r="W390" i="24"/>
  <c r="X390" i="24"/>
  <c r="T391" i="24"/>
  <c r="U391" i="24"/>
  <c r="V391" i="24"/>
  <c r="W391" i="24"/>
  <c r="X391" i="24"/>
  <c r="T392" i="24"/>
  <c r="U392" i="24"/>
  <c r="V392" i="24"/>
  <c r="W392" i="24"/>
  <c r="X392" i="24"/>
  <c r="T393" i="24"/>
  <c r="U393" i="24"/>
  <c r="V393" i="24"/>
  <c r="W393" i="24"/>
  <c r="X393" i="24"/>
  <c r="T394" i="24"/>
  <c r="U394" i="24"/>
  <c r="V394" i="24"/>
  <c r="W394" i="24"/>
  <c r="X394" i="24"/>
  <c r="T395" i="24"/>
  <c r="U395" i="24"/>
  <c r="V395" i="24"/>
  <c r="W395" i="24"/>
  <c r="X395" i="24"/>
  <c r="AI400" i="24"/>
  <c r="AI399" i="24"/>
  <c r="AI398" i="24"/>
  <c r="AI395" i="24"/>
  <c r="AI394" i="24"/>
  <c r="AI393" i="24"/>
  <c r="AI392" i="24"/>
  <c r="AI391" i="24"/>
  <c r="AI390" i="24"/>
  <c r="AI389" i="24"/>
  <c r="AI388" i="24"/>
  <c r="AI380" i="24"/>
  <c r="AI381" i="24"/>
  <c r="AI382" i="24"/>
  <c r="AI372" i="24"/>
  <c r="AI371" i="24"/>
  <c r="AI370" i="24"/>
  <c r="AI369" i="24"/>
  <c r="AI368" i="24"/>
  <c r="AI352" i="24"/>
  <c r="AI351" i="24"/>
  <c r="AI350" i="24"/>
  <c r="AI349" i="24"/>
  <c r="AI347" i="24"/>
  <c r="AI345" i="24"/>
  <c r="AI342" i="24"/>
  <c r="AI341" i="24"/>
  <c r="AI338" i="24"/>
  <c r="AI337" i="24"/>
  <c r="AI336" i="24"/>
  <c r="AI335" i="24"/>
  <c r="AI334" i="24"/>
  <c r="AI333" i="24"/>
  <c r="AI330" i="24"/>
  <c r="AI329" i="24"/>
  <c r="AI328" i="24"/>
  <c r="AI326" i="24"/>
  <c r="AI325" i="24"/>
  <c r="AI324" i="24"/>
  <c r="AI323" i="24"/>
  <c r="AI322" i="24"/>
  <c r="AI321" i="24"/>
  <c r="AI320" i="24"/>
  <c r="AI319" i="24"/>
  <c r="AI312" i="24"/>
  <c r="AI311" i="24"/>
  <c r="AI310" i="24"/>
  <c r="AI309" i="24"/>
  <c r="AI308" i="24"/>
  <c r="AI307" i="24"/>
  <c r="AI306" i="24"/>
  <c r="AI305" i="24"/>
  <c r="AI304" i="24"/>
  <c r="AH281" i="24"/>
  <c r="AI281" i="24" s="1"/>
  <c r="AH278" i="24"/>
  <c r="AI278" i="24" s="1"/>
  <c r="AI273" i="24"/>
  <c r="AI272" i="24"/>
  <c r="AI271" i="24"/>
  <c r="AI267" i="24"/>
  <c r="AI264" i="24"/>
  <c r="AI263" i="24"/>
  <c r="AI262" i="24"/>
  <c r="AI261" i="24"/>
  <c r="AI260" i="24"/>
  <c r="AI231" i="24"/>
  <c r="AI230" i="24"/>
  <c r="AI229" i="24"/>
  <c r="AI228" i="24"/>
  <c r="AI227" i="24"/>
  <c r="AI226" i="24"/>
  <c r="AI225" i="24"/>
  <c r="AI224" i="24"/>
  <c r="AI223" i="24"/>
  <c r="AI222" i="24"/>
  <c r="AI221" i="24"/>
  <c r="AI220" i="24"/>
  <c r="AI219" i="24"/>
  <c r="AI218" i="24"/>
  <c r="AI216" i="24"/>
  <c r="AI215" i="24"/>
  <c r="AI214" i="24"/>
  <c r="AI210" i="24"/>
  <c r="AI209" i="24"/>
  <c r="AI208" i="24"/>
  <c r="AI207" i="24"/>
  <c r="AI198" i="24"/>
  <c r="AI197" i="24"/>
  <c r="AI196" i="24"/>
  <c r="AI195" i="24"/>
  <c r="AI194" i="24"/>
  <c r="AI193" i="24"/>
  <c r="AI192" i="24"/>
  <c r="AI191" i="24"/>
  <c r="AI190" i="24"/>
  <c r="AH170" i="24"/>
  <c r="AI170" i="24" s="1"/>
  <c r="AI156" i="24"/>
  <c r="AI154" i="24"/>
  <c r="AI153" i="24"/>
  <c r="AI152" i="24"/>
  <c r="AI150" i="24"/>
  <c r="AI146" i="24"/>
  <c r="AI145" i="24"/>
  <c r="AI144" i="24"/>
  <c r="AI143" i="24"/>
  <c r="AH133" i="24"/>
  <c r="AI133" i="24" s="1"/>
  <c r="AH132" i="24"/>
  <c r="AI132" i="24" s="1"/>
  <c r="AH129" i="24"/>
  <c r="AI129" i="24" s="1"/>
  <c r="AH116" i="24"/>
  <c r="AI116" i="24" s="1"/>
  <c r="AH115" i="24"/>
  <c r="AI115" i="24" s="1"/>
  <c r="AH114" i="24"/>
  <c r="AI114" i="24" s="1"/>
  <c r="AH113" i="24"/>
  <c r="AI113" i="24" s="1"/>
  <c r="AH109" i="24"/>
  <c r="AI109" i="24" s="1"/>
  <c r="AH106" i="24"/>
  <c r="AI106" i="24" s="1"/>
  <c r="D18" i="50"/>
  <c r="P352" i="24"/>
  <c r="Q352" i="24"/>
  <c r="R352" i="24"/>
  <c r="O352" i="24"/>
  <c r="P351" i="24"/>
  <c r="Q351" i="24"/>
  <c r="R351" i="24"/>
  <c r="O351" i="24"/>
  <c r="P350" i="24"/>
  <c r="Q350" i="24"/>
  <c r="R350" i="24"/>
  <c r="O350" i="24"/>
  <c r="P349" i="24"/>
  <c r="Q349" i="24"/>
  <c r="R349" i="24"/>
  <c r="O349" i="24"/>
  <c r="Q348" i="24"/>
  <c r="R348" i="24"/>
  <c r="P348" i="24"/>
  <c r="O348" i="24"/>
  <c r="Q347" i="24"/>
  <c r="R347" i="24"/>
  <c r="P347" i="24"/>
  <c r="O347" i="24"/>
  <c r="Q346" i="24"/>
  <c r="R346" i="24"/>
  <c r="P346" i="24"/>
  <c r="P345" i="24"/>
  <c r="Q345" i="24"/>
  <c r="R345" i="24"/>
  <c r="O346" i="24"/>
  <c r="N345" i="24"/>
  <c r="M339" i="24"/>
  <c r="L339" i="24"/>
  <c r="K339" i="24"/>
  <c r="J339" i="24"/>
  <c r="P338" i="24"/>
  <c r="Q338" i="24"/>
  <c r="O338" i="24"/>
  <c r="P337" i="24"/>
  <c r="R337" i="24"/>
  <c r="O337" i="24"/>
  <c r="P336" i="24"/>
  <c r="Q336" i="24"/>
  <c r="R336" i="24"/>
  <c r="O336" i="24"/>
  <c r="P335" i="24"/>
  <c r="Q335" i="24"/>
  <c r="R335" i="24"/>
  <c r="O335" i="24"/>
  <c r="P334" i="24"/>
  <c r="Q334" i="24"/>
  <c r="R334" i="24"/>
  <c r="O334" i="24"/>
  <c r="P333" i="24"/>
  <c r="Q333" i="24"/>
  <c r="R333" i="24"/>
  <c r="N338" i="24"/>
  <c r="N337" i="24"/>
  <c r="N336" i="24"/>
  <c r="N335" i="24"/>
  <c r="N334" i="24"/>
  <c r="N333" i="24"/>
  <c r="L331" i="24"/>
  <c r="M331" i="24"/>
  <c r="K331" i="24"/>
  <c r="J331" i="24"/>
  <c r="M343" i="24"/>
  <c r="L343" i="24"/>
  <c r="K343" i="24"/>
  <c r="J343" i="24"/>
  <c r="P342" i="24"/>
  <c r="Q342" i="24"/>
  <c r="R342" i="24"/>
  <c r="O342" i="24"/>
  <c r="P341" i="24"/>
  <c r="Q341" i="24"/>
  <c r="R341" i="24"/>
  <c r="N341" i="24"/>
  <c r="N342" i="24"/>
  <c r="P151" i="24"/>
  <c r="Q151" i="24"/>
  <c r="R151" i="24"/>
  <c r="O151" i="24"/>
  <c r="N151" i="24"/>
  <c r="P372" i="24"/>
  <c r="N195" i="24"/>
  <c r="N453" i="24"/>
  <c r="O380" i="24"/>
  <c r="O381" i="24"/>
  <c r="A9" i="52"/>
  <c r="B15" i="52"/>
  <c r="B14" i="52"/>
  <c r="M402" i="24"/>
  <c r="L396" i="24"/>
  <c r="M396" i="24"/>
  <c r="K396" i="24"/>
  <c r="J396" i="24"/>
  <c r="B12" i="52"/>
  <c r="B11" i="52"/>
  <c r="L274" i="24"/>
  <c r="M274" i="24"/>
  <c r="K274" i="24"/>
  <c r="J274" i="24"/>
  <c r="Q229" i="24"/>
  <c r="S229" i="24" s="1"/>
  <c r="B8" i="52"/>
  <c r="B7" i="52"/>
  <c r="B6" i="52"/>
  <c r="B5" i="52"/>
  <c r="T79" i="24"/>
  <c r="N347" i="24"/>
  <c r="N351" i="24"/>
  <c r="N350" i="24"/>
  <c r="N349" i="24"/>
  <c r="N352" i="24"/>
  <c r="N231" i="24"/>
  <c r="N230" i="24"/>
  <c r="N229" i="24"/>
  <c r="P393" i="24"/>
  <c r="Q393" i="24"/>
  <c r="R393" i="24"/>
  <c r="P394" i="24"/>
  <c r="Q394" i="24"/>
  <c r="R394" i="24"/>
  <c r="P395" i="24"/>
  <c r="Q395" i="24"/>
  <c r="R395" i="24"/>
  <c r="O393" i="24"/>
  <c r="O394" i="24"/>
  <c r="O395" i="24"/>
  <c r="N393" i="24"/>
  <c r="N394" i="24"/>
  <c r="N395" i="24"/>
  <c r="N224" i="24"/>
  <c r="N219" i="24"/>
  <c r="V591" i="24"/>
  <c r="W591" i="24"/>
  <c r="X591" i="24"/>
  <c r="U591" i="24"/>
  <c r="T591" i="24"/>
  <c r="T592" i="24"/>
  <c r="T593" i="24"/>
  <c r="T594" i="24"/>
  <c r="T595" i="24"/>
  <c r="Y595" i="24" s="1"/>
  <c r="I591" i="24"/>
  <c r="R591" i="24" s="1"/>
  <c r="N591" i="24"/>
  <c r="N594" i="24"/>
  <c r="N598" i="24"/>
  <c r="N597" i="24"/>
  <c r="I597" i="24"/>
  <c r="O597" i="24" s="1"/>
  <c r="N596" i="24"/>
  <c r="I596" i="24"/>
  <c r="R596" i="24" s="1"/>
  <c r="R594" i="24"/>
  <c r="N590" i="24"/>
  <c r="N589" i="24"/>
  <c r="N588" i="24"/>
  <c r="N587" i="24"/>
  <c r="I587" i="24"/>
  <c r="Q587" i="24" s="1"/>
  <c r="N586" i="24"/>
  <c r="N585" i="24"/>
  <c r="I585" i="24"/>
  <c r="Q585" i="24" s="1"/>
  <c r="N584" i="24"/>
  <c r="I584" i="24"/>
  <c r="P584" i="24" s="1"/>
  <c r="N583" i="24"/>
  <c r="I583" i="24"/>
  <c r="R583" i="24" s="1"/>
  <c r="N582" i="24"/>
  <c r="I582" i="24"/>
  <c r="R582" i="24" s="1"/>
  <c r="N581" i="24"/>
  <c r="I581" i="24"/>
  <c r="R581" i="24" s="1"/>
  <c r="N580" i="24"/>
  <c r="I580" i="24"/>
  <c r="P580" i="24" s="1"/>
  <c r="N579" i="24"/>
  <c r="N578" i="24"/>
  <c r="N577" i="24"/>
  <c r="N576" i="24"/>
  <c r="N575" i="24"/>
  <c r="N574" i="24"/>
  <c r="N573" i="24"/>
  <c r="N572" i="24"/>
  <c r="N571" i="24"/>
  <c r="N570" i="24"/>
  <c r="N569" i="24"/>
  <c r="I569" i="24"/>
  <c r="R569" i="24" s="1"/>
  <c r="N568" i="24"/>
  <c r="I568" i="24"/>
  <c r="O568" i="24" s="1"/>
  <c r="N567" i="24"/>
  <c r="N566" i="24"/>
  <c r="I566" i="24"/>
  <c r="N564" i="24"/>
  <c r="I564" i="24"/>
  <c r="P564" i="24" s="1"/>
  <c r="N563" i="24"/>
  <c r="I563" i="24"/>
  <c r="R563" i="24" s="1"/>
  <c r="N562" i="24"/>
  <c r="I562" i="24"/>
  <c r="R562" i="24" s="1"/>
  <c r="N560" i="24"/>
  <c r="I560" i="24"/>
  <c r="N559" i="24"/>
  <c r="I559" i="24"/>
  <c r="N451" i="24"/>
  <c r="R381" i="24"/>
  <c r="Q381" i="24"/>
  <c r="P381" i="24"/>
  <c r="N381" i="24"/>
  <c r="R380" i="24"/>
  <c r="Q380" i="24"/>
  <c r="P380" i="24"/>
  <c r="N380" i="24"/>
  <c r="N234" i="24"/>
  <c r="N196" i="24"/>
  <c r="N211" i="24"/>
  <c r="N210" i="24"/>
  <c r="N209" i="24"/>
  <c r="N208" i="24"/>
  <c r="N207" i="24"/>
  <c r="N92" i="24"/>
  <c r="N93" i="24" s="1"/>
  <c r="N87" i="24"/>
  <c r="N86" i="24"/>
  <c r="N85" i="24"/>
  <c r="N84" i="24"/>
  <c r="N82" i="24"/>
  <c r="R281" i="24"/>
  <c r="P281" i="24"/>
  <c r="Q281" i="24"/>
  <c r="P278" i="24"/>
  <c r="Q278" i="24"/>
  <c r="O278" i="24"/>
  <c r="K41" i="24"/>
  <c r="L41" i="24"/>
  <c r="M41" i="24"/>
  <c r="J41" i="24"/>
  <c r="Q21" i="24"/>
  <c r="O20" i="24"/>
  <c r="P19" i="24"/>
  <c r="R18" i="24"/>
  <c r="O17" i="24"/>
  <c r="P16" i="24"/>
  <c r="Q15" i="24"/>
  <c r="R372" i="24"/>
  <c r="Q372" i="24"/>
  <c r="O372" i="24"/>
  <c r="N484" i="24"/>
  <c r="N482" i="24"/>
  <c r="N481" i="24"/>
  <c r="O481" i="24"/>
  <c r="R480" i="24"/>
  <c r="P480" i="24"/>
  <c r="O480" i="24"/>
  <c r="N477" i="24"/>
  <c r="N476" i="24"/>
  <c r="R476" i="24"/>
  <c r="N475" i="24"/>
  <c r="O475" i="24"/>
  <c r="I470" i="24"/>
  <c r="I469" i="24"/>
  <c r="R469" i="24" s="1"/>
  <c r="I468" i="24"/>
  <c r="R468" i="24" s="1"/>
  <c r="I467" i="24"/>
  <c r="O467" i="24" s="1"/>
  <c r="I466" i="24"/>
  <c r="Q466" i="24" s="1"/>
  <c r="I465" i="24"/>
  <c r="P465" i="24" s="1"/>
  <c r="I464" i="24"/>
  <c r="O464" i="24" s="1"/>
  <c r="J471" i="24"/>
  <c r="K471" i="24"/>
  <c r="L471" i="24"/>
  <c r="M471" i="24"/>
  <c r="N503" i="24"/>
  <c r="N502" i="24"/>
  <c r="I502" i="24"/>
  <c r="O502" i="24" s="1"/>
  <c r="N501" i="24"/>
  <c r="N495" i="24"/>
  <c r="N494" i="24"/>
  <c r="N493" i="24"/>
  <c r="N492" i="24"/>
  <c r="Q401" i="24"/>
  <c r="R401" i="24"/>
  <c r="P399" i="24"/>
  <c r="Q399" i="24"/>
  <c r="R399" i="24"/>
  <c r="P400" i="24"/>
  <c r="Q400" i="24"/>
  <c r="R400" i="24"/>
  <c r="P398" i="24"/>
  <c r="Q398" i="24"/>
  <c r="R398" i="24"/>
  <c r="O399" i="24"/>
  <c r="O400" i="24"/>
  <c r="O401" i="24"/>
  <c r="N399" i="24"/>
  <c r="N400" i="24"/>
  <c r="N398" i="24"/>
  <c r="P382" i="24"/>
  <c r="Q382" i="24"/>
  <c r="R382" i="24"/>
  <c r="O382" i="24"/>
  <c r="N382" i="24"/>
  <c r="N379" i="24"/>
  <c r="N113" i="24"/>
  <c r="P113" i="24"/>
  <c r="Q113" i="24"/>
  <c r="O109" i="24"/>
  <c r="R113" i="24"/>
  <c r="O113" i="24"/>
  <c r="M157" i="24"/>
  <c r="N156" i="24"/>
  <c r="K157" i="24"/>
  <c r="J157" i="24"/>
  <c r="L157" i="24"/>
  <c r="P163" i="24"/>
  <c r="Q163" i="24"/>
  <c r="R163" i="24"/>
  <c r="J353" i="24"/>
  <c r="K353" i="24"/>
  <c r="L353" i="24"/>
  <c r="M353" i="24"/>
  <c r="M354" i="24" s="1"/>
  <c r="N198" i="24"/>
  <c r="N304" i="24"/>
  <c r="N305" i="24"/>
  <c r="N306" i="24"/>
  <c r="N307" i="24"/>
  <c r="N308" i="24"/>
  <c r="N309" i="24"/>
  <c r="N311" i="24"/>
  <c r="N312" i="24"/>
  <c r="N303" i="24"/>
  <c r="P376" i="24"/>
  <c r="Q376" i="24"/>
  <c r="R376" i="24"/>
  <c r="P377" i="24"/>
  <c r="Q377" i="24"/>
  <c r="R377" i="24"/>
  <c r="P378" i="24"/>
  <c r="Q378" i="24"/>
  <c r="R378" i="24"/>
  <c r="O376" i="24"/>
  <c r="O377" i="24"/>
  <c r="O378" i="24"/>
  <c r="P379" i="24"/>
  <c r="Q379" i="24"/>
  <c r="O379" i="24"/>
  <c r="P136" i="24"/>
  <c r="Q136" i="24"/>
  <c r="R136" i="24"/>
  <c r="P137" i="24"/>
  <c r="Q137" i="24"/>
  <c r="R137" i="24"/>
  <c r="O137" i="24"/>
  <c r="P388" i="24"/>
  <c r="Q388" i="24"/>
  <c r="R388" i="24"/>
  <c r="P389" i="24"/>
  <c r="Q389" i="24"/>
  <c r="R389" i="24"/>
  <c r="P390" i="24"/>
  <c r="Q390" i="24"/>
  <c r="R390" i="24"/>
  <c r="P391" i="24"/>
  <c r="Q391" i="24"/>
  <c r="R391" i="24"/>
  <c r="P392" i="24"/>
  <c r="Q392" i="24"/>
  <c r="R392" i="24"/>
  <c r="O388" i="24"/>
  <c r="O389" i="24"/>
  <c r="O390" i="24"/>
  <c r="O391" i="24"/>
  <c r="O392" i="24"/>
  <c r="N388" i="24"/>
  <c r="N389" i="24"/>
  <c r="N390" i="24"/>
  <c r="N391" i="24"/>
  <c r="N392" i="24"/>
  <c r="N386" i="24"/>
  <c r="T268" i="24"/>
  <c r="U268" i="24"/>
  <c r="V268" i="24"/>
  <c r="W268" i="24"/>
  <c r="X268" i="24"/>
  <c r="R267" i="24"/>
  <c r="Q267" i="24"/>
  <c r="P267" i="24"/>
  <c r="R264" i="24"/>
  <c r="Q264" i="24"/>
  <c r="P264" i="24"/>
  <c r="R263" i="24"/>
  <c r="Q263" i="24"/>
  <c r="P263" i="24"/>
  <c r="R262" i="24"/>
  <c r="Q262" i="24"/>
  <c r="P262" i="24"/>
  <c r="R261" i="24"/>
  <c r="Q261" i="24"/>
  <c r="P261" i="24"/>
  <c r="R260" i="24"/>
  <c r="Q260" i="24"/>
  <c r="P260" i="24"/>
  <c r="O261" i="24"/>
  <c r="O262" i="24"/>
  <c r="O263" i="24"/>
  <c r="O267" i="24"/>
  <c r="O260" i="24"/>
  <c r="N264" i="24"/>
  <c r="N263" i="24"/>
  <c r="N262" i="24"/>
  <c r="N261" i="24"/>
  <c r="N260" i="24"/>
  <c r="P129" i="24"/>
  <c r="Q129" i="24"/>
  <c r="R129" i="24"/>
  <c r="P130" i="24"/>
  <c r="Q130" i="24"/>
  <c r="R130" i="24"/>
  <c r="O130" i="24"/>
  <c r="O129" i="24"/>
  <c r="N267" i="24"/>
  <c r="O226" i="24"/>
  <c r="S226" i="24" s="1"/>
  <c r="N228" i="24"/>
  <c r="N227" i="24"/>
  <c r="N226" i="24"/>
  <c r="N225" i="24"/>
  <c r="N223" i="24"/>
  <c r="N222" i="24"/>
  <c r="N221" i="24"/>
  <c r="N220" i="24"/>
  <c r="N218" i="24"/>
  <c r="N216" i="24"/>
  <c r="N215" i="24"/>
  <c r="N214" i="24"/>
  <c r="N197" i="24"/>
  <c r="N191" i="24"/>
  <c r="N192" i="24"/>
  <c r="N193" i="24"/>
  <c r="N194" i="24"/>
  <c r="N190" i="24"/>
  <c r="N129" i="24"/>
  <c r="P103" i="24"/>
  <c r="N109" i="24"/>
  <c r="O108" i="24"/>
  <c r="P107" i="24"/>
  <c r="Q107" i="24"/>
  <c r="R107" i="24"/>
  <c r="O107" i="24"/>
  <c r="O143" i="24"/>
  <c r="P143" i="24"/>
  <c r="Q143" i="24"/>
  <c r="R143" i="24"/>
  <c r="N143" i="24"/>
  <c r="K62" i="24"/>
  <c r="L62" i="24"/>
  <c r="M62" i="24"/>
  <c r="J62" i="24"/>
  <c r="K93" i="24"/>
  <c r="L93" i="24"/>
  <c r="M93" i="24"/>
  <c r="J93" i="24"/>
  <c r="K90" i="24"/>
  <c r="L90" i="24"/>
  <c r="M90" i="24"/>
  <c r="J90" i="24"/>
  <c r="P92" i="24"/>
  <c r="P93" i="24" s="1"/>
  <c r="Q92" i="24"/>
  <c r="Q93" i="24" s="1"/>
  <c r="R92" i="24"/>
  <c r="R93" i="24" s="1"/>
  <c r="Q89" i="24"/>
  <c r="R89" i="24"/>
  <c r="O89" i="24"/>
  <c r="O92" i="24"/>
  <c r="O93" i="24" s="1"/>
  <c r="P86" i="24"/>
  <c r="Q86" i="24"/>
  <c r="R86" i="24"/>
  <c r="O86" i="24"/>
  <c r="P85" i="24"/>
  <c r="Q85" i="24"/>
  <c r="R85" i="24"/>
  <c r="O85" i="24"/>
  <c r="P84" i="24"/>
  <c r="Q84" i="24"/>
  <c r="R84" i="24"/>
  <c r="O84" i="24"/>
  <c r="R82" i="24"/>
  <c r="P82" i="24"/>
  <c r="Q82" i="24"/>
  <c r="Q24" i="24"/>
  <c r="R24" i="24"/>
  <c r="P24" i="24"/>
  <c r="O24" i="24"/>
  <c r="O115" i="24"/>
  <c r="P115" i="24"/>
  <c r="Q115" i="24"/>
  <c r="R115" i="24"/>
  <c r="O116" i="24"/>
  <c r="P116" i="24"/>
  <c r="Q116" i="24"/>
  <c r="R116" i="24"/>
  <c r="O112" i="24"/>
  <c r="O106" i="24"/>
  <c r="P106" i="24"/>
  <c r="Q106" i="24"/>
  <c r="R106" i="24"/>
  <c r="P109" i="24"/>
  <c r="Q109" i="24"/>
  <c r="R109" i="24"/>
  <c r="N106" i="24"/>
  <c r="O133" i="24"/>
  <c r="P133" i="24"/>
  <c r="Q133" i="24"/>
  <c r="R133" i="24"/>
  <c r="O139" i="24"/>
  <c r="P139" i="24"/>
  <c r="Q139" i="24"/>
  <c r="R139" i="24"/>
  <c r="O144" i="24"/>
  <c r="P144" i="24"/>
  <c r="Q144" i="24"/>
  <c r="R144" i="24"/>
  <c r="O145" i="24"/>
  <c r="P145" i="24"/>
  <c r="Q145" i="24"/>
  <c r="R145" i="24"/>
  <c r="O146" i="24"/>
  <c r="P146" i="24"/>
  <c r="Q146" i="24"/>
  <c r="R146" i="24"/>
  <c r="O152" i="24"/>
  <c r="P152" i="24"/>
  <c r="Q152" i="24"/>
  <c r="R152" i="24"/>
  <c r="O153" i="24"/>
  <c r="P153" i="24"/>
  <c r="Q153" i="24"/>
  <c r="R153" i="24"/>
  <c r="O154" i="24"/>
  <c r="P154" i="24"/>
  <c r="Q154" i="24"/>
  <c r="R154" i="24"/>
  <c r="P155" i="24"/>
  <c r="Q155" i="24"/>
  <c r="R155" i="24"/>
  <c r="N152" i="24"/>
  <c r="N153" i="24"/>
  <c r="N154" i="24"/>
  <c r="O150" i="24"/>
  <c r="P150" i="24"/>
  <c r="Q150" i="24"/>
  <c r="R150" i="24"/>
  <c r="O369" i="24"/>
  <c r="P369" i="24"/>
  <c r="Q369" i="24"/>
  <c r="R369" i="24"/>
  <c r="O370" i="24"/>
  <c r="P370" i="24"/>
  <c r="Q370" i="24"/>
  <c r="R370" i="24"/>
  <c r="O371" i="24"/>
  <c r="P371" i="24"/>
  <c r="Q371" i="24"/>
  <c r="R371" i="24"/>
  <c r="O368" i="24"/>
  <c r="P368" i="24"/>
  <c r="Q368" i="24"/>
  <c r="R368" i="24"/>
  <c r="N133" i="24"/>
  <c r="N150" i="24"/>
  <c r="N146" i="24"/>
  <c r="N116" i="24"/>
  <c r="N132" i="24"/>
  <c r="R132" i="24"/>
  <c r="Q132" i="24"/>
  <c r="O132" i="24"/>
  <c r="P132" i="24"/>
  <c r="N145" i="24"/>
  <c r="N115" i="24"/>
  <c r="N114" i="24"/>
  <c r="R114" i="24"/>
  <c r="Q114" i="24"/>
  <c r="P114" i="24"/>
  <c r="O114" i="24"/>
  <c r="N144" i="24"/>
  <c r="I90" i="24"/>
  <c r="I93" i="24"/>
  <c r="M235" i="24"/>
  <c r="L235" i="24"/>
  <c r="K235" i="24"/>
  <c r="O271" i="24"/>
  <c r="P271" i="24"/>
  <c r="Q271" i="24"/>
  <c r="R271" i="24"/>
  <c r="O272" i="24"/>
  <c r="P272" i="24"/>
  <c r="Q272" i="24"/>
  <c r="R272" i="24"/>
  <c r="O273" i="24"/>
  <c r="P273" i="24"/>
  <c r="Q273" i="24"/>
  <c r="R273" i="24"/>
  <c r="N271" i="24"/>
  <c r="N272" i="24"/>
  <c r="N273" i="24"/>
  <c r="R169" i="24"/>
  <c r="Q169" i="24"/>
  <c r="P169" i="24"/>
  <c r="O169" i="24"/>
  <c r="P182" i="24"/>
  <c r="AI303" i="24"/>
  <c r="T303" i="24"/>
  <c r="U303" i="24"/>
  <c r="V303" i="24"/>
  <c r="W303" i="24"/>
  <c r="X303" i="24"/>
  <c r="T423" i="24"/>
  <c r="AN440" i="24"/>
  <c r="N100" i="24"/>
  <c r="N97" i="24"/>
  <c r="R100" i="24"/>
  <c r="Q100" i="24"/>
  <c r="P100" i="24"/>
  <c r="R97" i="24"/>
  <c r="Q97" i="24"/>
  <c r="AC617" i="24" s="1"/>
  <c r="P97" i="24"/>
  <c r="T415" i="24"/>
  <c r="U415" i="24"/>
  <c r="V415" i="24"/>
  <c r="W415" i="24"/>
  <c r="X415" i="24"/>
  <c r="T413" i="24"/>
  <c r="AD62" i="24"/>
  <c r="R415" i="24"/>
  <c r="P415" i="24"/>
  <c r="P418" i="24" s="1"/>
  <c r="O415" i="24"/>
  <c r="O418" i="24" s="1"/>
  <c r="N418" i="24"/>
  <c r="P493" i="24"/>
  <c r="P492" i="24"/>
  <c r="M499" i="24"/>
  <c r="L499" i="24"/>
  <c r="K499" i="24"/>
  <c r="U423" i="24"/>
  <c r="V423" i="24"/>
  <c r="W423" i="24"/>
  <c r="X423" i="24"/>
  <c r="T424" i="24"/>
  <c r="U424" i="24"/>
  <c r="V424" i="24"/>
  <c r="W424" i="24"/>
  <c r="X424" i="24"/>
  <c r="T429" i="24"/>
  <c r="U429" i="24"/>
  <c r="V429" i="24"/>
  <c r="W429" i="24"/>
  <c r="X429" i="24"/>
  <c r="T430" i="24"/>
  <c r="U430" i="24"/>
  <c r="V430" i="24"/>
  <c r="W430" i="24"/>
  <c r="X430" i="24"/>
  <c r="AH422" i="24"/>
  <c r="AI422" i="24" s="1"/>
  <c r="T416" i="24"/>
  <c r="Y416" i="24" s="1"/>
  <c r="U416" i="24"/>
  <c r="Z416" i="24" s="1"/>
  <c r="V416" i="24"/>
  <c r="AA416" i="24" s="1"/>
  <c r="W416" i="24"/>
  <c r="AB416" i="24" s="1"/>
  <c r="X416" i="24"/>
  <c r="AC416" i="24" s="1"/>
  <c r="T417" i="24"/>
  <c r="Y417" i="24" s="1"/>
  <c r="U417" i="24"/>
  <c r="Z417" i="24" s="1"/>
  <c r="V417" i="24"/>
  <c r="AA417" i="24" s="1"/>
  <c r="W417" i="24"/>
  <c r="AB417" i="24" s="1"/>
  <c r="X417" i="24"/>
  <c r="AC417" i="24" s="1"/>
  <c r="T419" i="24"/>
  <c r="Y419" i="24" s="1"/>
  <c r="U419" i="24"/>
  <c r="Z419" i="24" s="1"/>
  <c r="V419" i="24"/>
  <c r="AA419" i="24" s="1"/>
  <c r="W419" i="24"/>
  <c r="AB419" i="24" s="1"/>
  <c r="X419" i="24"/>
  <c r="AC419" i="24" s="1"/>
  <c r="AH415" i="24"/>
  <c r="AI415" i="24" s="1"/>
  <c r="AH416" i="24"/>
  <c r="AI416" i="24" s="1"/>
  <c r="AH417" i="24"/>
  <c r="AI417" i="24" s="1"/>
  <c r="AH495" i="24"/>
  <c r="AI495" i="24" s="1"/>
  <c r="X495" i="24"/>
  <c r="W495" i="24"/>
  <c r="V495" i="24"/>
  <c r="U495" i="24"/>
  <c r="T495" i="24"/>
  <c r="R495" i="24"/>
  <c r="Q495" i="24"/>
  <c r="P495" i="24"/>
  <c r="O495" i="24"/>
  <c r="AH494" i="24"/>
  <c r="AI494" i="24" s="1"/>
  <c r="X494" i="24"/>
  <c r="W494" i="24"/>
  <c r="V494" i="24"/>
  <c r="U494" i="24"/>
  <c r="T494" i="24"/>
  <c r="R494" i="24"/>
  <c r="P494" i="24"/>
  <c r="O494" i="24"/>
  <c r="AH492" i="24"/>
  <c r="AI492" i="24" s="1"/>
  <c r="X492" i="24"/>
  <c r="W492" i="24"/>
  <c r="V492" i="24"/>
  <c r="U492" i="24"/>
  <c r="T492" i="24"/>
  <c r="R492" i="24"/>
  <c r="Q492" i="24"/>
  <c r="O492" i="24"/>
  <c r="Q182" i="24"/>
  <c r="R182" i="24"/>
  <c r="AH163" i="24"/>
  <c r="AI163" i="24" s="1"/>
  <c r="AH165" i="24"/>
  <c r="AI165" i="24" s="1"/>
  <c r="AH166" i="24"/>
  <c r="AI166" i="24" s="1"/>
  <c r="AH167" i="24"/>
  <c r="AI167" i="24" s="1"/>
  <c r="AH168" i="24"/>
  <c r="AI168" i="24" s="1"/>
  <c r="AH169" i="24"/>
  <c r="AI169" i="24" s="1"/>
  <c r="AH171" i="24"/>
  <c r="AI171" i="24" s="1"/>
  <c r="AH172" i="24"/>
  <c r="AI172" i="24" s="1"/>
  <c r="P174" i="24"/>
  <c r="Q174" i="24"/>
  <c r="R174" i="24"/>
  <c r="P172" i="24"/>
  <c r="Q172" i="24"/>
  <c r="R172" i="24"/>
  <c r="Q171" i="24"/>
  <c r="R171" i="24"/>
  <c r="O172" i="24"/>
  <c r="X172" i="24"/>
  <c r="W172" i="24"/>
  <c r="V172" i="24"/>
  <c r="U172" i="24"/>
  <c r="T172" i="24"/>
  <c r="X171" i="24"/>
  <c r="W171" i="24"/>
  <c r="V171" i="24"/>
  <c r="U171" i="24"/>
  <c r="T171" i="24"/>
  <c r="X169" i="24"/>
  <c r="W169" i="24"/>
  <c r="V169" i="24"/>
  <c r="U169" i="24"/>
  <c r="T169" i="24"/>
  <c r="O167" i="24"/>
  <c r="P167" i="24"/>
  <c r="Q167" i="24"/>
  <c r="R167" i="24"/>
  <c r="T167" i="24"/>
  <c r="U167" i="24"/>
  <c r="V167" i="24"/>
  <c r="W167" i="24"/>
  <c r="X167" i="24"/>
  <c r="E14" i="50"/>
  <c r="E18" i="50" s="1"/>
  <c r="AI293" i="24"/>
  <c r="AI289" i="24"/>
  <c r="AI288" i="24"/>
  <c r="AI287" i="24"/>
  <c r="P61" i="24"/>
  <c r="P58" i="24"/>
  <c r="O60" i="24"/>
  <c r="O61" i="24"/>
  <c r="O59" i="24"/>
  <c r="O58" i="24"/>
  <c r="O30" i="24"/>
  <c r="O27" i="24"/>
  <c r="O26" i="24"/>
  <c r="O25" i="24"/>
  <c r="O553" i="24"/>
  <c r="O552" i="24"/>
  <c r="O551" i="24"/>
  <c r="O579" i="24"/>
  <c r="O578" i="24"/>
  <c r="O577" i="24"/>
  <c r="O576" i="24"/>
  <c r="O575" i="24"/>
  <c r="O574" i="24"/>
  <c r="O573" i="24"/>
  <c r="O572" i="24"/>
  <c r="O571" i="24"/>
  <c r="O570" i="24"/>
  <c r="O567" i="24"/>
  <c r="Q78" i="24"/>
  <c r="Q79" i="24"/>
  <c r="Q77" i="24"/>
  <c r="P78" i="24"/>
  <c r="P79" i="24"/>
  <c r="P77" i="24"/>
  <c r="P76" i="24"/>
  <c r="O78" i="24"/>
  <c r="O77" i="24"/>
  <c r="O76" i="24"/>
  <c r="J31" i="24"/>
  <c r="J32" i="24" s="1"/>
  <c r="P358" i="24"/>
  <c r="P357" i="24"/>
  <c r="O367" i="24"/>
  <c r="O366" i="24"/>
  <c r="O365" i="24"/>
  <c r="O364" i="24"/>
  <c r="O363" i="24"/>
  <c r="O362" i="24"/>
  <c r="O361" i="24"/>
  <c r="O360" i="24"/>
  <c r="O359" i="24"/>
  <c r="O358" i="24"/>
  <c r="M373" i="24"/>
  <c r="L373" i="24"/>
  <c r="K373" i="24"/>
  <c r="J373" i="24"/>
  <c r="K294" i="24"/>
  <c r="J294" i="24"/>
  <c r="M313" i="24"/>
  <c r="L313" i="24"/>
  <c r="K313" i="24"/>
  <c r="J313" i="24"/>
  <c r="M12" i="24"/>
  <c r="L12" i="24"/>
  <c r="K12" i="24"/>
  <c r="R166" i="24"/>
  <c r="R165" i="24"/>
  <c r="R162" i="24"/>
  <c r="Q166" i="24"/>
  <c r="Q165" i="24"/>
  <c r="Q162" i="24"/>
  <c r="P166" i="24"/>
  <c r="P165" i="24"/>
  <c r="P162" i="24"/>
  <c r="O166" i="24"/>
  <c r="O165" i="24"/>
  <c r="O163" i="24"/>
  <c r="AH353" i="24"/>
  <c r="AI353" i="24" s="1"/>
  <c r="X353" i="24"/>
  <c r="W353" i="24"/>
  <c r="V353" i="24"/>
  <c r="U353" i="24"/>
  <c r="T353" i="24"/>
  <c r="AI348" i="24"/>
  <c r="X348" i="24"/>
  <c r="W348" i="24"/>
  <c r="V348" i="24"/>
  <c r="U348" i="24"/>
  <c r="T348" i="24"/>
  <c r="N348" i="24"/>
  <c r="AI346" i="24"/>
  <c r="X346" i="24"/>
  <c r="W346" i="24"/>
  <c r="V346" i="24"/>
  <c r="U346" i="24"/>
  <c r="T346" i="24"/>
  <c r="N346" i="24"/>
  <c r="AH344" i="24"/>
  <c r="AI344" i="24" s="1"/>
  <c r="X344" i="24"/>
  <c r="AC344" i="24" s="1"/>
  <c r="W344" i="24"/>
  <c r="AB344" i="24" s="1"/>
  <c r="V344" i="24"/>
  <c r="AA344" i="24" s="1"/>
  <c r="U344" i="24"/>
  <c r="Z344" i="24" s="1"/>
  <c r="T344" i="24"/>
  <c r="Y344" i="24" s="1"/>
  <c r="AH343" i="24"/>
  <c r="AI343" i="24" s="1"/>
  <c r="X343" i="24"/>
  <c r="W343" i="24"/>
  <c r="V343" i="24"/>
  <c r="U343" i="24"/>
  <c r="T343" i="24"/>
  <c r="X340" i="24"/>
  <c r="W340" i="24"/>
  <c r="V340" i="24"/>
  <c r="U340" i="24"/>
  <c r="T340" i="24"/>
  <c r="X331" i="24"/>
  <c r="W331" i="24"/>
  <c r="V331" i="24"/>
  <c r="U331" i="24"/>
  <c r="T331" i="24"/>
  <c r="T317" i="24"/>
  <c r="Y317" i="24" s="1"/>
  <c r="X157" i="24"/>
  <c r="W157" i="24"/>
  <c r="V157" i="24"/>
  <c r="U157" i="24"/>
  <c r="T157" i="24"/>
  <c r="X155" i="24"/>
  <c r="W155" i="24"/>
  <c r="V155" i="24"/>
  <c r="U155" i="24"/>
  <c r="T155" i="24"/>
  <c r="N155" i="24"/>
  <c r="X149" i="24"/>
  <c r="W149" i="24"/>
  <c r="V149" i="24"/>
  <c r="U149" i="24"/>
  <c r="T149" i="24"/>
  <c r="R149" i="24"/>
  <c r="Q149" i="24"/>
  <c r="P149" i="24"/>
  <c r="N149" i="24"/>
  <c r="X293" i="24"/>
  <c r="W293" i="24"/>
  <c r="V293" i="24"/>
  <c r="U293" i="24"/>
  <c r="T293" i="24"/>
  <c r="R293" i="24"/>
  <c r="Q293" i="24"/>
  <c r="P293" i="24"/>
  <c r="O293" i="24"/>
  <c r="N293" i="24"/>
  <c r="AI292" i="24"/>
  <c r="X292" i="24"/>
  <c r="W292" i="24"/>
  <c r="V292" i="24"/>
  <c r="U292" i="24"/>
  <c r="T292" i="24"/>
  <c r="R292" i="24"/>
  <c r="Q292" i="24"/>
  <c r="P292" i="24"/>
  <c r="O292" i="24"/>
  <c r="N292" i="24"/>
  <c r="AI291" i="24"/>
  <c r="X291" i="24"/>
  <c r="W291" i="24"/>
  <c r="V291" i="24"/>
  <c r="U291" i="24"/>
  <c r="T291" i="24"/>
  <c r="R291" i="24"/>
  <c r="Q291" i="24"/>
  <c r="P291" i="24"/>
  <c r="O291" i="24"/>
  <c r="N291" i="24"/>
  <c r="AI290" i="24"/>
  <c r="X290" i="24"/>
  <c r="W290" i="24"/>
  <c r="V290" i="24"/>
  <c r="U290" i="24"/>
  <c r="T290" i="24"/>
  <c r="R290" i="24"/>
  <c r="Q290" i="24"/>
  <c r="P290" i="24"/>
  <c r="O290" i="24"/>
  <c r="N290" i="24"/>
  <c r="X289" i="24"/>
  <c r="W289" i="24"/>
  <c r="V289" i="24"/>
  <c r="U289" i="24"/>
  <c r="T289" i="24"/>
  <c r="R289" i="24"/>
  <c r="Q289" i="24"/>
  <c r="P289" i="24"/>
  <c r="O289" i="24"/>
  <c r="N289" i="24"/>
  <c r="X288" i="24"/>
  <c r="W288" i="24"/>
  <c r="V288" i="24"/>
  <c r="U288" i="24"/>
  <c r="T288" i="24"/>
  <c r="R288" i="24"/>
  <c r="Q288" i="24"/>
  <c r="P288" i="24"/>
  <c r="O288" i="24"/>
  <c r="N288" i="24"/>
  <c r="X287" i="24"/>
  <c r="W287" i="24"/>
  <c r="V287" i="24"/>
  <c r="U287" i="24"/>
  <c r="T287" i="24"/>
  <c r="R287" i="24"/>
  <c r="Q287" i="24"/>
  <c r="P287" i="24"/>
  <c r="N287" i="24"/>
  <c r="X286" i="24"/>
  <c r="W286" i="24"/>
  <c r="V286" i="24"/>
  <c r="U286" i="24"/>
  <c r="T286" i="24"/>
  <c r="X285" i="24"/>
  <c r="W285" i="24"/>
  <c r="V285" i="24"/>
  <c r="U285" i="24"/>
  <c r="T285" i="24"/>
  <c r="M285" i="24"/>
  <c r="M294" i="24" s="1"/>
  <c r="L285" i="24"/>
  <c r="L294" i="24" s="1"/>
  <c r="K285" i="24"/>
  <c r="J285" i="24"/>
  <c r="AH284" i="24"/>
  <c r="AI284" i="24" s="1"/>
  <c r="X284" i="24"/>
  <c r="W284" i="24"/>
  <c r="V284" i="24"/>
  <c r="U284" i="24"/>
  <c r="T284" i="24"/>
  <c r="R284" i="24"/>
  <c r="Q284" i="24"/>
  <c r="P284" i="24"/>
  <c r="O284" i="24"/>
  <c r="AH283" i="24"/>
  <c r="AI283" i="24" s="1"/>
  <c r="AH282" i="24"/>
  <c r="AI282" i="24" s="1"/>
  <c r="AH280" i="24"/>
  <c r="AI280" i="24" s="1"/>
  <c r="X280" i="24"/>
  <c r="W280" i="24"/>
  <c r="V280" i="24"/>
  <c r="U280" i="24"/>
  <c r="T280" i="24"/>
  <c r="AH277" i="24"/>
  <c r="AI277" i="24" s="1"/>
  <c r="X277" i="24"/>
  <c r="AC277" i="24" s="1"/>
  <c r="W277" i="24"/>
  <c r="AB277" i="24" s="1"/>
  <c r="V277" i="24"/>
  <c r="AA277" i="24" s="1"/>
  <c r="U277" i="24"/>
  <c r="Z277" i="24" s="1"/>
  <c r="T277" i="24"/>
  <c r="Y277" i="24" s="1"/>
  <c r="AH80" i="24"/>
  <c r="AI80" i="24" s="1"/>
  <c r="AH100" i="24"/>
  <c r="AI100" i="24" s="1"/>
  <c r="AH493" i="24"/>
  <c r="AI493" i="24" s="1"/>
  <c r="X493" i="24"/>
  <c r="W493" i="24"/>
  <c r="V493" i="24"/>
  <c r="U493" i="24"/>
  <c r="T493" i="24"/>
  <c r="AA148" i="24"/>
  <c r="J499" i="24"/>
  <c r="O493" i="24"/>
  <c r="Q493" i="24"/>
  <c r="R493" i="24"/>
  <c r="T22" i="24"/>
  <c r="U22" i="24"/>
  <c r="V22" i="24"/>
  <c r="W22" i="24"/>
  <c r="X22" i="24"/>
  <c r="T24" i="24"/>
  <c r="U24" i="24"/>
  <c r="V24" i="24"/>
  <c r="W24" i="24"/>
  <c r="X24" i="24"/>
  <c r="T25" i="24"/>
  <c r="U25" i="24"/>
  <c r="V25" i="24"/>
  <c r="W25" i="24"/>
  <c r="X25" i="24"/>
  <c r="T26" i="24"/>
  <c r="U26" i="24"/>
  <c r="V26" i="24"/>
  <c r="W26" i="24"/>
  <c r="X26" i="24"/>
  <c r="U27" i="24"/>
  <c r="V27" i="24"/>
  <c r="W27" i="24"/>
  <c r="X27" i="24"/>
  <c r="U30" i="24"/>
  <c r="V30" i="24"/>
  <c r="W30" i="24"/>
  <c r="X30" i="24"/>
  <c r="P30" i="24"/>
  <c r="Q30" i="24"/>
  <c r="R30" i="24"/>
  <c r="P27" i="24"/>
  <c r="Q27" i="24"/>
  <c r="R27" i="24"/>
  <c r="P26" i="24"/>
  <c r="Q26" i="24"/>
  <c r="R26" i="24"/>
  <c r="P25" i="24"/>
  <c r="Q25" i="24"/>
  <c r="R25" i="24"/>
  <c r="M31" i="24"/>
  <c r="M32" i="24" s="1"/>
  <c r="L31" i="24"/>
  <c r="L32" i="24" s="1"/>
  <c r="K31" i="24"/>
  <c r="K32" i="24" s="1"/>
  <c r="N30" i="24"/>
  <c r="N27" i="24"/>
  <c r="N26" i="24"/>
  <c r="N25" i="24"/>
  <c r="T585" i="24"/>
  <c r="U585" i="24"/>
  <c r="V585" i="24"/>
  <c r="W585" i="24"/>
  <c r="X585" i="24"/>
  <c r="AH585" i="24"/>
  <c r="AI585" i="24" s="1"/>
  <c r="T571" i="24"/>
  <c r="U571" i="24"/>
  <c r="V571" i="24"/>
  <c r="W571" i="24"/>
  <c r="X571" i="24"/>
  <c r="AH571" i="24"/>
  <c r="AI571" i="24" s="1"/>
  <c r="T572" i="24"/>
  <c r="U572" i="24"/>
  <c r="V572" i="24"/>
  <c r="W572" i="24"/>
  <c r="X572" i="24"/>
  <c r="AH572" i="24"/>
  <c r="AI572" i="24" s="1"/>
  <c r="T573" i="24"/>
  <c r="U573" i="24"/>
  <c r="V573" i="24"/>
  <c r="W573" i="24"/>
  <c r="X573" i="24"/>
  <c r="AH573" i="24"/>
  <c r="AI573" i="24" s="1"/>
  <c r="T574" i="24"/>
  <c r="U574" i="24"/>
  <c r="V574" i="24"/>
  <c r="W574" i="24"/>
  <c r="X574" i="24"/>
  <c r="AH574" i="24"/>
  <c r="AI574" i="24" s="1"/>
  <c r="T575" i="24"/>
  <c r="U575" i="24"/>
  <c r="V575" i="24"/>
  <c r="W575" i="24"/>
  <c r="X575" i="24"/>
  <c r="AH575" i="24"/>
  <c r="AI575" i="24" s="1"/>
  <c r="T576" i="24"/>
  <c r="U576" i="24"/>
  <c r="V576" i="24"/>
  <c r="W576" i="24"/>
  <c r="X576" i="24"/>
  <c r="AH576" i="24"/>
  <c r="AI576" i="24" s="1"/>
  <c r="T577" i="24"/>
  <c r="U577" i="24"/>
  <c r="V577" i="24"/>
  <c r="W577" i="24"/>
  <c r="X577" i="24"/>
  <c r="AH577" i="24"/>
  <c r="AI577" i="24" s="1"/>
  <c r="T578" i="24"/>
  <c r="U578" i="24"/>
  <c r="V578" i="24"/>
  <c r="W578" i="24"/>
  <c r="X578" i="24"/>
  <c r="AH578" i="24"/>
  <c r="AI578" i="24" s="1"/>
  <c r="T579" i="24"/>
  <c r="U579" i="24"/>
  <c r="V579" i="24"/>
  <c r="W579" i="24"/>
  <c r="X579" i="24"/>
  <c r="AH579" i="24"/>
  <c r="AI579" i="24" s="1"/>
  <c r="T580" i="24"/>
  <c r="U580" i="24"/>
  <c r="V580" i="24"/>
  <c r="W580" i="24"/>
  <c r="X580" i="24"/>
  <c r="AH580" i="24"/>
  <c r="AI580" i="24" s="1"/>
  <c r="T581" i="24"/>
  <c r="U581" i="24"/>
  <c r="V581" i="24"/>
  <c r="W581" i="24"/>
  <c r="X581" i="24"/>
  <c r="AH581" i="24"/>
  <c r="AI581" i="24" s="1"/>
  <c r="T582" i="24"/>
  <c r="U582" i="24"/>
  <c r="V582" i="24"/>
  <c r="W582" i="24"/>
  <c r="X582" i="24"/>
  <c r="AH582" i="24"/>
  <c r="AI582" i="24" s="1"/>
  <c r="T583" i="24"/>
  <c r="U583" i="24"/>
  <c r="V583" i="24"/>
  <c r="W583" i="24"/>
  <c r="X583" i="24"/>
  <c r="AH583" i="24"/>
  <c r="AI583" i="24" s="1"/>
  <c r="T584" i="24"/>
  <c r="U584" i="24"/>
  <c r="V584" i="24"/>
  <c r="W584" i="24"/>
  <c r="X584" i="24"/>
  <c r="AH584" i="24"/>
  <c r="AI584" i="24" s="1"/>
  <c r="P571" i="24"/>
  <c r="Q571" i="24"/>
  <c r="R571" i="24"/>
  <c r="P572" i="24"/>
  <c r="Q572" i="24"/>
  <c r="R572" i="24"/>
  <c r="P573" i="24"/>
  <c r="Q573" i="24"/>
  <c r="R573" i="24"/>
  <c r="P574" i="24"/>
  <c r="Q574" i="24"/>
  <c r="R574" i="24"/>
  <c r="P575" i="24"/>
  <c r="Q575" i="24"/>
  <c r="R575" i="24"/>
  <c r="P576" i="24"/>
  <c r="Q576" i="24"/>
  <c r="R576" i="24"/>
  <c r="P577" i="24"/>
  <c r="Q577" i="24"/>
  <c r="R577" i="24"/>
  <c r="P578" i="24"/>
  <c r="Q578" i="24"/>
  <c r="R578" i="24"/>
  <c r="P579" i="24"/>
  <c r="Q579" i="24"/>
  <c r="R579" i="24"/>
  <c r="AA317" i="24"/>
  <c r="Z317" i="24"/>
  <c r="AC317" i="24"/>
  <c r="AB317" i="24"/>
  <c r="AI239" i="24"/>
  <c r="AD636" i="24"/>
  <c r="AD654" i="24"/>
  <c r="AD655" i="24"/>
  <c r="AC655" i="24"/>
  <c r="AC654" i="24"/>
  <c r="AC636" i="24"/>
  <c r="AB655" i="24"/>
  <c r="AB654" i="24"/>
  <c r="AB636" i="24"/>
  <c r="AA636" i="24"/>
  <c r="AA649" i="24"/>
  <c r="AA654" i="24"/>
  <c r="AA655" i="24"/>
  <c r="X239" i="24"/>
  <c r="W239" i="24"/>
  <c r="V239" i="24"/>
  <c r="U239" i="24"/>
  <c r="T239" i="24"/>
  <c r="N239" i="24"/>
  <c r="J438" i="24"/>
  <c r="J235" i="24"/>
  <c r="J185" i="24"/>
  <c r="J186" i="24" s="1"/>
  <c r="J187" i="24" s="1"/>
  <c r="N38" i="27"/>
  <c r="X168" i="24"/>
  <c r="W168" i="24"/>
  <c r="V168" i="24"/>
  <c r="U168" i="24"/>
  <c r="T168" i="24"/>
  <c r="AH563" i="24"/>
  <c r="AI563" i="24" s="1"/>
  <c r="AI15" i="24"/>
  <c r="AI234" i="24"/>
  <c r="AI213" i="24"/>
  <c r="T213" i="24"/>
  <c r="U213" i="24"/>
  <c r="V213" i="24"/>
  <c r="W213" i="24"/>
  <c r="X213" i="24"/>
  <c r="T234" i="24"/>
  <c r="U234" i="24"/>
  <c r="V234" i="24"/>
  <c r="W234" i="24"/>
  <c r="X234" i="24"/>
  <c r="N213" i="24"/>
  <c r="P73" i="24"/>
  <c r="P70" i="24"/>
  <c r="O73" i="24"/>
  <c r="O71" i="24"/>
  <c r="R66" i="24"/>
  <c r="R67" i="24"/>
  <c r="R65" i="24"/>
  <c r="Q66" i="24"/>
  <c r="Q67" i="24"/>
  <c r="Q65" i="24"/>
  <c r="P66" i="24"/>
  <c r="P67" i="24"/>
  <c r="O66" i="24"/>
  <c r="O67" i="24"/>
  <c r="O65" i="24"/>
  <c r="N60" i="24"/>
  <c r="N61" i="24"/>
  <c r="N59" i="24"/>
  <c r="N58" i="24"/>
  <c r="J12" i="24"/>
  <c r="X11" i="24"/>
  <c r="AC11" i="24" s="1"/>
  <c r="W11" i="24"/>
  <c r="AB11" i="24" s="1"/>
  <c r="V11" i="24"/>
  <c r="AA11" i="24" s="1"/>
  <c r="U11" i="24"/>
  <c r="Z11" i="24" s="1"/>
  <c r="T11" i="24"/>
  <c r="Y11" i="24" s="1"/>
  <c r="R168" i="24"/>
  <c r="Q168" i="24"/>
  <c r="P168" i="24"/>
  <c r="O168" i="24"/>
  <c r="AI360" i="24"/>
  <c r="AH97" i="24"/>
  <c r="AI97" i="24" s="1"/>
  <c r="AH22" i="24"/>
  <c r="AI22" i="24" s="1"/>
  <c r="AH19" i="24"/>
  <c r="AI19" i="24" s="1"/>
  <c r="AH20" i="24"/>
  <c r="AI20" i="24" s="1"/>
  <c r="AH21" i="24"/>
  <c r="AI21" i="24" s="1"/>
  <c r="T19" i="24"/>
  <c r="U19" i="24"/>
  <c r="V19" i="24"/>
  <c r="W19" i="24"/>
  <c r="X19" i="24"/>
  <c r="T20" i="24"/>
  <c r="U20" i="24"/>
  <c r="V20" i="24"/>
  <c r="W20" i="24"/>
  <c r="X20" i="24"/>
  <c r="T21" i="24"/>
  <c r="U21" i="24"/>
  <c r="V21" i="24"/>
  <c r="W21" i="24"/>
  <c r="X21" i="24"/>
  <c r="T15" i="24"/>
  <c r="U15" i="24"/>
  <c r="V15" i="24"/>
  <c r="W15" i="24"/>
  <c r="X15" i="24"/>
  <c r="T16" i="24"/>
  <c r="U16" i="24"/>
  <c r="V16" i="24"/>
  <c r="W16" i="24"/>
  <c r="X16" i="24"/>
  <c r="T17" i="24"/>
  <c r="U17" i="24"/>
  <c r="V17" i="24"/>
  <c r="W17" i="24"/>
  <c r="X17" i="24"/>
  <c r="T18" i="24"/>
  <c r="U18" i="24"/>
  <c r="V18" i="24"/>
  <c r="W18" i="24"/>
  <c r="X18" i="24"/>
  <c r="AH15" i="24"/>
  <c r="AH16" i="24"/>
  <c r="AI16" i="24" s="1"/>
  <c r="AI17" i="24"/>
  <c r="AH18" i="24"/>
  <c r="AI18" i="24" s="1"/>
  <c r="AD22" i="24"/>
  <c r="T94" i="24"/>
  <c r="U94" i="24"/>
  <c r="V94" i="24"/>
  <c r="W94" i="24"/>
  <c r="X94" i="24"/>
  <c r="T95" i="24"/>
  <c r="U95" i="24"/>
  <c r="V95" i="24"/>
  <c r="W95" i="24"/>
  <c r="X95" i="24"/>
  <c r="T96" i="24"/>
  <c r="Y96" i="24" s="1"/>
  <c r="U96" i="24"/>
  <c r="Z96" i="24" s="1"/>
  <c r="V96" i="24"/>
  <c r="AA96" i="24" s="1"/>
  <c r="W96" i="24"/>
  <c r="AB96" i="24" s="1"/>
  <c r="X96" i="24"/>
  <c r="AC96" i="24" s="1"/>
  <c r="U97" i="24"/>
  <c r="AD648" i="24"/>
  <c r="AD645" i="24"/>
  <c r="AB648" i="24"/>
  <c r="AC645" i="24"/>
  <c r="AC648" i="24"/>
  <c r="AA648" i="24"/>
  <c r="AB645" i="24"/>
  <c r="AA645" i="24"/>
  <c r="M547" i="24"/>
  <c r="L547" i="24"/>
  <c r="K547" i="24"/>
  <c r="J547" i="24"/>
  <c r="N544" i="24"/>
  <c r="N542" i="24"/>
  <c r="N539" i="24"/>
  <c r="N538" i="24"/>
  <c r="N531" i="24"/>
  <c r="N528" i="24"/>
  <c r="N527" i="24"/>
  <c r="M509" i="24"/>
  <c r="L509" i="24"/>
  <c r="K509" i="24"/>
  <c r="J509" i="24"/>
  <c r="M504" i="24"/>
  <c r="L504" i="24"/>
  <c r="K504" i="24"/>
  <c r="J504" i="24"/>
  <c r="M489" i="24"/>
  <c r="L489" i="24"/>
  <c r="K489" i="24"/>
  <c r="J489" i="24"/>
  <c r="M438" i="24"/>
  <c r="L438" i="24"/>
  <c r="K438" i="24"/>
  <c r="M74" i="24"/>
  <c r="M80" i="24" s="1"/>
  <c r="L74" i="24"/>
  <c r="L80" i="24" s="1"/>
  <c r="K74" i="24"/>
  <c r="K80" i="24" s="1"/>
  <c r="J74" i="24"/>
  <c r="J80" i="24" s="1"/>
  <c r="T64" i="24"/>
  <c r="U64" i="24"/>
  <c r="V64" i="24"/>
  <c r="W64" i="24"/>
  <c r="X64" i="24"/>
  <c r="T65" i="24"/>
  <c r="U65" i="24"/>
  <c r="V65" i="24"/>
  <c r="W65" i="24"/>
  <c r="X65" i="24"/>
  <c r="T67" i="24"/>
  <c r="U67" i="24"/>
  <c r="V67" i="24"/>
  <c r="W67" i="24"/>
  <c r="X67" i="24"/>
  <c r="T66" i="24"/>
  <c r="U66" i="24"/>
  <c r="V66" i="24"/>
  <c r="W66" i="24"/>
  <c r="X66" i="24"/>
  <c r="M68" i="24"/>
  <c r="L68" i="24"/>
  <c r="K68" i="24"/>
  <c r="J68" i="24"/>
  <c r="T70" i="24"/>
  <c r="U70" i="24"/>
  <c r="V70" i="24"/>
  <c r="W70" i="24"/>
  <c r="X70" i="24"/>
  <c r="T71" i="24"/>
  <c r="U71" i="24"/>
  <c r="V71" i="24"/>
  <c r="W71" i="24"/>
  <c r="X71" i="24"/>
  <c r="T73" i="24"/>
  <c r="U73" i="24"/>
  <c r="V73" i="24"/>
  <c r="W73" i="24"/>
  <c r="X73" i="24"/>
  <c r="T72" i="24"/>
  <c r="U72" i="24"/>
  <c r="V72" i="24"/>
  <c r="W72" i="24"/>
  <c r="X72" i="24"/>
  <c r="T74" i="24"/>
  <c r="U74" i="24"/>
  <c r="V74" i="24"/>
  <c r="W74" i="24"/>
  <c r="X74" i="24"/>
  <c r="T75" i="24"/>
  <c r="U75" i="24"/>
  <c r="V75" i="24"/>
  <c r="W75" i="24"/>
  <c r="X75" i="24"/>
  <c r="T76" i="24"/>
  <c r="U76" i="24"/>
  <c r="V76" i="24"/>
  <c r="W76" i="24"/>
  <c r="X76" i="24"/>
  <c r="T77" i="24"/>
  <c r="U77" i="24"/>
  <c r="V77" i="24"/>
  <c r="W77" i="24"/>
  <c r="X77" i="24"/>
  <c r="U79" i="24"/>
  <c r="V79" i="24"/>
  <c r="W79" i="24"/>
  <c r="X79" i="24"/>
  <c r="T78" i="24"/>
  <c r="U78" i="24"/>
  <c r="V78" i="24"/>
  <c r="W78" i="24"/>
  <c r="X78" i="24"/>
  <c r="AH70" i="24"/>
  <c r="AI70" i="24" s="1"/>
  <c r="AH71" i="24"/>
  <c r="AI71" i="24" s="1"/>
  <c r="AH73" i="24"/>
  <c r="AI73" i="24" s="1"/>
  <c r="AH72" i="24"/>
  <c r="AI72" i="24" s="1"/>
  <c r="AH74" i="24"/>
  <c r="AI74" i="24" s="1"/>
  <c r="AH75" i="24"/>
  <c r="AI75" i="24" s="1"/>
  <c r="AH76" i="24"/>
  <c r="AI76" i="24" s="1"/>
  <c r="AH77" i="24"/>
  <c r="AI77" i="24" s="1"/>
  <c r="AH79" i="24"/>
  <c r="AI79" i="24" s="1"/>
  <c r="AH78" i="24"/>
  <c r="AI78" i="24" s="1"/>
  <c r="AD68" i="24"/>
  <c r="AH64" i="24"/>
  <c r="AI64" i="24" s="1"/>
  <c r="AH65" i="24"/>
  <c r="AI65" i="24" s="1"/>
  <c r="AH67" i="24"/>
  <c r="AI67" i="24" s="1"/>
  <c r="AH66" i="24"/>
  <c r="AI66" i="24" s="1"/>
  <c r="N78" i="24"/>
  <c r="N79" i="24"/>
  <c r="N77" i="24"/>
  <c r="N76" i="24"/>
  <c r="N72" i="24"/>
  <c r="N73" i="24"/>
  <c r="N71" i="24"/>
  <c r="N70" i="24"/>
  <c r="N66" i="24"/>
  <c r="N67" i="24"/>
  <c r="N65" i="24"/>
  <c r="N64" i="24"/>
  <c r="T61" i="24"/>
  <c r="U61" i="24"/>
  <c r="V61" i="24"/>
  <c r="W61" i="24"/>
  <c r="X61" i="24"/>
  <c r="T60" i="24"/>
  <c r="U60" i="24"/>
  <c r="V60" i="24"/>
  <c r="W60" i="24"/>
  <c r="X60" i="24"/>
  <c r="T58" i="24"/>
  <c r="U58" i="24"/>
  <c r="V58" i="24"/>
  <c r="W58" i="24"/>
  <c r="X58" i="24"/>
  <c r="T59" i="24"/>
  <c r="U59" i="24"/>
  <c r="V59" i="24"/>
  <c r="W59" i="24"/>
  <c r="X59" i="24"/>
  <c r="AH58" i="24"/>
  <c r="AI58" i="24" s="1"/>
  <c r="AH59" i="24"/>
  <c r="AI59" i="24" s="1"/>
  <c r="AH61" i="24"/>
  <c r="AI61" i="24" s="1"/>
  <c r="AH60" i="24"/>
  <c r="AI60" i="24" s="1"/>
  <c r="R60" i="24"/>
  <c r="R61" i="24"/>
  <c r="R59" i="24"/>
  <c r="R58" i="24"/>
  <c r="Q60" i="24"/>
  <c r="Q61" i="24"/>
  <c r="Q59" i="24"/>
  <c r="T56" i="24"/>
  <c r="U56" i="24"/>
  <c r="V56" i="24"/>
  <c r="W56" i="24"/>
  <c r="X56" i="24"/>
  <c r="AH56" i="24"/>
  <c r="AI56" i="24" s="1"/>
  <c r="N423" i="24"/>
  <c r="N131" i="24"/>
  <c r="N130" i="24"/>
  <c r="N128" i="24"/>
  <c r="J126" i="24"/>
  <c r="J158" i="24" s="1"/>
  <c r="K126" i="24"/>
  <c r="K158" i="24" s="1"/>
  <c r="L126" i="24"/>
  <c r="L158" i="24" s="1"/>
  <c r="M126" i="24"/>
  <c r="M158" i="24" s="1"/>
  <c r="M185" i="24"/>
  <c r="L185" i="24"/>
  <c r="K185" i="24"/>
  <c r="AH184" i="24"/>
  <c r="AI184" i="24" s="1"/>
  <c r="X184" i="24"/>
  <c r="W184" i="24"/>
  <c r="V184" i="24"/>
  <c r="U184" i="24"/>
  <c r="T184" i="24"/>
  <c r="N184" i="24"/>
  <c r="N185" i="24" s="1"/>
  <c r="R184" i="24"/>
  <c r="R185" i="24" s="1"/>
  <c r="O184" i="24"/>
  <c r="AA643" i="24" s="1"/>
  <c r="P184" i="24"/>
  <c r="AB643" i="24" s="1"/>
  <c r="T165" i="24"/>
  <c r="U165" i="24"/>
  <c r="V165" i="24"/>
  <c r="W165" i="24"/>
  <c r="X165" i="24"/>
  <c r="T166" i="24"/>
  <c r="U166" i="24"/>
  <c r="V166" i="24"/>
  <c r="W166" i="24"/>
  <c r="X166" i="24"/>
  <c r="T163" i="24"/>
  <c r="U163" i="24"/>
  <c r="V163" i="24"/>
  <c r="W163" i="24"/>
  <c r="X163" i="24"/>
  <c r="AI301" i="24"/>
  <c r="X301" i="24"/>
  <c r="W301" i="24"/>
  <c r="V301" i="24"/>
  <c r="U301" i="24"/>
  <c r="T301" i="24"/>
  <c r="N301" i="24"/>
  <c r="AI300" i="24"/>
  <c r="X300" i="24"/>
  <c r="W300" i="24"/>
  <c r="V300" i="24"/>
  <c r="U300" i="24"/>
  <c r="T300" i="24"/>
  <c r="N300" i="24"/>
  <c r="AI299" i="24"/>
  <c r="X299" i="24"/>
  <c r="W299" i="24"/>
  <c r="V299" i="24"/>
  <c r="U299" i="24"/>
  <c r="T299" i="24"/>
  <c r="N299" i="24"/>
  <c r="AI298" i="24"/>
  <c r="X298" i="24"/>
  <c r="W298" i="24"/>
  <c r="V298" i="24"/>
  <c r="U298" i="24"/>
  <c r="T298" i="24"/>
  <c r="N298" i="24"/>
  <c r="AI297" i="24"/>
  <c r="X297" i="24"/>
  <c r="W297" i="24"/>
  <c r="V297" i="24"/>
  <c r="U297" i="24"/>
  <c r="T297" i="24"/>
  <c r="N297" i="24"/>
  <c r="AI296" i="24"/>
  <c r="X296" i="24"/>
  <c r="W296" i="24"/>
  <c r="V296" i="24"/>
  <c r="U296" i="24"/>
  <c r="T296" i="24"/>
  <c r="N296" i="24"/>
  <c r="T162" i="24"/>
  <c r="U162" i="24"/>
  <c r="V162" i="24"/>
  <c r="W162" i="24"/>
  <c r="X162" i="24"/>
  <c r="AH162" i="24"/>
  <c r="AI162" i="24" s="1"/>
  <c r="AH552" i="24"/>
  <c r="AI552" i="24" s="1"/>
  <c r="T552" i="24"/>
  <c r="U552" i="24"/>
  <c r="V552" i="24"/>
  <c r="W552" i="24"/>
  <c r="X552" i="24"/>
  <c r="P552" i="24"/>
  <c r="Q552" i="24"/>
  <c r="R552" i="24"/>
  <c r="N552" i="24"/>
  <c r="AH238" i="24"/>
  <c r="AI238" i="24" s="1"/>
  <c r="T238" i="24"/>
  <c r="U238" i="24"/>
  <c r="V238" i="24"/>
  <c r="W238" i="24"/>
  <c r="X238" i="24"/>
  <c r="N238" i="24"/>
  <c r="U189" i="24"/>
  <c r="Z189" i="24" s="1"/>
  <c r="V189" i="24"/>
  <c r="AA189" i="24" s="1"/>
  <c r="W189" i="24"/>
  <c r="AB189" i="24" s="1"/>
  <c r="X189" i="24"/>
  <c r="AC189" i="24" s="1"/>
  <c r="Y189" i="24"/>
  <c r="AH189" i="24"/>
  <c r="AI189" i="24" s="1"/>
  <c r="N199" i="24"/>
  <c r="T199" i="24"/>
  <c r="U199" i="24"/>
  <c r="V199" i="24"/>
  <c r="W199" i="24"/>
  <c r="X199" i="24"/>
  <c r="AI199" i="24"/>
  <c r="T211" i="24"/>
  <c r="U211" i="24"/>
  <c r="V211" i="24"/>
  <c r="W211" i="24"/>
  <c r="X211" i="24"/>
  <c r="AI211" i="24"/>
  <c r="N212" i="24"/>
  <c r="T212" i="24"/>
  <c r="U212" i="24"/>
  <c r="V212" i="24"/>
  <c r="W212" i="24"/>
  <c r="X212" i="24"/>
  <c r="AI212" i="24"/>
  <c r="N237" i="24"/>
  <c r="T237" i="24"/>
  <c r="U237" i="24"/>
  <c r="V237" i="24"/>
  <c r="W237" i="24"/>
  <c r="X237" i="24"/>
  <c r="AH237" i="24"/>
  <c r="AI237" i="24" s="1"/>
  <c r="N240" i="24"/>
  <c r="T240" i="24"/>
  <c r="U240" i="24"/>
  <c r="V240" i="24"/>
  <c r="W240" i="24"/>
  <c r="X240" i="24"/>
  <c r="AH240" i="24"/>
  <c r="AI240" i="24" s="1"/>
  <c r="T248" i="24"/>
  <c r="U248" i="24"/>
  <c r="V248" i="24"/>
  <c r="W248" i="24"/>
  <c r="X248" i="24"/>
  <c r="T249" i="24"/>
  <c r="U249" i="24"/>
  <c r="V249" i="24"/>
  <c r="W249" i="24"/>
  <c r="X249" i="24"/>
  <c r="AH249" i="24"/>
  <c r="AI249" i="24" s="1"/>
  <c r="N250" i="24"/>
  <c r="P250" i="24"/>
  <c r="Q250" i="24"/>
  <c r="R250" i="24"/>
  <c r="T250" i="24"/>
  <c r="U250" i="24"/>
  <c r="V250" i="24"/>
  <c r="W250" i="24"/>
  <c r="X250" i="24"/>
  <c r="AH250" i="24"/>
  <c r="AI250" i="24" s="1"/>
  <c r="N251" i="24"/>
  <c r="O251" i="24"/>
  <c r="P251" i="24"/>
  <c r="Q251" i="24"/>
  <c r="R251" i="24"/>
  <c r="T251" i="24"/>
  <c r="U251" i="24"/>
  <c r="V251" i="24"/>
  <c r="W251" i="24"/>
  <c r="X251" i="24"/>
  <c r="AH251" i="24"/>
  <c r="AI251" i="24" s="1"/>
  <c r="R119" i="24"/>
  <c r="Q103" i="24"/>
  <c r="T252" i="24"/>
  <c r="U252" i="24"/>
  <c r="V252" i="24"/>
  <c r="W252" i="24"/>
  <c r="X252" i="24"/>
  <c r="T253" i="24"/>
  <c r="U253" i="24"/>
  <c r="V253" i="24"/>
  <c r="W253" i="24"/>
  <c r="X253" i="24"/>
  <c r="T254" i="24"/>
  <c r="U254" i="24"/>
  <c r="V254" i="24"/>
  <c r="W254" i="24"/>
  <c r="X254" i="24"/>
  <c r="T255" i="24"/>
  <c r="U255" i="24"/>
  <c r="V255" i="24"/>
  <c r="W255" i="24"/>
  <c r="X255" i="24"/>
  <c r="T256" i="24"/>
  <c r="U256" i="24"/>
  <c r="V256" i="24"/>
  <c r="W256" i="24"/>
  <c r="X256" i="24"/>
  <c r="T257" i="24"/>
  <c r="U257" i="24"/>
  <c r="V257" i="24"/>
  <c r="W257" i="24"/>
  <c r="X257" i="24"/>
  <c r="T258" i="24"/>
  <c r="U258" i="24"/>
  <c r="V258" i="24"/>
  <c r="W258" i="24"/>
  <c r="X258" i="24"/>
  <c r="T259" i="24"/>
  <c r="U259" i="24"/>
  <c r="V259" i="24"/>
  <c r="W259" i="24"/>
  <c r="X259" i="24"/>
  <c r="AI252" i="24"/>
  <c r="AI256" i="24"/>
  <c r="AI257" i="24"/>
  <c r="AI258" i="24"/>
  <c r="AH253" i="24"/>
  <c r="AI253" i="24" s="1"/>
  <c r="AH254" i="24"/>
  <c r="AI254" i="24" s="1"/>
  <c r="AH255" i="24"/>
  <c r="AI255" i="24" s="1"/>
  <c r="AH259" i="24"/>
  <c r="AI259" i="24" s="1"/>
  <c r="AH268" i="24"/>
  <c r="AI268" i="24" s="1"/>
  <c r="R142" i="24"/>
  <c r="R141" i="24"/>
  <c r="R140" i="24"/>
  <c r="R138" i="24"/>
  <c r="Q142" i="24"/>
  <c r="Q141" i="24"/>
  <c r="Q140" i="24"/>
  <c r="Q138" i="24"/>
  <c r="P142" i="24"/>
  <c r="P141" i="24"/>
  <c r="P140" i="24"/>
  <c r="P138" i="24"/>
  <c r="O142" i="24"/>
  <c r="O141" i="24"/>
  <c r="O140" i="24"/>
  <c r="O138" i="24"/>
  <c r="N137" i="24"/>
  <c r="N138" i="24"/>
  <c r="N139" i="24"/>
  <c r="N140" i="24"/>
  <c r="N141" i="24"/>
  <c r="N142" i="24"/>
  <c r="N136" i="24"/>
  <c r="R128" i="24"/>
  <c r="R131" i="24"/>
  <c r="Q131" i="24"/>
  <c r="Q128" i="24"/>
  <c r="P131" i="24"/>
  <c r="P128" i="24"/>
  <c r="O131" i="24"/>
  <c r="O128" i="24"/>
  <c r="R125" i="24"/>
  <c r="R124" i="24"/>
  <c r="R123" i="24"/>
  <c r="R121" i="24"/>
  <c r="R120" i="24"/>
  <c r="Q125" i="24"/>
  <c r="Q124" i="24"/>
  <c r="Q123" i="24"/>
  <c r="Q121" i="24"/>
  <c r="Q120" i="24"/>
  <c r="Q119" i="24"/>
  <c r="P125" i="24"/>
  <c r="P124" i="24"/>
  <c r="P123" i="24"/>
  <c r="P121" i="24"/>
  <c r="P120" i="24"/>
  <c r="P119" i="24"/>
  <c r="O125" i="24"/>
  <c r="O124" i="24"/>
  <c r="O123" i="24"/>
  <c r="O121" i="24"/>
  <c r="O120" i="24"/>
  <c r="O119" i="24"/>
  <c r="N125" i="24"/>
  <c r="N124" i="24"/>
  <c r="N123" i="24"/>
  <c r="N121" i="24"/>
  <c r="N120" i="24"/>
  <c r="N119" i="24"/>
  <c r="R112" i="24"/>
  <c r="R111" i="24"/>
  <c r="R110" i="24"/>
  <c r="R108" i="24"/>
  <c r="R105" i="24"/>
  <c r="R104" i="24"/>
  <c r="R103" i="24"/>
  <c r="Q112" i="24"/>
  <c r="Q111" i="24"/>
  <c r="Q110" i="24"/>
  <c r="Q108" i="24"/>
  <c r="Q105" i="24"/>
  <c r="Q104" i="24"/>
  <c r="P112" i="24"/>
  <c r="P111" i="24"/>
  <c r="P110" i="24"/>
  <c r="P108" i="24"/>
  <c r="P105" i="24"/>
  <c r="P104" i="24"/>
  <c r="O111" i="24"/>
  <c r="O110" i="24"/>
  <c r="O105" i="24"/>
  <c r="O104" i="24"/>
  <c r="O103" i="24"/>
  <c r="N111" i="24"/>
  <c r="N110" i="24"/>
  <c r="N108" i="24"/>
  <c r="N107" i="24"/>
  <c r="N105" i="24"/>
  <c r="N104" i="24"/>
  <c r="N103" i="24"/>
  <c r="R268" i="24"/>
  <c r="Q268" i="24"/>
  <c r="P268" i="24"/>
  <c r="O268" i="24"/>
  <c r="N268" i="24"/>
  <c r="R259" i="24"/>
  <c r="Q259" i="24"/>
  <c r="P259" i="24"/>
  <c r="O259" i="24"/>
  <c r="N259" i="24"/>
  <c r="R258" i="24"/>
  <c r="Q258" i="24"/>
  <c r="P258" i="24"/>
  <c r="O258" i="24"/>
  <c r="N258" i="24"/>
  <c r="R257" i="24"/>
  <c r="Q257" i="24"/>
  <c r="P257" i="24"/>
  <c r="O257" i="24"/>
  <c r="N257" i="24"/>
  <c r="R256" i="24"/>
  <c r="P256" i="24"/>
  <c r="O256" i="24"/>
  <c r="N256" i="24"/>
  <c r="R255" i="24"/>
  <c r="Q255" i="24"/>
  <c r="P255" i="24"/>
  <c r="O255" i="24"/>
  <c r="N255" i="24"/>
  <c r="R254" i="24"/>
  <c r="Q254" i="24"/>
  <c r="P254" i="24"/>
  <c r="O254" i="24"/>
  <c r="N254" i="24"/>
  <c r="R253" i="24"/>
  <c r="Q253" i="24"/>
  <c r="P253" i="24"/>
  <c r="O253" i="24"/>
  <c r="N253" i="24"/>
  <c r="R252" i="24"/>
  <c r="Q252" i="24"/>
  <c r="P252" i="24"/>
  <c r="O252" i="24"/>
  <c r="N252" i="24"/>
  <c r="P359" i="24"/>
  <c r="Q359" i="24"/>
  <c r="R359" i="24"/>
  <c r="P360" i="24"/>
  <c r="Q360" i="24"/>
  <c r="R360" i="24"/>
  <c r="P361" i="24"/>
  <c r="Q361" i="24"/>
  <c r="R361" i="24"/>
  <c r="P362" i="24"/>
  <c r="Q362" i="24"/>
  <c r="R362" i="24"/>
  <c r="P363" i="24"/>
  <c r="Q363" i="24"/>
  <c r="R363" i="24"/>
  <c r="P364" i="24"/>
  <c r="Q364" i="24"/>
  <c r="R364" i="24"/>
  <c r="P365" i="24"/>
  <c r="Q365" i="24"/>
  <c r="R365" i="24"/>
  <c r="P366" i="24"/>
  <c r="Q366" i="24"/>
  <c r="R366" i="24"/>
  <c r="P367" i="24"/>
  <c r="Q367" i="24"/>
  <c r="R367" i="24"/>
  <c r="T359" i="24"/>
  <c r="U359" i="24"/>
  <c r="V359" i="24"/>
  <c r="W359" i="24"/>
  <c r="X359" i="24"/>
  <c r="T360" i="24"/>
  <c r="U360" i="24"/>
  <c r="V360" i="24"/>
  <c r="W360" i="24"/>
  <c r="X360" i="24"/>
  <c r="T361" i="24"/>
  <c r="U361" i="24"/>
  <c r="V361" i="24"/>
  <c r="W361" i="24"/>
  <c r="X361" i="24"/>
  <c r="T362" i="24"/>
  <c r="U362" i="24"/>
  <c r="V362" i="24"/>
  <c r="W362" i="24"/>
  <c r="X362" i="24"/>
  <c r="T363" i="24"/>
  <c r="U363" i="24"/>
  <c r="V363" i="24"/>
  <c r="W363" i="24"/>
  <c r="X363" i="24"/>
  <c r="T364" i="24"/>
  <c r="U364" i="24"/>
  <c r="V364" i="24"/>
  <c r="W364" i="24"/>
  <c r="X364" i="24"/>
  <c r="T365" i="24"/>
  <c r="U365" i="24"/>
  <c r="V365" i="24"/>
  <c r="W365" i="24"/>
  <c r="X365" i="24"/>
  <c r="T366" i="24"/>
  <c r="U366" i="24"/>
  <c r="V366" i="24"/>
  <c r="W366" i="24"/>
  <c r="X366" i="24"/>
  <c r="T367" i="24"/>
  <c r="U367" i="24"/>
  <c r="V367" i="24"/>
  <c r="W367" i="24"/>
  <c r="X367" i="24"/>
  <c r="AI359" i="24"/>
  <c r="AI361" i="24"/>
  <c r="AI362" i="24"/>
  <c r="AH363" i="24"/>
  <c r="AI363" i="24" s="1"/>
  <c r="AH364" i="24"/>
  <c r="AI364" i="24" s="1"/>
  <c r="AH365" i="24"/>
  <c r="AI365" i="24" s="1"/>
  <c r="AH366" i="24"/>
  <c r="AI366" i="24" s="1"/>
  <c r="AH367" i="24"/>
  <c r="AI367" i="24" s="1"/>
  <c r="N112" i="24"/>
  <c r="R122" i="24"/>
  <c r="Q122" i="24"/>
  <c r="P122" i="24"/>
  <c r="O122" i="24"/>
  <c r="AI141" i="24"/>
  <c r="AI142" i="24"/>
  <c r="T141" i="24"/>
  <c r="U141" i="24"/>
  <c r="V141" i="24"/>
  <c r="W141" i="24"/>
  <c r="X141" i="24"/>
  <c r="T142" i="24"/>
  <c r="U142" i="24"/>
  <c r="V142" i="24"/>
  <c r="W142" i="24"/>
  <c r="X142" i="24"/>
  <c r="U111" i="24"/>
  <c r="V111" i="24"/>
  <c r="W111" i="24"/>
  <c r="X111" i="24"/>
  <c r="U112" i="24"/>
  <c r="V112" i="24"/>
  <c r="W112" i="24"/>
  <c r="X112" i="24"/>
  <c r="T111" i="24"/>
  <c r="T112" i="24"/>
  <c r="AH111" i="24"/>
  <c r="AI111" i="24" s="1"/>
  <c r="AH112" i="24"/>
  <c r="AI112" i="24" s="1"/>
  <c r="R598" i="24"/>
  <c r="Q598" i="24"/>
  <c r="P598" i="24"/>
  <c r="O598" i="24"/>
  <c r="T598" i="24"/>
  <c r="U598" i="24"/>
  <c r="V598" i="24"/>
  <c r="W598" i="24"/>
  <c r="X598" i="24"/>
  <c r="AH598" i="24"/>
  <c r="AI598" i="24" s="1"/>
  <c r="AH597" i="24"/>
  <c r="AI597" i="24" s="1"/>
  <c r="T597" i="24"/>
  <c r="U597" i="24"/>
  <c r="V597" i="24"/>
  <c r="W597" i="24"/>
  <c r="X597" i="24"/>
  <c r="AA652" i="24"/>
  <c r="AB652" i="24"/>
  <c r="AC652" i="24"/>
  <c r="AD652" i="24"/>
  <c r="O488" i="24"/>
  <c r="O489" i="24" s="1"/>
  <c r="AA160" i="24"/>
  <c r="AD160" i="24" s="1"/>
  <c r="AE160" i="24" s="1"/>
  <c r="AA511" i="24"/>
  <c r="AA518" i="24"/>
  <c r="AA527" i="24"/>
  <c r="Q501" i="24"/>
  <c r="R501" i="24"/>
  <c r="P501" i="24"/>
  <c r="O501" i="24"/>
  <c r="Q477" i="24"/>
  <c r="R477" i="24"/>
  <c r="Q482" i="24"/>
  <c r="R482" i="24"/>
  <c r="P477" i="24"/>
  <c r="P482" i="24"/>
  <c r="O477" i="24"/>
  <c r="O482" i="24"/>
  <c r="Q383" i="24"/>
  <c r="R383" i="24"/>
  <c r="Q384" i="24"/>
  <c r="R384" i="24"/>
  <c r="Q385" i="24"/>
  <c r="R385" i="24"/>
  <c r="Q386" i="24"/>
  <c r="R386" i="24"/>
  <c r="P383" i="24"/>
  <c r="P384" i="24"/>
  <c r="P385" i="24"/>
  <c r="P386" i="24"/>
  <c r="O383" i="24"/>
  <c r="O384" i="24"/>
  <c r="O385" i="24"/>
  <c r="Q357" i="24"/>
  <c r="R357" i="24"/>
  <c r="Q358" i="24"/>
  <c r="R358" i="24"/>
  <c r="N435" i="24"/>
  <c r="AH427" i="24"/>
  <c r="AI427" i="24" s="1"/>
  <c r="AH424" i="24"/>
  <c r="AI424" i="24" s="1"/>
  <c r="AH423" i="24"/>
  <c r="AI423" i="24" s="1"/>
  <c r="AH420" i="24"/>
  <c r="AI420" i="24" s="1"/>
  <c r="AD651" i="24"/>
  <c r="AC651" i="24"/>
  <c r="AA651" i="24"/>
  <c r="AB651" i="24"/>
  <c r="AH459" i="24"/>
  <c r="AI459" i="24" s="1"/>
  <c r="AH460" i="24"/>
  <c r="AI460" i="24" s="1"/>
  <c r="AN431" i="24"/>
  <c r="AN459" i="24"/>
  <c r="AN448" i="24"/>
  <c r="AN443" i="24"/>
  <c r="AN452" i="24"/>
  <c r="AN450" i="24"/>
  <c r="AN437" i="24"/>
  <c r="AN436" i="24"/>
  <c r="AN433" i="24"/>
  <c r="AN432" i="24"/>
  <c r="X140" i="24"/>
  <c r="W140" i="24"/>
  <c r="V140" i="24"/>
  <c r="U140" i="24"/>
  <c r="T140" i="24"/>
  <c r="X139" i="24"/>
  <c r="W139" i="24"/>
  <c r="V139" i="24"/>
  <c r="U139" i="24"/>
  <c r="T139" i="24"/>
  <c r="X138" i="24"/>
  <c r="W138" i="24"/>
  <c r="V138" i="24"/>
  <c r="U138" i="24"/>
  <c r="T138" i="24"/>
  <c r="X137" i="24"/>
  <c r="W137" i="24"/>
  <c r="V137" i="24"/>
  <c r="U137" i="24"/>
  <c r="T137" i="24"/>
  <c r="X136" i="24"/>
  <c r="W136" i="24"/>
  <c r="V136" i="24"/>
  <c r="U136" i="24"/>
  <c r="T136" i="24"/>
  <c r="X274" i="24"/>
  <c r="W274" i="24"/>
  <c r="V274" i="24"/>
  <c r="U274" i="24"/>
  <c r="T274" i="24"/>
  <c r="X302" i="24"/>
  <c r="W302" i="24"/>
  <c r="V302" i="24"/>
  <c r="U302" i="24"/>
  <c r="T302" i="24"/>
  <c r="X358" i="24"/>
  <c r="W358" i="24"/>
  <c r="V358" i="24"/>
  <c r="U358" i="24"/>
  <c r="T358" i="24"/>
  <c r="X357" i="24"/>
  <c r="W357" i="24"/>
  <c r="V357" i="24"/>
  <c r="U357" i="24"/>
  <c r="T357" i="24"/>
  <c r="X386" i="24"/>
  <c r="W386" i="24"/>
  <c r="V386" i="24"/>
  <c r="U386" i="24"/>
  <c r="T386" i="24"/>
  <c r="X385" i="24"/>
  <c r="W385" i="24"/>
  <c r="V385" i="24"/>
  <c r="U385" i="24"/>
  <c r="T385" i="24"/>
  <c r="X384" i="24"/>
  <c r="W384" i="24"/>
  <c r="V384" i="24"/>
  <c r="U384" i="24"/>
  <c r="T384" i="24"/>
  <c r="X383" i="24"/>
  <c r="W383" i="24"/>
  <c r="V383" i="24"/>
  <c r="U383" i="24"/>
  <c r="T383" i="24"/>
  <c r="X379" i="24"/>
  <c r="W379" i="24"/>
  <c r="V379" i="24"/>
  <c r="U379" i="24"/>
  <c r="T379" i="24"/>
  <c r="X378" i="24"/>
  <c r="W378" i="24"/>
  <c r="V378" i="24"/>
  <c r="U378" i="24"/>
  <c r="T378" i="24"/>
  <c r="X377" i="24"/>
  <c r="W377" i="24"/>
  <c r="V377" i="24"/>
  <c r="U377" i="24"/>
  <c r="T377" i="24"/>
  <c r="X376" i="24"/>
  <c r="W376" i="24"/>
  <c r="V376" i="24"/>
  <c r="U376" i="24"/>
  <c r="T376" i="24"/>
  <c r="AI386" i="24"/>
  <c r="AI385" i="24"/>
  <c r="AI384" i="24"/>
  <c r="AI383" i="24"/>
  <c r="AI379" i="24"/>
  <c r="AI378" i="24"/>
  <c r="AI377" i="24"/>
  <c r="N377" i="24"/>
  <c r="AI376" i="24"/>
  <c r="N376" i="24"/>
  <c r="AI358" i="24"/>
  <c r="AI357" i="24"/>
  <c r="AI302" i="24"/>
  <c r="N302" i="24"/>
  <c r="AH140" i="24"/>
  <c r="AI140" i="24" s="1"/>
  <c r="AH139" i="24"/>
  <c r="AI139" i="24" s="1"/>
  <c r="AH138" i="24"/>
  <c r="AI138" i="24" s="1"/>
  <c r="AH137" i="24"/>
  <c r="AI137" i="24" s="1"/>
  <c r="AH136" i="24"/>
  <c r="AI136" i="24" s="1"/>
  <c r="AH503" i="24"/>
  <c r="AI503" i="24" s="1"/>
  <c r="X503" i="24"/>
  <c r="W503" i="24"/>
  <c r="V503" i="24"/>
  <c r="U503" i="24"/>
  <c r="T503" i="24"/>
  <c r="AH502" i="24"/>
  <c r="AI502" i="24" s="1"/>
  <c r="X502" i="24"/>
  <c r="W502" i="24"/>
  <c r="V502" i="24"/>
  <c r="U502" i="24"/>
  <c r="T502" i="24"/>
  <c r="AH501" i="24"/>
  <c r="AI501" i="24" s="1"/>
  <c r="X501" i="24"/>
  <c r="W501" i="24"/>
  <c r="V501" i="24"/>
  <c r="U501" i="24"/>
  <c r="T501" i="24"/>
  <c r="Q503" i="24"/>
  <c r="R503" i="24"/>
  <c r="P503" i="24"/>
  <c r="O503" i="24"/>
  <c r="T120" i="24"/>
  <c r="U120" i="24"/>
  <c r="V120" i="24"/>
  <c r="W120" i="24"/>
  <c r="X120" i="24"/>
  <c r="AH110" i="24"/>
  <c r="AI110" i="24" s="1"/>
  <c r="X110" i="24"/>
  <c r="W110" i="24"/>
  <c r="V110" i="24"/>
  <c r="U110" i="24"/>
  <c r="T110" i="24"/>
  <c r="X125" i="24"/>
  <c r="W125" i="24"/>
  <c r="V125" i="24"/>
  <c r="U125" i="24"/>
  <c r="T125" i="24"/>
  <c r="AH120" i="24"/>
  <c r="AI120" i="24" s="1"/>
  <c r="X374" i="24"/>
  <c r="W374" i="24"/>
  <c r="V374" i="24"/>
  <c r="U374" i="24"/>
  <c r="T374" i="24"/>
  <c r="AH125" i="24"/>
  <c r="AI125" i="24" s="1"/>
  <c r="Q435" i="24"/>
  <c r="T103" i="24"/>
  <c r="U103" i="24"/>
  <c r="V103" i="24"/>
  <c r="W103" i="24"/>
  <c r="X103" i="24"/>
  <c r="AH103" i="24"/>
  <c r="AI103" i="24" s="1"/>
  <c r="T104" i="24"/>
  <c r="U104" i="24"/>
  <c r="V104" i="24"/>
  <c r="W104" i="24"/>
  <c r="X104" i="24"/>
  <c r="AH104" i="24"/>
  <c r="AI104" i="24" s="1"/>
  <c r="T105" i="24"/>
  <c r="U105" i="24"/>
  <c r="V105" i="24"/>
  <c r="W105" i="24"/>
  <c r="X105" i="24"/>
  <c r="AH105" i="24"/>
  <c r="AI105" i="24" s="1"/>
  <c r="T108" i="24"/>
  <c r="U108" i="24"/>
  <c r="V108" i="24"/>
  <c r="W108" i="24"/>
  <c r="X108" i="24"/>
  <c r="AH108" i="24"/>
  <c r="AI108" i="24" s="1"/>
  <c r="I549" i="24"/>
  <c r="R549" i="24" s="1"/>
  <c r="I508" i="24"/>
  <c r="R437" i="24"/>
  <c r="R436" i="24"/>
  <c r="Q553" i="24"/>
  <c r="P553" i="24"/>
  <c r="R553" i="24"/>
  <c r="Q420" i="24"/>
  <c r="O420" i="24"/>
  <c r="R420" i="24"/>
  <c r="P420" i="24"/>
  <c r="P551" i="24"/>
  <c r="R551" i="24"/>
  <c r="Q551" i="24"/>
  <c r="Q413" i="24"/>
  <c r="Q414" i="24" s="1"/>
  <c r="P413" i="24"/>
  <c r="P414" i="24" s="1"/>
  <c r="R427" i="24"/>
  <c r="P427" i="24"/>
  <c r="Q427" i="24"/>
  <c r="O427" i="24"/>
  <c r="R424" i="24"/>
  <c r="O424" i="24"/>
  <c r="Q424" i="24"/>
  <c r="P424" i="24"/>
  <c r="P423" i="24"/>
  <c r="R423" i="24"/>
  <c r="O423" i="24"/>
  <c r="Q423" i="24"/>
  <c r="AH554" i="24"/>
  <c r="AI554" i="24" s="1"/>
  <c r="AH553" i="24"/>
  <c r="AI553" i="24" s="1"/>
  <c r="X553" i="24"/>
  <c r="W553" i="24"/>
  <c r="V553" i="24"/>
  <c r="U553" i="24"/>
  <c r="T553" i="24"/>
  <c r="N553" i="24"/>
  <c r="AH551" i="24"/>
  <c r="AI551" i="24" s="1"/>
  <c r="X551" i="24"/>
  <c r="W551" i="24"/>
  <c r="V551" i="24"/>
  <c r="U551" i="24"/>
  <c r="T551" i="24"/>
  <c r="N551" i="24"/>
  <c r="AH550" i="24"/>
  <c r="AI550" i="24" s="1"/>
  <c r="X550" i="24"/>
  <c r="AC550" i="24" s="1"/>
  <c r="W550" i="24"/>
  <c r="AB550" i="24" s="1"/>
  <c r="V550" i="24"/>
  <c r="AA550" i="24" s="1"/>
  <c r="U550" i="24"/>
  <c r="Z550" i="24" s="1"/>
  <c r="T550" i="24"/>
  <c r="Y550" i="24" s="1"/>
  <c r="AH549" i="24"/>
  <c r="AI549" i="24" s="1"/>
  <c r="X549" i="24"/>
  <c r="W549" i="24"/>
  <c r="V549" i="24"/>
  <c r="U549" i="24"/>
  <c r="T549" i="24"/>
  <c r="N549" i="24"/>
  <c r="AH548" i="24"/>
  <c r="AI548" i="24" s="1"/>
  <c r="X548" i="24"/>
  <c r="W548" i="24"/>
  <c r="V548" i="24"/>
  <c r="U548" i="24"/>
  <c r="T548" i="24"/>
  <c r="T464" i="24"/>
  <c r="AI602" i="24"/>
  <c r="U101" i="24"/>
  <c r="V101" i="24"/>
  <c r="W101" i="24"/>
  <c r="X101" i="24"/>
  <c r="U102" i="24"/>
  <c r="V102" i="24"/>
  <c r="W102" i="24"/>
  <c r="X102" i="24"/>
  <c r="U117" i="24"/>
  <c r="V117" i="24"/>
  <c r="W117" i="24"/>
  <c r="X117" i="24"/>
  <c r="U118" i="24"/>
  <c r="V118" i="24"/>
  <c r="W118" i="24"/>
  <c r="X118" i="24"/>
  <c r="U119" i="24"/>
  <c r="V119" i="24"/>
  <c r="W119" i="24"/>
  <c r="X119" i="24"/>
  <c r="U121" i="24"/>
  <c r="V121" i="24"/>
  <c r="W121" i="24"/>
  <c r="X121" i="24"/>
  <c r="U122" i="24"/>
  <c r="V122" i="24"/>
  <c r="W122" i="24"/>
  <c r="X122" i="24"/>
  <c r="U123" i="24"/>
  <c r="V123" i="24"/>
  <c r="W123" i="24"/>
  <c r="X123" i="24"/>
  <c r="U124" i="24"/>
  <c r="V124" i="24"/>
  <c r="W124" i="24"/>
  <c r="X124" i="24"/>
  <c r="U126" i="24"/>
  <c r="V126" i="24"/>
  <c r="W126" i="24"/>
  <c r="X126" i="24"/>
  <c r="U127" i="24"/>
  <c r="V127" i="24"/>
  <c r="W127" i="24"/>
  <c r="X127" i="24"/>
  <c r="U128" i="24"/>
  <c r="V128" i="24"/>
  <c r="W128" i="24"/>
  <c r="X128" i="24"/>
  <c r="U130" i="24"/>
  <c r="V130" i="24"/>
  <c r="W130" i="24"/>
  <c r="X130" i="24"/>
  <c r="U131" i="24"/>
  <c r="V131" i="24"/>
  <c r="W131" i="24"/>
  <c r="X131" i="24"/>
  <c r="U134" i="24"/>
  <c r="V134" i="24"/>
  <c r="W134" i="24"/>
  <c r="X134" i="24"/>
  <c r="U135" i="24"/>
  <c r="V135" i="24"/>
  <c r="W135" i="24"/>
  <c r="X135" i="24"/>
  <c r="U107" i="24"/>
  <c r="V107" i="24"/>
  <c r="W107" i="24"/>
  <c r="X107" i="24"/>
  <c r="U147" i="24"/>
  <c r="V147" i="24"/>
  <c r="W147" i="24"/>
  <c r="X147" i="24"/>
  <c r="U158" i="24"/>
  <c r="V158" i="24"/>
  <c r="W158" i="24"/>
  <c r="X158" i="24"/>
  <c r="U295" i="24"/>
  <c r="V295" i="24"/>
  <c r="W295" i="24"/>
  <c r="X295" i="24"/>
  <c r="U313" i="24"/>
  <c r="V313" i="24"/>
  <c r="W313" i="24"/>
  <c r="X313" i="24"/>
  <c r="U314" i="24"/>
  <c r="V314" i="24"/>
  <c r="W314" i="24"/>
  <c r="X314" i="24"/>
  <c r="U356" i="24"/>
  <c r="Z356" i="24" s="1"/>
  <c r="V356" i="24"/>
  <c r="AA356" i="24" s="1"/>
  <c r="W356" i="24"/>
  <c r="AB356" i="24" s="1"/>
  <c r="X356" i="24"/>
  <c r="AC356" i="24" s="1"/>
  <c r="U373" i="24"/>
  <c r="V373" i="24"/>
  <c r="W373" i="24"/>
  <c r="X373" i="24"/>
  <c r="U412" i="24"/>
  <c r="Z412" i="24" s="1"/>
  <c r="V412" i="24"/>
  <c r="AA412" i="24" s="1"/>
  <c r="W412" i="24"/>
  <c r="AB412" i="24" s="1"/>
  <c r="X412" i="24"/>
  <c r="AC412" i="24" s="1"/>
  <c r="U413" i="24"/>
  <c r="V413" i="24"/>
  <c r="W413" i="24"/>
  <c r="X413" i="24"/>
  <c r="U414" i="24"/>
  <c r="V414" i="24"/>
  <c r="W414" i="24"/>
  <c r="X414" i="24"/>
  <c r="U420" i="24"/>
  <c r="V420" i="24"/>
  <c r="W420" i="24"/>
  <c r="X420" i="24"/>
  <c r="U422" i="24"/>
  <c r="Z422" i="24" s="1"/>
  <c r="V422" i="24"/>
  <c r="AA422" i="24" s="1"/>
  <c r="W422" i="24"/>
  <c r="AB422" i="24" s="1"/>
  <c r="X422" i="24"/>
  <c r="AC422" i="24" s="1"/>
  <c r="U425" i="24"/>
  <c r="V425" i="24"/>
  <c r="W425" i="24"/>
  <c r="X425" i="24"/>
  <c r="U426" i="24"/>
  <c r="Z426" i="24" s="1"/>
  <c r="V426" i="24"/>
  <c r="AA426" i="24" s="1"/>
  <c r="W426" i="24"/>
  <c r="AB426" i="24" s="1"/>
  <c r="X426" i="24"/>
  <c r="AC426" i="24" s="1"/>
  <c r="U427" i="24"/>
  <c r="V427" i="24"/>
  <c r="W427" i="24"/>
  <c r="X427" i="24"/>
  <c r="U428" i="24"/>
  <c r="V428" i="24"/>
  <c r="W428" i="24"/>
  <c r="X428" i="24"/>
  <c r="U432" i="24"/>
  <c r="Z432" i="24" s="1"/>
  <c r="V432" i="24"/>
  <c r="AA432" i="24" s="1"/>
  <c r="W432" i="24"/>
  <c r="AB432" i="24" s="1"/>
  <c r="X432" i="24"/>
  <c r="AC432" i="24" s="1"/>
  <c r="U433" i="24"/>
  <c r="Z433" i="24" s="1"/>
  <c r="V433" i="24"/>
  <c r="AA433" i="24" s="1"/>
  <c r="W433" i="24"/>
  <c r="AB433" i="24" s="1"/>
  <c r="X433" i="24"/>
  <c r="AC433" i="24" s="1"/>
  <c r="U434" i="24"/>
  <c r="Z434" i="24" s="1"/>
  <c r="V434" i="24"/>
  <c r="AA434" i="24" s="1"/>
  <c r="W434" i="24"/>
  <c r="AB434" i="24" s="1"/>
  <c r="X434" i="24"/>
  <c r="AC434" i="24" s="1"/>
  <c r="U435" i="24"/>
  <c r="V435" i="24"/>
  <c r="W435" i="24"/>
  <c r="X435" i="24"/>
  <c r="U436" i="24"/>
  <c r="V436" i="24"/>
  <c r="W436" i="24"/>
  <c r="X436" i="24"/>
  <c r="U437" i="24"/>
  <c r="V437" i="24"/>
  <c r="W437" i="24"/>
  <c r="X437" i="24"/>
  <c r="U438" i="24"/>
  <c r="V438" i="24"/>
  <c r="W438" i="24"/>
  <c r="X438" i="24"/>
  <c r="U439" i="24"/>
  <c r="Z439" i="24" s="1"/>
  <c r="V439" i="24"/>
  <c r="AA439" i="24" s="1"/>
  <c r="W439" i="24"/>
  <c r="AB439" i="24" s="1"/>
  <c r="X439" i="24"/>
  <c r="AC439" i="24" s="1"/>
  <c r="U440" i="24"/>
  <c r="V440" i="24"/>
  <c r="W440" i="24"/>
  <c r="X440" i="24"/>
  <c r="U441" i="24"/>
  <c r="V441" i="24"/>
  <c r="W441" i="24"/>
  <c r="X441" i="24"/>
  <c r="U442" i="24"/>
  <c r="V442" i="24"/>
  <c r="W442" i="24"/>
  <c r="X442" i="24"/>
  <c r="U443" i="24"/>
  <c r="V443" i="24"/>
  <c r="W443" i="24"/>
  <c r="X443" i="24"/>
  <c r="U444" i="24"/>
  <c r="V444" i="24"/>
  <c r="W444" i="24"/>
  <c r="X444" i="24"/>
  <c r="U448" i="24"/>
  <c r="V448" i="24"/>
  <c r="W448" i="24"/>
  <c r="X448" i="24"/>
  <c r="U450" i="24"/>
  <c r="V450" i="24"/>
  <c r="W450" i="24"/>
  <c r="X450" i="24"/>
  <c r="U452" i="24"/>
  <c r="V452" i="24"/>
  <c r="W452" i="24"/>
  <c r="X452" i="24"/>
  <c r="U455" i="24"/>
  <c r="V455" i="24"/>
  <c r="W455" i="24"/>
  <c r="X455" i="24"/>
  <c r="U457" i="24"/>
  <c r="V457" i="24"/>
  <c r="W457" i="24"/>
  <c r="X457" i="24"/>
  <c r="U459" i="24"/>
  <c r="V459" i="24"/>
  <c r="W459" i="24"/>
  <c r="X459" i="24"/>
  <c r="U460" i="24"/>
  <c r="V460" i="24"/>
  <c r="W460" i="24"/>
  <c r="X460" i="24"/>
  <c r="U461" i="24"/>
  <c r="V461" i="24"/>
  <c r="W461" i="24"/>
  <c r="X461" i="24"/>
  <c r="U462" i="24"/>
  <c r="Z462" i="24" s="1"/>
  <c r="V462" i="24"/>
  <c r="AA462" i="24" s="1"/>
  <c r="W462" i="24"/>
  <c r="AB462" i="24" s="1"/>
  <c r="X462" i="24"/>
  <c r="AC462" i="24" s="1"/>
  <c r="U463" i="24"/>
  <c r="Z463" i="24" s="1"/>
  <c r="V463" i="24"/>
  <c r="AA463" i="24" s="1"/>
  <c r="W463" i="24"/>
  <c r="AB463" i="24" s="1"/>
  <c r="X463" i="24"/>
  <c r="AC463" i="24" s="1"/>
  <c r="U464" i="24"/>
  <c r="V464" i="24"/>
  <c r="W464" i="24"/>
  <c r="X464" i="24"/>
  <c r="U465" i="24"/>
  <c r="V465" i="24"/>
  <c r="W465" i="24"/>
  <c r="X465" i="24"/>
  <c r="U466" i="24"/>
  <c r="V466" i="24"/>
  <c r="W466" i="24"/>
  <c r="X466" i="24"/>
  <c r="U467" i="24"/>
  <c r="V467" i="24"/>
  <c r="W467" i="24"/>
  <c r="X467" i="24"/>
  <c r="U468" i="24"/>
  <c r="V468" i="24"/>
  <c r="W468" i="24"/>
  <c r="X468" i="24"/>
  <c r="U469" i="24"/>
  <c r="V469" i="24"/>
  <c r="W469" i="24"/>
  <c r="X469" i="24"/>
  <c r="U470" i="24"/>
  <c r="V470" i="24"/>
  <c r="W470" i="24"/>
  <c r="X470" i="24"/>
  <c r="U471" i="24"/>
  <c r="V471" i="24"/>
  <c r="W471" i="24"/>
  <c r="X471" i="24"/>
  <c r="U472" i="24"/>
  <c r="V472" i="24"/>
  <c r="W472" i="24"/>
  <c r="X472" i="24"/>
  <c r="U473" i="24"/>
  <c r="V473" i="24"/>
  <c r="W473" i="24"/>
  <c r="X473" i="24"/>
  <c r="U474" i="24"/>
  <c r="V474" i="24"/>
  <c r="W474" i="24"/>
  <c r="X474" i="24"/>
  <c r="U475" i="24"/>
  <c r="V475" i="24"/>
  <c r="W475" i="24"/>
  <c r="X475" i="24"/>
  <c r="U476" i="24"/>
  <c r="V476" i="24"/>
  <c r="W476" i="24"/>
  <c r="X476" i="24"/>
  <c r="U477" i="24"/>
  <c r="V477" i="24"/>
  <c r="W477" i="24"/>
  <c r="X477" i="24"/>
  <c r="U478" i="24"/>
  <c r="V478" i="24"/>
  <c r="W478" i="24"/>
  <c r="X478" i="24"/>
  <c r="U479" i="24"/>
  <c r="V479" i="24"/>
  <c r="W479" i="24"/>
  <c r="X479" i="24"/>
  <c r="U480" i="24"/>
  <c r="V480" i="24"/>
  <c r="W480" i="24"/>
  <c r="X480" i="24"/>
  <c r="U481" i="24"/>
  <c r="V481" i="24"/>
  <c r="W481" i="24"/>
  <c r="X481" i="24"/>
  <c r="U482" i="24"/>
  <c r="V482" i="24"/>
  <c r="W482" i="24"/>
  <c r="X482" i="24"/>
  <c r="U485" i="24"/>
  <c r="V485" i="24"/>
  <c r="W485" i="24"/>
  <c r="X485" i="24"/>
  <c r="U486" i="24"/>
  <c r="V486" i="24"/>
  <c r="W486" i="24"/>
  <c r="X486" i="24"/>
  <c r="U487" i="24"/>
  <c r="Z487" i="24" s="1"/>
  <c r="V487" i="24"/>
  <c r="AA487" i="24" s="1"/>
  <c r="W487" i="24"/>
  <c r="AB487" i="24" s="1"/>
  <c r="X487" i="24"/>
  <c r="AC487" i="24" s="1"/>
  <c r="U488" i="24"/>
  <c r="V488" i="24"/>
  <c r="W488" i="24"/>
  <c r="X488" i="24"/>
  <c r="U489" i="24"/>
  <c r="V489" i="24"/>
  <c r="W489" i="24"/>
  <c r="X489" i="24"/>
  <c r="U490" i="24"/>
  <c r="V490" i="24"/>
  <c r="W490" i="24"/>
  <c r="X490" i="24"/>
  <c r="U499" i="24"/>
  <c r="V499" i="24"/>
  <c r="W499" i="24"/>
  <c r="X499" i="24"/>
  <c r="U505" i="24"/>
  <c r="V505" i="24"/>
  <c r="W505" i="24"/>
  <c r="X505" i="24"/>
  <c r="U508" i="24"/>
  <c r="V508" i="24"/>
  <c r="W508" i="24"/>
  <c r="X508" i="24"/>
  <c r="U509" i="24"/>
  <c r="V509" i="24"/>
  <c r="W509" i="24"/>
  <c r="X509" i="24"/>
  <c r="U510" i="24"/>
  <c r="V510" i="24"/>
  <c r="W510" i="24"/>
  <c r="X510" i="24"/>
  <c r="U512" i="24"/>
  <c r="V512" i="24"/>
  <c r="W512" i="24"/>
  <c r="X512" i="24"/>
  <c r="U513" i="24"/>
  <c r="V513" i="24"/>
  <c r="W513" i="24"/>
  <c r="X513" i="24"/>
  <c r="U514" i="24"/>
  <c r="V514" i="24"/>
  <c r="W514" i="24"/>
  <c r="X514" i="24"/>
  <c r="U515" i="24"/>
  <c r="V515" i="24"/>
  <c r="W515" i="24"/>
  <c r="X515" i="24"/>
  <c r="U516" i="24"/>
  <c r="V516" i="24"/>
  <c r="W516" i="24"/>
  <c r="X516" i="24"/>
  <c r="U517" i="24"/>
  <c r="V517" i="24"/>
  <c r="W517" i="24"/>
  <c r="X517" i="24"/>
  <c r="U519" i="24"/>
  <c r="Z519" i="24" s="1"/>
  <c r="V519" i="24"/>
  <c r="AA519" i="24" s="1"/>
  <c r="W519" i="24"/>
  <c r="AB519" i="24" s="1"/>
  <c r="X519" i="24"/>
  <c r="AC519" i="24" s="1"/>
  <c r="U520" i="24"/>
  <c r="V520" i="24"/>
  <c r="W520" i="24"/>
  <c r="X520" i="24"/>
  <c r="U521" i="24"/>
  <c r="V521" i="24"/>
  <c r="W521" i="24"/>
  <c r="X521" i="24"/>
  <c r="U522" i="24"/>
  <c r="V522" i="24"/>
  <c r="W522" i="24"/>
  <c r="X522" i="24"/>
  <c r="U524" i="24"/>
  <c r="Z524" i="24" s="1"/>
  <c r="V524" i="24"/>
  <c r="AA524" i="24" s="1"/>
  <c r="W524" i="24"/>
  <c r="AB524" i="24" s="1"/>
  <c r="X524" i="24"/>
  <c r="AC524" i="24" s="1"/>
  <c r="U525" i="24"/>
  <c r="V525" i="24"/>
  <c r="W525" i="24"/>
  <c r="X525" i="24"/>
  <c r="U526" i="24"/>
  <c r="V526" i="24"/>
  <c r="W526" i="24"/>
  <c r="X526" i="24"/>
  <c r="U528" i="24"/>
  <c r="Z528" i="24" s="1"/>
  <c r="V528" i="24"/>
  <c r="AA528" i="24" s="1"/>
  <c r="W528" i="24"/>
  <c r="AB528" i="24" s="1"/>
  <c r="X528" i="24"/>
  <c r="AC528" i="24" s="1"/>
  <c r="U529" i="24"/>
  <c r="V529" i="24"/>
  <c r="W529" i="24"/>
  <c r="X529" i="24"/>
  <c r="U530" i="24"/>
  <c r="V530" i="24"/>
  <c r="W530" i="24"/>
  <c r="X530" i="24"/>
  <c r="U531" i="24"/>
  <c r="Z531" i="24" s="1"/>
  <c r="V531" i="24"/>
  <c r="AA531" i="24" s="1"/>
  <c r="W531" i="24"/>
  <c r="AB531" i="24" s="1"/>
  <c r="X531" i="24"/>
  <c r="AC531" i="24" s="1"/>
  <c r="U532" i="24"/>
  <c r="V532" i="24"/>
  <c r="W532" i="24"/>
  <c r="X532" i="24"/>
  <c r="U533" i="24"/>
  <c r="V533" i="24"/>
  <c r="W533" i="24"/>
  <c r="X533" i="24"/>
  <c r="U534" i="24"/>
  <c r="V534" i="24"/>
  <c r="W534" i="24"/>
  <c r="X534" i="24"/>
  <c r="U535" i="24"/>
  <c r="V535" i="24"/>
  <c r="W535" i="24"/>
  <c r="X535" i="24"/>
  <c r="U536" i="24"/>
  <c r="V536" i="24"/>
  <c r="W536" i="24"/>
  <c r="X536" i="24"/>
  <c r="U537" i="24"/>
  <c r="V537" i="24"/>
  <c r="W537" i="24"/>
  <c r="X537" i="24"/>
  <c r="U538" i="24"/>
  <c r="Z538" i="24" s="1"/>
  <c r="V538" i="24"/>
  <c r="AA538" i="24" s="1"/>
  <c r="W538" i="24"/>
  <c r="AB538" i="24" s="1"/>
  <c r="X538" i="24"/>
  <c r="AC538" i="24" s="1"/>
  <c r="U539" i="24"/>
  <c r="Z539" i="24" s="1"/>
  <c r="V539" i="24"/>
  <c r="AA539" i="24" s="1"/>
  <c r="W539" i="24"/>
  <c r="AB539" i="24" s="1"/>
  <c r="X539" i="24"/>
  <c r="AC539" i="24" s="1"/>
  <c r="U540" i="24"/>
  <c r="V540" i="24"/>
  <c r="W540" i="24"/>
  <c r="X540" i="24"/>
  <c r="U541" i="24"/>
  <c r="V541" i="24"/>
  <c r="W541" i="24"/>
  <c r="X541" i="24"/>
  <c r="U542" i="24"/>
  <c r="Z542" i="24" s="1"/>
  <c r="V542" i="24"/>
  <c r="AA542" i="24" s="1"/>
  <c r="W542" i="24"/>
  <c r="AB542" i="24" s="1"/>
  <c r="X542" i="24"/>
  <c r="AC542" i="24" s="1"/>
  <c r="U543" i="24"/>
  <c r="V543" i="24"/>
  <c r="W543" i="24"/>
  <c r="X543" i="24"/>
  <c r="U544" i="24"/>
  <c r="Z544" i="24" s="1"/>
  <c r="V544" i="24"/>
  <c r="AA544" i="24" s="1"/>
  <c r="W544" i="24"/>
  <c r="AB544" i="24" s="1"/>
  <c r="X544" i="24"/>
  <c r="AC544" i="24" s="1"/>
  <c r="U545" i="24"/>
  <c r="V545" i="24"/>
  <c r="W545" i="24"/>
  <c r="X545" i="24"/>
  <c r="U546" i="24"/>
  <c r="V546" i="24"/>
  <c r="W546" i="24"/>
  <c r="X546" i="24"/>
  <c r="U547" i="24"/>
  <c r="V547" i="24"/>
  <c r="W547" i="24"/>
  <c r="X547" i="24"/>
  <c r="U556" i="24"/>
  <c r="V556" i="24"/>
  <c r="W556" i="24"/>
  <c r="X556" i="24"/>
  <c r="U557" i="24"/>
  <c r="Z557" i="24" s="1"/>
  <c r="V557" i="24"/>
  <c r="AA557" i="24" s="1"/>
  <c r="W557" i="24"/>
  <c r="AB557" i="24" s="1"/>
  <c r="X557" i="24"/>
  <c r="AC557" i="24" s="1"/>
  <c r="U558" i="24"/>
  <c r="Z558" i="24" s="1"/>
  <c r="V558" i="24"/>
  <c r="AA558" i="24" s="1"/>
  <c r="W558" i="24"/>
  <c r="AB558" i="24" s="1"/>
  <c r="X558" i="24"/>
  <c r="AC558" i="24" s="1"/>
  <c r="U559" i="24"/>
  <c r="V559" i="24"/>
  <c r="W559" i="24"/>
  <c r="X559" i="24"/>
  <c r="U560" i="24"/>
  <c r="V560" i="24"/>
  <c r="W560" i="24"/>
  <c r="X560" i="24"/>
  <c r="U561" i="24"/>
  <c r="Z561" i="24" s="1"/>
  <c r="V561" i="24"/>
  <c r="AA561" i="24" s="1"/>
  <c r="W561" i="24"/>
  <c r="AB561" i="24" s="1"/>
  <c r="X561" i="24"/>
  <c r="AC561" i="24" s="1"/>
  <c r="U562" i="24"/>
  <c r="V562" i="24"/>
  <c r="W562" i="24"/>
  <c r="X562" i="24"/>
  <c r="U563" i="24"/>
  <c r="V563" i="24"/>
  <c r="W563" i="24"/>
  <c r="X563" i="24"/>
  <c r="U564" i="24"/>
  <c r="V564" i="24"/>
  <c r="W564" i="24"/>
  <c r="X564" i="24"/>
  <c r="U565" i="24"/>
  <c r="Z565" i="24" s="1"/>
  <c r="V565" i="24"/>
  <c r="AA565" i="24" s="1"/>
  <c r="W565" i="24"/>
  <c r="AB565" i="24" s="1"/>
  <c r="X565" i="24"/>
  <c r="AC565" i="24" s="1"/>
  <c r="U566" i="24"/>
  <c r="V566" i="24"/>
  <c r="W566" i="24"/>
  <c r="X566" i="24"/>
  <c r="U567" i="24"/>
  <c r="V567" i="24"/>
  <c r="W567" i="24"/>
  <c r="X567" i="24"/>
  <c r="U568" i="24"/>
  <c r="V568" i="24"/>
  <c r="W568" i="24"/>
  <c r="X568" i="24"/>
  <c r="U569" i="24"/>
  <c r="V569" i="24"/>
  <c r="W569" i="24"/>
  <c r="X569" i="24"/>
  <c r="U570" i="24"/>
  <c r="V570" i="24"/>
  <c r="W570" i="24"/>
  <c r="X570" i="24"/>
  <c r="U586" i="24"/>
  <c r="V586" i="24"/>
  <c r="W586" i="24"/>
  <c r="X586" i="24"/>
  <c r="U587" i="24"/>
  <c r="V587" i="24"/>
  <c r="W587" i="24"/>
  <c r="X587" i="24"/>
  <c r="U588" i="24"/>
  <c r="V588" i="24"/>
  <c r="W588" i="24"/>
  <c r="X588" i="24"/>
  <c r="U589" i="24"/>
  <c r="V589" i="24"/>
  <c r="W589" i="24"/>
  <c r="X589" i="24"/>
  <c r="U590" i="24"/>
  <c r="V590" i="24"/>
  <c r="W590" i="24"/>
  <c r="X590" i="24"/>
  <c r="U592" i="24"/>
  <c r="V592" i="24"/>
  <c r="W592" i="24"/>
  <c r="X592" i="24"/>
  <c r="U593" i="24"/>
  <c r="V593" i="24"/>
  <c r="W593" i="24"/>
  <c r="X593" i="24"/>
  <c r="U594" i="24"/>
  <c r="V594" i="24"/>
  <c r="W594" i="24"/>
  <c r="X594" i="24"/>
  <c r="U595" i="24"/>
  <c r="Z595" i="24" s="1"/>
  <c r="V595" i="24"/>
  <c r="AA595" i="24" s="1"/>
  <c r="W595" i="24"/>
  <c r="AB595" i="24" s="1"/>
  <c r="X595" i="24"/>
  <c r="AC595" i="24" s="1"/>
  <c r="U596" i="24"/>
  <c r="V596" i="24"/>
  <c r="W596" i="24"/>
  <c r="X596" i="24"/>
  <c r="T101" i="24"/>
  <c r="T102" i="24"/>
  <c r="T117" i="24"/>
  <c r="T118" i="24"/>
  <c r="T119" i="24"/>
  <c r="T121" i="24"/>
  <c r="T122" i="24"/>
  <c r="T123" i="24"/>
  <c r="T124" i="24"/>
  <c r="T126" i="24"/>
  <c r="T127" i="24"/>
  <c r="T128" i="24"/>
  <c r="T130" i="24"/>
  <c r="T131" i="24"/>
  <c r="T134" i="24"/>
  <c r="T135" i="24"/>
  <c r="T107" i="24"/>
  <c r="T147" i="24"/>
  <c r="T158" i="24"/>
  <c r="T295" i="24"/>
  <c r="T313" i="24"/>
  <c r="T314" i="24"/>
  <c r="T356" i="24"/>
  <c r="Y356" i="24" s="1"/>
  <c r="T373" i="24"/>
  <c r="T412" i="24"/>
  <c r="Y412" i="24" s="1"/>
  <c r="T414" i="24"/>
  <c r="T420" i="24"/>
  <c r="T422" i="24"/>
  <c r="Y422" i="24" s="1"/>
  <c r="T425" i="24"/>
  <c r="T426" i="24"/>
  <c r="Y426" i="24" s="1"/>
  <c r="T427" i="24"/>
  <c r="T428" i="24"/>
  <c r="T432" i="24"/>
  <c r="Y432" i="24" s="1"/>
  <c r="T433" i="24"/>
  <c r="Y433" i="24" s="1"/>
  <c r="T434" i="24"/>
  <c r="Y434" i="24" s="1"/>
  <c r="T435" i="24"/>
  <c r="T436" i="24"/>
  <c r="T437" i="24"/>
  <c r="T438" i="24"/>
  <c r="T439" i="24"/>
  <c r="Y439" i="24" s="1"/>
  <c r="T440" i="24"/>
  <c r="T441" i="24"/>
  <c r="T442" i="24"/>
  <c r="T443" i="24"/>
  <c r="T444" i="24"/>
  <c r="T448" i="24"/>
  <c r="T450" i="24"/>
  <c r="T452" i="24"/>
  <c r="T457" i="24"/>
  <c r="T459" i="24"/>
  <c r="T460" i="24"/>
  <c r="T461" i="24"/>
  <c r="T462" i="24"/>
  <c r="Y462" i="24" s="1"/>
  <c r="T463" i="24"/>
  <c r="Y463" i="24" s="1"/>
  <c r="T465" i="24"/>
  <c r="T466" i="24"/>
  <c r="T467" i="24"/>
  <c r="T468" i="24"/>
  <c r="T469" i="24"/>
  <c r="T470" i="24"/>
  <c r="T471" i="24"/>
  <c r="T472" i="24"/>
  <c r="T473" i="24"/>
  <c r="T474" i="24"/>
  <c r="T475" i="24"/>
  <c r="T476" i="24"/>
  <c r="T477" i="24"/>
  <c r="T478" i="24"/>
  <c r="T479" i="24"/>
  <c r="T480" i="24"/>
  <c r="T481" i="24"/>
  <c r="T482" i="24"/>
  <c r="T485" i="24"/>
  <c r="T486" i="24"/>
  <c r="T487" i="24"/>
  <c r="Y487" i="24" s="1"/>
  <c r="T488" i="24"/>
  <c r="T489" i="24"/>
  <c r="T490" i="24"/>
  <c r="T499" i="24"/>
  <c r="T505" i="24"/>
  <c r="T508" i="24"/>
  <c r="T509" i="24"/>
  <c r="T510" i="24"/>
  <c r="T512" i="24"/>
  <c r="T513" i="24"/>
  <c r="T514" i="24"/>
  <c r="T515" i="24"/>
  <c r="T516" i="24"/>
  <c r="T517" i="24"/>
  <c r="T519" i="24"/>
  <c r="Y519" i="24" s="1"/>
  <c r="T520" i="24"/>
  <c r="T521" i="24"/>
  <c r="T522" i="24"/>
  <c r="T524" i="24"/>
  <c r="Y524" i="24" s="1"/>
  <c r="T525" i="24"/>
  <c r="T526" i="24"/>
  <c r="T528" i="24"/>
  <c r="Y528" i="24" s="1"/>
  <c r="T529" i="24"/>
  <c r="T530" i="24"/>
  <c r="T531" i="24"/>
  <c r="Y531" i="24" s="1"/>
  <c r="T532" i="24"/>
  <c r="T533" i="24"/>
  <c r="T534" i="24"/>
  <c r="T535" i="24"/>
  <c r="T536" i="24"/>
  <c r="T537" i="24"/>
  <c r="T538" i="24"/>
  <c r="Y538" i="24" s="1"/>
  <c r="T539" i="24"/>
  <c r="Y539" i="24" s="1"/>
  <c r="T540" i="24"/>
  <c r="T541" i="24"/>
  <c r="T542" i="24"/>
  <c r="Y542" i="24" s="1"/>
  <c r="T543" i="24"/>
  <c r="T544" i="24"/>
  <c r="Y544" i="24" s="1"/>
  <c r="T545" i="24"/>
  <c r="T546" i="24"/>
  <c r="T547" i="24"/>
  <c r="T556" i="24"/>
  <c r="T557" i="24"/>
  <c r="Y557" i="24" s="1"/>
  <c r="T558" i="24"/>
  <c r="Y558" i="24" s="1"/>
  <c r="T559" i="24"/>
  <c r="T560" i="24"/>
  <c r="T561" i="24"/>
  <c r="Y561" i="24" s="1"/>
  <c r="T562" i="24"/>
  <c r="T563" i="24"/>
  <c r="T564" i="24"/>
  <c r="T565" i="24"/>
  <c r="Y565" i="24" s="1"/>
  <c r="T566" i="24"/>
  <c r="T567" i="24"/>
  <c r="T568" i="24"/>
  <c r="T569" i="24"/>
  <c r="T570" i="24"/>
  <c r="T586" i="24"/>
  <c r="T587" i="24"/>
  <c r="T588" i="24"/>
  <c r="T589" i="24"/>
  <c r="T590" i="24"/>
  <c r="T596" i="24"/>
  <c r="AH436" i="24"/>
  <c r="AI436" i="24" s="1"/>
  <c r="AH437" i="24"/>
  <c r="AI437" i="24" s="1"/>
  <c r="AH438" i="24"/>
  <c r="AI438" i="24" s="1"/>
  <c r="AH439" i="24"/>
  <c r="AI439" i="24" s="1"/>
  <c r="AH440" i="24"/>
  <c r="AI440" i="24" s="1"/>
  <c r="AH441" i="24"/>
  <c r="AI441" i="24" s="1"/>
  <c r="AH442" i="24"/>
  <c r="AI442" i="24" s="1"/>
  <c r="AH443" i="24"/>
  <c r="AI443" i="24" s="1"/>
  <c r="AH444" i="24"/>
  <c r="AI444" i="24" s="1"/>
  <c r="AH448" i="24"/>
  <c r="AI448" i="24" s="1"/>
  <c r="AH450" i="24"/>
  <c r="AI450" i="24" s="1"/>
  <c r="AH452" i="24"/>
  <c r="AI452" i="24" s="1"/>
  <c r="AH455" i="24"/>
  <c r="AI455" i="24" s="1"/>
  <c r="AH457" i="24"/>
  <c r="AI457" i="24" s="1"/>
  <c r="AH461" i="24"/>
  <c r="AI461" i="24" s="1"/>
  <c r="AH462" i="24"/>
  <c r="AI462" i="24" s="1"/>
  <c r="AH463" i="24"/>
  <c r="AI463" i="24" s="1"/>
  <c r="AH464" i="24"/>
  <c r="AI464" i="24" s="1"/>
  <c r="AH465" i="24"/>
  <c r="AI465" i="24" s="1"/>
  <c r="AH466" i="24"/>
  <c r="AI466" i="24" s="1"/>
  <c r="AH467" i="24"/>
  <c r="AI467" i="24" s="1"/>
  <c r="AH468" i="24"/>
  <c r="AI468" i="24" s="1"/>
  <c r="AH469" i="24"/>
  <c r="AI469" i="24" s="1"/>
  <c r="AH470" i="24"/>
  <c r="AI470" i="24" s="1"/>
  <c r="AH471" i="24"/>
  <c r="AI471" i="24" s="1"/>
  <c r="AH472" i="24"/>
  <c r="AI472" i="24" s="1"/>
  <c r="AH473" i="24"/>
  <c r="AI473" i="24" s="1"/>
  <c r="AH474" i="24"/>
  <c r="AI474" i="24" s="1"/>
  <c r="AH475" i="24"/>
  <c r="AI475" i="24" s="1"/>
  <c r="AH476" i="24"/>
  <c r="AI476" i="24" s="1"/>
  <c r="AH477" i="24"/>
  <c r="AI477" i="24" s="1"/>
  <c r="AH478" i="24"/>
  <c r="AI478" i="24" s="1"/>
  <c r="AH479" i="24"/>
  <c r="AI479" i="24" s="1"/>
  <c r="AH480" i="24"/>
  <c r="AI480" i="24" s="1"/>
  <c r="AH481" i="24"/>
  <c r="AI481" i="24" s="1"/>
  <c r="AH482" i="24"/>
  <c r="AI482" i="24" s="1"/>
  <c r="AH485" i="24"/>
  <c r="AI485" i="24" s="1"/>
  <c r="AH486" i="24"/>
  <c r="AI486" i="24" s="1"/>
  <c r="AH487" i="24"/>
  <c r="AI487" i="24" s="1"/>
  <c r="AH488" i="24"/>
  <c r="AI488" i="24" s="1"/>
  <c r="AH489" i="24"/>
  <c r="AI489" i="24" s="1"/>
  <c r="AH490" i="24"/>
  <c r="AI490" i="24" s="1"/>
  <c r="AH499" i="24"/>
  <c r="AI499" i="24" s="1"/>
  <c r="AH505" i="24"/>
  <c r="AI505" i="24" s="1"/>
  <c r="AH508" i="24"/>
  <c r="AI508" i="24" s="1"/>
  <c r="AH509" i="24"/>
  <c r="AI509" i="24" s="1"/>
  <c r="AH510" i="24"/>
  <c r="AI510" i="24" s="1"/>
  <c r="AH512" i="24"/>
  <c r="AI512" i="24" s="1"/>
  <c r="AH513" i="24"/>
  <c r="AI513" i="24" s="1"/>
  <c r="AH514" i="24"/>
  <c r="AI514" i="24" s="1"/>
  <c r="AH515" i="24"/>
  <c r="AI515" i="24" s="1"/>
  <c r="AH516" i="24"/>
  <c r="AI516" i="24" s="1"/>
  <c r="AH517" i="24"/>
  <c r="AI517" i="24" s="1"/>
  <c r="AH519" i="24"/>
  <c r="AI519" i="24" s="1"/>
  <c r="AH520" i="24"/>
  <c r="AI520" i="24" s="1"/>
  <c r="AH521" i="24"/>
  <c r="AI521" i="24" s="1"/>
  <c r="AH522" i="24"/>
  <c r="AI522" i="24" s="1"/>
  <c r="AH524" i="24"/>
  <c r="AI524" i="24" s="1"/>
  <c r="AH525" i="24"/>
  <c r="AI525" i="24" s="1"/>
  <c r="AH526" i="24"/>
  <c r="AI526" i="24" s="1"/>
  <c r="AH528" i="24"/>
  <c r="AI528" i="24" s="1"/>
  <c r="AH529" i="24"/>
  <c r="AI529" i="24" s="1"/>
  <c r="AH530" i="24"/>
  <c r="AI530" i="24" s="1"/>
  <c r="AH531" i="24"/>
  <c r="AI531" i="24" s="1"/>
  <c r="AH532" i="24"/>
  <c r="AI532" i="24" s="1"/>
  <c r="AH533" i="24"/>
  <c r="AI533" i="24" s="1"/>
  <c r="AH534" i="24"/>
  <c r="AI534" i="24" s="1"/>
  <c r="AH535" i="24"/>
  <c r="AI535" i="24" s="1"/>
  <c r="AH536" i="24"/>
  <c r="AI536" i="24" s="1"/>
  <c r="AH537" i="24"/>
  <c r="AI537" i="24" s="1"/>
  <c r="AH538" i="24"/>
  <c r="AI538" i="24" s="1"/>
  <c r="AH539" i="24"/>
  <c r="AI539" i="24" s="1"/>
  <c r="AH540" i="24"/>
  <c r="AI540" i="24" s="1"/>
  <c r="AH541" i="24"/>
  <c r="AI541" i="24" s="1"/>
  <c r="AH542" i="24"/>
  <c r="AI542" i="24" s="1"/>
  <c r="AH543" i="24"/>
  <c r="AI543" i="24" s="1"/>
  <c r="AH544" i="24"/>
  <c r="AI544" i="24" s="1"/>
  <c r="AH545" i="24"/>
  <c r="AI545" i="24" s="1"/>
  <c r="AH546" i="24"/>
  <c r="AI546" i="24" s="1"/>
  <c r="AH547" i="24"/>
  <c r="AI547" i="24" s="1"/>
  <c r="AH556" i="24"/>
  <c r="AI556" i="24" s="1"/>
  <c r="AH557" i="24"/>
  <c r="AI557" i="24" s="1"/>
  <c r="AH558" i="24"/>
  <c r="AI558" i="24" s="1"/>
  <c r="AH559" i="24"/>
  <c r="AI559" i="24" s="1"/>
  <c r="AH560" i="24"/>
  <c r="AI560" i="24" s="1"/>
  <c r="AH561" i="24"/>
  <c r="AI561" i="24" s="1"/>
  <c r="AH562" i="24"/>
  <c r="AI562" i="24" s="1"/>
  <c r="AH564" i="24"/>
  <c r="AI564" i="24" s="1"/>
  <c r="AH565" i="24"/>
  <c r="AI565" i="24" s="1"/>
  <c r="AH566" i="24"/>
  <c r="AI566" i="24" s="1"/>
  <c r="AH567" i="24"/>
  <c r="AI567" i="24" s="1"/>
  <c r="AH568" i="24"/>
  <c r="AI568" i="24" s="1"/>
  <c r="AH569" i="24"/>
  <c r="AI569" i="24" s="1"/>
  <c r="AH570" i="24"/>
  <c r="AI570" i="24" s="1"/>
  <c r="AH586" i="24"/>
  <c r="AI586" i="24" s="1"/>
  <c r="AH587" i="24"/>
  <c r="AI587" i="24" s="1"/>
  <c r="AH588" i="24"/>
  <c r="AI588" i="24" s="1"/>
  <c r="AH589" i="24"/>
  <c r="AI589" i="24" s="1"/>
  <c r="AH590" i="24"/>
  <c r="AI590" i="24" s="1"/>
  <c r="AH592" i="24"/>
  <c r="AI592" i="24" s="1"/>
  <c r="AH593" i="24"/>
  <c r="AI593" i="24" s="1"/>
  <c r="AH594" i="24"/>
  <c r="AI594" i="24" s="1"/>
  <c r="AH595" i="24"/>
  <c r="AI595" i="24" s="1"/>
  <c r="AH596" i="24"/>
  <c r="AI596" i="24" s="1"/>
  <c r="AH599" i="24"/>
  <c r="AI599" i="24" s="1"/>
  <c r="AH600" i="24"/>
  <c r="AI600" i="24" s="1"/>
  <c r="AH601" i="24"/>
  <c r="AI601" i="24" s="1"/>
  <c r="AH435" i="24"/>
  <c r="AI435" i="24" s="1"/>
  <c r="AH430" i="24"/>
  <c r="AI430" i="24" s="1"/>
  <c r="AH432" i="24"/>
  <c r="AI432" i="24" s="1"/>
  <c r="AH433" i="24"/>
  <c r="AI433" i="24" s="1"/>
  <c r="AH434" i="24"/>
  <c r="AI434" i="24" s="1"/>
  <c r="AH603" i="24"/>
  <c r="AI603" i="24" s="1"/>
  <c r="AH94" i="24"/>
  <c r="AI94" i="24" s="1"/>
  <c r="AH96" i="24"/>
  <c r="AI96" i="24" s="1"/>
  <c r="AH101" i="24"/>
  <c r="AI101" i="24" s="1"/>
  <c r="AH102" i="24"/>
  <c r="AI102" i="24" s="1"/>
  <c r="AH117" i="24"/>
  <c r="AI117" i="24" s="1"/>
  <c r="AH118" i="24"/>
  <c r="AI118" i="24" s="1"/>
  <c r="AH119" i="24"/>
  <c r="AI119" i="24" s="1"/>
  <c r="AH121" i="24"/>
  <c r="AI121" i="24" s="1"/>
  <c r="AH122" i="24"/>
  <c r="AI122" i="24" s="1"/>
  <c r="AH123" i="24"/>
  <c r="AI123" i="24" s="1"/>
  <c r="AH124" i="24"/>
  <c r="AI124" i="24" s="1"/>
  <c r="AH126" i="24"/>
  <c r="AI126" i="24" s="1"/>
  <c r="AH127" i="24"/>
  <c r="AI127" i="24" s="1"/>
  <c r="AH128" i="24"/>
  <c r="AI128" i="24" s="1"/>
  <c r="AH130" i="24"/>
  <c r="AI130" i="24" s="1"/>
  <c r="AH131" i="24"/>
  <c r="AI131" i="24" s="1"/>
  <c r="AH134" i="24"/>
  <c r="AI134" i="24" s="1"/>
  <c r="AH135" i="24"/>
  <c r="AI135" i="24" s="1"/>
  <c r="AH107" i="24"/>
  <c r="AI107" i="24" s="1"/>
  <c r="AH147" i="24"/>
  <c r="AI147" i="24" s="1"/>
  <c r="AH158" i="24"/>
  <c r="AI158" i="24" s="1"/>
  <c r="AH295" i="24"/>
  <c r="AI295" i="24" s="1"/>
  <c r="AH313" i="24"/>
  <c r="AI313" i="24" s="1"/>
  <c r="AH314" i="24"/>
  <c r="AI314" i="24" s="1"/>
  <c r="AH356" i="24"/>
  <c r="AI356" i="24" s="1"/>
  <c r="AH373" i="24"/>
  <c r="AI373" i="24" s="1"/>
  <c r="AH412" i="24"/>
  <c r="AI412" i="24" s="1"/>
  <c r="AH413" i="24"/>
  <c r="AI413" i="24" s="1"/>
  <c r="AH414" i="24"/>
  <c r="AI414" i="24" s="1"/>
  <c r="AH419" i="24"/>
  <c r="AI419" i="24" s="1"/>
  <c r="AH425" i="24"/>
  <c r="AI425" i="24" s="1"/>
  <c r="AH426" i="24"/>
  <c r="AI426" i="24" s="1"/>
  <c r="AH428" i="24"/>
  <c r="AI428" i="24" s="1"/>
  <c r="AH604" i="24"/>
  <c r="AH605" i="24"/>
  <c r="AH606" i="24"/>
  <c r="AH607" i="24"/>
  <c r="AH608" i="24"/>
  <c r="AH609" i="24"/>
  <c r="AH610" i="24"/>
  <c r="AH611" i="24"/>
  <c r="AH612" i="24"/>
  <c r="AH613" i="24"/>
  <c r="AH614" i="24"/>
  <c r="AH615" i="24"/>
  <c r="AH616" i="24"/>
  <c r="AH617" i="24"/>
  <c r="AH618" i="24"/>
  <c r="AH619" i="24"/>
  <c r="AH620" i="24"/>
  <c r="AH621" i="24"/>
  <c r="AH622" i="24"/>
  <c r="AH623" i="24"/>
  <c r="AH624" i="24"/>
  <c r="AH625" i="24"/>
  <c r="AH626" i="24"/>
  <c r="AH627" i="24"/>
  <c r="AH628" i="24"/>
  <c r="AH629" i="24"/>
  <c r="AH630" i="24"/>
  <c r="AH631" i="24"/>
  <c r="AH632" i="24"/>
  <c r="AH633" i="24"/>
  <c r="AH634" i="24"/>
  <c r="AH635" i="24"/>
  <c r="AH636" i="24"/>
  <c r="AH637" i="24"/>
  <c r="AH638" i="24"/>
  <c r="AH639" i="24"/>
  <c r="AH640" i="24"/>
  <c r="AH641" i="24"/>
  <c r="AH643" i="24"/>
  <c r="AH647" i="24"/>
  <c r="AH648" i="24"/>
  <c r="AH649" i="24"/>
  <c r="AH650" i="24"/>
  <c r="AH651" i="24"/>
  <c r="AH652" i="24"/>
  <c r="AH653" i="24"/>
  <c r="AH654" i="24"/>
  <c r="AH655" i="24"/>
  <c r="AH656" i="24"/>
  <c r="AH657" i="24"/>
  <c r="AH658" i="24"/>
  <c r="AH659" i="24"/>
  <c r="AH660" i="24"/>
  <c r="AH661" i="24"/>
  <c r="AH662" i="24"/>
  <c r="AH663" i="24"/>
  <c r="AH664" i="24"/>
  <c r="AH665" i="24"/>
  <c r="AH666" i="24"/>
  <c r="AH667" i="24"/>
  <c r="AH668" i="24"/>
  <c r="AH669" i="24"/>
  <c r="AH670" i="24"/>
  <c r="AH671" i="24"/>
  <c r="AH672" i="24"/>
  <c r="AH673" i="24"/>
  <c r="AH674" i="24"/>
  <c r="AH675" i="24"/>
  <c r="AH676" i="24"/>
  <c r="AH677" i="24"/>
  <c r="AH678" i="24"/>
  <c r="AH679" i="24"/>
  <c r="AH680" i="24"/>
  <c r="AH681" i="24"/>
  <c r="AH682" i="24"/>
  <c r="AH683" i="24"/>
  <c r="AH684" i="24"/>
  <c r="AH685" i="24"/>
  <c r="AH686" i="24"/>
  <c r="AH687" i="24"/>
  <c r="AH688" i="24"/>
  <c r="AH689" i="24"/>
  <c r="AH690" i="24"/>
  <c r="AH691" i="24"/>
  <c r="AH692" i="24"/>
  <c r="AH693" i="24"/>
  <c r="AH694" i="24"/>
  <c r="AH695" i="24"/>
  <c r="AH696" i="24"/>
  <c r="AH697" i="24"/>
  <c r="AH698" i="24"/>
  <c r="AH699" i="24"/>
  <c r="AH700" i="24"/>
  <c r="AH701" i="24"/>
  <c r="AH702" i="24"/>
  <c r="AH703" i="24"/>
  <c r="AH704" i="24"/>
  <c r="AH705" i="24"/>
  <c r="AH706" i="24"/>
  <c r="AH707" i="24"/>
  <c r="AH708" i="24"/>
  <c r="AH709" i="24"/>
  <c r="AH710" i="24"/>
  <c r="AH711" i="24"/>
  <c r="AH712" i="24"/>
  <c r="AH713" i="24"/>
  <c r="AH714" i="24"/>
  <c r="AH715" i="24"/>
  <c r="AH716" i="24"/>
  <c r="AH717" i="24"/>
  <c r="AH718" i="24"/>
  <c r="AH719" i="24"/>
  <c r="AH720" i="24"/>
  <c r="AH721" i="24"/>
  <c r="AH722" i="24"/>
  <c r="AH723" i="24"/>
  <c r="AH724" i="24"/>
  <c r="AH725" i="24"/>
  <c r="AH726" i="24"/>
  <c r="AH727" i="24"/>
  <c r="AH728" i="24"/>
  <c r="AH729" i="24"/>
  <c r="AH730" i="24"/>
  <c r="AH731" i="24"/>
  <c r="AH732" i="24"/>
  <c r="AH733" i="24"/>
  <c r="AH734" i="24"/>
  <c r="AH735" i="24"/>
  <c r="AH736" i="24"/>
  <c r="AH737" i="24"/>
  <c r="AH738" i="24"/>
  <c r="AH739" i="24"/>
  <c r="AH740" i="24"/>
  <c r="AH741" i="24"/>
  <c r="AH742" i="24"/>
  <c r="AH743" i="24"/>
  <c r="AH744" i="24"/>
  <c r="AH745" i="24"/>
  <c r="AH746" i="24"/>
  <c r="AH747" i="24"/>
  <c r="AH748" i="24"/>
  <c r="AH749" i="24"/>
  <c r="AH750" i="24"/>
  <c r="AH751" i="24"/>
  <c r="AH752" i="24"/>
  <c r="AH753" i="24"/>
  <c r="AH754" i="24"/>
  <c r="AH755" i="24"/>
  <c r="AH756" i="24"/>
  <c r="AH757" i="24"/>
  <c r="AH758" i="24"/>
  <c r="AH759" i="24"/>
  <c r="AH760" i="24"/>
  <c r="AH761" i="24"/>
  <c r="AH762" i="24"/>
  <c r="AH763" i="24"/>
  <c r="AH764" i="24"/>
  <c r="AH765" i="24"/>
  <c r="AH766" i="24"/>
  <c r="AH767" i="24"/>
  <c r="AH768" i="24"/>
  <c r="AH769" i="24"/>
  <c r="AH770" i="24"/>
  <c r="AH771" i="24"/>
  <c r="AH772" i="24"/>
  <c r="AH773" i="24"/>
  <c r="AH774" i="24"/>
  <c r="AH775" i="24"/>
  <c r="AH776" i="24"/>
  <c r="AH777" i="24"/>
  <c r="AH778" i="24"/>
  <c r="AH779" i="24"/>
  <c r="AH780" i="24"/>
  <c r="AH781" i="24"/>
  <c r="AH782" i="24"/>
  <c r="AH783" i="24"/>
  <c r="AH784" i="24"/>
  <c r="AH785" i="24"/>
  <c r="AH786" i="24"/>
  <c r="AH787" i="24"/>
  <c r="AH788" i="24"/>
  <c r="AH789" i="24"/>
  <c r="AH790" i="24"/>
  <c r="AH791" i="24"/>
  <c r="AH792" i="24"/>
  <c r="AH793" i="24"/>
  <c r="AH794" i="24"/>
  <c r="AH795" i="24"/>
  <c r="AH796" i="24"/>
  <c r="AH797" i="24"/>
  <c r="AH798" i="24"/>
  <c r="AH799" i="24"/>
  <c r="AH800" i="24"/>
  <c r="AH801" i="24"/>
  <c r="AH802" i="24"/>
  <c r="AH803" i="24"/>
  <c r="AH804" i="24"/>
  <c r="AH805" i="24"/>
  <c r="AH806" i="24"/>
  <c r="AH807" i="24"/>
  <c r="AH808" i="24"/>
  <c r="AH809" i="24"/>
  <c r="AH810" i="24"/>
  <c r="AH811" i="24"/>
  <c r="AH812" i="24"/>
  <c r="AH813" i="24"/>
  <c r="AH814" i="24"/>
  <c r="AH815" i="24"/>
  <c r="AH816" i="24"/>
  <c r="AH817" i="24"/>
  <c r="AH818" i="24"/>
  <c r="AH819" i="24"/>
  <c r="AH820" i="24"/>
  <c r="AH821" i="24"/>
  <c r="AH822" i="24"/>
  <c r="AH823" i="24"/>
  <c r="AH824" i="24"/>
  <c r="AH825" i="24"/>
  <c r="AH826" i="24"/>
  <c r="AH827" i="24"/>
  <c r="AH828" i="24"/>
  <c r="AH829" i="24"/>
  <c r="AH830" i="24"/>
  <c r="AH831" i="24"/>
  <c r="AH832" i="24"/>
  <c r="AH833" i="24"/>
  <c r="AH834" i="24"/>
  <c r="AH835" i="24"/>
  <c r="AH836" i="24"/>
  <c r="AH837" i="24"/>
  <c r="AH838" i="24"/>
  <c r="AH839" i="24"/>
  <c r="AH840" i="24"/>
  <c r="AH841" i="24"/>
  <c r="AH842" i="24"/>
  <c r="AH843" i="24"/>
  <c r="AH844" i="24"/>
  <c r="AH845" i="24"/>
  <c r="AH846" i="24"/>
  <c r="AH847" i="24"/>
  <c r="AH848" i="24"/>
  <c r="AH849" i="24"/>
  <c r="AH850" i="24"/>
  <c r="AH851" i="24"/>
  <c r="AH852" i="24"/>
  <c r="AH853" i="24"/>
  <c r="AH854" i="24"/>
  <c r="AH855" i="24"/>
  <c r="AH856" i="24"/>
  <c r="AH857" i="24"/>
  <c r="AH858" i="24"/>
  <c r="AH859" i="24"/>
  <c r="AH860" i="24"/>
  <c r="AH861" i="24"/>
  <c r="AH862" i="24"/>
  <c r="AH863" i="24"/>
  <c r="AH864" i="24"/>
  <c r="AH865" i="24"/>
  <c r="AH866" i="24"/>
  <c r="AH867" i="24"/>
  <c r="AH868" i="24"/>
  <c r="AH869" i="24"/>
  <c r="AH870" i="24"/>
  <c r="AH871" i="24"/>
  <c r="AH872" i="24"/>
  <c r="AH873" i="24"/>
  <c r="AH874" i="24"/>
  <c r="AH875" i="24"/>
  <c r="AH876" i="24"/>
  <c r="AH877" i="24"/>
  <c r="AH878" i="24"/>
  <c r="AH879" i="24"/>
  <c r="AH880" i="24"/>
  <c r="AH881" i="24"/>
  <c r="AH882" i="24"/>
  <c r="AH883" i="24"/>
  <c r="AH884" i="24"/>
  <c r="AH885" i="24"/>
  <c r="AH886" i="24"/>
  <c r="AH887" i="24"/>
  <c r="AH888" i="24"/>
  <c r="AH889" i="24"/>
  <c r="AH890" i="24"/>
  <c r="AH891" i="24"/>
  <c r="AH892" i="24"/>
  <c r="AH893" i="24"/>
  <c r="AH894" i="24"/>
  <c r="AH895" i="24"/>
  <c r="AH896" i="24"/>
  <c r="AH897" i="24"/>
  <c r="AH898" i="24"/>
  <c r="AH899" i="24"/>
  <c r="AH900" i="24"/>
  <c r="AH901" i="24"/>
  <c r="AH902" i="24"/>
  <c r="AH903" i="24"/>
  <c r="AH904" i="24"/>
  <c r="AH905" i="24"/>
  <c r="AH906" i="24"/>
  <c r="AH907" i="24"/>
  <c r="AH908" i="24"/>
  <c r="AH909" i="24"/>
  <c r="AH910" i="24"/>
  <c r="AH911" i="24"/>
  <c r="AH912" i="24"/>
  <c r="AH913" i="24"/>
  <c r="AH914" i="24"/>
  <c r="AH915" i="24"/>
  <c r="AH916" i="24"/>
  <c r="AH917" i="24"/>
  <c r="AH918" i="24"/>
  <c r="AH919" i="24"/>
  <c r="AH920" i="24"/>
  <c r="AH921" i="24"/>
  <c r="AH922" i="24"/>
  <c r="AH923" i="24"/>
  <c r="AH924" i="24"/>
  <c r="AH925" i="24"/>
  <c r="AH926" i="24"/>
  <c r="AH927" i="24"/>
  <c r="AH928" i="24"/>
  <c r="AH929" i="24"/>
  <c r="AH930" i="24"/>
  <c r="AH931" i="24"/>
  <c r="AH932" i="24"/>
  <c r="AH933" i="24"/>
  <c r="AH934" i="24"/>
  <c r="AH935" i="24"/>
  <c r="AH936" i="24"/>
  <c r="AH937" i="24"/>
  <c r="AH938" i="24"/>
  <c r="AH939" i="24"/>
  <c r="AH940" i="24"/>
  <c r="AH941" i="24"/>
  <c r="AH942" i="24"/>
  <c r="AH943" i="24"/>
  <c r="AH944" i="24"/>
  <c r="AH945" i="24"/>
  <c r="AH946" i="24"/>
  <c r="AH947" i="24"/>
  <c r="AH948" i="24"/>
  <c r="AH949" i="24"/>
  <c r="AH950" i="24"/>
  <c r="AH951" i="24"/>
  <c r="AH952" i="24"/>
  <c r="AH953" i="24"/>
  <c r="AH954" i="24"/>
  <c r="AH955" i="24"/>
  <c r="AH956" i="24"/>
  <c r="AH957" i="24"/>
  <c r="AH958" i="24"/>
  <c r="AH959" i="24"/>
  <c r="AH960" i="24"/>
  <c r="AH961" i="24"/>
  <c r="AH962" i="24"/>
  <c r="AH963" i="24"/>
  <c r="AH964" i="24"/>
  <c r="AH965" i="24"/>
  <c r="AH966" i="24"/>
  <c r="AH967" i="24"/>
  <c r="AH968" i="24"/>
  <c r="AH969" i="24"/>
  <c r="AH970" i="24"/>
  <c r="AH971" i="24"/>
  <c r="AH972" i="24"/>
  <c r="AH973" i="24"/>
  <c r="AH974" i="24"/>
  <c r="AH975" i="24"/>
  <c r="AH976" i="24"/>
  <c r="AH977" i="24"/>
  <c r="AH978" i="24"/>
  <c r="AH979" i="24"/>
  <c r="AH980" i="24"/>
  <c r="AH981" i="24"/>
  <c r="AH982" i="24"/>
  <c r="AH983" i="24"/>
  <c r="AH984" i="24"/>
  <c r="AH985" i="24"/>
  <c r="AH986" i="24"/>
  <c r="AH987" i="24"/>
  <c r="AH988" i="24"/>
  <c r="AH989" i="24"/>
  <c r="AH990" i="24"/>
  <c r="AH991" i="24"/>
  <c r="AH992" i="24"/>
  <c r="AH993" i="24"/>
  <c r="AH994" i="24"/>
  <c r="AH995" i="24"/>
  <c r="AH996" i="24"/>
  <c r="AH997" i="24"/>
  <c r="AH998" i="24"/>
  <c r="AH999" i="24"/>
  <c r="AH1000" i="24"/>
  <c r="AH1001" i="24"/>
  <c r="AH1002" i="24"/>
  <c r="AH1003" i="24"/>
  <c r="AH1004" i="24"/>
  <c r="AH1005" i="24"/>
  <c r="AH1006" i="24"/>
  <c r="AH1007" i="24"/>
  <c r="AH1008" i="24"/>
  <c r="AH1009" i="24"/>
  <c r="AH1010" i="24"/>
  <c r="AH1011" i="24"/>
  <c r="AH1012" i="24"/>
  <c r="AH1013" i="24"/>
  <c r="AH1014" i="24"/>
  <c r="AH1015" i="24"/>
  <c r="AH1016" i="24"/>
  <c r="AH1017" i="24"/>
  <c r="AH1018" i="24"/>
  <c r="AH1019" i="24"/>
  <c r="AH1020" i="24"/>
  <c r="AH1021" i="24"/>
  <c r="AH1022" i="24"/>
  <c r="AH1023" i="24"/>
  <c r="AH1024" i="24"/>
  <c r="AH1025" i="24"/>
  <c r="AH1026" i="24"/>
  <c r="AH1027" i="24"/>
  <c r="AH1028" i="24"/>
  <c r="AH1029" i="24"/>
  <c r="AH1030" i="24"/>
  <c r="AH1031" i="24"/>
  <c r="AH1032" i="24"/>
  <c r="AH1033" i="24"/>
  <c r="AH1034" i="24"/>
  <c r="AH1035" i="24"/>
  <c r="AH1036" i="24"/>
  <c r="AH1037" i="24"/>
  <c r="AH1038" i="24"/>
  <c r="AH1039" i="24"/>
  <c r="AH1040" i="24"/>
  <c r="AH1041" i="24"/>
  <c r="AH1042" i="24"/>
  <c r="AH1043" i="24"/>
  <c r="AH1044" i="24"/>
  <c r="AH1045" i="24"/>
  <c r="AH1046" i="24"/>
  <c r="AH1047" i="24"/>
  <c r="AH1048" i="24"/>
  <c r="AH1049" i="24"/>
  <c r="AH1050" i="24"/>
  <c r="AH1051" i="24"/>
  <c r="AH1052" i="24"/>
  <c r="AH1053" i="24"/>
  <c r="AH1054" i="24"/>
  <c r="AH1055" i="24"/>
  <c r="AH1056" i="24"/>
  <c r="AH1057" i="24"/>
  <c r="AH1058" i="24"/>
  <c r="AH1059" i="24"/>
  <c r="AH1060" i="24"/>
  <c r="AH1061" i="24"/>
  <c r="AH1062" i="24"/>
  <c r="AH1063" i="24"/>
  <c r="AH1064" i="24"/>
  <c r="AH1065" i="24"/>
  <c r="AH1066" i="24"/>
  <c r="AH1067" i="24"/>
  <c r="AH1068" i="24"/>
  <c r="AH1069" i="24"/>
  <c r="AH1070" i="24"/>
  <c r="AH1071" i="24"/>
  <c r="AH1072" i="24"/>
  <c r="AH1073" i="24"/>
  <c r="AH1074" i="24"/>
  <c r="AH1075" i="24"/>
  <c r="AH1076" i="24"/>
  <c r="AH1077" i="24"/>
  <c r="AH1078" i="24"/>
  <c r="AH1079" i="24"/>
  <c r="AH1080" i="24"/>
  <c r="AH1081" i="24"/>
  <c r="AH1082" i="24"/>
  <c r="AH1083" i="24"/>
  <c r="AH1084" i="24"/>
  <c r="AH1085" i="24"/>
  <c r="AH1086" i="24"/>
  <c r="AH1087" i="24"/>
  <c r="AH1088" i="24"/>
  <c r="AH1089" i="24"/>
  <c r="AH1090" i="24"/>
  <c r="AH1091" i="24"/>
  <c r="AH1092" i="24"/>
  <c r="AH1093" i="24"/>
  <c r="AH1094" i="24"/>
  <c r="AH1095" i="24"/>
  <c r="AH1096" i="24"/>
  <c r="AH1097" i="24"/>
  <c r="AH1098" i="24"/>
  <c r="AH1099" i="24"/>
  <c r="AH1100" i="24"/>
  <c r="AH1101" i="24"/>
  <c r="AH1102" i="24"/>
  <c r="AH1103" i="24"/>
  <c r="AH1104" i="24"/>
  <c r="AH1105" i="24"/>
  <c r="AH1106" i="24"/>
  <c r="AH1107" i="24"/>
  <c r="AH1108" i="24"/>
  <c r="AH1109" i="24"/>
  <c r="AH1110" i="24"/>
  <c r="AH1111" i="24"/>
  <c r="AH1112" i="24"/>
  <c r="AH1113" i="24"/>
  <c r="AH1114" i="24"/>
  <c r="AH1115" i="24"/>
  <c r="AH1116" i="24"/>
  <c r="AH1117" i="24"/>
  <c r="AH1118" i="24"/>
  <c r="AH1119" i="24"/>
  <c r="AH1120" i="24"/>
  <c r="AH1121" i="24"/>
  <c r="AH1122" i="24"/>
  <c r="AH1123" i="24"/>
  <c r="AH1124" i="24"/>
  <c r="AH1125" i="24"/>
  <c r="AH1126" i="24"/>
  <c r="AH1127" i="24"/>
  <c r="AH1128" i="24"/>
  <c r="AH1129" i="24"/>
  <c r="AH1130" i="24"/>
  <c r="AH1131" i="24"/>
  <c r="AH1132" i="24"/>
  <c r="AH1133" i="24"/>
  <c r="AH1134" i="24"/>
  <c r="AH1135" i="24"/>
  <c r="AH1136" i="24"/>
  <c r="AH1137" i="24"/>
  <c r="AH1138" i="24"/>
  <c r="AH1139" i="24"/>
  <c r="AH1140" i="24"/>
  <c r="AH1141" i="24"/>
  <c r="AH1142" i="24"/>
  <c r="AH1143" i="24"/>
  <c r="AH1144" i="24"/>
  <c r="AH1145" i="24"/>
  <c r="AH1146" i="24"/>
  <c r="AH1147" i="24"/>
  <c r="AH1148" i="24"/>
  <c r="AH1149" i="24"/>
  <c r="AH1150" i="24"/>
  <c r="AH1151" i="24"/>
  <c r="AH1152" i="24"/>
  <c r="AH1153" i="24"/>
  <c r="AH1154" i="24"/>
  <c r="AH1155" i="24"/>
  <c r="AH1156" i="24"/>
  <c r="AH1157" i="24"/>
  <c r="AH1158" i="24"/>
  <c r="AH1159" i="24"/>
  <c r="AH1160" i="24"/>
  <c r="AH1161" i="24"/>
  <c r="AH1162" i="24"/>
  <c r="AH1163" i="24"/>
  <c r="AH1164" i="24"/>
  <c r="AH1165" i="24"/>
  <c r="AH1166" i="24"/>
  <c r="AH1167" i="24"/>
  <c r="AH1168" i="24"/>
  <c r="AH1169" i="24"/>
  <c r="AH1170" i="24"/>
  <c r="AH1171" i="24"/>
  <c r="AH1172" i="24"/>
  <c r="AH1173" i="24"/>
  <c r="AH1174" i="24"/>
  <c r="AH1175" i="24"/>
  <c r="AH1176" i="24"/>
  <c r="AH1177" i="24"/>
  <c r="AH1178" i="24"/>
  <c r="AH1179" i="24"/>
  <c r="AH1180" i="24"/>
  <c r="AH1181" i="24"/>
  <c r="AH1182" i="24"/>
  <c r="AH1183" i="24"/>
  <c r="AH1184" i="24"/>
  <c r="AH1185" i="24"/>
  <c r="AH1186" i="24"/>
  <c r="AH1187" i="24"/>
  <c r="AH1188" i="24"/>
  <c r="AH1189" i="24"/>
  <c r="AH1190" i="24"/>
  <c r="AH1191" i="24"/>
  <c r="AH1192" i="24"/>
  <c r="AH1193" i="24"/>
  <c r="AH1194" i="24"/>
  <c r="AH1195" i="24"/>
  <c r="AH1196" i="24"/>
  <c r="AH1197" i="24"/>
  <c r="AH1198" i="24"/>
  <c r="AH1199" i="24"/>
  <c r="AH1200" i="24"/>
  <c r="AH1201" i="24"/>
  <c r="AH1202" i="24"/>
  <c r="AH1203" i="24"/>
  <c r="AH1204" i="24"/>
  <c r="AH1205" i="24"/>
  <c r="AH1206" i="24"/>
  <c r="AH1207" i="24"/>
  <c r="AH7" i="24"/>
  <c r="N488" i="24"/>
  <c r="N489" i="24" s="1"/>
  <c r="I546" i="24"/>
  <c r="O546" i="24" s="1"/>
  <c r="I545" i="24"/>
  <c r="R545" i="24" s="1"/>
  <c r="I543" i="24"/>
  <c r="P543" i="24" s="1"/>
  <c r="I541" i="24"/>
  <c r="P541" i="24" s="1"/>
  <c r="I540" i="24"/>
  <c r="P540" i="24" s="1"/>
  <c r="I537" i="24"/>
  <c r="Q537" i="24" s="1"/>
  <c r="I536" i="24"/>
  <c r="O536" i="24" s="1"/>
  <c r="I535" i="24"/>
  <c r="I534" i="24"/>
  <c r="O534" i="24" s="1"/>
  <c r="I533" i="24"/>
  <c r="R533" i="24" s="1"/>
  <c r="I532" i="24"/>
  <c r="Q532" i="24" s="1"/>
  <c r="I530" i="24"/>
  <c r="P530" i="24" s="1"/>
  <c r="I529" i="24"/>
  <c r="Q529" i="24" s="1"/>
  <c r="I526" i="24"/>
  <c r="Q526" i="24" s="1"/>
  <c r="I525" i="24"/>
  <c r="O525" i="24" s="1"/>
  <c r="I522" i="24"/>
  <c r="I521" i="24"/>
  <c r="O521" i="24" s="1"/>
  <c r="I520" i="24"/>
  <c r="Q520" i="24" s="1"/>
  <c r="I516" i="24"/>
  <c r="Q516" i="24" s="1"/>
  <c r="I515" i="24"/>
  <c r="I514" i="24"/>
  <c r="P514" i="24" s="1"/>
  <c r="I513" i="24"/>
  <c r="Q513" i="24" s="1"/>
  <c r="I517" i="24"/>
  <c r="O517" i="24" s="1"/>
  <c r="I512" i="24"/>
  <c r="Q512" i="24" s="1"/>
  <c r="P567" i="24"/>
  <c r="R567" i="24"/>
  <c r="Q567" i="24"/>
  <c r="P586" i="24"/>
  <c r="R586" i="24"/>
  <c r="O586" i="24"/>
  <c r="Q586" i="24"/>
  <c r="P588" i="24"/>
  <c r="R588" i="24"/>
  <c r="O588" i="24"/>
  <c r="Q588" i="24"/>
  <c r="P590" i="24"/>
  <c r="R590" i="24"/>
  <c r="O590" i="24"/>
  <c r="Q590" i="24"/>
  <c r="Q570" i="24"/>
  <c r="P570" i="24"/>
  <c r="R570" i="24"/>
  <c r="Q589" i="24"/>
  <c r="P589" i="24"/>
  <c r="R589" i="24"/>
  <c r="O589" i="24"/>
  <c r="N546" i="24"/>
  <c r="N545" i="24"/>
  <c r="N543" i="24"/>
  <c r="N541" i="24"/>
  <c r="N540" i="24"/>
  <c r="N537" i="24"/>
  <c r="N536" i="24"/>
  <c r="N535" i="24"/>
  <c r="N534" i="24"/>
  <c r="N533" i="24"/>
  <c r="N532" i="24"/>
  <c r="N530" i="24"/>
  <c r="N529" i="24"/>
  <c r="N526" i="24"/>
  <c r="N525" i="24"/>
  <c r="N522" i="24"/>
  <c r="N521" i="24"/>
  <c r="N520" i="24"/>
  <c r="N517" i="24"/>
  <c r="N516" i="24"/>
  <c r="N515" i="24"/>
  <c r="N514" i="24"/>
  <c r="N513" i="24"/>
  <c r="N512" i="24"/>
  <c r="N508" i="24"/>
  <c r="N509" i="24" s="1"/>
  <c r="N457" i="24"/>
  <c r="N455" i="24"/>
  <c r="N452" i="24"/>
  <c r="N450" i="24"/>
  <c r="N448" i="24"/>
  <c r="N444" i="24"/>
  <c r="N441" i="24"/>
  <c r="N437" i="24"/>
  <c r="N436" i="24"/>
  <c r="N427" i="24"/>
  <c r="N424" i="24"/>
  <c r="H33" i="14"/>
  <c r="O33" i="14" s="1"/>
  <c r="M33" i="14"/>
  <c r="M32" i="14"/>
  <c r="H32" i="14"/>
  <c r="P32" i="14" s="1"/>
  <c r="M31" i="14"/>
  <c r="H31" i="14"/>
  <c r="Q31" i="14" s="1"/>
  <c r="O30" i="14"/>
  <c r="P30" i="14"/>
  <c r="Q30" i="14"/>
  <c r="R30" i="14"/>
  <c r="M30" i="14"/>
  <c r="R29" i="14"/>
  <c r="Q29" i="14"/>
  <c r="O29" i="14"/>
  <c r="P29" i="14"/>
  <c r="M29" i="14"/>
  <c r="M28" i="14"/>
  <c r="H28" i="14"/>
  <c r="P28" i="14" s="1"/>
  <c r="R27" i="14"/>
  <c r="Q27" i="14"/>
  <c r="P27" i="14"/>
  <c r="O27" i="14"/>
  <c r="M27" i="14"/>
  <c r="R26" i="14"/>
  <c r="Q26" i="14"/>
  <c r="P26" i="14"/>
  <c r="O26" i="14"/>
  <c r="M26" i="14"/>
  <c r="R25" i="14"/>
  <c r="O25" i="14"/>
  <c r="P25" i="14"/>
  <c r="Q25" i="14"/>
  <c r="M25" i="14"/>
  <c r="H24" i="14"/>
  <c r="Q24" i="14" s="1"/>
  <c r="M24" i="14"/>
  <c r="H23" i="14"/>
  <c r="M23" i="14"/>
  <c r="H22" i="14"/>
  <c r="M22" i="14"/>
  <c r="M21" i="14"/>
  <c r="H21" i="14"/>
  <c r="M20" i="14"/>
  <c r="H20" i="14"/>
  <c r="O20" i="14" s="1"/>
  <c r="H16" i="14"/>
  <c r="Q16" i="14" s="1"/>
  <c r="Q14" i="14"/>
  <c r="Q15" i="14"/>
  <c r="M16" i="14"/>
  <c r="R15" i="14"/>
  <c r="P15" i="14"/>
  <c r="O15" i="14"/>
  <c r="O14" i="14"/>
  <c r="P14" i="14"/>
  <c r="R14" i="14"/>
  <c r="M15" i="14"/>
  <c r="M14" i="14"/>
  <c r="AO443" i="24"/>
  <c r="AQ600" i="24"/>
  <c r="AE603" i="24"/>
  <c r="R443" i="24"/>
  <c r="O21" i="24"/>
  <c r="R21" i="24"/>
  <c r="P21" i="24"/>
  <c r="P20" i="24"/>
  <c r="R20" i="24"/>
  <c r="Q20" i="24"/>
  <c r="P18" i="24"/>
  <c r="O19" i="24"/>
  <c r="R19" i="24"/>
  <c r="Q19" i="24"/>
  <c r="AB617" i="24" l="1"/>
  <c r="M410" i="24"/>
  <c r="L410" i="24"/>
  <c r="J410" i="24"/>
  <c r="K410" i="24"/>
  <c r="AD617" i="24"/>
  <c r="Z617" i="24" s="1"/>
  <c r="AD646" i="24"/>
  <c r="AD616" i="24"/>
  <c r="AC646" i="24"/>
  <c r="AC616" i="24"/>
  <c r="AA646" i="24"/>
  <c r="AA616" i="24"/>
  <c r="AB646" i="24"/>
  <c r="AB616" i="24"/>
  <c r="N410" i="24"/>
  <c r="L354" i="24"/>
  <c r="K354" i="24"/>
  <c r="J354" i="24"/>
  <c r="P248" i="24"/>
  <c r="O31" i="24"/>
  <c r="AA629" i="24"/>
  <c r="O248" i="24"/>
  <c r="R248" i="24"/>
  <c r="Q248" i="24"/>
  <c r="L94" i="24"/>
  <c r="K94" i="24"/>
  <c r="J94" i="24"/>
  <c r="M94" i="24"/>
  <c r="K429" i="24"/>
  <c r="K430" i="24" s="1"/>
  <c r="M429" i="24"/>
  <c r="M430" i="24" s="1"/>
  <c r="J429" i="24"/>
  <c r="L429" i="24"/>
  <c r="L430" i="24" s="1"/>
  <c r="N248" i="24"/>
  <c r="AB216" i="24"/>
  <c r="N32" i="24"/>
  <c r="R580" i="24"/>
  <c r="AO459" i="24"/>
  <c r="AK457" i="24" s="1"/>
  <c r="Q457" i="24"/>
  <c r="R450" i="24"/>
  <c r="Q450" i="24"/>
  <c r="P450" i="24"/>
  <c r="P457" i="24"/>
  <c r="R457" i="24"/>
  <c r="O31" i="14"/>
  <c r="P31" i="14"/>
  <c r="R20" i="14"/>
  <c r="Q469" i="24"/>
  <c r="O436" i="24"/>
  <c r="P402" i="24"/>
  <c r="Q402" i="24"/>
  <c r="O402" i="24"/>
  <c r="Q343" i="24"/>
  <c r="Q441" i="24"/>
  <c r="P441" i="24"/>
  <c r="R584" i="24"/>
  <c r="Q580" i="24"/>
  <c r="Q101" i="24"/>
  <c r="N80" i="24"/>
  <c r="N90" i="24"/>
  <c r="P20" i="14"/>
  <c r="Q20" i="14"/>
  <c r="Q569" i="24"/>
  <c r="O584" i="24"/>
  <c r="O580" i="24"/>
  <c r="Q584" i="24"/>
  <c r="R339" i="24"/>
  <c r="Q443" i="24"/>
  <c r="O442" i="24"/>
  <c r="P473" i="24"/>
  <c r="P443" i="24"/>
  <c r="Q442" i="24"/>
  <c r="R343" i="24"/>
  <c r="Q467" i="24"/>
  <c r="Q17" i="24"/>
  <c r="P568" i="24"/>
  <c r="R442" i="24"/>
  <c r="O18" i="24"/>
  <c r="N117" i="24"/>
  <c r="O441" i="24"/>
  <c r="O591" i="24"/>
  <c r="O594" i="24"/>
  <c r="Q18" i="24"/>
  <c r="O581" i="24"/>
  <c r="O101" i="24"/>
  <c r="R23" i="14"/>
  <c r="O23" i="14"/>
  <c r="AD643" i="24"/>
  <c r="Z643" i="24" s="1"/>
  <c r="P582" i="24"/>
  <c r="P469" i="24"/>
  <c r="P481" i="24"/>
  <c r="O465" i="24"/>
  <c r="R465" i="24"/>
  <c r="S15" i="14"/>
  <c r="O582" i="24"/>
  <c r="O22" i="14"/>
  <c r="P22" i="14"/>
  <c r="O21" i="14"/>
  <c r="R21" i="14"/>
  <c r="O16" i="24"/>
  <c r="Q16" i="24"/>
  <c r="Q582" i="24"/>
  <c r="Q23" i="14"/>
  <c r="R16" i="24"/>
  <c r="Q465" i="24"/>
  <c r="O469" i="24"/>
  <c r="O448" i="24"/>
  <c r="P448" i="24"/>
  <c r="R448" i="24"/>
  <c r="L459" i="24"/>
  <c r="P569" i="24"/>
  <c r="O569" i="24"/>
  <c r="Q21" i="14"/>
  <c r="S87" i="24"/>
  <c r="AB87" i="24" s="1"/>
  <c r="N147" i="24"/>
  <c r="R473" i="24"/>
  <c r="S218" i="24"/>
  <c r="Y218" i="24" s="1"/>
  <c r="N134" i="24"/>
  <c r="S29" i="14"/>
  <c r="P33" i="14"/>
  <c r="P23" i="14"/>
  <c r="R467" i="24"/>
  <c r="P467" i="24"/>
  <c r="Q28" i="14"/>
  <c r="O32" i="14"/>
  <c r="R32" i="14"/>
  <c r="AB644" i="24"/>
  <c r="P343" i="24"/>
  <c r="S78" i="24"/>
  <c r="AC78" i="24" s="1"/>
  <c r="R464" i="24"/>
  <c r="N425" i="24"/>
  <c r="O15" i="24"/>
  <c r="O476" i="24"/>
  <c r="P479" i="24"/>
  <c r="S79" i="24"/>
  <c r="Y79" i="24" s="1"/>
  <c r="N440" i="24"/>
  <c r="R440" i="24"/>
  <c r="S59" i="24"/>
  <c r="Y59" i="24" s="1"/>
  <c r="P15" i="24"/>
  <c r="P476" i="24"/>
  <c r="R15" i="24"/>
  <c r="AD637" i="24" s="1"/>
  <c r="P562" i="24"/>
  <c r="R435" i="24"/>
  <c r="R438" i="24" s="1"/>
  <c r="R488" i="24"/>
  <c r="R489" i="24" s="1"/>
  <c r="P468" i="24"/>
  <c r="P17" i="24"/>
  <c r="P466" i="24"/>
  <c r="O466" i="24"/>
  <c r="Q464" i="24"/>
  <c r="Q476" i="24"/>
  <c r="P464" i="24"/>
  <c r="AD647" i="24"/>
  <c r="O435" i="24"/>
  <c r="P488" i="24"/>
  <c r="P489" i="24" s="1"/>
  <c r="P436" i="24"/>
  <c r="R479" i="24"/>
  <c r="O479" i="24"/>
  <c r="O41" i="24"/>
  <c r="Q488" i="24"/>
  <c r="Q489" i="24" s="1"/>
  <c r="AB647" i="24"/>
  <c r="Q468" i="24"/>
  <c r="O468" i="24"/>
  <c r="R466" i="24"/>
  <c r="R17" i="24"/>
  <c r="S495" i="24"/>
  <c r="AB495" i="24" s="1"/>
  <c r="Z306" i="24"/>
  <c r="AA228" i="24"/>
  <c r="S192" i="24"/>
  <c r="Z192" i="24" s="1"/>
  <c r="S136" i="24"/>
  <c r="O443" i="24"/>
  <c r="R353" i="24"/>
  <c r="S349" i="24"/>
  <c r="AB349" i="24" s="1"/>
  <c r="O562" i="24"/>
  <c r="Q562" i="24"/>
  <c r="R564" i="24"/>
  <c r="Q564" i="24"/>
  <c r="O564" i="24"/>
  <c r="R597" i="24"/>
  <c r="R599" i="24" s="1"/>
  <c r="P587" i="24"/>
  <c r="O587" i="24"/>
  <c r="R587" i="24"/>
  <c r="P597" i="24"/>
  <c r="Q597" i="24"/>
  <c r="Q31" i="24"/>
  <c r="Y300" i="24"/>
  <c r="R499" i="24"/>
  <c r="O12" i="24"/>
  <c r="S132" i="24"/>
  <c r="AA132" i="24" s="1"/>
  <c r="S113" i="24"/>
  <c r="Y113" i="24" s="1"/>
  <c r="O473" i="24"/>
  <c r="O474" i="24"/>
  <c r="O90" i="24"/>
  <c r="S333" i="24"/>
  <c r="S337" i="24"/>
  <c r="AA337" i="24" s="1"/>
  <c r="Q353" i="24"/>
  <c r="S346" i="24"/>
  <c r="Z346" i="24" s="1"/>
  <c r="S347" i="24"/>
  <c r="Z347" i="24" s="1"/>
  <c r="P442" i="24"/>
  <c r="P435" i="24"/>
  <c r="Q436" i="24"/>
  <c r="S163" i="24"/>
  <c r="Z163" i="24" s="1"/>
  <c r="P585" i="24"/>
  <c r="Q481" i="24"/>
  <c r="R481" i="24"/>
  <c r="R502" i="24"/>
  <c r="R568" i="24"/>
  <c r="Q581" i="24"/>
  <c r="P591" i="24"/>
  <c r="P581" i="24"/>
  <c r="J485" i="24"/>
  <c r="O583" i="24"/>
  <c r="Q474" i="24"/>
  <c r="P583" i="24"/>
  <c r="N442" i="24"/>
  <c r="Z322" i="24"/>
  <c r="Q591" i="24"/>
  <c r="Q583" i="24"/>
  <c r="Q594" i="24"/>
  <c r="R474" i="24"/>
  <c r="P474" i="24"/>
  <c r="P594" i="24"/>
  <c r="Q502" i="24"/>
  <c r="P502" i="24"/>
  <c r="P504" i="24" s="1"/>
  <c r="Q568" i="24"/>
  <c r="R157" i="24"/>
  <c r="R425" i="24"/>
  <c r="S458" i="24"/>
  <c r="Z458" i="24" s="1"/>
  <c r="S453" i="24"/>
  <c r="AA453" i="24" s="1"/>
  <c r="S451" i="24"/>
  <c r="AA451" i="24" s="1"/>
  <c r="K459" i="24"/>
  <c r="S112" i="24"/>
  <c r="AC112" i="24" s="1"/>
  <c r="S123" i="24"/>
  <c r="Z123" i="24" s="1"/>
  <c r="S73" i="24"/>
  <c r="Z73" i="24" s="1"/>
  <c r="R331" i="24"/>
  <c r="N62" i="24"/>
  <c r="S574" i="24"/>
  <c r="AB574" i="24" s="1"/>
  <c r="S571" i="24"/>
  <c r="AC571" i="24" s="1"/>
  <c r="R31" i="24"/>
  <c r="S27" i="24"/>
  <c r="Y27" i="24" s="1"/>
  <c r="S493" i="24"/>
  <c r="AA493" i="24" s="1"/>
  <c r="R285" i="24"/>
  <c r="O437" i="24"/>
  <c r="AC298" i="24"/>
  <c r="AA297" i="24"/>
  <c r="O373" i="24"/>
  <c r="P499" i="24"/>
  <c r="M459" i="24"/>
  <c r="O440" i="24"/>
  <c r="S30" i="24"/>
  <c r="AC30" i="24" s="1"/>
  <c r="O62" i="24"/>
  <c r="P62" i="24"/>
  <c r="S494" i="24"/>
  <c r="AB494" i="24" s="1"/>
  <c r="S415" i="24"/>
  <c r="S418" i="24" s="1"/>
  <c r="S97" i="24"/>
  <c r="S182" i="24"/>
  <c r="S368" i="24"/>
  <c r="AA368" i="24" s="1"/>
  <c r="S371" i="24"/>
  <c r="Y371" i="24" s="1"/>
  <c r="S84" i="24"/>
  <c r="Y84" i="24" s="1"/>
  <c r="S85" i="24"/>
  <c r="AB85" i="24" s="1"/>
  <c r="S341" i="24"/>
  <c r="AB341" i="24" s="1"/>
  <c r="S365" i="24"/>
  <c r="Y365" i="24" s="1"/>
  <c r="S392" i="24"/>
  <c r="AA392" i="24" s="1"/>
  <c r="S378" i="24"/>
  <c r="Z378" i="24" s="1"/>
  <c r="S377" i="24"/>
  <c r="AB377" i="24" s="1"/>
  <c r="S394" i="24"/>
  <c r="Y394" i="24" s="1"/>
  <c r="S395" i="24"/>
  <c r="Y395" i="24" s="1"/>
  <c r="M275" i="24"/>
  <c r="AA324" i="24"/>
  <c r="Z326" i="24"/>
  <c r="AC328" i="24"/>
  <c r="Z329" i="24"/>
  <c r="AB320" i="24"/>
  <c r="AA323" i="24"/>
  <c r="N343" i="24"/>
  <c r="S342" i="24"/>
  <c r="AC342" i="24" s="1"/>
  <c r="S338" i="24"/>
  <c r="AA338" i="24" s="1"/>
  <c r="P353" i="24"/>
  <c r="S348" i="24"/>
  <c r="AA348" i="24" s="1"/>
  <c r="S352" i="24"/>
  <c r="AC352" i="24" s="1"/>
  <c r="Q74" i="24"/>
  <c r="AB309" i="24"/>
  <c r="P520" i="24"/>
  <c r="S382" i="24"/>
  <c r="Y382" i="24" s="1"/>
  <c r="R402" i="24"/>
  <c r="S401" i="24"/>
  <c r="N499" i="24"/>
  <c r="N471" i="24"/>
  <c r="N473" i="24"/>
  <c r="N478" i="24"/>
  <c r="Q479" i="24"/>
  <c r="AB310" i="24"/>
  <c r="S114" i="24"/>
  <c r="Z114" i="24" s="1"/>
  <c r="S154" i="24"/>
  <c r="Z154" i="24" s="1"/>
  <c r="S152" i="24"/>
  <c r="AC152" i="24" s="1"/>
  <c r="S146" i="24"/>
  <c r="AA146" i="24" s="1"/>
  <c r="S145" i="24"/>
  <c r="Y145" i="24" s="1"/>
  <c r="S139" i="24"/>
  <c r="AB139" i="24" s="1"/>
  <c r="S133" i="24"/>
  <c r="AA133" i="24" s="1"/>
  <c r="S116" i="24"/>
  <c r="AB116" i="24" s="1"/>
  <c r="S115" i="24"/>
  <c r="AA115" i="24" s="1"/>
  <c r="S143" i="24"/>
  <c r="Z143" i="24" s="1"/>
  <c r="AA193" i="24"/>
  <c r="Z305" i="24"/>
  <c r="AB308" i="24"/>
  <c r="S220" i="24"/>
  <c r="AC220" i="24" s="1"/>
  <c r="AC214" i="24"/>
  <c r="AC227" i="24"/>
  <c r="S263" i="24"/>
  <c r="Z263" i="24" s="1"/>
  <c r="S267" i="24"/>
  <c r="Y267" i="24" s="1"/>
  <c r="AB208" i="24"/>
  <c r="AB224" i="24"/>
  <c r="S231" i="24"/>
  <c r="Y231" i="24" s="1"/>
  <c r="AB229" i="24"/>
  <c r="P134" i="24"/>
  <c r="Q285" i="24"/>
  <c r="S289" i="24"/>
  <c r="AC289" i="24" s="1"/>
  <c r="S290" i="24"/>
  <c r="AA290" i="24" s="1"/>
  <c r="S219" i="24"/>
  <c r="AC219" i="24" s="1"/>
  <c r="AD649" i="24"/>
  <c r="R470" i="24"/>
  <c r="P470" i="24"/>
  <c r="R560" i="24"/>
  <c r="O560" i="24"/>
  <c r="O596" i="24"/>
  <c r="O599" i="24" s="1"/>
  <c r="P596" i="24"/>
  <c r="O285" i="24"/>
  <c r="Q508" i="24"/>
  <c r="Q509" i="24" s="1"/>
  <c r="P508" i="24"/>
  <c r="P509" i="24" s="1"/>
  <c r="S82" i="24"/>
  <c r="R90" i="24"/>
  <c r="N474" i="24"/>
  <c r="K485" i="24"/>
  <c r="R478" i="24"/>
  <c r="Q478" i="24"/>
  <c r="Q480" i="24"/>
  <c r="S480" i="24" s="1"/>
  <c r="AB480" i="24" s="1"/>
  <c r="N480" i="24"/>
  <c r="O563" i="24"/>
  <c r="P563" i="24"/>
  <c r="Q563" i="24"/>
  <c r="P444" i="24"/>
  <c r="Q444" i="24"/>
  <c r="O444" i="24"/>
  <c r="N479" i="24"/>
  <c r="O499" i="24"/>
  <c r="O331" i="24"/>
  <c r="AC632" i="24"/>
  <c r="O549" i="24"/>
  <c r="O554" i="24" s="1"/>
  <c r="Q473" i="24"/>
  <c r="J459" i="24"/>
  <c r="Q440" i="24"/>
  <c r="N443" i="24"/>
  <c r="Q560" i="24"/>
  <c r="P285" i="24"/>
  <c r="O566" i="24"/>
  <c r="P566" i="24"/>
  <c r="R566" i="24"/>
  <c r="P478" i="24"/>
  <c r="P560" i="24"/>
  <c r="O470" i="24"/>
  <c r="Q566" i="24"/>
  <c r="O504" i="24"/>
  <c r="S92" i="24"/>
  <c r="Z92" i="24" s="1"/>
  <c r="M485" i="24"/>
  <c r="P440" i="24"/>
  <c r="R418" i="24"/>
  <c r="Q596" i="24"/>
  <c r="Q185" i="24"/>
  <c r="O478" i="24"/>
  <c r="R12" i="24"/>
  <c r="Q470" i="24"/>
  <c r="S271" i="24"/>
  <c r="AC271" i="24" s="1"/>
  <c r="AC637" i="24"/>
  <c r="R513" i="24"/>
  <c r="S273" i="24"/>
  <c r="Z273" i="24" s="1"/>
  <c r="S260" i="24"/>
  <c r="AA260" i="24" s="1"/>
  <c r="S455" i="24"/>
  <c r="AB455" i="24" s="1"/>
  <c r="Q541" i="24"/>
  <c r="O530" i="24"/>
  <c r="O185" i="24"/>
  <c r="Q425" i="24"/>
  <c r="S413" i="24"/>
  <c r="S551" i="24"/>
  <c r="AA551" i="24" s="1"/>
  <c r="S482" i="24"/>
  <c r="Y482" i="24" s="1"/>
  <c r="O134" i="24"/>
  <c r="R512" i="24"/>
  <c r="P512" i="24"/>
  <c r="P425" i="24"/>
  <c r="S477" i="24"/>
  <c r="AA477" i="24" s="1"/>
  <c r="S359" i="24"/>
  <c r="AC359" i="24" s="1"/>
  <c r="P74" i="24"/>
  <c r="S370" i="24"/>
  <c r="AB370" i="24" s="1"/>
  <c r="S24" i="24"/>
  <c r="S501" i="24"/>
  <c r="Y501" i="24" s="1"/>
  <c r="S268" i="24"/>
  <c r="AB268" i="24" s="1"/>
  <c r="Q62" i="24"/>
  <c r="O68" i="24"/>
  <c r="Q68" i="24"/>
  <c r="Q549" i="24"/>
  <c r="Q554" i="24" s="1"/>
  <c r="P549" i="24"/>
  <c r="P554" i="24" s="1"/>
  <c r="R521" i="24"/>
  <c r="O533" i="24"/>
  <c r="P513" i="24"/>
  <c r="R526" i="24"/>
  <c r="S424" i="24"/>
  <c r="AB424" i="24" s="1"/>
  <c r="P428" i="24"/>
  <c r="O274" i="24"/>
  <c r="O537" i="24"/>
  <c r="Q533" i="24"/>
  <c r="P537" i="24"/>
  <c r="R282" i="24"/>
  <c r="R537" i="24"/>
  <c r="P533" i="24"/>
  <c r="S153" i="24"/>
  <c r="AA153" i="24" s="1"/>
  <c r="S103" i="24"/>
  <c r="S110" i="24"/>
  <c r="AB110" i="24" s="1"/>
  <c r="R117" i="24"/>
  <c r="S119" i="24"/>
  <c r="S120" i="24"/>
  <c r="AC120" i="24" s="1"/>
  <c r="O147" i="24"/>
  <c r="S140" i="24"/>
  <c r="AB140" i="24" s="1"/>
  <c r="R147" i="24"/>
  <c r="AC647" i="24"/>
  <c r="S89" i="24"/>
  <c r="AA89" i="24" s="1"/>
  <c r="AD639" i="24"/>
  <c r="R543" i="24"/>
  <c r="S427" i="24"/>
  <c r="Y427" i="24" s="1"/>
  <c r="O421" i="24"/>
  <c r="R534" i="24"/>
  <c r="R540" i="24"/>
  <c r="O516" i="24"/>
  <c r="S573" i="24"/>
  <c r="AA573" i="24" s="1"/>
  <c r="O508" i="24"/>
  <c r="AA635" i="24" s="1"/>
  <c r="R536" i="24"/>
  <c r="R525" i="24"/>
  <c r="O541" i="24"/>
  <c r="Q90" i="24"/>
  <c r="AB210" i="24"/>
  <c r="S195" i="24"/>
  <c r="AA195" i="24" s="1"/>
  <c r="P536" i="24"/>
  <c r="O540" i="24"/>
  <c r="P421" i="24"/>
  <c r="Y199" i="24"/>
  <c r="S65" i="24"/>
  <c r="AC65" i="24" s="1"/>
  <c r="S578" i="24"/>
  <c r="AC578" i="24" s="1"/>
  <c r="S162" i="24"/>
  <c r="Y162" i="24" s="1"/>
  <c r="S167" i="24"/>
  <c r="Y167" i="24" s="1"/>
  <c r="Z226" i="24"/>
  <c r="S225" i="24"/>
  <c r="Z225" i="24" s="1"/>
  <c r="S130" i="24"/>
  <c r="AB130" i="24" s="1"/>
  <c r="S261" i="24"/>
  <c r="AC261" i="24" s="1"/>
  <c r="AD641" i="24"/>
  <c r="P516" i="24"/>
  <c r="Q536" i="24"/>
  <c r="Q525" i="24"/>
  <c r="S111" i="24"/>
  <c r="AB111" i="24" s="1"/>
  <c r="O514" i="24"/>
  <c r="R514" i="24"/>
  <c r="P529" i="24"/>
  <c r="O428" i="24"/>
  <c r="O429" i="24" s="1"/>
  <c r="O430" i="24" s="1"/>
  <c r="S503" i="24"/>
  <c r="Z503" i="24" s="1"/>
  <c r="Q373" i="24"/>
  <c r="Q514" i="24"/>
  <c r="P545" i="24"/>
  <c r="Q540" i="24"/>
  <c r="O425" i="24"/>
  <c r="O183" i="24"/>
  <c r="R183" i="24"/>
  <c r="R186" i="24" s="1"/>
  <c r="R187" i="24" s="1"/>
  <c r="S389" i="24"/>
  <c r="AA389" i="24" s="1"/>
  <c r="O279" i="24"/>
  <c r="S171" i="24"/>
  <c r="Z171" i="24" s="1"/>
  <c r="R62" i="24"/>
  <c r="S66" i="24"/>
  <c r="AC213" i="24"/>
  <c r="Q499" i="24"/>
  <c r="S272" i="24"/>
  <c r="AC272" i="24" s="1"/>
  <c r="S391" i="24"/>
  <c r="AC391" i="24" s="1"/>
  <c r="S223" i="24"/>
  <c r="AB223" i="24" s="1"/>
  <c r="S372" i="24"/>
  <c r="AC372" i="24" s="1"/>
  <c r="O343" i="24"/>
  <c r="S334" i="24"/>
  <c r="Y334" i="24" s="1"/>
  <c r="P339" i="24"/>
  <c r="S336" i="24"/>
  <c r="Y336" i="24" s="1"/>
  <c r="S170" i="24"/>
  <c r="Y170" i="24" s="1"/>
  <c r="S72" i="24"/>
  <c r="AA72" i="24" s="1"/>
  <c r="S164" i="24"/>
  <c r="AB164" i="24" s="1"/>
  <c r="N68" i="24"/>
  <c r="N353" i="24"/>
  <c r="S572" i="24"/>
  <c r="AA572" i="24" s="1"/>
  <c r="O157" i="24"/>
  <c r="S144" i="24"/>
  <c r="AB144" i="24" s="1"/>
  <c r="AB222" i="24"/>
  <c r="S129" i="24"/>
  <c r="Y129" i="24" s="1"/>
  <c r="AA198" i="24"/>
  <c r="S400" i="24"/>
  <c r="Z400" i="24" s="1"/>
  <c r="S399" i="24"/>
  <c r="AC399" i="24" s="1"/>
  <c r="AC640" i="24"/>
  <c r="S230" i="24"/>
  <c r="AA230" i="24" s="1"/>
  <c r="N331" i="24"/>
  <c r="Z330" i="24"/>
  <c r="S257" i="24"/>
  <c r="Y257" i="24" s="1"/>
  <c r="Q294" i="24"/>
  <c r="S291" i="24"/>
  <c r="AA291" i="24" s="1"/>
  <c r="S293" i="24"/>
  <c r="Y293" i="24" s="1"/>
  <c r="P80" i="24"/>
  <c r="S492" i="24"/>
  <c r="Y492" i="24" s="1"/>
  <c r="S169" i="24"/>
  <c r="AC169" i="24" s="1"/>
  <c r="K275" i="24"/>
  <c r="N504" i="24"/>
  <c r="Q41" i="24"/>
  <c r="AD487" i="24"/>
  <c r="AE487" i="24" s="1"/>
  <c r="AD463" i="24"/>
  <c r="AE463" i="24" s="1"/>
  <c r="AD189" i="24"/>
  <c r="AE189" i="24" s="1"/>
  <c r="AD11" i="24"/>
  <c r="AE11" i="24" s="1"/>
  <c r="AD434" i="24"/>
  <c r="AE434" i="24" s="1"/>
  <c r="AD277" i="24"/>
  <c r="AE277" i="24" s="1"/>
  <c r="AD642" i="24"/>
  <c r="L314" i="24"/>
  <c r="AA641" i="24"/>
  <c r="S278" i="24"/>
  <c r="AA278" i="24" s="1"/>
  <c r="Q134" i="24"/>
  <c r="S128" i="24"/>
  <c r="S296" i="24"/>
  <c r="AC307" i="24"/>
  <c r="AA304" i="24"/>
  <c r="AA303" i="24"/>
  <c r="S384" i="24"/>
  <c r="Y384" i="24" s="1"/>
  <c r="S221" i="24"/>
  <c r="Y221" i="24" s="1"/>
  <c r="L275" i="24"/>
  <c r="S191" i="24"/>
  <c r="AB191" i="24" s="1"/>
  <c r="S190" i="24"/>
  <c r="S194" i="24"/>
  <c r="AB194" i="24" s="1"/>
  <c r="AA207" i="24"/>
  <c r="S197" i="24"/>
  <c r="Z197" i="24" s="1"/>
  <c r="S142" i="24"/>
  <c r="AC142" i="24" s="1"/>
  <c r="S131" i="24"/>
  <c r="Z131" i="24" s="1"/>
  <c r="S121" i="24"/>
  <c r="AA121" i="24" s="1"/>
  <c r="S166" i="24"/>
  <c r="AC166" i="24" s="1"/>
  <c r="S174" i="24"/>
  <c r="P183" i="24"/>
  <c r="AA632" i="24"/>
  <c r="S345" i="24"/>
  <c r="Z345" i="24" s="1"/>
  <c r="O353" i="24"/>
  <c r="S77" i="24"/>
  <c r="AA77" i="24" s="1"/>
  <c r="N74" i="24"/>
  <c r="S335" i="24"/>
  <c r="Y335" i="24" s="1"/>
  <c r="S393" i="24"/>
  <c r="Y393" i="24" s="1"/>
  <c r="O396" i="24"/>
  <c r="S379" i="24"/>
  <c r="AC379" i="24" s="1"/>
  <c r="Q157" i="24"/>
  <c r="S150" i="24"/>
  <c r="AC150" i="24" s="1"/>
  <c r="N157" i="24"/>
  <c r="N126" i="24"/>
  <c r="O117" i="24"/>
  <c r="S106" i="24"/>
  <c r="AA106" i="24" s="1"/>
  <c r="S109" i="24"/>
  <c r="Z109" i="24" s="1"/>
  <c r="K314" i="24"/>
  <c r="P294" i="24"/>
  <c r="S264" i="24"/>
  <c r="AB264" i="24" s="1"/>
  <c r="S262" i="24"/>
  <c r="Z262" i="24" s="1"/>
  <c r="J275" i="24"/>
  <c r="AA240" i="24"/>
  <c r="N402" i="24"/>
  <c r="AD658" i="24"/>
  <c r="AC325" i="24"/>
  <c r="AC321" i="24"/>
  <c r="AA319" i="24"/>
  <c r="Q331" i="24"/>
  <c r="Z302" i="24"/>
  <c r="U616" i="24" s="1"/>
  <c r="L186" i="24"/>
  <c r="L187" i="24" s="1"/>
  <c r="N101" i="24"/>
  <c r="Q183" i="24"/>
  <c r="S168" i="24"/>
  <c r="S64" i="24"/>
  <c r="AC237" i="24"/>
  <c r="AA650" i="24"/>
  <c r="N274" i="24"/>
  <c r="S137" i="24"/>
  <c r="P147" i="24"/>
  <c r="S381" i="24"/>
  <c r="Y381" i="24" s="1"/>
  <c r="P157" i="24"/>
  <c r="Q279" i="24"/>
  <c r="AB650" i="24"/>
  <c r="AC301" i="24"/>
  <c r="AA658" i="24"/>
  <c r="P373" i="24"/>
  <c r="S361" i="24"/>
  <c r="Z361" i="24" s="1"/>
  <c r="Q147" i="24"/>
  <c r="S26" i="24"/>
  <c r="AA26" i="24" s="1"/>
  <c r="P31" i="24"/>
  <c r="R428" i="24"/>
  <c r="S258" i="24"/>
  <c r="AD653" i="24"/>
  <c r="S383" i="24"/>
  <c r="Z383" i="24" s="1"/>
  <c r="S124" i="24"/>
  <c r="AA124" i="24" s="1"/>
  <c r="S369" i="24"/>
  <c r="AB369" i="24" s="1"/>
  <c r="S388" i="24"/>
  <c r="R101" i="24"/>
  <c r="S484" i="24"/>
  <c r="AD542" i="24"/>
  <c r="AE542" i="24" s="1"/>
  <c r="AD538" i="24"/>
  <c r="AE538" i="24" s="1"/>
  <c r="K186" i="24"/>
  <c r="K187" i="24" s="1"/>
  <c r="S250" i="24"/>
  <c r="P56" i="24"/>
  <c r="S156" i="24"/>
  <c r="AA156" i="24" s="1"/>
  <c r="P331" i="24"/>
  <c r="AD650" i="24"/>
  <c r="J314" i="24"/>
  <c r="S287" i="24"/>
  <c r="AA287" i="24" s="1"/>
  <c r="S149" i="24"/>
  <c r="AC149" i="24" s="1"/>
  <c r="S151" i="24"/>
  <c r="N339" i="24"/>
  <c r="N313" i="24"/>
  <c r="S579" i="24"/>
  <c r="Y579" i="24" s="1"/>
  <c r="S215" i="24"/>
  <c r="S390" i="24"/>
  <c r="Z390" i="24" s="1"/>
  <c r="AD550" i="24"/>
  <c r="AE550" i="24" s="1"/>
  <c r="S420" i="24"/>
  <c r="S358" i="24"/>
  <c r="AC358" i="24" s="1"/>
  <c r="P396" i="24"/>
  <c r="P410" i="24" s="1"/>
  <c r="S385" i="24"/>
  <c r="Y385" i="24" s="1"/>
  <c r="S598" i="24"/>
  <c r="Z598" i="24" s="1"/>
  <c r="S364" i="24"/>
  <c r="Y364" i="24" s="1"/>
  <c r="S256" i="24"/>
  <c r="AC256" i="24" s="1"/>
  <c r="S259" i="24"/>
  <c r="P117" i="24"/>
  <c r="P126" i="24"/>
  <c r="R134" i="24"/>
  <c r="S141" i="24"/>
  <c r="S61" i="24"/>
  <c r="R41" i="24"/>
  <c r="AA642" i="24"/>
  <c r="O282" i="24"/>
  <c r="AB640" i="24"/>
  <c r="AC622" i="24"/>
  <c r="S452" i="24"/>
  <c r="AB452" i="24" s="1"/>
  <c r="AD462" i="24"/>
  <c r="AE462" i="24" s="1"/>
  <c r="AB238" i="24"/>
  <c r="S576" i="24"/>
  <c r="AB576" i="24" s="1"/>
  <c r="AB653" i="24"/>
  <c r="R274" i="24"/>
  <c r="AD412" i="24"/>
  <c r="N396" i="24"/>
  <c r="Q421" i="24"/>
  <c r="S366" i="24"/>
  <c r="R68" i="24"/>
  <c r="AD88" i="24"/>
  <c r="AE88" i="24" s="1"/>
  <c r="S363" i="24"/>
  <c r="Y363" i="24" s="1"/>
  <c r="S104" i="24"/>
  <c r="Y104" i="24" s="1"/>
  <c r="S20" i="24"/>
  <c r="S76" i="24"/>
  <c r="Y76" i="24" s="1"/>
  <c r="O80" i="24"/>
  <c r="Q80" i="24"/>
  <c r="S58" i="24"/>
  <c r="Y58" i="24" s="1"/>
  <c r="O339" i="24"/>
  <c r="R279" i="24"/>
  <c r="N428" i="24"/>
  <c r="S155" i="24"/>
  <c r="S86" i="24"/>
  <c r="Z86" i="24" s="1"/>
  <c r="S107" i="24"/>
  <c r="AC107" i="24" s="1"/>
  <c r="Q235" i="24"/>
  <c r="Q339" i="24"/>
  <c r="S351" i="24"/>
  <c r="AD622" i="24"/>
  <c r="S357" i="24"/>
  <c r="S398" i="24"/>
  <c r="S70" i="24"/>
  <c r="AA70" i="24" s="1"/>
  <c r="S284" i="24"/>
  <c r="AB284" i="24" s="1"/>
  <c r="N41" i="24"/>
  <c r="AD270" i="24"/>
  <c r="AE270" i="24" s="1"/>
  <c r="Q282" i="24"/>
  <c r="S21" i="24"/>
  <c r="S567" i="24"/>
  <c r="AA567" i="24" s="1"/>
  <c r="S254" i="24"/>
  <c r="AB254" i="24" s="1"/>
  <c r="S172" i="24"/>
  <c r="AD416" i="24"/>
  <c r="AE416" i="24" s="1"/>
  <c r="S360" i="24"/>
  <c r="M186" i="24"/>
  <c r="M187" i="24" s="1"/>
  <c r="S67" i="24"/>
  <c r="M314" i="24"/>
  <c r="S590" i="24"/>
  <c r="Y590" i="24" s="1"/>
  <c r="AD528" i="24"/>
  <c r="AE528" i="24" s="1"/>
  <c r="S362" i="24"/>
  <c r="Z362" i="24" s="1"/>
  <c r="AC658" i="24"/>
  <c r="R74" i="24"/>
  <c r="AD96" i="24"/>
  <c r="AE96" i="24" s="1"/>
  <c r="P68" i="24"/>
  <c r="AD317" i="24"/>
  <c r="AE317" i="24" s="1"/>
  <c r="S577" i="24"/>
  <c r="Z645" i="24"/>
  <c r="AB641" i="24"/>
  <c r="P279" i="24"/>
  <c r="AD433" i="24"/>
  <c r="AE433" i="24" s="1"/>
  <c r="AD595" i="24"/>
  <c r="AE595" i="24" s="1"/>
  <c r="AD539" i="24"/>
  <c r="AE539" i="24" s="1"/>
  <c r="AD531" i="24"/>
  <c r="AE531" i="24" s="1"/>
  <c r="AB632" i="24"/>
  <c r="AA639" i="24"/>
  <c r="S19" i="24"/>
  <c r="Z19" i="24" s="1"/>
  <c r="AA640" i="24"/>
  <c r="AB639" i="24"/>
  <c r="P526" i="24"/>
  <c r="O526" i="24"/>
  <c r="AC641" i="24"/>
  <c r="R373" i="24"/>
  <c r="O513" i="24"/>
  <c r="R396" i="24"/>
  <c r="P515" i="24"/>
  <c r="R515" i="24"/>
  <c r="O515" i="24"/>
  <c r="Q515" i="24"/>
  <c r="O532" i="24"/>
  <c r="R532" i="24"/>
  <c r="P532" i="24"/>
  <c r="O512" i="24"/>
  <c r="P525" i="24"/>
  <c r="AC642" i="24"/>
  <c r="P517" i="24"/>
  <c r="Q521" i="24"/>
  <c r="P521" i="24"/>
  <c r="P534" i="24"/>
  <c r="Q534" i="24"/>
  <c r="AD519" i="24"/>
  <c r="AE519" i="24" s="1"/>
  <c r="Q517" i="24"/>
  <c r="R546" i="24"/>
  <c r="P546" i="24"/>
  <c r="Q546" i="24"/>
  <c r="AC650" i="24"/>
  <c r="N547" i="24"/>
  <c r="S570" i="24"/>
  <c r="S588" i="24"/>
  <c r="AA588" i="24" s="1"/>
  <c r="S552" i="24"/>
  <c r="Z552" i="24" s="1"/>
  <c r="P185" i="24"/>
  <c r="S184" i="24"/>
  <c r="O74" i="24"/>
  <c r="S71" i="24"/>
  <c r="AD419" i="24"/>
  <c r="N56" i="24"/>
  <c r="N186" i="24"/>
  <c r="N373" i="24"/>
  <c r="N235" i="24"/>
  <c r="AD417" i="24"/>
  <c r="AE417" i="24" s="1"/>
  <c r="S367" i="24"/>
  <c r="L485" i="24"/>
  <c r="R516" i="24"/>
  <c r="R508" i="24"/>
  <c r="S122" i="24"/>
  <c r="Z122" i="24" s="1"/>
  <c r="S288" i="24"/>
  <c r="Z288" i="24" s="1"/>
  <c r="O294" i="24"/>
  <c r="R294" i="24"/>
  <c r="S292" i="24"/>
  <c r="R80" i="24"/>
  <c r="AD422" i="24"/>
  <c r="S165" i="24"/>
  <c r="N421" i="24"/>
  <c r="S423" i="24"/>
  <c r="AA653" i="24"/>
  <c r="S60" i="24"/>
  <c r="S350" i="24"/>
  <c r="Q117" i="24"/>
  <c r="O126" i="24"/>
  <c r="S125" i="24"/>
  <c r="R126" i="24"/>
  <c r="S138" i="24"/>
  <c r="Z138" i="24" s="1"/>
  <c r="S386" i="24"/>
  <c r="S252" i="24"/>
  <c r="P274" i="24"/>
  <c r="S108" i="24"/>
  <c r="Q126" i="24"/>
  <c r="P90" i="24"/>
  <c r="O235" i="24"/>
  <c r="S281" i="24"/>
  <c r="AB642" i="24"/>
  <c r="P282" i="24"/>
  <c r="R235" i="24"/>
  <c r="S380" i="24"/>
  <c r="Q396" i="24"/>
  <c r="Q410" i="24" s="1"/>
  <c r="AC629" i="24"/>
  <c r="H25" i="47"/>
  <c r="P235" i="24"/>
  <c r="Z209" i="24"/>
  <c r="O559" i="24"/>
  <c r="P559" i="24"/>
  <c r="Q559" i="24"/>
  <c r="R559" i="24"/>
  <c r="AC639" i="24"/>
  <c r="AD632" i="24"/>
  <c r="R530" i="24"/>
  <c r="Q530" i="24"/>
  <c r="Q22" i="14"/>
  <c r="R22" i="14"/>
  <c r="S30" i="14"/>
  <c r="O520" i="24"/>
  <c r="R520" i="24"/>
  <c r="S100" i="24"/>
  <c r="P101" i="24"/>
  <c r="O545" i="24"/>
  <c r="Q545" i="24"/>
  <c r="AC633" i="24"/>
  <c r="R421" i="24"/>
  <c r="AD633" i="24"/>
  <c r="AA633" i="24"/>
  <c r="P437" i="24"/>
  <c r="Q437" i="24"/>
  <c r="S253" i="24"/>
  <c r="S255" i="24"/>
  <c r="P24" i="14"/>
  <c r="O24" i="14"/>
  <c r="R24" i="14"/>
  <c r="R28" i="14"/>
  <c r="O28" i="14"/>
  <c r="AB629" i="24"/>
  <c r="S105" i="24"/>
  <c r="R529" i="24"/>
  <c r="AC649" i="24"/>
  <c r="P475" i="24"/>
  <c r="R475" i="24"/>
  <c r="Q475" i="24"/>
  <c r="AD544" i="24"/>
  <c r="AE544" i="24" s="1"/>
  <c r="AB633" i="24"/>
  <c r="Q428" i="24"/>
  <c r="Q429" i="24" s="1"/>
  <c r="Q430" i="24" s="1"/>
  <c r="N285" i="24"/>
  <c r="N294" i="24" s="1"/>
  <c r="S376" i="24"/>
  <c r="O529" i="24"/>
  <c r="S25" i="14"/>
  <c r="S27" i="14"/>
  <c r="N414" i="24"/>
  <c r="N438" i="24"/>
  <c r="AD558" i="24"/>
  <c r="AE558" i="24" s="1"/>
  <c r="AD640" i="24"/>
  <c r="AD565" i="24"/>
  <c r="AE565" i="24" s="1"/>
  <c r="AD557" i="24"/>
  <c r="AE557" i="24" s="1"/>
  <c r="AD561" i="24"/>
  <c r="AE561" i="24" s="1"/>
  <c r="R585" i="24"/>
  <c r="O585" i="24"/>
  <c r="P12" i="24"/>
  <c r="S589" i="24"/>
  <c r="AD426" i="24"/>
  <c r="S575" i="24"/>
  <c r="N31" i="24"/>
  <c r="S25" i="24"/>
  <c r="AB649" i="24"/>
  <c r="Z648" i="24"/>
  <c r="Z636" i="24"/>
  <c r="Q12" i="24"/>
  <c r="N12" i="24"/>
  <c r="Z651" i="24"/>
  <c r="Z655" i="24"/>
  <c r="AD344" i="24"/>
  <c r="AE344" i="24" s="1"/>
  <c r="Q274" i="24"/>
  <c r="S251" i="24"/>
  <c r="S14" i="14"/>
  <c r="AC653" i="24"/>
  <c r="S553" i="24"/>
  <c r="R554" i="24"/>
  <c r="Q522" i="24"/>
  <c r="R522" i="24"/>
  <c r="P522" i="24"/>
  <c r="AD524" i="24"/>
  <c r="AE524" i="24" s="1"/>
  <c r="Q32" i="14"/>
  <c r="R541" i="24"/>
  <c r="S26" i="14"/>
  <c r="Q543" i="24"/>
  <c r="O543" i="24"/>
  <c r="S586" i="24"/>
  <c r="AD439" i="24"/>
  <c r="AE439" i="24" s="1"/>
  <c r="Q17" i="14"/>
  <c r="R33" i="14"/>
  <c r="Q33" i="14"/>
  <c r="O535" i="24"/>
  <c r="Q535" i="24"/>
  <c r="R535" i="24"/>
  <c r="AD356" i="24"/>
  <c r="AE356" i="24" s="1"/>
  <c r="P535" i="24"/>
  <c r="O522" i="24"/>
  <c r="O16" i="14"/>
  <c r="P16" i="14"/>
  <c r="P17" i="14" s="1"/>
  <c r="R16" i="14"/>
  <c r="R17" i="14" s="1"/>
  <c r="R517" i="24"/>
  <c r="P21" i="14"/>
  <c r="R31" i="14"/>
  <c r="Z652" i="24"/>
  <c r="Z654" i="24"/>
  <c r="R410" i="24" l="1"/>
  <c r="AC623" i="24"/>
  <c r="P429" i="24"/>
  <c r="P430" i="24" s="1"/>
  <c r="S20" i="14"/>
  <c r="AD623" i="24"/>
  <c r="AA623" i="24"/>
  <c r="AB624" i="24"/>
  <c r="AB296" i="24"/>
  <c r="S313" i="24"/>
  <c r="R429" i="24"/>
  <c r="R430" i="24" s="1"/>
  <c r="S286" i="24"/>
  <c r="Y286" i="24" s="1"/>
  <c r="S75" i="24"/>
  <c r="AB75" i="24" s="1"/>
  <c r="S81" i="24"/>
  <c r="AC624" i="24"/>
  <c r="AB622" i="24"/>
  <c r="S57" i="24"/>
  <c r="S90" i="24"/>
  <c r="AA75" i="24"/>
  <c r="Z646" i="24"/>
  <c r="X643" i="24" s="1"/>
  <c r="S635" i="24" s="1"/>
  <c r="Z616" i="24"/>
  <c r="AC286" i="24"/>
  <c r="AB286" i="24"/>
  <c r="AA286" i="24"/>
  <c r="S280" i="24"/>
  <c r="S283" i="24"/>
  <c r="O410" i="24"/>
  <c r="S410" i="24" s="1"/>
  <c r="P354" i="24"/>
  <c r="Q354" i="24"/>
  <c r="R354" i="24"/>
  <c r="O354" i="24"/>
  <c r="R158" i="24"/>
  <c r="P158" i="24"/>
  <c r="O158" i="24"/>
  <c r="Q158" i="24"/>
  <c r="O186" i="24"/>
  <c r="O187" i="24" s="1"/>
  <c r="S396" i="24"/>
  <c r="N187" i="24"/>
  <c r="Q22" i="24"/>
  <c r="Q32" i="24" s="1"/>
  <c r="P22" i="24"/>
  <c r="P32" i="24" s="1"/>
  <c r="R22" i="24"/>
  <c r="R32" i="24" s="1"/>
  <c r="S340" i="24"/>
  <c r="AB97" i="24"/>
  <c r="S101" i="24"/>
  <c r="O94" i="24"/>
  <c r="AA637" i="24"/>
  <c r="O22" i="24"/>
  <c r="O32" i="24" s="1"/>
  <c r="S249" i="24"/>
  <c r="AA249" i="24" s="1"/>
  <c r="S248" i="24"/>
  <c r="AA24" i="24"/>
  <c r="S31" i="24"/>
  <c r="S332" i="24"/>
  <c r="AA332" i="24" s="1"/>
  <c r="AB103" i="24"/>
  <c r="S117" i="24"/>
  <c r="O275" i="24"/>
  <c r="S236" i="24"/>
  <c r="AA398" i="24"/>
  <c r="S402" i="24"/>
  <c r="AA402" i="24" s="1"/>
  <c r="Y82" i="24"/>
  <c r="S127" i="24"/>
  <c r="Y357" i="24"/>
  <c r="S373" i="24"/>
  <c r="AB333" i="24"/>
  <c r="S339" i="24"/>
  <c r="AA339" i="24" s="1"/>
  <c r="S102" i="24"/>
  <c r="Z250" i="24"/>
  <c r="S274" i="24"/>
  <c r="Z136" i="24"/>
  <c r="S147" i="24"/>
  <c r="S397" i="24"/>
  <c r="Z119" i="24"/>
  <c r="S126" i="24"/>
  <c r="S374" i="24"/>
  <c r="S118" i="24"/>
  <c r="Z190" i="24"/>
  <c r="S235" i="24"/>
  <c r="Z318" i="24"/>
  <c r="S331" i="24"/>
  <c r="AA331" i="24" s="1"/>
  <c r="S295" i="24"/>
  <c r="AB128" i="24"/>
  <c r="S134" i="24"/>
  <c r="S135" i="24"/>
  <c r="Z20" i="24"/>
  <c r="N158" i="24"/>
  <c r="Q94" i="24"/>
  <c r="R94" i="24"/>
  <c r="N354" i="24"/>
  <c r="N429" i="24"/>
  <c r="J430" i="24"/>
  <c r="N430" i="24" s="1"/>
  <c r="Y392" i="24"/>
  <c r="Z413" i="24"/>
  <c r="Z394" i="24"/>
  <c r="AB193" i="24"/>
  <c r="N94" i="24"/>
  <c r="AB263" i="24"/>
  <c r="Y451" i="24"/>
  <c r="S457" i="24"/>
  <c r="AC457" i="24" s="1"/>
  <c r="Y378" i="24"/>
  <c r="AA378" i="24"/>
  <c r="AC638" i="24"/>
  <c r="Z79" i="24"/>
  <c r="S450" i="24"/>
  <c r="Z450" i="24" s="1"/>
  <c r="AB378" i="24"/>
  <c r="AC79" i="24"/>
  <c r="Y328" i="24"/>
  <c r="Z228" i="24"/>
  <c r="AB453" i="24"/>
  <c r="S467" i="24"/>
  <c r="AB467" i="24" s="1"/>
  <c r="S488" i="24"/>
  <c r="AA488" i="24" s="1"/>
  <c r="S580" i="24"/>
  <c r="AA580" i="24" s="1"/>
  <c r="AC192" i="24"/>
  <c r="Y308" i="24"/>
  <c r="AC644" i="24"/>
  <c r="Z289" i="24"/>
  <c r="AA328" i="24"/>
  <c r="AB328" i="24"/>
  <c r="AB348" i="24"/>
  <c r="Y263" i="24"/>
  <c r="AC392" i="24"/>
  <c r="Z328" i="24"/>
  <c r="Z551" i="24"/>
  <c r="Y453" i="24"/>
  <c r="AB399" i="24"/>
  <c r="S512" i="24"/>
  <c r="Z512" i="24" s="1"/>
  <c r="Y551" i="24"/>
  <c r="AC87" i="24"/>
  <c r="Y87" i="24"/>
  <c r="AC136" i="24"/>
  <c r="AA501" i="24"/>
  <c r="AC162" i="24"/>
  <c r="AA644" i="24"/>
  <c r="S441" i="24"/>
  <c r="AC441" i="24" s="1"/>
  <c r="AC378" i="24"/>
  <c r="AA263" i="24"/>
  <c r="AB401" i="24"/>
  <c r="AA401" i="24"/>
  <c r="AA87" i="24"/>
  <c r="S62" i="24"/>
  <c r="AE62" i="24" s="1"/>
  <c r="S584" i="24"/>
  <c r="AA584" i="24" s="1"/>
  <c r="Y377" i="24"/>
  <c r="S469" i="24"/>
  <c r="Z469" i="24" s="1"/>
  <c r="S569" i="24"/>
  <c r="AB569" i="24" s="1"/>
  <c r="AB64" i="24"/>
  <c r="S68" i="24"/>
  <c r="AE68" i="24" s="1"/>
  <c r="AC415" i="24"/>
  <c r="S443" i="24"/>
  <c r="AO437" i="24" s="1"/>
  <c r="Z348" i="24"/>
  <c r="Z392" i="24"/>
  <c r="AA326" i="24"/>
  <c r="Z338" i="24"/>
  <c r="AB290" i="24"/>
  <c r="Y338" i="24"/>
  <c r="AC139" i="24"/>
  <c r="AB392" i="24"/>
  <c r="AC338" i="24"/>
  <c r="Z323" i="24"/>
  <c r="AB113" i="24"/>
  <c r="AC300" i="24"/>
  <c r="AC114" i="24"/>
  <c r="AA170" i="24"/>
  <c r="AB300" i="24"/>
  <c r="AC263" i="24"/>
  <c r="AB621" i="24"/>
  <c r="S587" i="24"/>
  <c r="Z587" i="24" s="1"/>
  <c r="AB451" i="24"/>
  <c r="Y347" i="24"/>
  <c r="AB73" i="24"/>
  <c r="Z451" i="24"/>
  <c r="AA300" i="24"/>
  <c r="Z113" i="24"/>
  <c r="Y574" i="24"/>
  <c r="Z493" i="24"/>
  <c r="S442" i="24"/>
  <c r="Z442" i="24" s="1"/>
  <c r="AC347" i="24"/>
  <c r="AC73" i="24"/>
  <c r="Z298" i="24"/>
  <c r="AA308" i="24"/>
  <c r="AC401" i="24"/>
  <c r="Z300" i="24"/>
  <c r="AC113" i="24"/>
  <c r="AA113" i="24"/>
  <c r="S465" i="24"/>
  <c r="Z465" i="24" s="1"/>
  <c r="S18" i="24"/>
  <c r="AC18" i="24" s="1"/>
  <c r="AC228" i="24"/>
  <c r="AC333" i="24"/>
  <c r="AA79" i="24"/>
  <c r="Z231" i="24"/>
  <c r="Y320" i="24"/>
  <c r="AB79" i="24"/>
  <c r="AB228" i="24"/>
  <c r="AC635" i="24"/>
  <c r="Z573" i="24"/>
  <c r="AC72" i="24"/>
  <c r="AA59" i="24"/>
  <c r="Q504" i="24"/>
  <c r="Q505" i="24" s="1"/>
  <c r="AB573" i="24"/>
  <c r="S502" i="24"/>
  <c r="AC502" i="24" s="1"/>
  <c r="AA271" i="24"/>
  <c r="Y228" i="24"/>
  <c r="Z453" i="24"/>
  <c r="Y494" i="24"/>
  <c r="Q459" i="24"/>
  <c r="S481" i="24"/>
  <c r="AB481" i="24" s="1"/>
  <c r="S468" i="24"/>
  <c r="Y468" i="24" s="1"/>
  <c r="S464" i="24"/>
  <c r="AA464" i="24" s="1"/>
  <c r="AB278" i="24"/>
  <c r="Z65" i="24"/>
  <c r="AD638" i="24"/>
  <c r="AD657" i="24"/>
  <c r="S448" i="24"/>
  <c r="Y448" i="24" s="1"/>
  <c r="AC619" i="24"/>
  <c r="S582" i="24"/>
  <c r="Y582" i="24" s="1"/>
  <c r="Z349" i="24"/>
  <c r="AC320" i="24"/>
  <c r="AA413" i="24"/>
  <c r="O505" i="24"/>
  <c r="S591" i="24"/>
  <c r="Z591" i="24" s="1"/>
  <c r="AC59" i="24"/>
  <c r="AA229" i="24"/>
  <c r="AB427" i="24"/>
  <c r="Z59" i="24"/>
  <c r="Z337" i="24"/>
  <c r="AC146" i="24"/>
  <c r="AB297" i="24"/>
  <c r="AD656" i="24"/>
  <c r="AB477" i="24"/>
  <c r="AD620" i="24"/>
  <c r="AC296" i="24"/>
  <c r="AC323" i="24"/>
  <c r="Y571" i="24"/>
  <c r="S581" i="24"/>
  <c r="AB581" i="24" s="1"/>
  <c r="S435" i="24"/>
  <c r="AC435" i="24" s="1"/>
  <c r="S17" i="24"/>
  <c r="Z17" i="24" s="1"/>
  <c r="AB619" i="24"/>
  <c r="S479" i="24"/>
  <c r="Z479" i="24" s="1"/>
  <c r="AA638" i="24"/>
  <c r="Y297" i="24"/>
  <c r="AA82" i="24"/>
  <c r="AB323" i="24"/>
  <c r="Z87" i="24"/>
  <c r="AB136" i="24"/>
  <c r="AA647" i="24"/>
  <c r="Z647" i="24" s="1"/>
  <c r="Z335" i="24"/>
  <c r="Y337" i="24"/>
  <c r="AA298" i="24"/>
  <c r="Y323" i="24"/>
  <c r="AD621" i="24"/>
  <c r="Y349" i="24"/>
  <c r="Y458" i="24"/>
  <c r="AB227" i="24"/>
  <c r="AB352" i="24"/>
  <c r="AA347" i="24"/>
  <c r="Y136" i="24"/>
  <c r="Y503" i="24"/>
  <c r="AA370" i="24"/>
  <c r="AC451" i="24"/>
  <c r="AA349" i="24"/>
  <c r="AC348" i="24"/>
  <c r="AA136" i="24"/>
  <c r="Z120" i="24"/>
  <c r="AB347" i="24"/>
  <c r="R459" i="24"/>
  <c r="R460" i="24" s="1"/>
  <c r="AB59" i="24"/>
  <c r="AA624" i="24"/>
  <c r="AC308" i="24"/>
  <c r="S525" i="24"/>
  <c r="AA525" i="24" s="1"/>
  <c r="AA372" i="24"/>
  <c r="AA574" i="24"/>
  <c r="AC349" i="24"/>
  <c r="Y348" i="24"/>
  <c r="Z260" i="24"/>
  <c r="S93" i="24"/>
  <c r="AB413" i="24"/>
  <c r="S476" i="24"/>
  <c r="Y476" i="24" s="1"/>
  <c r="AB298" i="24"/>
  <c r="AC82" i="24"/>
  <c r="Y119" i="24"/>
  <c r="AB337" i="24"/>
  <c r="AC337" i="24"/>
  <c r="Y298" i="24"/>
  <c r="Z574" i="24"/>
  <c r="AC574" i="24"/>
  <c r="Z308" i="24"/>
  <c r="AC551" i="24"/>
  <c r="AA352" i="24"/>
  <c r="AC92" i="24"/>
  <c r="AC453" i="24"/>
  <c r="S568" i="24"/>
  <c r="Z568" i="24" s="1"/>
  <c r="AC322" i="24"/>
  <c r="O459" i="24"/>
  <c r="O34" i="14"/>
  <c r="AB78" i="24"/>
  <c r="AD624" i="24"/>
  <c r="Y322" i="24"/>
  <c r="AB153" i="24"/>
  <c r="S444" i="24"/>
  <c r="AC444" i="24" s="1"/>
  <c r="P41" i="24"/>
  <c r="P94" i="24" s="1"/>
  <c r="AC382" i="24"/>
  <c r="AC371" i="24"/>
  <c r="AA293" i="24"/>
  <c r="AA78" i="24"/>
  <c r="AB322" i="24"/>
  <c r="Z153" i="24"/>
  <c r="AC229" i="24"/>
  <c r="AC230" i="24"/>
  <c r="Z382" i="24"/>
  <c r="AB637" i="24"/>
  <c r="Z495" i="24"/>
  <c r="AC164" i="24"/>
  <c r="Z293" i="24"/>
  <c r="AB379" i="24"/>
  <c r="AA322" i="24"/>
  <c r="Z229" i="24"/>
  <c r="Z352" i="24"/>
  <c r="AA163" i="24"/>
  <c r="Y290" i="24"/>
  <c r="AB305" i="24"/>
  <c r="Y352" i="24"/>
  <c r="Z571" i="24"/>
  <c r="AA216" i="24"/>
  <c r="AB358" i="24"/>
  <c r="AB371" i="24"/>
  <c r="AA231" i="24"/>
  <c r="Z297" i="24"/>
  <c r="S23" i="14"/>
  <c r="S16" i="24"/>
  <c r="Y16" i="24" s="1"/>
  <c r="Y78" i="24"/>
  <c r="S436" i="24"/>
  <c r="AB436" i="24" s="1"/>
  <c r="Y229" i="24"/>
  <c r="AC163" i="24"/>
  <c r="Z371" i="24"/>
  <c r="Y163" i="24"/>
  <c r="AB306" i="24"/>
  <c r="AA220" i="24"/>
  <c r="AB163" i="24"/>
  <c r="AA371" i="24"/>
  <c r="AA152" i="24"/>
  <c r="AC621" i="24"/>
  <c r="Z78" i="24"/>
  <c r="AB571" i="24"/>
  <c r="AC297" i="24"/>
  <c r="Z116" i="24"/>
  <c r="Y97" i="24"/>
  <c r="AC97" i="24"/>
  <c r="Z97" i="24"/>
  <c r="AA97" i="24"/>
  <c r="S13" i="24"/>
  <c r="AB394" i="24"/>
  <c r="AA73" i="24"/>
  <c r="AB638" i="24"/>
  <c r="Z494" i="24"/>
  <c r="R504" i="24"/>
  <c r="R505" i="24" s="1"/>
  <c r="S583" i="24"/>
  <c r="Y583" i="24" s="1"/>
  <c r="S562" i="24"/>
  <c r="AB562" i="24" s="1"/>
  <c r="AC293" i="24"/>
  <c r="Z199" i="24"/>
  <c r="AA306" i="24"/>
  <c r="Y273" i="24"/>
  <c r="AA273" i="24"/>
  <c r="AA494" i="24"/>
  <c r="Z227" i="24"/>
  <c r="AA656" i="24"/>
  <c r="Y261" i="24"/>
  <c r="S513" i="24"/>
  <c r="AB513" i="24" s="1"/>
  <c r="Y306" i="24"/>
  <c r="AB273" i="24"/>
  <c r="AC306" i="24"/>
  <c r="AC273" i="24"/>
  <c r="AC115" i="24"/>
  <c r="AC493" i="24"/>
  <c r="P459" i="24"/>
  <c r="P599" i="24"/>
  <c r="O438" i="24"/>
  <c r="AB324" i="24"/>
  <c r="AA214" i="24"/>
  <c r="Y493" i="24"/>
  <c r="AB493" i="24"/>
  <c r="Q471" i="24"/>
  <c r="S474" i="24"/>
  <c r="AC474" i="24" s="1"/>
  <c r="S597" i="24"/>
  <c r="Y597" i="24" s="1"/>
  <c r="S564" i="24"/>
  <c r="AB564" i="24" s="1"/>
  <c r="AB27" i="24"/>
  <c r="AC494" i="24"/>
  <c r="S594" i="24"/>
  <c r="AC594" i="24" s="1"/>
  <c r="O485" i="24"/>
  <c r="R471" i="24"/>
  <c r="P471" i="24"/>
  <c r="S466" i="24"/>
  <c r="AB466" i="24" s="1"/>
  <c r="S15" i="24"/>
  <c r="AA15" i="24" s="1"/>
  <c r="Z372" i="24"/>
  <c r="S563" i="24"/>
  <c r="Z563" i="24" s="1"/>
  <c r="AB630" i="24"/>
  <c r="Z164" i="24"/>
  <c r="AB133" i="24"/>
  <c r="S440" i="24"/>
  <c r="AC440" i="24" s="1"/>
  <c r="Y192" i="24"/>
  <c r="Y227" i="24"/>
  <c r="AA657" i="24"/>
  <c r="AA621" i="24"/>
  <c r="AB657" i="24"/>
  <c r="Y495" i="24"/>
  <c r="Z415" i="24"/>
  <c r="AA85" i="24"/>
  <c r="Q599" i="24"/>
  <c r="P438" i="24"/>
  <c r="AC657" i="24"/>
  <c r="AC334" i="24"/>
  <c r="AB199" i="24"/>
  <c r="AA192" i="24"/>
  <c r="AA227" i="24"/>
  <c r="S473" i="24"/>
  <c r="AB473" i="24" s="1"/>
  <c r="Y333" i="24"/>
  <c r="AC495" i="24"/>
  <c r="AB635" i="24"/>
  <c r="Y324" i="24"/>
  <c r="Y289" i="24"/>
  <c r="Z333" i="24"/>
  <c r="AB192" i="24"/>
  <c r="Z320" i="24"/>
  <c r="Y85" i="24"/>
  <c r="AC368" i="24"/>
  <c r="AA320" i="24"/>
  <c r="AB368" i="24"/>
  <c r="AA495" i="24"/>
  <c r="AB112" i="24"/>
  <c r="AC199" i="24"/>
  <c r="AB289" i="24"/>
  <c r="AC324" i="24"/>
  <c r="AA289" i="24"/>
  <c r="AA333" i="24"/>
  <c r="Z324" i="24"/>
  <c r="Y415" i="24"/>
  <c r="Y368" i="24"/>
  <c r="AA415" i="24"/>
  <c r="AA630" i="24"/>
  <c r="AC398" i="24"/>
  <c r="AC413" i="24"/>
  <c r="AB338" i="24"/>
  <c r="Y223" i="24"/>
  <c r="AA154" i="24"/>
  <c r="AA27" i="24"/>
  <c r="AA620" i="24"/>
  <c r="AC143" i="24"/>
  <c r="AA622" i="24"/>
  <c r="AC123" i="24"/>
  <c r="Z144" i="24"/>
  <c r="AA144" i="24"/>
  <c r="Y123" i="24"/>
  <c r="Z132" i="24"/>
  <c r="AA145" i="24"/>
  <c r="AC224" i="24"/>
  <c r="AA219" i="24"/>
  <c r="AD629" i="24"/>
  <c r="Z629" i="24" s="1"/>
  <c r="X629" i="24" s="1"/>
  <c r="S632" i="24" s="1"/>
  <c r="AC132" i="24"/>
  <c r="Y132" i="24"/>
  <c r="AB132" i="24"/>
  <c r="Z219" i="24"/>
  <c r="AA123" i="24"/>
  <c r="AB145" i="24"/>
  <c r="Y143" i="24"/>
  <c r="AB143" i="24"/>
  <c r="Z198" i="24"/>
  <c r="Z145" i="24"/>
  <c r="Y219" i="24"/>
  <c r="AB123" i="24"/>
  <c r="AA143" i="24"/>
  <c r="AB219" i="24"/>
  <c r="AB82" i="24"/>
  <c r="Z82" i="24"/>
  <c r="Z85" i="24"/>
  <c r="AC85" i="24"/>
  <c r="S478" i="24"/>
  <c r="AB478" i="24" s="1"/>
  <c r="Y254" i="24"/>
  <c r="AC576" i="24"/>
  <c r="AB359" i="24"/>
  <c r="AC145" i="24"/>
  <c r="Y379" i="24"/>
  <c r="Z398" i="24"/>
  <c r="Y130" i="24"/>
  <c r="AA199" i="24"/>
  <c r="AC64" i="24"/>
  <c r="AB398" i="24"/>
  <c r="Y398" i="24"/>
  <c r="Z477" i="24"/>
  <c r="AC477" i="24"/>
  <c r="AB225" i="24"/>
  <c r="Y92" i="24"/>
  <c r="AB267" i="24"/>
  <c r="AA571" i="24"/>
  <c r="Y154" i="24"/>
  <c r="Y413" i="24"/>
  <c r="Y214" i="24"/>
  <c r="Z140" i="24"/>
  <c r="Y140" i="24"/>
  <c r="AA346" i="24"/>
  <c r="AC346" i="24"/>
  <c r="Y346" i="24"/>
  <c r="AB272" i="24"/>
  <c r="Z27" i="24"/>
  <c r="AB346" i="24"/>
  <c r="AB590" i="24"/>
  <c r="AB293" i="24"/>
  <c r="AC154" i="24"/>
  <c r="Z368" i="24"/>
  <c r="AB154" i="24"/>
  <c r="AB415" i="24"/>
  <c r="AC27" i="24"/>
  <c r="S566" i="24"/>
  <c r="AB566" i="24" s="1"/>
  <c r="S549" i="24"/>
  <c r="Y291" i="24"/>
  <c r="AC427" i="24"/>
  <c r="Q186" i="24"/>
  <c r="Q187" i="24" s="1"/>
  <c r="AA394" i="24"/>
  <c r="Y271" i="24"/>
  <c r="AA140" i="24"/>
  <c r="AB326" i="24"/>
  <c r="AA382" i="24"/>
  <c r="AC394" i="24"/>
  <c r="S537" i="24"/>
  <c r="Z537" i="24" s="1"/>
  <c r="S596" i="24"/>
  <c r="AC596" i="24" s="1"/>
  <c r="AC326" i="24"/>
  <c r="Z271" i="24"/>
  <c r="AB382" i="24"/>
  <c r="Z89" i="24"/>
  <c r="AB501" i="24"/>
  <c r="AB271" i="24"/>
  <c r="Z110" i="24"/>
  <c r="Y208" i="24"/>
  <c r="Y197" i="24"/>
  <c r="Z133" i="24"/>
  <c r="AA129" i="24"/>
  <c r="AA112" i="24"/>
  <c r="AC305" i="24"/>
  <c r="Z112" i="24"/>
  <c r="AA110" i="24"/>
  <c r="AA208" i="24"/>
  <c r="Y305" i="24"/>
  <c r="AA305" i="24"/>
  <c r="AC110" i="24"/>
  <c r="AC133" i="24"/>
  <c r="Z208" i="24"/>
  <c r="Y110" i="24"/>
  <c r="Y133" i="24"/>
  <c r="Y216" i="24"/>
  <c r="Z216" i="24"/>
  <c r="AA250" i="24"/>
  <c r="Y112" i="24"/>
  <c r="AD619" i="24"/>
  <c r="Z399" i="24"/>
  <c r="AC216" i="24"/>
  <c r="Y372" i="24"/>
  <c r="Y146" i="24"/>
  <c r="AB231" i="24"/>
  <c r="AC231" i="24"/>
  <c r="Z230" i="24"/>
  <c r="Z455" i="24"/>
  <c r="S470" i="24"/>
  <c r="Z470" i="24" s="1"/>
  <c r="AB321" i="24"/>
  <c r="Z427" i="24"/>
  <c r="Y115" i="24"/>
  <c r="AC395" i="24"/>
  <c r="Y114" i="24"/>
  <c r="AA399" i="24"/>
  <c r="AB146" i="24"/>
  <c r="AC341" i="24"/>
  <c r="AA139" i="24"/>
  <c r="Y230" i="24"/>
  <c r="AC393" i="24"/>
  <c r="Y139" i="24"/>
  <c r="Z139" i="24"/>
  <c r="AB325" i="24"/>
  <c r="Z214" i="24"/>
  <c r="AA114" i="24"/>
  <c r="AB114" i="24"/>
  <c r="AB214" i="24"/>
  <c r="Z115" i="24"/>
  <c r="S63" i="24"/>
  <c r="AA63" i="24" s="1"/>
  <c r="AB30" i="24"/>
  <c r="N485" i="24"/>
  <c r="Y399" i="24"/>
  <c r="AC329" i="24"/>
  <c r="AC89" i="24"/>
  <c r="Z146" i="24"/>
  <c r="Z341" i="24"/>
  <c r="Y89" i="24"/>
  <c r="AB84" i="24"/>
  <c r="AC377" i="24"/>
  <c r="AB230" i="24"/>
  <c r="AA427" i="24"/>
  <c r="S500" i="24"/>
  <c r="AA500" i="24" s="1"/>
  <c r="AD500" i="24" s="1"/>
  <c r="AB115" i="24"/>
  <c r="S536" i="24"/>
  <c r="AA536" i="24" s="1"/>
  <c r="Z401" i="24"/>
  <c r="Y401" i="24"/>
  <c r="AB329" i="24"/>
  <c r="AB482" i="24"/>
  <c r="Y152" i="24"/>
  <c r="Z319" i="24"/>
  <c r="AA341" i="24"/>
  <c r="Z84" i="24"/>
  <c r="AB318" i="24"/>
  <c r="AC193" i="24"/>
  <c r="Z290" i="24"/>
  <c r="Y30" i="24"/>
  <c r="AO452" i="24"/>
  <c r="AB365" i="24"/>
  <c r="Y329" i="24"/>
  <c r="P505" i="24"/>
  <c r="AC84" i="24"/>
  <c r="Z152" i="24"/>
  <c r="Z224" i="24"/>
  <c r="AA400" i="24"/>
  <c r="Y359" i="24"/>
  <c r="AC365" i="24"/>
  <c r="Z482" i="24"/>
  <c r="S560" i="24"/>
  <c r="AA560" i="24" s="1"/>
  <c r="AB342" i="24"/>
  <c r="S541" i="24"/>
  <c r="AB541" i="24" s="1"/>
  <c r="Y342" i="24"/>
  <c r="Y220" i="24"/>
  <c r="AB220" i="24"/>
  <c r="S516" i="24"/>
  <c r="Y516" i="24" s="1"/>
  <c r="AA329" i="24"/>
  <c r="AA84" i="24"/>
  <c r="AB77" i="24"/>
  <c r="Y455" i="24"/>
  <c r="AA482" i="24"/>
  <c r="Z395" i="24"/>
  <c r="Y319" i="24"/>
  <c r="Y341" i="24"/>
  <c r="Y318" i="24"/>
  <c r="Z193" i="24"/>
  <c r="AC290" i="24"/>
  <c r="AA30" i="24"/>
  <c r="AC455" i="24"/>
  <c r="Y195" i="24"/>
  <c r="AB152" i="24"/>
  <c r="Y224" i="24"/>
  <c r="Z30" i="24"/>
  <c r="AA365" i="24"/>
  <c r="AB119" i="24"/>
  <c r="AA359" i="24"/>
  <c r="AC482" i="24"/>
  <c r="Z365" i="24"/>
  <c r="O471" i="24"/>
  <c r="Z359" i="24"/>
  <c r="AC567" i="24"/>
  <c r="Z220" i="24"/>
  <c r="Z342" i="24"/>
  <c r="AC77" i="24"/>
  <c r="AB400" i="24"/>
  <c r="AA455" i="24"/>
  <c r="AB395" i="24"/>
  <c r="S343" i="24"/>
  <c r="AC343" i="24" s="1"/>
  <c r="AA342" i="24"/>
  <c r="AC318" i="24"/>
  <c r="Y166" i="24"/>
  <c r="Z377" i="24"/>
  <c r="AC119" i="24"/>
  <c r="AA226" i="24"/>
  <c r="AA116" i="24"/>
  <c r="Y193" i="24"/>
  <c r="AA224" i="24"/>
  <c r="AA377" i="24"/>
  <c r="AA267" i="24"/>
  <c r="AA395" i="24"/>
  <c r="Y326" i="24"/>
  <c r="Z267" i="24"/>
  <c r="AC208" i="24"/>
  <c r="Y477" i="24"/>
  <c r="AA336" i="24"/>
  <c r="AC501" i="24"/>
  <c r="Z576" i="24"/>
  <c r="AB166" i="24"/>
  <c r="Z336" i="24"/>
  <c r="Y174" i="24"/>
  <c r="AC174" i="24"/>
  <c r="AB174" i="24"/>
  <c r="Z174" i="24"/>
  <c r="AA174" i="24"/>
  <c r="Y182" i="24"/>
  <c r="AC182" i="24"/>
  <c r="AA182" i="24"/>
  <c r="AB182" i="24"/>
  <c r="Z182" i="24"/>
  <c r="AC116" i="24"/>
  <c r="Y116" i="24"/>
  <c r="AC267" i="24"/>
  <c r="Y260" i="24"/>
  <c r="AC309" i="24"/>
  <c r="Z307" i="24"/>
  <c r="AC197" i="24"/>
  <c r="AB197" i="24"/>
  <c r="Y198" i="24"/>
  <c r="Z223" i="24"/>
  <c r="AC262" i="24"/>
  <c r="AA310" i="24"/>
  <c r="Y26" i="24"/>
  <c r="AB334" i="24"/>
  <c r="AC257" i="24"/>
  <c r="Y272" i="24"/>
  <c r="Z389" i="24"/>
  <c r="AB551" i="24"/>
  <c r="AB92" i="24"/>
  <c r="Z501" i="24"/>
  <c r="AB149" i="24"/>
  <c r="AA197" i="24"/>
  <c r="AC198" i="24"/>
  <c r="AC384" i="24"/>
  <c r="AB262" i="24"/>
  <c r="Z310" i="24"/>
  <c r="Z72" i="24"/>
  <c r="AA361" i="24"/>
  <c r="AC330" i="24"/>
  <c r="AB198" i="24"/>
  <c r="AB72" i="24"/>
  <c r="AB384" i="24"/>
  <c r="AB162" i="24"/>
  <c r="AA334" i="24"/>
  <c r="AA225" i="24"/>
  <c r="AB260" i="24"/>
  <c r="AA65" i="24"/>
  <c r="AA92" i="24"/>
  <c r="AC260" i="24"/>
  <c r="Y256" i="24"/>
  <c r="Z142" i="24"/>
  <c r="Y150" i="24"/>
  <c r="AC130" i="24"/>
  <c r="Z130" i="24"/>
  <c r="Y142" i="24"/>
  <c r="Y120" i="24"/>
  <c r="AA130" i="24"/>
  <c r="AB107" i="24"/>
  <c r="Y103" i="24"/>
  <c r="Z103" i="24"/>
  <c r="AA167" i="24"/>
  <c r="Z167" i="24"/>
  <c r="AA142" i="24"/>
  <c r="AA119" i="24"/>
  <c r="Z156" i="24"/>
  <c r="Z149" i="24"/>
  <c r="AA103" i="24"/>
  <c r="AC364" i="24"/>
  <c r="AB124" i="24"/>
  <c r="AB170" i="24"/>
  <c r="Z194" i="24"/>
  <c r="AC144" i="24"/>
  <c r="Z268" i="24"/>
  <c r="Y226" i="24"/>
  <c r="AC103" i="24"/>
  <c r="Y268" i="24"/>
  <c r="Y424" i="24"/>
  <c r="Z424" i="24"/>
  <c r="AA424" i="24"/>
  <c r="AB120" i="24"/>
  <c r="Y144" i="24"/>
  <c r="AB364" i="24"/>
  <c r="AB129" i="24"/>
  <c r="AC268" i="24"/>
  <c r="Z170" i="24"/>
  <c r="AB391" i="24"/>
  <c r="AC226" i="24"/>
  <c r="AC503" i="24"/>
  <c r="AA268" i="24"/>
  <c r="Y149" i="24"/>
  <c r="AA149" i="24"/>
  <c r="Y576" i="24"/>
  <c r="AB89" i="24"/>
  <c r="Z195" i="24"/>
  <c r="AC170" i="24"/>
  <c r="AB226" i="24"/>
  <c r="AC424" i="24"/>
  <c r="AA576" i="24"/>
  <c r="AC218" i="24"/>
  <c r="Z334" i="24"/>
  <c r="AB195" i="24"/>
  <c r="Y321" i="24"/>
  <c r="Y325" i="24"/>
  <c r="AA272" i="24"/>
  <c r="AA171" i="24"/>
  <c r="AC195" i="24"/>
  <c r="AC140" i="24"/>
  <c r="S514" i="24"/>
  <c r="AC514" i="24" s="1"/>
  <c r="AC24" i="24"/>
  <c r="AB24" i="24"/>
  <c r="Y24" i="24"/>
  <c r="Z24" i="24"/>
  <c r="AA301" i="24"/>
  <c r="Y171" i="24"/>
  <c r="Z325" i="24"/>
  <c r="AA321" i="24"/>
  <c r="AA162" i="24"/>
  <c r="Z222" i="24"/>
  <c r="Z370" i="24"/>
  <c r="AC370" i="24"/>
  <c r="Y370" i="24"/>
  <c r="AA325" i="24"/>
  <c r="Y128" i="24"/>
  <c r="AA128" i="24"/>
  <c r="AA257" i="24"/>
  <c r="Y164" i="24"/>
  <c r="AC223" i="24"/>
  <c r="AA379" i="24"/>
  <c r="AC225" i="24"/>
  <c r="AA318" i="24"/>
  <c r="AC128" i="24"/>
  <c r="Y225" i="24"/>
  <c r="AB372" i="24"/>
  <c r="S533" i="24"/>
  <c r="AA134" i="24"/>
  <c r="Z129" i="24"/>
  <c r="AB171" i="24"/>
  <c r="Y169" i="24"/>
  <c r="Z128" i="24"/>
  <c r="AA120" i="24"/>
  <c r="Y153" i="24"/>
  <c r="AC153" i="24"/>
  <c r="AB169" i="24"/>
  <c r="AC171" i="24"/>
  <c r="AA169" i="24"/>
  <c r="AB106" i="24"/>
  <c r="AC86" i="24"/>
  <c r="Y20" i="24"/>
  <c r="AB65" i="24"/>
  <c r="AC598" i="24"/>
  <c r="AA261" i="24"/>
  <c r="Y400" i="24"/>
  <c r="Z70" i="24"/>
  <c r="Z261" i="24"/>
  <c r="Z391" i="24"/>
  <c r="AA393" i="24"/>
  <c r="AC106" i="24"/>
  <c r="AA492" i="24"/>
  <c r="Y309" i="24"/>
  <c r="AC129" i="24"/>
  <c r="Z272" i="24"/>
  <c r="Z291" i="24"/>
  <c r="AA309" i="24"/>
  <c r="Z162" i="24"/>
  <c r="AA166" i="24"/>
  <c r="Z210" i="24"/>
  <c r="S540" i="24"/>
  <c r="AC540" i="24" s="1"/>
  <c r="AC207" i="24"/>
  <c r="AC480" i="24"/>
  <c r="Y345" i="24"/>
  <c r="Z207" i="24"/>
  <c r="AB261" i="24"/>
  <c r="AB237" i="24"/>
  <c r="Y391" i="24"/>
  <c r="AB393" i="24"/>
  <c r="Z492" i="24"/>
  <c r="Z106" i="24"/>
  <c r="AB303" i="24"/>
  <c r="AC291" i="24"/>
  <c r="AA391" i="24"/>
  <c r="Z309" i="24"/>
  <c r="AC210" i="24"/>
  <c r="AC400" i="24"/>
  <c r="Y573" i="24"/>
  <c r="AC573" i="24"/>
  <c r="O509" i="24"/>
  <c r="S353" i="24"/>
  <c r="Y353" i="24" s="1"/>
  <c r="S508" i="24"/>
  <c r="AK509" i="24" s="1"/>
  <c r="AB492" i="24"/>
  <c r="AA210" i="24"/>
  <c r="Y237" i="24"/>
  <c r="AC222" i="24"/>
  <c r="Z237" i="24"/>
  <c r="AB291" i="24"/>
  <c r="Y303" i="24"/>
  <c r="Y210" i="24"/>
  <c r="Y222" i="24"/>
  <c r="S499" i="24"/>
  <c r="AA499" i="24" s="1"/>
  <c r="R275" i="24"/>
  <c r="AA104" i="24"/>
  <c r="AC303" i="24"/>
  <c r="Z257" i="24"/>
  <c r="Y106" i="24"/>
  <c r="AB335" i="24"/>
  <c r="Y77" i="24"/>
  <c r="AB167" i="24"/>
  <c r="AC167" i="24"/>
  <c r="AA164" i="24"/>
  <c r="Z169" i="24"/>
  <c r="AA222" i="24"/>
  <c r="AA223" i="24"/>
  <c r="S490" i="24"/>
  <c r="AC490" i="24" s="1"/>
  <c r="AB390" i="24"/>
  <c r="AB70" i="24"/>
  <c r="AB579" i="24"/>
  <c r="AA578" i="24"/>
  <c r="AB578" i="24"/>
  <c r="AC284" i="24"/>
  <c r="AA131" i="24"/>
  <c r="Z321" i="24"/>
  <c r="Z303" i="24"/>
  <c r="AA330" i="24"/>
  <c r="AB257" i="24"/>
  <c r="Z77" i="24"/>
  <c r="Z166" i="24"/>
  <c r="AB121" i="24"/>
  <c r="Y578" i="24"/>
  <c r="Z578" i="24"/>
  <c r="Z111" i="24"/>
  <c r="AA111" i="24"/>
  <c r="AC111" i="24"/>
  <c r="Y111" i="24"/>
  <c r="AA190" i="24"/>
  <c r="AA384" i="24"/>
  <c r="Z480" i="24"/>
  <c r="Y480" i="24"/>
  <c r="AB572" i="24"/>
  <c r="Z572" i="24"/>
  <c r="Y330" i="24"/>
  <c r="AC572" i="24"/>
  <c r="AB336" i="24"/>
  <c r="AC336" i="24"/>
  <c r="AB213" i="24"/>
  <c r="AA213" i="24"/>
  <c r="AA86" i="24"/>
  <c r="Y310" i="24"/>
  <c r="AB330" i="24"/>
  <c r="AB142" i="24"/>
  <c r="AA480" i="24"/>
  <c r="AC492" i="24"/>
  <c r="AA66" i="24"/>
  <c r="Z66" i="24"/>
  <c r="AC66" i="24"/>
  <c r="Z213" i="24"/>
  <c r="AB66" i="24"/>
  <c r="AA503" i="24"/>
  <c r="AB503" i="24"/>
  <c r="Z384" i="24"/>
  <c r="Y572" i="24"/>
  <c r="Y213" i="24"/>
  <c r="AB389" i="24"/>
  <c r="AC389" i="24"/>
  <c r="Y389" i="24"/>
  <c r="Q314" i="24"/>
  <c r="Y278" i="24"/>
  <c r="Z278" i="24"/>
  <c r="AC278" i="24"/>
  <c r="AC20" i="24"/>
  <c r="AA20" i="24"/>
  <c r="Z304" i="24"/>
  <c r="AB304" i="24"/>
  <c r="Y307" i="24"/>
  <c r="AB307" i="24"/>
  <c r="AA307" i="24"/>
  <c r="AC304" i="24"/>
  <c r="Y304" i="24"/>
  <c r="AA296" i="24"/>
  <c r="Y296" i="24"/>
  <c r="Z296" i="24"/>
  <c r="Z221" i="24"/>
  <c r="AB221" i="24"/>
  <c r="AA221" i="24"/>
  <c r="AC221" i="24"/>
  <c r="AA194" i="24"/>
  <c r="AB190" i="24"/>
  <c r="AC190" i="24"/>
  <c r="Y190" i="24"/>
  <c r="AC194" i="24"/>
  <c r="Y194" i="24"/>
  <c r="AB207" i="24"/>
  <c r="Y207" i="24"/>
  <c r="Z191" i="24"/>
  <c r="Y191" i="24"/>
  <c r="AC191" i="24"/>
  <c r="AA191" i="24"/>
  <c r="AC131" i="24"/>
  <c r="Y131" i="24"/>
  <c r="AB131" i="24"/>
  <c r="Z121" i="24"/>
  <c r="AC121" i="24"/>
  <c r="Y121" i="24"/>
  <c r="AB58" i="24"/>
  <c r="P186" i="24"/>
  <c r="P187" i="24" s="1"/>
  <c r="AC345" i="24"/>
  <c r="AB345" i="24"/>
  <c r="AA345" i="24"/>
  <c r="AA335" i="24"/>
  <c r="AC335" i="24"/>
  <c r="AC310" i="24"/>
  <c r="O314" i="24"/>
  <c r="R314" i="24"/>
  <c r="Z393" i="24"/>
  <c r="AA390" i="24"/>
  <c r="AC390" i="24"/>
  <c r="Y390" i="24"/>
  <c r="AC385" i="24"/>
  <c r="Z379" i="24"/>
  <c r="AB156" i="24"/>
  <c r="Y156" i="24"/>
  <c r="AC156" i="24"/>
  <c r="AB150" i="24"/>
  <c r="Z150" i="24"/>
  <c r="AA150" i="24"/>
  <c r="AC109" i="24"/>
  <c r="AB109" i="24"/>
  <c r="Y109" i="24"/>
  <c r="AA109" i="24"/>
  <c r="AA288" i="24"/>
  <c r="Y288" i="24"/>
  <c r="S294" i="24"/>
  <c r="AC264" i="24"/>
  <c r="Z264" i="24"/>
  <c r="AA264" i="24"/>
  <c r="Y264" i="24"/>
  <c r="AA262" i="24"/>
  <c r="Y262" i="24"/>
  <c r="Y240" i="24"/>
  <c r="AB240" i="24"/>
  <c r="Z240" i="24"/>
  <c r="AC240" i="24"/>
  <c r="AA237" i="24"/>
  <c r="N275" i="24"/>
  <c r="AB319" i="24"/>
  <c r="AC319" i="24"/>
  <c r="Y302" i="24"/>
  <c r="T616" i="24" s="1"/>
  <c r="AC302" i="24"/>
  <c r="X616" i="24" s="1"/>
  <c r="AA302" i="24"/>
  <c r="V616" i="24" s="1"/>
  <c r="AB302" i="24"/>
  <c r="W616" i="24" s="1"/>
  <c r="Z650" i="24"/>
  <c r="S534" i="24"/>
  <c r="AA534" i="24" s="1"/>
  <c r="AB361" i="24"/>
  <c r="Y361" i="24"/>
  <c r="AC287" i="24"/>
  <c r="Z287" i="24"/>
  <c r="Y287" i="24"/>
  <c r="AB287" i="24"/>
  <c r="Y124" i="24"/>
  <c r="AC124" i="24"/>
  <c r="Z124" i="24"/>
  <c r="AC168" i="24"/>
  <c r="Z168" i="24"/>
  <c r="AB168" i="24"/>
  <c r="AA168" i="24"/>
  <c r="Y168" i="24"/>
  <c r="AC361" i="24"/>
  <c r="Y215" i="24"/>
  <c r="AA215" i="24"/>
  <c r="Z215" i="24"/>
  <c r="AB215" i="24"/>
  <c r="AC215" i="24"/>
  <c r="Y250" i="24"/>
  <c r="AC250" i="24"/>
  <c r="AC383" i="24"/>
  <c r="AA383" i="24"/>
  <c r="AB383" i="24"/>
  <c r="AB258" i="24"/>
  <c r="Z258" i="24"/>
  <c r="AC258" i="24"/>
  <c r="Y258" i="24"/>
  <c r="AA258" i="24"/>
  <c r="Z385" i="24"/>
  <c r="AA385" i="24"/>
  <c r="AB385" i="24"/>
  <c r="Z26" i="24"/>
  <c r="AB26" i="24"/>
  <c r="AC26" i="24"/>
  <c r="AA259" i="24"/>
  <c r="Y259" i="24"/>
  <c r="AB259" i="24"/>
  <c r="AC259" i="24"/>
  <c r="Z259" i="24"/>
  <c r="AC420" i="24"/>
  <c r="AB420" i="24"/>
  <c r="Z420" i="24"/>
  <c r="AA420" i="24"/>
  <c r="AC137" i="24"/>
  <c r="Y137" i="24"/>
  <c r="Z137" i="24"/>
  <c r="AA137" i="24"/>
  <c r="AB137" i="24"/>
  <c r="AA64" i="24"/>
  <c r="Z64" i="24"/>
  <c r="N314" i="24"/>
  <c r="AB256" i="24"/>
  <c r="AA256" i="24"/>
  <c r="Z256" i="24"/>
  <c r="Y358" i="24"/>
  <c r="Z358" i="24"/>
  <c r="AA579" i="24"/>
  <c r="Z579" i="24"/>
  <c r="AC579" i="24"/>
  <c r="Z364" i="24"/>
  <c r="AA364" i="24"/>
  <c r="AA234" i="24"/>
  <c r="AB234" i="24"/>
  <c r="Z234" i="24"/>
  <c r="Y234" i="24"/>
  <c r="AC234" i="24"/>
  <c r="Y388" i="24"/>
  <c r="AA388" i="24"/>
  <c r="AC388" i="24"/>
  <c r="Z388" i="24"/>
  <c r="AB388" i="24"/>
  <c r="Y420" i="24"/>
  <c r="AB301" i="24"/>
  <c r="Y301" i="24"/>
  <c r="Z301" i="24"/>
  <c r="AB19" i="24"/>
  <c r="AB250" i="24"/>
  <c r="AB61" i="24"/>
  <c r="AA61" i="24"/>
  <c r="AC61" i="24"/>
  <c r="Y61" i="24"/>
  <c r="Z61" i="24"/>
  <c r="AA358" i="24"/>
  <c r="Z151" i="24"/>
  <c r="Y151" i="24"/>
  <c r="AA151" i="24"/>
  <c r="AB151" i="24"/>
  <c r="AC151" i="24"/>
  <c r="Y484" i="24"/>
  <c r="AC484" i="24"/>
  <c r="AA484" i="24"/>
  <c r="AB484" i="24"/>
  <c r="Z484" i="24"/>
  <c r="AC369" i="24"/>
  <c r="Z369" i="24"/>
  <c r="Y369" i="24"/>
  <c r="AA369" i="24"/>
  <c r="AB381" i="24"/>
  <c r="AC381" i="24"/>
  <c r="AA381" i="24"/>
  <c r="Z381" i="24"/>
  <c r="AA141" i="24"/>
  <c r="AB141" i="24"/>
  <c r="AC141" i="24"/>
  <c r="Y141" i="24"/>
  <c r="Z141" i="24"/>
  <c r="Y598" i="24"/>
  <c r="AB598" i="24"/>
  <c r="AA598" i="24"/>
  <c r="Y383" i="24"/>
  <c r="AD644" i="24"/>
  <c r="Z639" i="24"/>
  <c r="Z641" i="24"/>
  <c r="Y452" i="24"/>
  <c r="AC452" i="24"/>
  <c r="P275" i="24"/>
  <c r="S532" i="24"/>
  <c r="AB532" i="24" s="1"/>
  <c r="AB67" i="24"/>
  <c r="AC67" i="24"/>
  <c r="Z67" i="24"/>
  <c r="AA67" i="24"/>
  <c r="Z567" i="24"/>
  <c r="AB567" i="24"/>
  <c r="Y567" i="24"/>
  <c r="AB76" i="24"/>
  <c r="AC76" i="24"/>
  <c r="S80" i="24"/>
  <c r="Z76" i="24"/>
  <c r="AA76" i="24"/>
  <c r="AC147" i="24"/>
  <c r="AA19" i="24"/>
  <c r="AC70" i="24"/>
  <c r="AC577" i="24"/>
  <c r="AA577" i="24"/>
  <c r="Z577" i="24"/>
  <c r="AB577" i="24"/>
  <c r="Y577" i="24"/>
  <c r="AA362" i="24"/>
  <c r="AC362" i="24"/>
  <c r="Y362" i="24"/>
  <c r="AB362" i="24"/>
  <c r="AA360" i="24"/>
  <c r="AC360" i="24"/>
  <c r="Y360" i="24"/>
  <c r="AB360" i="24"/>
  <c r="Z360" i="24"/>
  <c r="Y172" i="24"/>
  <c r="Z172" i="24"/>
  <c r="AA172" i="24"/>
  <c r="AC172" i="24"/>
  <c r="AB172" i="24"/>
  <c r="Y284" i="24"/>
  <c r="Z284" i="24"/>
  <c r="AA284" i="24"/>
  <c r="Z452" i="24"/>
  <c r="AA452" i="24"/>
  <c r="AO450" i="24"/>
  <c r="AB366" i="24"/>
  <c r="Y366" i="24"/>
  <c r="AC366" i="24"/>
  <c r="Z366" i="24"/>
  <c r="AA366" i="24"/>
  <c r="AA239" i="24"/>
  <c r="Z239" i="24"/>
  <c r="AB239" i="24"/>
  <c r="AC239" i="24"/>
  <c r="Y239" i="24"/>
  <c r="AB155" i="24"/>
  <c r="Y155" i="24"/>
  <c r="AC155" i="24"/>
  <c r="AA155" i="24"/>
  <c r="Z155" i="24"/>
  <c r="Z363" i="24"/>
  <c r="AA363" i="24"/>
  <c r="AC363" i="24"/>
  <c r="AB363" i="24"/>
  <c r="S157" i="24"/>
  <c r="AC254" i="24"/>
  <c r="Z254" i="24"/>
  <c r="AA254" i="24"/>
  <c r="AC21" i="24"/>
  <c r="Z21" i="24"/>
  <c r="Y21" i="24"/>
  <c r="AB21" i="24"/>
  <c r="AA21" i="24"/>
  <c r="AA107" i="24"/>
  <c r="Y107" i="24"/>
  <c r="Z107" i="24"/>
  <c r="Z299" i="24"/>
  <c r="AA299" i="24"/>
  <c r="AB299" i="24"/>
  <c r="AC299" i="24"/>
  <c r="Y299" i="24"/>
  <c r="AA238" i="24"/>
  <c r="Z238" i="24"/>
  <c r="AC238" i="24"/>
  <c r="Y238" i="24"/>
  <c r="Y19" i="24"/>
  <c r="AB20" i="24"/>
  <c r="S69" i="24"/>
  <c r="AC590" i="24"/>
  <c r="Z590" i="24"/>
  <c r="AA218" i="24"/>
  <c r="Z218" i="24"/>
  <c r="AB218" i="24"/>
  <c r="AA357" i="24"/>
  <c r="AC357" i="24"/>
  <c r="Z357" i="24"/>
  <c r="AB357" i="24"/>
  <c r="Y86" i="24"/>
  <c r="AB86" i="24"/>
  <c r="AA590" i="24"/>
  <c r="AC19" i="24"/>
  <c r="AA58" i="24"/>
  <c r="AC58" i="24"/>
  <c r="Z58" i="24"/>
  <c r="S545" i="24"/>
  <c r="AB545" i="24" s="1"/>
  <c r="AA351" i="24"/>
  <c r="AC351" i="24"/>
  <c r="Y351" i="24"/>
  <c r="AB351" i="24"/>
  <c r="Z351" i="24"/>
  <c r="AB104" i="24"/>
  <c r="AC104" i="24"/>
  <c r="Z104" i="24"/>
  <c r="Z632" i="24"/>
  <c r="T638" i="24" s="1"/>
  <c r="Z640" i="24"/>
  <c r="Z642" i="24"/>
  <c r="S285" i="24"/>
  <c r="AA285" i="24" s="1"/>
  <c r="AD285" i="24" s="1"/>
  <c r="AE285" i="24" s="1"/>
  <c r="Z653" i="24"/>
  <c r="S520" i="24"/>
  <c r="AB520" i="24" s="1"/>
  <c r="AC108" i="24"/>
  <c r="Y108" i="24"/>
  <c r="Z108" i="24"/>
  <c r="AB108" i="24"/>
  <c r="AA108" i="24"/>
  <c r="Y184" i="24"/>
  <c r="AB184" i="24"/>
  <c r="AA184" i="24"/>
  <c r="AC184" i="24"/>
  <c r="Z184" i="24"/>
  <c r="S185" i="24"/>
  <c r="Y588" i="24"/>
  <c r="Z588" i="24"/>
  <c r="AB588" i="24"/>
  <c r="AC588" i="24"/>
  <c r="S515" i="24"/>
  <c r="AC488" i="24"/>
  <c r="AA423" i="24"/>
  <c r="Z423" i="24"/>
  <c r="AC423" i="24"/>
  <c r="AB423" i="24"/>
  <c r="Y423" i="24"/>
  <c r="S425" i="24"/>
  <c r="AA292" i="24"/>
  <c r="Y292" i="24"/>
  <c r="AC292" i="24"/>
  <c r="AB292" i="24"/>
  <c r="Z292" i="24"/>
  <c r="AA138" i="24"/>
  <c r="AC570" i="24"/>
  <c r="AA570" i="24"/>
  <c r="Z570" i="24"/>
  <c r="AB570" i="24"/>
  <c r="Y570" i="24"/>
  <c r="AB620" i="24"/>
  <c r="Z252" i="24"/>
  <c r="AC252" i="24"/>
  <c r="AA252" i="24"/>
  <c r="AB252" i="24"/>
  <c r="Y252" i="24"/>
  <c r="Z212" i="24"/>
  <c r="AB212" i="24"/>
  <c r="AA212" i="24"/>
  <c r="AC212" i="24"/>
  <c r="Y212" i="24"/>
  <c r="S546" i="24"/>
  <c r="Q275" i="24"/>
  <c r="AC386" i="24"/>
  <c r="Y386" i="24"/>
  <c r="AB386" i="24"/>
  <c r="AB350" i="24"/>
  <c r="Y350" i="24"/>
  <c r="AC350" i="24"/>
  <c r="AA350" i="24"/>
  <c r="Z350" i="24"/>
  <c r="Z386" i="24"/>
  <c r="Z125" i="24"/>
  <c r="AC125" i="24"/>
  <c r="AA125" i="24"/>
  <c r="Y125" i="24"/>
  <c r="AD635" i="24"/>
  <c r="R509" i="24"/>
  <c r="AB125" i="24"/>
  <c r="S543" i="24"/>
  <c r="Z543" i="24" s="1"/>
  <c r="AC138" i="24"/>
  <c r="Y138" i="24"/>
  <c r="AB138" i="24"/>
  <c r="AB60" i="24"/>
  <c r="AC60" i="24"/>
  <c r="Z60" i="24"/>
  <c r="Y60" i="24"/>
  <c r="AA60" i="24"/>
  <c r="AA165" i="24"/>
  <c r="Y165" i="24"/>
  <c r="AC165" i="24"/>
  <c r="S183" i="24"/>
  <c r="AB165" i="24"/>
  <c r="Z165" i="24"/>
  <c r="AB288" i="24"/>
  <c r="AC288" i="24"/>
  <c r="AA367" i="24"/>
  <c r="Z367" i="24"/>
  <c r="Y367" i="24"/>
  <c r="AB367" i="24"/>
  <c r="AC367" i="24"/>
  <c r="AK373" i="24"/>
  <c r="AA386" i="24"/>
  <c r="S521" i="24"/>
  <c r="S526" i="24"/>
  <c r="Y122" i="24"/>
  <c r="AB122" i="24"/>
  <c r="AC122" i="24"/>
  <c r="AA122" i="24"/>
  <c r="AB71" i="24"/>
  <c r="Z71" i="24"/>
  <c r="AC71" i="24"/>
  <c r="AA71" i="24"/>
  <c r="AA552" i="24"/>
  <c r="AC552" i="24"/>
  <c r="Y552" i="24"/>
  <c r="AB552" i="24"/>
  <c r="S74" i="24"/>
  <c r="S279" i="24"/>
  <c r="AE279" i="24" s="1"/>
  <c r="Z649" i="24"/>
  <c r="Z633" i="24"/>
  <c r="T639" i="24" s="1"/>
  <c r="Y589" i="24"/>
  <c r="Z589" i="24"/>
  <c r="AB589" i="24"/>
  <c r="AA589" i="24"/>
  <c r="AC589" i="24"/>
  <c r="Y255" i="24"/>
  <c r="AB255" i="24"/>
  <c r="AC255" i="24"/>
  <c r="AA255" i="24"/>
  <c r="Z255" i="24"/>
  <c r="S22" i="14"/>
  <c r="S33" i="14"/>
  <c r="S585" i="24"/>
  <c r="R485" i="24"/>
  <c r="AD630" i="24"/>
  <c r="Y253" i="24"/>
  <c r="AB253" i="24"/>
  <c r="AA253" i="24"/>
  <c r="AC253" i="24"/>
  <c r="Z253" i="24"/>
  <c r="S421" i="24"/>
  <c r="S530" i="24"/>
  <c r="AD634" i="24"/>
  <c r="R592" i="24"/>
  <c r="R600" i="24" s="1"/>
  <c r="AB281" i="24"/>
  <c r="AA281" i="24"/>
  <c r="Y281" i="24"/>
  <c r="Z281" i="24"/>
  <c r="AC281" i="24"/>
  <c r="S282" i="24"/>
  <c r="AE282" i="24" s="1"/>
  <c r="P485" i="24"/>
  <c r="S475" i="24"/>
  <c r="Y100" i="24"/>
  <c r="AA100" i="24"/>
  <c r="AC100" i="24"/>
  <c r="AB100" i="24"/>
  <c r="Z100" i="24"/>
  <c r="AC634" i="24"/>
  <c r="Q592" i="24"/>
  <c r="AA25" i="24"/>
  <c r="Z25" i="24"/>
  <c r="AB25" i="24"/>
  <c r="AC25" i="24"/>
  <c r="Y25" i="24"/>
  <c r="AB376" i="24"/>
  <c r="Y376" i="24"/>
  <c r="Z376" i="24"/>
  <c r="AA376" i="24"/>
  <c r="AA196" i="24"/>
  <c r="AC196" i="24"/>
  <c r="Z196" i="24"/>
  <c r="Y196" i="24"/>
  <c r="AB196" i="24"/>
  <c r="Q485" i="24"/>
  <c r="AC630" i="24"/>
  <c r="AA105" i="24"/>
  <c r="AC105" i="24"/>
  <c r="Y105" i="24"/>
  <c r="AB105" i="24"/>
  <c r="Z105" i="24"/>
  <c r="S428" i="24"/>
  <c r="P592" i="24"/>
  <c r="AB634" i="24"/>
  <c r="Y209" i="24"/>
  <c r="AA209" i="24"/>
  <c r="AC209" i="24"/>
  <c r="AB209" i="24"/>
  <c r="Y380" i="24"/>
  <c r="AC380" i="24"/>
  <c r="Z380" i="24"/>
  <c r="AB380" i="24"/>
  <c r="AA380" i="24"/>
  <c r="Y575" i="24"/>
  <c r="AC575" i="24"/>
  <c r="Z575" i="24"/>
  <c r="AA575" i="24"/>
  <c r="AB575" i="24"/>
  <c r="S24" i="14"/>
  <c r="S529" i="24"/>
  <c r="S414" i="24"/>
  <c r="AC656" i="24"/>
  <c r="AC620" i="24"/>
  <c r="Q438" i="24"/>
  <c r="S559" i="24"/>
  <c r="O592" i="24"/>
  <c r="AA634" i="24"/>
  <c r="AC376" i="24"/>
  <c r="AK402" i="24"/>
  <c r="S28" i="14"/>
  <c r="AB656" i="24"/>
  <c r="S437" i="24"/>
  <c r="AA211" i="24"/>
  <c r="AC211" i="24"/>
  <c r="AB211" i="24"/>
  <c r="Z211" i="24"/>
  <c r="Y211" i="24"/>
  <c r="S535" i="24"/>
  <c r="S16" i="14"/>
  <c r="S17" i="14" s="1"/>
  <c r="AB586" i="24"/>
  <c r="Z586" i="24"/>
  <c r="Y586" i="24"/>
  <c r="AC586" i="24"/>
  <c r="AA586" i="24"/>
  <c r="Y251" i="24"/>
  <c r="AC251" i="24"/>
  <c r="Z251" i="24"/>
  <c r="AA251" i="24"/>
  <c r="AB251" i="24"/>
  <c r="S522" i="24"/>
  <c r="O547" i="24"/>
  <c r="AA631" i="24"/>
  <c r="AA618" i="24"/>
  <c r="S517" i="24"/>
  <c r="AD631" i="24"/>
  <c r="R547" i="24"/>
  <c r="R555" i="24" s="1"/>
  <c r="M10" i="4"/>
  <c r="AD618" i="24"/>
  <c r="P547" i="24"/>
  <c r="P555" i="24" s="1"/>
  <c r="AB631" i="24"/>
  <c r="AB618" i="24"/>
  <c r="O17" i="14"/>
  <c r="O35" i="14" s="1"/>
  <c r="R34" i="14"/>
  <c r="R35" i="14" s="1"/>
  <c r="S31" i="14"/>
  <c r="S32" i="14"/>
  <c r="Q34" i="14"/>
  <c r="Q35" i="14" s="1"/>
  <c r="S21" i="14"/>
  <c r="P34" i="14"/>
  <c r="P35" i="14" s="1"/>
  <c r="Q547" i="24"/>
  <c r="Q555" i="24" s="1"/>
  <c r="AC631" i="24"/>
  <c r="AC618" i="24"/>
  <c r="L10" i="4"/>
  <c r="Z553" i="24"/>
  <c r="Y553" i="24"/>
  <c r="AC553" i="24"/>
  <c r="AB553" i="24"/>
  <c r="AA553" i="24"/>
  <c r="Z622" i="24" l="1"/>
  <c r="Y81" i="24"/>
  <c r="AC81" i="24"/>
  <c r="AA81" i="24"/>
  <c r="Z81" i="24"/>
  <c r="AB81" i="24"/>
  <c r="AC75" i="24"/>
  <c r="Z286" i="24"/>
  <c r="Z75" i="24"/>
  <c r="AC57" i="24"/>
  <c r="AB57" i="24"/>
  <c r="AA57" i="24"/>
  <c r="Z57" i="24"/>
  <c r="Y57" i="24"/>
  <c r="AD286" i="24"/>
  <c r="AE286" i="24" s="1"/>
  <c r="AD75" i="24"/>
  <c r="AE75" i="24" s="1"/>
  <c r="S616" i="24"/>
  <c r="AB280" i="24"/>
  <c r="AC280" i="24"/>
  <c r="Y280" i="24"/>
  <c r="Z280" i="24"/>
  <c r="AA280" i="24"/>
  <c r="V617" i="24"/>
  <c r="U617" i="24"/>
  <c r="X617" i="24"/>
  <c r="T617" i="24"/>
  <c r="W617" i="24"/>
  <c r="AC625" i="24"/>
  <c r="AD625" i="24"/>
  <c r="S431" i="24"/>
  <c r="AA431" i="24" s="1"/>
  <c r="S95" i="24"/>
  <c r="AA95" i="24" s="1"/>
  <c r="AD95" i="24" s="1"/>
  <c r="S158" i="24"/>
  <c r="C8" i="52" s="1"/>
  <c r="S187" i="24"/>
  <c r="C10" i="52" s="1"/>
  <c r="Y450" i="24"/>
  <c r="AC249" i="24"/>
  <c r="AC549" i="24"/>
  <c r="S554" i="24"/>
  <c r="Y249" i="24"/>
  <c r="S23" i="24"/>
  <c r="Z637" i="24"/>
  <c r="AB249" i="24"/>
  <c r="Z249" i="24"/>
  <c r="S94" i="24"/>
  <c r="AC340" i="24"/>
  <c r="Y340" i="24"/>
  <c r="Z340" i="24"/>
  <c r="AA340" i="24"/>
  <c r="AB340" i="24"/>
  <c r="AC135" i="24"/>
  <c r="AB135" i="24"/>
  <c r="Z135" i="24"/>
  <c r="AA135" i="24"/>
  <c r="Y135" i="24"/>
  <c r="Y118" i="24"/>
  <c r="AC118" i="24"/>
  <c r="Z118" i="24"/>
  <c r="AA118" i="24"/>
  <c r="AB118" i="24"/>
  <c r="Y374" i="24"/>
  <c r="Z374" i="24"/>
  <c r="AC374" i="24"/>
  <c r="AB374" i="24"/>
  <c r="AA374" i="24"/>
  <c r="S159" i="24"/>
  <c r="AA159" i="24" s="1"/>
  <c r="AD159" i="24" s="1"/>
  <c r="Y295" i="24"/>
  <c r="Z295" i="24"/>
  <c r="AA295" i="24"/>
  <c r="AB295" i="24"/>
  <c r="AC295" i="24"/>
  <c r="AC102" i="24"/>
  <c r="Z102" i="24"/>
  <c r="AA102" i="24"/>
  <c r="Y102" i="24"/>
  <c r="AB102" i="24"/>
  <c r="AA157" i="24"/>
  <c r="AC127" i="24"/>
  <c r="Y127" i="24"/>
  <c r="AB127" i="24"/>
  <c r="Z127" i="24"/>
  <c r="AA127" i="24"/>
  <c r="S22" i="24"/>
  <c r="AE22" i="24" s="1"/>
  <c r="S354" i="24"/>
  <c r="S429" i="24"/>
  <c r="L13" i="4"/>
  <c r="M13" i="4"/>
  <c r="S430" i="24"/>
  <c r="C17" i="50" s="1"/>
  <c r="S489" i="24"/>
  <c r="Y489" i="24" s="1"/>
  <c r="AB488" i="24"/>
  <c r="Y488" i="24"/>
  <c r="AL488" i="24" s="1"/>
  <c r="Z488" i="24"/>
  <c r="Z536" i="24"/>
  <c r="Z457" i="24"/>
  <c r="AB457" i="24"/>
  <c r="Y467" i="24"/>
  <c r="Y457" i="24"/>
  <c r="AA457" i="24"/>
  <c r="Z441" i="24"/>
  <c r="AA18" i="24"/>
  <c r="AB450" i="24"/>
  <c r="AO448" i="24"/>
  <c r="AK441" i="24" s="1"/>
  <c r="AA450" i="24"/>
  <c r="AC450" i="24"/>
  <c r="N11" i="4"/>
  <c r="Z569" i="24"/>
  <c r="AB441" i="24"/>
  <c r="AA441" i="24"/>
  <c r="Y441" i="24"/>
  <c r="AD378" i="24"/>
  <c r="AE378" i="24" s="1"/>
  <c r="AC467" i="24"/>
  <c r="AA467" i="24"/>
  <c r="AD73" i="24"/>
  <c r="AE73" i="24" s="1"/>
  <c r="J10" i="4"/>
  <c r="AA619" i="24"/>
  <c r="Z619" i="24" s="1"/>
  <c r="AB584" i="24"/>
  <c r="Y580" i="24"/>
  <c r="AB448" i="24"/>
  <c r="Y512" i="24"/>
  <c r="Z580" i="24"/>
  <c r="AC512" i="24"/>
  <c r="AB512" i="24"/>
  <c r="Z467" i="24"/>
  <c r="AC443" i="24"/>
  <c r="AC569" i="24"/>
  <c r="AB580" i="24"/>
  <c r="AA468" i="24"/>
  <c r="Y17" i="24"/>
  <c r="Y569" i="24"/>
  <c r="AC580" i="24"/>
  <c r="AA443" i="24"/>
  <c r="AD328" i="24"/>
  <c r="AE328" i="24" s="1"/>
  <c r="AO433" i="24"/>
  <c r="Y443" i="24"/>
  <c r="AA569" i="24"/>
  <c r="AD263" i="24"/>
  <c r="AE263" i="24" s="1"/>
  <c r="Z18" i="24"/>
  <c r="Y18" i="24"/>
  <c r="Y440" i="24"/>
  <c r="T624" i="24" s="1"/>
  <c r="AC465" i="24"/>
  <c r="Y465" i="24"/>
  <c r="Y525" i="24"/>
  <c r="AA465" i="24"/>
  <c r="AB18" i="24"/>
  <c r="Y587" i="24"/>
  <c r="Z644" i="24"/>
  <c r="AA512" i="24"/>
  <c r="AC584" i="24"/>
  <c r="G12" i="4"/>
  <c r="AO432" i="24"/>
  <c r="Z443" i="24"/>
  <c r="Z476" i="24"/>
  <c r="Z584" i="24"/>
  <c r="AB443" i="24"/>
  <c r="Y584" i="24"/>
  <c r="N12" i="4"/>
  <c r="R486" i="24"/>
  <c r="R506" i="24" s="1"/>
  <c r="R601" i="24" s="1"/>
  <c r="AA469" i="24"/>
  <c r="AB469" i="24"/>
  <c r="AA442" i="24"/>
  <c r="AC469" i="24"/>
  <c r="S42" i="24"/>
  <c r="Y469" i="24"/>
  <c r="AO455" i="24"/>
  <c r="AK448" i="24" s="1"/>
  <c r="AC481" i="24"/>
  <c r="AB465" i="24"/>
  <c r="AD87" i="24"/>
  <c r="AE87" i="24" s="1"/>
  <c r="AD79" i="24"/>
  <c r="AE79" i="24" s="1"/>
  <c r="AD392" i="24"/>
  <c r="AE392" i="24" s="1"/>
  <c r="Y466" i="24"/>
  <c r="AD451" i="24"/>
  <c r="AE451" i="24" s="1"/>
  <c r="AB583" i="24"/>
  <c r="AC442" i="24"/>
  <c r="AO436" i="24"/>
  <c r="AO438" i="24" s="1"/>
  <c r="AK438" i="24" s="1"/>
  <c r="AC464" i="24"/>
  <c r="AA435" i="24"/>
  <c r="Y442" i="24"/>
  <c r="AC582" i="24"/>
  <c r="Z594" i="24"/>
  <c r="AA568" i="24"/>
  <c r="AD338" i="24"/>
  <c r="AE338" i="24" s="1"/>
  <c r="AB440" i="24"/>
  <c r="AC583" i="24"/>
  <c r="AA541" i="24"/>
  <c r="AD453" i="24"/>
  <c r="AE453" i="24" s="1"/>
  <c r="F23" i="50"/>
  <c r="F22" i="50"/>
  <c r="AC537" i="24"/>
  <c r="AD322" i="24"/>
  <c r="AE322" i="24" s="1"/>
  <c r="AD348" i="24"/>
  <c r="AE348" i="24" s="1"/>
  <c r="Y536" i="24"/>
  <c r="AB442" i="24"/>
  <c r="Z564" i="24"/>
  <c r="AC473" i="24"/>
  <c r="Z16" i="24"/>
  <c r="AD300" i="24"/>
  <c r="AE300" i="24" s="1"/>
  <c r="AB536" i="24"/>
  <c r="AA564" i="24"/>
  <c r="AB468" i="24"/>
  <c r="AC468" i="24"/>
  <c r="Z468" i="24"/>
  <c r="AC536" i="24"/>
  <c r="Q600" i="24"/>
  <c r="AC564" i="24"/>
  <c r="AA16" i="24"/>
  <c r="AD323" i="24"/>
  <c r="AE323" i="24" s="1"/>
  <c r="AD337" i="24"/>
  <c r="AE337" i="24" s="1"/>
  <c r="AD228" i="24"/>
  <c r="AE228" i="24" s="1"/>
  <c r="AD113" i="24"/>
  <c r="AE113" i="24" s="1"/>
  <c r="Z331" i="24"/>
  <c r="Y464" i="24"/>
  <c r="Z464" i="24"/>
  <c r="AB435" i="24"/>
  <c r="Z582" i="24"/>
  <c r="AC587" i="24"/>
  <c r="AB464" i="24"/>
  <c r="Z435" i="24"/>
  <c r="AB582" i="24"/>
  <c r="AA587" i="24"/>
  <c r="AB587" i="24"/>
  <c r="O460" i="24"/>
  <c r="AD320" i="24"/>
  <c r="AE320" i="24" s="1"/>
  <c r="Q486" i="24"/>
  <c r="Q506" i="24" s="1"/>
  <c r="Y435" i="24"/>
  <c r="AA473" i="24"/>
  <c r="Z436" i="24"/>
  <c r="AA582" i="24"/>
  <c r="AD308" i="24"/>
  <c r="AE308" i="24" s="1"/>
  <c r="AC331" i="24"/>
  <c r="AC525" i="24"/>
  <c r="AA481" i="24"/>
  <c r="AD574" i="24"/>
  <c r="AE574" i="24" s="1"/>
  <c r="AD347" i="24"/>
  <c r="AE347" i="24" s="1"/>
  <c r="AD349" i="24"/>
  <c r="AE349" i="24" s="1"/>
  <c r="Y331" i="24"/>
  <c r="Z525" i="24"/>
  <c r="Z481" i="24"/>
  <c r="AA583" i="24"/>
  <c r="AB476" i="24"/>
  <c r="Y15" i="24"/>
  <c r="AB525" i="24"/>
  <c r="Y481" i="24"/>
  <c r="AA448" i="24"/>
  <c r="Z583" i="24"/>
  <c r="Z448" i="24"/>
  <c r="AC476" i="24"/>
  <c r="AC448" i="24"/>
  <c r="X624" i="24" s="1"/>
  <c r="AA476" i="24"/>
  <c r="Y63" i="24"/>
  <c r="Z624" i="24"/>
  <c r="Q460" i="24"/>
  <c r="Z549" i="24"/>
  <c r="Z597" i="24"/>
  <c r="AC17" i="24"/>
  <c r="AA17" i="24"/>
  <c r="Z502" i="24"/>
  <c r="Z444" i="24"/>
  <c r="AO440" i="24"/>
  <c r="AK455" i="24" s="1"/>
  <c r="AD289" i="24"/>
  <c r="AE289" i="24" s="1"/>
  <c r="AD273" i="24"/>
  <c r="AE273" i="24" s="1"/>
  <c r="AD352" i="24"/>
  <c r="AE352" i="24" s="1"/>
  <c r="AD298" i="24"/>
  <c r="AE298" i="24" s="1"/>
  <c r="Y566" i="24"/>
  <c r="AB597" i="24"/>
  <c r="AB17" i="24"/>
  <c r="Y502" i="24"/>
  <c r="AB502" i="24"/>
  <c r="Z63" i="24"/>
  <c r="Y444" i="24"/>
  <c r="Z562" i="24"/>
  <c r="O486" i="24"/>
  <c r="O506" i="24" s="1"/>
  <c r="Z15" i="24"/>
  <c r="AC568" i="24"/>
  <c r="AD59" i="24"/>
  <c r="AE59" i="24" s="1"/>
  <c r="AA502" i="24"/>
  <c r="AA343" i="24"/>
  <c r="Z516" i="24"/>
  <c r="AC63" i="24"/>
  <c r="AA444" i="24"/>
  <c r="AA562" i="24"/>
  <c r="AA537" i="24"/>
  <c r="AC562" i="24"/>
  <c r="AD413" i="24"/>
  <c r="AE413" i="24" s="1"/>
  <c r="AB568" i="24"/>
  <c r="AD78" i="24"/>
  <c r="AE78" i="24" s="1"/>
  <c r="AD136" i="24"/>
  <c r="AE136" i="24" s="1"/>
  <c r="AD297" i="24"/>
  <c r="AE297" i="24" s="1"/>
  <c r="AC591" i="24"/>
  <c r="AB591" i="24"/>
  <c r="AA591" i="24"/>
  <c r="Y564" i="24"/>
  <c r="AB563" i="24"/>
  <c r="S459" i="24"/>
  <c r="AB459" i="24" s="1"/>
  <c r="Y479" i="24"/>
  <c r="AA440" i="24"/>
  <c r="AC15" i="24"/>
  <c r="AC597" i="24"/>
  <c r="AB479" i="24"/>
  <c r="Y473" i="24"/>
  <c r="Y563" i="24"/>
  <c r="Y594" i="24"/>
  <c r="AL594" i="24" s="1"/>
  <c r="AC581" i="24"/>
  <c r="AD293" i="24"/>
  <c r="AE293" i="24" s="1"/>
  <c r="Y568" i="24"/>
  <c r="AA594" i="24"/>
  <c r="Z520" i="24"/>
  <c r="AA563" i="24"/>
  <c r="AD493" i="24"/>
  <c r="AE493" i="24" s="1"/>
  <c r="Y549" i="24"/>
  <c r="AL549" i="24" s="1"/>
  <c r="Z440" i="24"/>
  <c r="AA597" i="24"/>
  <c r="Y591" i="24"/>
  <c r="AA479" i="24"/>
  <c r="AC563" i="24"/>
  <c r="AB594" i="24"/>
  <c r="Z581" i="24"/>
  <c r="AA581" i="24"/>
  <c r="AD132" i="24"/>
  <c r="AE132" i="24" s="1"/>
  <c r="AD163" i="24"/>
  <c r="AE163" i="24" s="1"/>
  <c r="Z473" i="24"/>
  <c r="AC478" i="24"/>
  <c r="Z621" i="24"/>
  <c r="AD306" i="24"/>
  <c r="AE306" i="24" s="1"/>
  <c r="AD494" i="24"/>
  <c r="AE494" i="24" s="1"/>
  <c r="AD551" i="24"/>
  <c r="AE551" i="24" s="1"/>
  <c r="AD368" i="24"/>
  <c r="AE368" i="24" s="1"/>
  <c r="Y554" i="24"/>
  <c r="P600" i="24"/>
  <c r="AA549" i="24"/>
  <c r="Y562" i="24"/>
  <c r="AB444" i="24"/>
  <c r="Y581" i="24"/>
  <c r="AB15" i="24"/>
  <c r="AD415" i="24"/>
  <c r="AE415" i="24" s="1"/>
  <c r="AD123" i="24"/>
  <c r="AE123" i="24" s="1"/>
  <c r="AC479" i="24"/>
  <c r="Z638" i="24"/>
  <c r="AD229" i="24"/>
  <c r="AE229" i="24" s="1"/>
  <c r="AD371" i="24"/>
  <c r="AE371" i="24" s="1"/>
  <c r="Z466" i="24"/>
  <c r="P460" i="24"/>
  <c r="AC513" i="24"/>
  <c r="P486" i="24"/>
  <c r="P506" i="24" s="1"/>
  <c r="Z513" i="24"/>
  <c r="AB474" i="24"/>
  <c r="AA478" i="24"/>
  <c r="Y513" i="24"/>
  <c r="Y436" i="24"/>
  <c r="AA474" i="24"/>
  <c r="AA513" i="24"/>
  <c r="AA436" i="24"/>
  <c r="Z474" i="24"/>
  <c r="AD571" i="24"/>
  <c r="AE571" i="24" s="1"/>
  <c r="AB16" i="24"/>
  <c r="AC16" i="24"/>
  <c r="AC436" i="24"/>
  <c r="Y474" i="24"/>
  <c r="Y478" i="24"/>
  <c r="Z478" i="24"/>
  <c r="AD97" i="24"/>
  <c r="AE97" i="24" s="1"/>
  <c r="AB63" i="24"/>
  <c r="Z657" i="24"/>
  <c r="X654" i="24" s="1"/>
  <c r="S631" i="24" s="1"/>
  <c r="Z635" i="24"/>
  <c r="T641" i="24" s="1"/>
  <c r="AD324" i="24"/>
  <c r="AE324" i="24" s="1"/>
  <c r="AD495" i="24"/>
  <c r="AE495" i="24" s="1"/>
  <c r="AD192" i="24"/>
  <c r="AE192" i="24" s="1"/>
  <c r="AA466" i="24"/>
  <c r="AC466" i="24"/>
  <c r="AD199" i="24"/>
  <c r="AE199" i="24" s="1"/>
  <c r="AD333" i="24"/>
  <c r="AE333" i="24" s="1"/>
  <c r="AD227" i="24"/>
  <c r="AE227" i="24" s="1"/>
  <c r="AB549" i="24"/>
  <c r="Y343" i="24"/>
  <c r="AA566" i="24"/>
  <c r="AB343" i="24"/>
  <c r="Z566" i="24"/>
  <c r="AC566" i="24"/>
  <c r="S599" i="24"/>
  <c r="AC599" i="24" s="1"/>
  <c r="Z343" i="24"/>
  <c r="AD143" i="24"/>
  <c r="AE143" i="24" s="1"/>
  <c r="AA543" i="24"/>
  <c r="AC543" i="24"/>
  <c r="AB543" i="24"/>
  <c r="S510" i="24"/>
  <c r="Z510" i="24" s="1"/>
  <c r="AD220" i="24"/>
  <c r="AE220" i="24" s="1"/>
  <c r="AD342" i="24"/>
  <c r="AE342" i="24" s="1"/>
  <c r="AD219" i="24"/>
  <c r="AE219" i="24" s="1"/>
  <c r="AD398" i="24"/>
  <c r="AE398" i="24" s="1"/>
  <c r="AD145" i="24"/>
  <c r="AE145" i="24" s="1"/>
  <c r="AD85" i="24"/>
  <c r="AE85" i="24" s="1"/>
  <c r="AD477" i="24"/>
  <c r="AE477" i="24" s="1"/>
  <c r="AD82" i="24"/>
  <c r="AE82" i="24" s="1"/>
  <c r="AB331" i="24"/>
  <c r="S472" i="24"/>
  <c r="AC472" i="24" s="1"/>
  <c r="AB470" i="24"/>
  <c r="Y541" i="24"/>
  <c r="AC520" i="24"/>
  <c r="AC508" i="24"/>
  <c r="S471" i="24"/>
  <c r="AC471" i="24" s="1"/>
  <c r="AB516" i="24"/>
  <c r="S504" i="24"/>
  <c r="AA504" i="24" s="1"/>
  <c r="AD382" i="24"/>
  <c r="AE382" i="24" s="1"/>
  <c r="Y470" i="24"/>
  <c r="AB596" i="24"/>
  <c r="Y596" i="24"/>
  <c r="AA596" i="24"/>
  <c r="Z596" i="24"/>
  <c r="AD27" i="24"/>
  <c r="AE27" i="24" s="1"/>
  <c r="AD372" i="24"/>
  <c r="AE372" i="24" s="1"/>
  <c r="AD110" i="24"/>
  <c r="AE110" i="24" s="1"/>
  <c r="AD267" i="24"/>
  <c r="AE267" i="24" s="1"/>
  <c r="AD152" i="24"/>
  <c r="AE152" i="24" s="1"/>
  <c r="AD154" i="24"/>
  <c r="AE154" i="24" s="1"/>
  <c r="Y514" i="24"/>
  <c r="Z560" i="24"/>
  <c r="AB490" i="24"/>
  <c r="AD501" i="24"/>
  <c r="AE501" i="24" s="1"/>
  <c r="Y543" i="24"/>
  <c r="AD65" i="24"/>
  <c r="AE65" i="24" s="1"/>
  <c r="AD133" i="24"/>
  <c r="AE133" i="24" s="1"/>
  <c r="AD427" i="24"/>
  <c r="AE427" i="24" s="1"/>
  <c r="AD271" i="24"/>
  <c r="AE271" i="24" s="1"/>
  <c r="AD326" i="24"/>
  <c r="AE326" i="24" s="1"/>
  <c r="AD401" i="24"/>
  <c r="AE401" i="24" s="1"/>
  <c r="AD114" i="24"/>
  <c r="AE114" i="24" s="1"/>
  <c r="AD140" i="24"/>
  <c r="AE140" i="24" s="1"/>
  <c r="AD346" i="24"/>
  <c r="AE346" i="24" s="1"/>
  <c r="AB353" i="24"/>
  <c r="AA353" i="24"/>
  <c r="Z353" i="24"/>
  <c r="AC353" i="24"/>
  <c r="AD394" i="24"/>
  <c r="AE394" i="24" s="1"/>
  <c r="AD146" i="24"/>
  <c r="AE146" i="24" s="1"/>
  <c r="AD112" i="24"/>
  <c r="AE112" i="24" s="1"/>
  <c r="AC541" i="24"/>
  <c r="AB508" i="24"/>
  <c r="AA516" i="24"/>
  <c r="Z514" i="24"/>
  <c r="AB537" i="24"/>
  <c r="Z541" i="24"/>
  <c r="S33" i="24"/>
  <c r="AC516" i="24"/>
  <c r="AD92" i="24"/>
  <c r="AE92" i="24" s="1"/>
  <c r="Y537" i="24"/>
  <c r="AD230" i="24"/>
  <c r="AE230" i="24" s="1"/>
  <c r="Z508" i="24"/>
  <c r="AD89" i="24"/>
  <c r="AE89" i="24" s="1"/>
  <c r="AD214" i="24"/>
  <c r="AE214" i="24" s="1"/>
  <c r="AD377" i="24"/>
  <c r="AE377" i="24" s="1"/>
  <c r="AD341" i="24"/>
  <c r="AE341" i="24" s="1"/>
  <c r="AD231" i="24"/>
  <c r="AE231" i="24" s="1"/>
  <c r="AD164" i="24"/>
  <c r="AE164" i="24" s="1"/>
  <c r="AD197" i="24"/>
  <c r="AE197" i="24" s="1"/>
  <c r="AD395" i="24"/>
  <c r="AE395" i="24" s="1"/>
  <c r="AD30" i="24"/>
  <c r="AE30" i="24" s="1"/>
  <c r="AD482" i="24"/>
  <c r="AE482" i="24" s="1"/>
  <c r="AD329" i="24"/>
  <c r="AE329" i="24" s="1"/>
  <c r="AD399" i="24"/>
  <c r="AE399" i="24" s="1"/>
  <c r="AD216" i="24"/>
  <c r="AE216" i="24" s="1"/>
  <c r="AD208" i="24"/>
  <c r="AE208" i="24" s="1"/>
  <c r="AD305" i="24"/>
  <c r="AE305" i="24" s="1"/>
  <c r="AD119" i="24"/>
  <c r="AE119" i="24" s="1"/>
  <c r="AD106" i="24"/>
  <c r="AE106" i="24" s="1"/>
  <c r="AD116" i="24"/>
  <c r="AE116" i="24" s="1"/>
  <c r="AD224" i="24"/>
  <c r="AE224" i="24" s="1"/>
  <c r="AD359" i="24"/>
  <c r="AE359" i="24" s="1"/>
  <c r="AD84" i="24"/>
  <c r="AE84" i="24" s="1"/>
  <c r="AD193" i="24"/>
  <c r="AE193" i="24" s="1"/>
  <c r="AD115" i="24"/>
  <c r="AE115" i="24" s="1"/>
  <c r="AD139" i="24"/>
  <c r="AE139" i="24" s="1"/>
  <c r="H24" i="47"/>
  <c r="AA540" i="24"/>
  <c r="Z534" i="24"/>
  <c r="AB540" i="24"/>
  <c r="AD72" i="24"/>
  <c r="AE72" i="24" s="1"/>
  <c r="AD365" i="24"/>
  <c r="AE365" i="24" s="1"/>
  <c r="AD455" i="24"/>
  <c r="AE455" i="24" s="1"/>
  <c r="AD290" i="24"/>
  <c r="AE290" i="24" s="1"/>
  <c r="AA470" i="24"/>
  <c r="AC470" i="24"/>
  <c r="S355" i="24"/>
  <c r="AA355" i="24" s="1"/>
  <c r="AD355" i="24" s="1"/>
  <c r="AE355" i="24" s="1"/>
  <c r="AB560" i="24"/>
  <c r="AC560" i="24"/>
  <c r="AD318" i="24"/>
  <c r="AE318" i="24" s="1"/>
  <c r="Y490" i="24"/>
  <c r="AA490" i="24"/>
  <c r="Y560" i="24"/>
  <c r="Z490" i="24"/>
  <c r="AD225" i="24"/>
  <c r="AE225" i="24" s="1"/>
  <c r="AD198" i="24"/>
  <c r="AE198" i="24" s="1"/>
  <c r="AD325" i="24"/>
  <c r="AE325" i="24" s="1"/>
  <c r="AD120" i="24"/>
  <c r="AE120" i="24" s="1"/>
  <c r="AD334" i="24"/>
  <c r="AE334" i="24" s="1"/>
  <c r="AD260" i="24"/>
  <c r="AE260" i="24" s="1"/>
  <c r="AD174" i="24"/>
  <c r="AE174" i="24" s="1"/>
  <c r="S509" i="24"/>
  <c r="Z509" i="24" s="1"/>
  <c r="AA508" i="24"/>
  <c r="AC545" i="24"/>
  <c r="AB514" i="24"/>
  <c r="Z540" i="24"/>
  <c r="Y540" i="24"/>
  <c r="AD272" i="24"/>
  <c r="AE272" i="24" s="1"/>
  <c r="AD182" i="24"/>
  <c r="AE182" i="24" s="1"/>
  <c r="Y508" i="24"/>
  <c r="Z134" i="24"/>
  <c r="AA514" i="24"/>
  <c r="AA520" i="24"/>
  <c r="Y520" i="24"/>
  <c r="AD576" i="24"/>
  <c r="AE576" i="24" s="1"/>
  <c r="AD149" i="24"/>
  <c r="AE149" i="24" s="1"/>
  <c r="AD130" i="24"/>
  <c r="AE130" i="24" s="1"/>
  <c r="AD170" i="24"/>
  <c r="AE170" i="24" s="1"/>
  <c r="AD142" i="24"/>
  <c r="AD400" i="24"/>
  <c r="AE400" i="24" s="1"/>
  <c r="AD195" i="24"/>
  <c r="AE195" i="24" s="1"/>
  <c r="AD268" i="24"/>
  <c r="AE268" i="24" s="1"/>
  <c r="AD223" i="24"/>
  <c r="AE223" i="24" s="1"/>
  <c r="AC134" i="24"/>
  <c r="AD321" i="24"/>
  <c r="AE321" i="24" s="1"/>
  <c r="AD24" i="24"/>
  <c r="AE24" i="24" s="1"/>
  <c r="AD424" i="24"/>
  <c r="AE424" i="24" s="1"/>
  <c r="AD226" i="24"/>
  <c r="AE226" i="24" s="1"/>
  <c r="AD144" i="24"/>
  <c r="AE144" i="24" s="1"/>
  <c r="AD103" i="24"/>
  <c r="AE103" i="24" s="1"/>
  <c r="AD171" i="24"/>
  <c r="AE171" i="24" s="1"/>
  <c r="AD573" i="24"/>
  <c r="AE573" i="24" s="1"/>
  <c r="Y134" i="24"/>
  <c r="AD162" i="24"/>
  <c r="AE162" i="24" s="1"/>
  <c r="AD370" i="24"/>
  <c r="AE370" i="24" s="1"/>
  <c r="AD480" i="24"/>
  <c r="AE480" i="24" s="1"/>
  <c r="AD261" i="24"/>
  <c r="AE261" i="24" s="1"/>
  <c r="AD153" i="24"/>
  <c r="AE153" i="24" s="1"/>
  <c r="AD128" i="24"/>
  <c r="AE128" i="24" s="1"/>
  <c r="AD309" i="24"/>
  <c r="AE309" i="24" s="1"/>
  <c r="AD129" i="24"/>
  <c r="AE129" i="24" s="1"/>
  <c r="AD379" i="24"/>
  <c r="AE379" i="24" s="1"/>
  <c r="AD384" i="24"/>
  <c r="AE384" i="24" s="1"/>
  <c r="AD166" i="24"/>
  <c r="AE166" i="24" s="1"/>
  <c r="AD169" i="24"/>
  <c r="AE169" i="24" s="1"/>
  <c r="Y499" i="24"/>
  <c r="Z533" i="24"/>
  <c r="Y533" i="24"/>
  <c r="AA533" i="24"/>
  <c r="AB533" i="24"/>
  <c r="AC533" i="24"/>
  <c r="AD345" i="24"/>
  <c r="AE345" i="24" s="1"/>
  <c r="AD237" i="24"/>
  <c r="AE237" i="24" s="1"/>
  <c r="AD391" i="24"/>
  <c r="AE391" i="24" s="1"/>
  <c r="AD336" i="24"/>
  <c r="AE336" i="24" s="1"/>
  <c r="AD77" i="24"/>
  <c r="AE77" i="24" s="1"/>
  <c r="AD310" i="24"/>
  <c r="AE310" i="24" s="1"/>
  <c r="AD303" i="24"/>
  <c r="AE303" i="24" s="1"/>
  <c r="AD210" i="24"/>
  <c r="AE210" i="24" s="1"/>
  <c r="AD503" i="24"/>
  <c r="AE503" i="24" s="1"/>
  <c r="AD291" i="24"/>
  <c r="AE291" i="24" s="1"/>
  <c r="S188" i="24"/>
  <c r="AA188" i="24" s="1"/>
  <c r="AD188" i="24" s="1"/>
  <c r="AB499" i="24"/>
  <c r="AD393" i="24"/>
  <c r="AE393" i="24" s="1"/>
  <c r="Z499" i="24"/>
  <c r="AD70" i="24"/>
  <c r="AE70" i="24" s="1"/>
  <c r="AC499" i="24"/>
  <c r="AD207" i="24"/>
  <c r="AE207" i="24" s="1"/>
  <c r="AD330" i="24"/>
  <c r="AE330" i="24" s="1"/>
  <c r="AD578" i="24"/>
  <c r="AE578" i="24" s="1"/>
  <c r="AD257" i="24"/>
  <c r="AE257" i="24" s="1"/>
  <c r="AD222" i="24"/>
  <c r="AE222" i="24" s="1"/>
  <c r="AD167" i="24"/>
  <c r="AE167" i="24" s="1"/>
  <c r="AD492" i="24"/>
  <c r="AE492" i="24" s="1"/>
  <c r="AD218" i="24"/>
  <c r="AE218" i="24" s="1"/>
  <c r="AD567" i="24"/>
  <c r="AE567" i="24" s="1"/>
  <c r="AD572" i="24"/>
  <c r="AE572" i="24" s="1"/>
  <c r="AD66" i="24"/>
  <c r="AE66" i="24" s="1"/>
  <c r="AD111" i="24"/>
  <c r="AE111" i="24" s="1"/>
  <c r="AD156" i="24"/>
  <c r="AE156" i="24" s="1"/>
  <c r="AD20" i="24"/>
  <c r="AE20" i="24" s="1"/>
  <c r="AD278" i="24"/>
  <c r="AE278" i="24" s="1"/>
  <c r="AD598" i="24"/>
  <c r="AE598" i="24" s="1"/>
  <c r="AD579" i="24"/>
  <c r="AE579" i="24" s="1"/>
  <c r="AL499" i="24"/>
  <c r="AA545" i="24"/>
  <c r="AD590" i="24"/>
  <c r="AE590" i="24" s="1"/>
  <c r="Y157" i="24"/>
  <c r="Z545" i="24"/>
  <c r="AD26" i="24"/>
  <c r="AE26" i="24" s="1"/>
  <c r="AD389" i="24"/>
  <c r="AE389" i="24" s="1"/>
  <c r="Y545" i="24"/>
  <c r="AD319" i="24"/>
  <c r="AE319" i="24" s="1"/>
  <c r="AD213" i="24"/>
  <c r="AE213" i="24" s="1"/>
  <c r="AD256" i="24"/>
  <c r="AE256" i="24" s="1"/>
  <c r="AD262" i="24"/>
  <c r="AE262" i="24" s="1"/>
  <c r="AD150" i="24"/>
  <c r="AE150" i="24" s="1"/>
  <c r="AD390" i="24"/>
  <c r="AE390" i="24" s="1"/>
  <c r="AD194" i="24"/>
  <c r="AE194" i="24" s="1"/>
  <c r="AD304" i="24"/>
  <c r="AE304" i="24" s="1"/>
  <c r="AD361" i="24"/>
  <c r="AE361" i="24" s="1"/>
  <c r="AD131" i="24"/>
  <c r="AE131" i="24" s="1"/>
  <c r="AD296" i="24"/>
  <c r="AE296" i="24" s="1"/>
  <c r="AD363" i="24"/>
  <c r="AE363" i="24" s="1"/>
  <c r="AD364" i="24"/>
  <c r="AE364" i="24" s="1"/>
  <c r="AD335" i="24"/>
  <c r="AE335" i="24" s="1"/>
  <c r="AD264" i="24"/>
  <c r="AE264" i="24" s="1"/>
  <c r="AD362" i="24"/>
  <c r="AE362" i="24" s="1"/>
  <c r="AD358" i="24"/>
  <c r="AE358" i="24" s="1"/>
  <c r="AD385" i="24"/>
  <c r="AE385" i="24" s="1"/>
  <c r="AD190" i="24"/>
  <c r="AE190" i="24" s="1"/>
  <c r="AD58" i="24"/>
  <c r="AE58" i="24" s="1"/>
  <c r="AD369" i="24"/>
  <c r="AE369" i="24" s="1"/>
  <c r="AD420" i="24"/>
  <c r="AE420" i="24" s="1"/>
  <c r="AD64" i="24"/>
  <c r="AE64" i="24" s="1"/>
  <c r="AD124" i="24"/>
  <c r="AE124" i="24" s="1"/>
  <c r="AD19" i="24"/>
  <c r="AE19" i="24" s="1"/>
  <c r="AD284" i="24"/>
  <c r="AE284" i="24" s="1"/>
  <c r="AD121" i="24"/>
  <c r="AE121" i="24" s="1"/>
  <c r="AD307" i="24"/>
  <c r="AE307" i="24" s="1"/>
  <c r="C5" i="50"/>
  <c r="C5" i="52"/>
  <c r="AD301" i="24"/>
  <c r="AE301" i="24" s="1"/>
  <c r="AD221" i="24"/>
  <c r="AE221" i="24" s="1"/>
  <c r="S276" i="24"/>
  <c r="AA276" i="24" s="1"/>
  <c r="AD191" i="24"/>
  <c r="AE191" i="24" s="1"/>
  <c r="AD357" i="24"/>
  <c r="AE357" i="24" s="1"/>
  <c r="AD351" i="24"/>
  <c r="AE351" i="24" s="1"/>
  <c r="AD383" i="24"/>
  <c r="AE383" i="24" s="1"/>
  <c r="AD381" i="24"/>
  <c r="AE381" i="24" s="1"/>
  <c r="AB157" i="24"/>
  <c r="AC157" i="24"/>
  <c r="Z157" i="24"/>
  <c r="Y147" i="24"/>
  <c r="AB147" i="24"/>
  <c r="Z147" i="24"/>
  <c r="AE147" i="24"/>
  <c r="AK155" i="24"/>
  <c r="AA147" i="24"/>
  <c r="AD107" i="24"/>
  <c r="AE107" i="24" s="1"/>
  <c r="AD109" i="24"/>
  <c r="AE109" i="24" s="1"/>
  <c r="AD287" i="24"/>
  <c r="AE287" i="24" s="1"/>
  <c r="AD250" i="24"/>
  <c r="AE250" i="24" s="1"/>
  <c r="AD240" i="24"/>
  <c r="AE240" i="24" s="1"/>
  <c r="AD238" i="24"/>
  <c r="AE238" i="24" s="1"/>
  <c r="AD137" i="24"/>
  <c r="AE137" i="24" s="1"/>
  <c r="S411" i="24"/>
  <c r="AA411" i="24" s="1"/>
  <c r="AD302" i="24"/>
  <c r="AE302" i="24" s="1"/>
  <c r="AD367" i="24"/>
  <c r="AE367" i="24" s="1"/>
  <c r="AD288" i="24"/>
  <c r="AE288" i="24" s="1"/>
  <c r="AD366" i="24"/>
  <c r="AE366" i="24" s="1"/>
  <c r="AD168" i="24"/>
  <c r="AE168" i="24" s="1"/>
  <c r="AD76" i="24"/>
  <c r="AE76" i="24" s="1"/>
  <c r="AD258" i="24"/>
  <c r="AE258" i="24" s="1"/>
  <c r="Y534" i="24"/>
  <c r="AC534" i="24"/>
  <c r="AD104" i="24"/>
  <c r="AE104" i="24" s="1"/>
  <c r="AD61" i="24"/>
  <c r="AE61" i="24" s="1"/>
  <c r="AD388" i="24"/>
  <c r="AE388" i="24" s="1"/>
  <c r="AD215" i="24"/>
  <c r="AE215" i="24" s="1"/>
  <c r="AB534" i="24"/>
  <c r="AD588" i="24"/>
  <c r="AE588" i="24" s="1"/>
  <c r="AD259" i="24"/>
  <c r="AE259" i="24" s="1"/>
  <c r="AD484" i="24"/>
  <c r="AE484" i="24" s="1"/>
  <c r="AD234" i="24"/>
  <c r="AE234" i="24" s="1"/>
  <c r="AD108" i="24"/>
  <c r="AE108" i="24" s="1"/>
  <c r="Z532" i="24"/>
  <c r="AD86" i="24"/>
  <c r="AE86" i="24" s="1"/>
  <c r="AD254" i="24"/>
  <c r="AE254" i="24" s="1"/>
  <c r="AD141" i="24"/>
  <c r="AD151" i="24"/>
  <c r="AE151" i="24" s="1"/>
  <c r="AD452" i="24"/>
  <c r="AE452" i="24" s="1"/>
  <c r="Z630" i="24"/>
  <c r="T636" i="24" s="1"/>
  <c r="X652" i="24"/>
  <c r="S634" i="24" s="1"/>
  <c r="T635" i="24" s="1"/>
  <c r="S592" i="24"/>
  <c r="AB592" i="24" s="1"/>
  <c r="AD575" i="24"/>
  <c r="AE575" i="24" s="1"/>
  <c r="AD552" i="24"/>
  <c r="AE552" i="24" s="1"/>
  <c r="AD299" i="24"/>
  <c r="AE299" i="24" s="1"/>
  <c r="AD360" i="24"/>
  <c r="AE360" i="24" s="1"/>
  <c r="Z620" i="24"/>
  <c r="AD122" i="24"/>
  <c r="AE122" i="24" s="1"/>
  <c r="AD155" i="24"/>
  <c r="AE155" i="24" s="1"/>
  <c r="AD577" i="24"/>
  <c r="AE577" i="24" s="1"/>
  <c r="AB80" i="24"/>
  <c r="Y80" i="24"/>
  <c r="AC80" i="24"/>
  <c r="AA80" i="24"/>
  <c r="Z80" i="24"/>
  <c r="AD209" i="24"/>
  <c r="AE209" i="24" s="1"/>
  <c r="AC532" i="24"/>
  <c r="AD172" i="24"/>
  <c r="AE172" i="24" s="1"/>
  <c r="AD67" i="24"/>
  <c r="AE67" i="24" s="1"/>
  <c r="AD423" i="24"/>
  <c r="AE423" i="24" s="1"/>
  <c r="Y532" i="24"/>
  <c r="U624" i="24"/>
  <c r="Z656" i="24"/>
  <c r="X653" i="24" s="1"/>
  <c r="S630" i="24" s="1"/>
  <c r="AD138" i="24"/>
  <c r="AE138" i="24" s="1"/>
  <c r="AD125" i="24"/>
  <c r="AE125" i="24" s="1"/>
  <c r="AD386" i="24"/>
  <c r="AE386" i="24" s="1"/>
  <c r="AA532" i="24"/>
  <c r="AD212" i="24"/>
  <c r="AE212" i="24" s="1"/>
  <c r="AD239" i="24"/>
  <c r="AE239" i="24" s="1"/>
  <c r="AD21" i="24"/>
  <c r="AE21" i="24" s="1"/>
  <c r="W624" i="24"/>
  <c r="AD211" i="24"/>
  <c r="AE211" i="24" s="1"/>
  <c r="AD71" i="24"/>
  <c r="AE71" i="24" s="1"/>
  <c r="Y126" i="24"/>
  <c r="Z126" i="24"/>
  <c r="AA126" i="24"/>
  <c r="AB126" i="24"/>
  <c r="AC126" i="24"/>
  <c r="Y183" i="24"/>
  <c r="AB183" i="24"/>
  <c r="Z183" i="24"/>
  <c r="AC183" i="24"/>
  <c r="AA183" i="24"/>
  <c r="AD570" i="24"/>
  <c r="AE570" i="24" s="1"/>
  <c r="AD184" i="24"/>
  <c r="AE184" i="24" s="1"/>
  <c r="AB373" i="24"/>
  <c r="Z373" i="24"/>
  <c r="AA373" i="24"/>
  <c r="Y373" i="24"/>
  <c r="AC373" i="24"/>
  <c r="AA74" i="24"/>
  <c r="AB74" i="24"/>
  <c r="Z74" i="24"/>
  <c r="AC74" i="24"/>
  <c r="AD60" i="24"/>
  <c r="AE60" i="24" s="1"/>
  <c r="AD350" i="24"/>
  <c r="AE350" i="24" s="1"/>
  <c r="AA546" i="24"/>
  <c r="Z546" i="24"/>
  <c r="Y546" i="24"/>
  <c r="AC546" i="24"/>
  <c r="AB546" i="24"/>
  <c r="AC521" i="24"/>
  <c r="Y521" i="24"/>
  <c r="Z521" i="24"/>
  <c r="AB521" i="24"/>
  <c r="AA521" i="24"/>
  <c r="AB515" i="24"/>
  <c r="Z515" i="24"/>
  <c r="AC515" i="24"/>
  <c r="Y515" i="24"/>
  <c r="AA515" i="24"/>
  <c r="AD659" i="24"/>
  <c r="AK600" i="24"/>
  <c r="AD292" i="24"/>
  <c r="AE292" i="24" s="1"/>
  <c r="AD196" i="24"/>
  <c r="AE196" i="24" s="1"/>
  <c r="AD165" i="24"/>
  <c r="AE165" i="24" s="1"/>
  <c r="Y526" i="24"/>
  <c r="AA526" i="24"/>
  <c r="Z526" i="24"/>
  <c r="AB526" i="24"/>
  <c r="AC526" i="24"/>
  <c r="AD252" i="24"/>
  <c r="AE252" i="24" s="1"/>
  <c r="Y425" i="24"/>
  <c r="AA425" i="24"/>
  <c r="AC425" i="24"/>
  <c r="Z425" i="24"/>
  <c r="AB425" i="24"/>
  <c r="S186" i="24"/>
  <c r="AE186" i="24" s="1"/>
  <c r="AD105" i="24"/>
  <c r="AE105" i="24" s="1"/>
  <c r="AB101" i="24"/>
  <c r="Y101" i="24"/>
  <c r="AA101" i="24"/>
  <c r="Z101" i="24"/>
  <c r="AD253" i="24"/>
  <c r="AE253" i="24" s="1"/>
  <c r="AC414" i="24"/>
  <c r="AE414" i="24"/>
  <c r="Z414" i="24"/>
  <c r="AA414" i="24"/>
  <c r="Y414" i="24"/>
  <c r="AB414" i="24"/>
  <c r="AD255" i="24"/>
  <c r="AE255" i="24" s="1"/>
  <c r="Z634" i="24"/>
  <c r="T640" i="24" s="1"/>
  <c r="AD100" i="24"/>
  <c r="AD281" i="24"/>
  <c r="AE281" i="24" s="1"/>
  <c r="AD589" i="24"/>
  <c r="AE589" i="24" s="1"/>
  <c r="AA529" i="24"/>
  <c r="AB529" i="24"/>
  <c r="Y529" i="24"/>
  <c r="AC529" i="24"/>
  <c r="Z529" i="24"/>
  <c r="AB117" i="24"/>
  <c r="Z117" i="24"/>
  <c r="Y117" i="24"/>
  <c r="AA117" i="24"/>
  <c r="AC117" i="24"/>
  <c r="S34" i="14"/>
  <c r="S35" i="14" s="1"/>
  <c r="O600" i="24"/>
  <c r="S593" i="24"/>
  <c r="AD25" i="24"/>
  <c r="AE25" i="24" s="1"/>
  <c r="Y475" i="24"/>
  <c r="AC475" i="24"/>
  <c r="Z475" i="24"/>
  <c r="AB475" i="24"/>
  <c r="AK505" i="24"/>
  <c r="AA475" i="24"/>
  <c r="S485" i="24"/>
  <c r="AO431" i="24"/>
  <c r="AA437" i="24"/>
  <c r="AB437" i="24"/>
  <c r="AC437" i="24"/>
  <c r="Z437" i="24"/>
  <c r="S438" i="24"/>
  <c r="Y437" i="24"/>
  <c r="AD376" i="24"/>
  <c r="AB559" i="24"/>
  <c r="AA559" i="24"/>
  <c r="Z559" i="24"/>
  <c r="Y559" i="24"/>
  <c r="AC559" i="24"/>
  <c r="AB530" i="24"/>
  <c r="Y530" i="24"/>
  <c r="Z530" i="24"/>
  <c r="AC530" i="24"/>
  <c r="AA530" i="24"/>
  <c r="AC56" i="24"/>
  <c r="X622" i="24" s="1"/>
  <c r="Y56" i="24"/>
  <c r="AB56" i="24"/>
  <c r="AA56" i="24"/>
  <c r="Z56" i="24"/>
  <c r="AA585" i="24"/>
  <c r="AB585" i="24"/>
  <c r="Z585" i="24"/>
  <c r="AC585" i="24"/>
  <c r="Y585" i="24"/>
  <c r="AC428" i="24"/>
  <c r="Y428" i="24"/>
  <c r="AA428" i="24"/>
  <c r="Z428" i="24"/>
  <c r="AB428" i="24"/>
  <c r="AC659" i="24"/>
  <c r="AD380" i="24"/>
  <c r="AE380" i="24" s="1"/>
  <c r="AD553" i="24"/>
  <c r="AE553" i="24" s="1"/>
  <c r="AL555" i="24"/>
  <c r="AC517" i="24"/>
  <c r="AB517" i="24"/>
  <c r="Z517" i="24"/>
  <c r="AA517" i="24"/>
  <c r="Y517" i="24"/>
  <c r="S547" i="24"/>
  <c r="Z618" i="24"/>
  <c r="Y274" i="24"/>
  <c r="AB274" i="24"/>
  <c r="Z274" i="24"/>
  <c r="AC274" i="24"/>
  <c r="AA274" i="24"/>
  <c r="S275" i="24"/>
  <c r="C11" i="52" s="1"/>
  <c r="AB535" i="24"/>
  <c r="AC535" i="24"/>
  <c r="AA535" i="24"/>
  <c r="Z535" i="24"/>
  <c r="Y535" i="24"/>
  <c r="Z631" i="24"/>
  <c r="AA659" i="24"/>
  <c r="O555" i="24"/>
  <c r="S548" i="24"/>
  <c r="AK554" i="24" s="1"/>
  <c r="AD586" i="24"/>
  <c r="AE586" i="24" s="1"/>
  <c r="AA522" i="24"/>
  <c r="Z522" i="24"/>
  <c r="Y522" i="24"/>
  <c r="AC522" i="24"/>
  <c r="AB522" i="24"/>
  <c r="AD251" i="24"/>
  <c r="AE251" i="24" s="1"/>
  <c r="AC248" i="24"/>
  <c r="AB248" i="24"/>
  <c r="AA248" i="24"/>
  <c r="Z248" i="24"/>
  <c r="Y248" i="24"/>
  <c r="V624" i="24" l="1"/>
  <c r="S624" i="24" s="1"/>
  <c r="AD57" i="24"/>
  <c r="AE57" i="24" s="1"/>
  <c r="AD280" i="24"/>
  <c r="S617" i="24"/>
  <c r="AA625" i="24"/>
  <c r="Z158" i="24"/>
  <c r="Y158" i="24"/>
  <c r="AC158" i="24"/>
  <c r="AB158" i="24"/>
  <c r="AA158" i="24"/>
  <c r="AD249" i="24"/>
  <c r="AE249" i="24" s="1"/>
  <c r="C14" i="52"/>
  <c r="AD340" i="24"/>
  <c r="AE340" i="24" s="1"/>
  <c r="AD374" i="24"/>
  <c r="AE374" i="24" s="1"/>
  <c r="C15" i="52"/>
  <c r="D15" i="52" s="1"/>
  <c r="AD127" i="24"/>
  <c r="AE127" i="24" s="1"/>
  <c r="AD118" i="24"/>
  <c r="AE118" i="24" s="1"/>
  <c r="AD135" i="24"/>
  <c r="AE135" i="24" s="1"/>
  <c r="S32" i="24"/>
  <c r="C6" i="52" s="1"/>
  <c r="AD102" i="24"/>
  <c r="AE102" i="24" s="1"/>
  <c r="AD295" i="24"/>
  <c r="AE295" i="24" s="1"/>
  <c r="AA489" i="24"/>
  <c r="AD488" i="24"/>
  <c r="AE488" i="24" s="1"/>
  <c r="Z489" i="24"/>
  <c r="AC489" i="24"/>
  <c r="AB489" i="24"/>
  <c r="AD457" i="24"/>
  <c r="AE457" i="24" s="1"/>
  <c r="AD450" i="24"/>
  <c r="AE450" i="24" s="1"/>
  <c r="O12" i="4"/>
  <c r="AD441" i="24"/>
  <c r="AE441" i="24" s="1"/>
  <c r="AD569" i="24"/>
  <c r="AE569" i="24" s="1"/>
  <c r="V620" i="24"/>
  <c r="J13" i="4"/>
  <c r="AD467" i="24"/>
  <c r="AE467" i="24" s="1"/>
  <c r="AD18" i="24"/>
  <c r="AE18" i="24" s="1"/>
  <c r="AD580" i="24"/>
  <c r="AE580" i="24" s="1"/>
  <c r="AD443" i="24"/>
  <c r="AE443" i="24" s="1"/>
  <c r="AD512" i="24"/>
  <c r="AE512" i="24" s="1"/>
  <c r="AB554" i="24"/>
  <c r="AD469" i="24"/>
  <c r="AE469" i="24" s="1"/>
  <c r="AD584" i="24"/>
  <c r="AE584" i="24" s="1"/>
  <c r="AO434" i="24"/>
  <c r="AK444" i="24" s="1"/>
  <c r="AA554" i="24"/>
  <c r="X642" i="24"/>
  <c r="S629" i="24" s="1"/>
  <c r="W620" i="24"/>
  <c r="R603" i="24"/>
  <c r="AD614" i="24" s="1"/>
  <c r="AD465" i="24"/>
  <c r="AE465" i="24" s="1"/>
  <c r="F7" i="50"/>
  <c r="T621" i="24"/>
  <c r="AD468" i="24"/>
  <c r="AE468" i="24" s="1"/>
  <c r="X621" i="24"/>
  <c r="AD331" i="24"/>
  <c r="AE331" i="24" s="1"/>
  <c r="S461" i="24"/>
  <c r="AB461" i="24" s="1"/>
  <c r="V621" i="24"/>
  <c r="AD583" i="24"/>
  <c r="AE583" i="24" s="1"/>
  <c r="AD442" i="24"/>
  <c r="AE442" i="24" s="1"/>
  <c r="U620" i="24"/>
  <c r="W619" i="24"/>
  <c r="X619" i="24"/>
  <c r="U619" i="24"/>
  <c r="V619" i="24"/>
  <c r="AD582" i="24"/>
  <c r="AE582" i="24" s="1"/>
  <c r="W621" i="24"/>
  <c r="AD564" i="24"/>
  <c r="AE564" i="24" s="1"/>
  <c r="AD464" i="24"/>
  <c r="AE464" i="24" s="1"/>
  <c r="AB510" i="24"/>
  <c r="AA471" i="24"/>
  <c r="Y472" i="24"/>
  <c r="AD440" i="24"/>
  <c r="AE440" i="24" s="1"/>
  <c r="AD597" i="24"/>
  <c r="AE597" i="24" s="1"/>
  <c r="D5" i="52"/>
  <c r="AD581" i="24"/>
  <c r="AE581" i="24" s="1"/>
  <c r="U621" i="24"/>
  <c r="W622" i="24"/>
  <c r="AE599" i="24"/>
  <c r="AD476" i="24"/>
  <c r="AE476" i="24" s="1"/>
  <c r="S600" i="24"/>
  <c r="AE600" i="24" s="1"/>
  <c r="AA599" i="24"/>
  <c r="AD436" i="24"/>
  <c r="AE436" i="24" s="1"/>
  <c r="AD525" i="24"/>
  <c r="AE525" i="24" s="1"/>
  <c r="AD536" i="24"/>
  <c r="AE536" i="24" s="1"/>
  <c r="AD587" i="24"/>
  <c r="AE587" i="24" s="1"/>
  <c r="Y592" i="24"/>
  <c r="AD502" i="24"/>
  <c r="AE502" i="24" s="1"/>
  <c r="AD481" i="24"/>
  <c r="AE481" i="24" s="1"/>
  <c r="AD435" i="24"/>
  <c r="AE435" i="24" s="1"/>
  <c r="Q601" i="24"/>
  <c r="Q603" i="24" s="1"/>
  <c r="E10" i="4" s="1"/>
  <c r="L8" i="4" s="1"/>
  <c r="AD448" i="24"/>
  <c r="AE448" i="24" s="1"/>
  <c r="AD466" i="24"/>
  <c r="AE466" i="24" s="1"/>
  <c r="AD63" i="24"/>
  <c r="AE63" i="24" s="1"/>
  <c r="AD444" i="24"/>
  <c r="AE444" i="24" s="1"/>
  <c r="AL503" i="24"/>
  <c r="AD568" i="24"/>
  <c r="AE568" i="24" s="1"/>
  <c r="AD17" i="24"/>
  <c r="AE17" i="24" s="1"/>
  <c r="AD479" i="24"/>
  <c r="AE479" i="24" s="1"/>
  <c r="AD513" i="24"/>
  <c r="AE513" i="24" s="1"/>
  <c r="AD473" i="24"/>
  <c r="AE473" i="24" s="1"/>
  <c r="AD562" i="24"/>
  <c r="AE562" i="24" s="1"/>
  <c r="AA510" i="24"/>
  <c r="AD543" i="24"/>
  <c r="AE543" i="24" s="1"/>
  <c r="AD549" i="24"/>
  <c r="AE549" i="24" s="1"/>
  <c r="AD474" i="24"/>
  <c r="AE474" i="24" s="1"/>
  <c r="AD478" i="24"/>
  <c r="AE478" i="24" s="1"/>
  <c r="AC510" i="24"/>
  <c r="Y510" i="24"/>
  <c r="AD15" i="24"/>
  <c r="AE15" i="24" s="1"/>
  <c r="AD591" i="24"/>
  <c r="AE591" i="24" s="1"/>
  <c r="Z472" i="24"/>
  <c r="AD343" i="24"/>
  <c r="AE343" i="24" s="1"/>
  <c r="P601" i="24"/>
  <c r="AD594" i="24"/>
  <c r="AE594" i="24" s="1"/>
  <c r="AD563" i="24"/>
  <c r="AE563" i="24" s="1"/>
  <c r="AC554" i="24"/>
  <c r="Z459" i="24"/>
  <c r="Z554" i="24"/>
  <c r="AD16" i="24"/>
  <c r="AE16" i="24" s="1"/>
  <c r="AA459" i="24"/>
  <c r="AC459" i="24"/>
  <c r="AD566" i="24"/>
  <c r="AE566" i="24" s="1"/>
  <c r="X620" i="24"/>
  <c r="S460" i="24"/>
  <c r="Y459" i="24"/>
  <c r="U622" i="24"/>
  <c r="G11" i="4"/>
  <c r="O11" i="4" s="1"/>
  <c r="S505" i="24"/>
  <c r="AA472" i="24"/>
  <c r="AB472" i="24"/>
  <c r="S507" i="24"/>
  <c r="AA507" i="24" s="1"/>
  <c r="AD507" i="24" s="1"/>
  <c r="AE507" i="24" s="1"/>
  <c r="Z599" i="24"/>
  <c r="AB599" i="24"/>
  <c r="AB471" i="24"/>
  <c r="Y599" i="24"/>
  <c r="Z471" i="24"/>
  <c r="Y471" i="24"/>
  <c r="AD541" i="24"/>
  <c r="AE541" i="24" s="1"/>
  <c r="AD596" i="24"/>
  <c r="AE596" i="24" s="1"/>
  <c r="V622" i="24"/>
  <c r="T622" i="24"/>
  <c r="AD353" i="24"/>
  <c r="AE353" i="24" s="1"/>
  <c r="AD537" i="24"/>
  <c r="AE537" i="24" s="1"/>
  <c r="AD516" i="24"/>
  <c r="AE516" i="24" s="1"/>
  <c r="AD545" i="24"/>
  <c r="AE545" i="24" s="1"/>
  <c r="AD490" i="24"/>
  <c r="AE490" i="24" s="1"/>
  <c r="AD470" i="24"/>
  <c r="AE470" i="24" s="1"/>
  <c r="AA509" i="24"/>
  <c r="C15" i="50"/>
  <c r="F15" i="50" s="1"/>
  <c r="AD560" i="24"/>
  <c r="AE560" i="24" s="1"/>
  <c r="AD514" i="24"/>
  <c r="AE514" i="24" s="1"/>
  <c r="AD520" i="24"/>
  <c r="AE520" i="24" s="1"/>
  <c r="AD508" i="24"/>
  <c r="AE508" i="24" s="1"/>
  <c r="AD540" i="24"/>
  <c r="AE540" i="24" s="1"/>
  <c r="AA592" i="24"/>
  <c r="AC592" i="24"/>
  <c r="Z592" i="24"/>
  <c r="AB509" i="24"/>
  <c r="Y509" i="24"/>
  <c r="AC509" i="24"/>
  <c r="AD134" i="24"/>
  <c r="AE134" i="24" s="1"/>
  <c r="AD533" i="24"/>
  <c r="AE533" i="24" s="1"/>
  <c r="AD499" i="24"/>
  <c r="AE499" i="24" s="1"/>
  <c r="AD534" i="24"/>
  <c r="AE534" i="24" s="1"/>
  <c r="AD532" i="24"/>
  <c r="AE532" i="24" s="1"/>
  <c r="AD74" i="24"/>
  <c r="AE74" i="24" s="1"/>
  <c r="AD157" i="24"/>
  <c r="AE157" i="24" s="1"/>
  <c r="AK313" i="24"/>
  <c r="AL592" i="24"/>
  <c r="AN600" i="24" s="1"/>
  <c r="AK450" i="24"/>
  <c r="AD530" i="24"/>
  <c r="AE530" i="24" s="1"/>
  <c r="AD101" i="24"/>
  <c r="AE101" i="24" s="1"/>
  <c r="AD526" i="24"/>
  <c r="AE526" i="24" s="1"/>
  <c r="AD521" i="24"/>
  <c r="AE521" i="24" s="1"/>
  <c r="AD515" i="24"/>
  <c r="AE515" i="24" s="1"/>
  <c r="AD126" i="24"/>
  <c r="AE126" i="24" s="1"/>
  <c r="AD425" i="24"/>
  <c r="AE425" i="24" s="1"/>
  <c r="C16" i="50"/>
  <c r="F16" i="50" s="1"/>
  <c r="AD373" i="24"/>
  <c r="AE373" i="24" s="1"/>
  <c r="AD183" i="24"/>
  <c r="AE183" i="24" s="1"/>
  <c r="AD546" i="24"/>
  <c r="AE546" i="24" s="1"/>
  <c r="AD12" i="24"/>
  <c r="AE12" i="24" s="1"/>
  <c r="C7" i="52"/>
  <c r="C8" i="50"/>
  <c r="AE94" i="24"/>
  <c r="AD585" i="24"/>
  <c r="AE585" i="24" s="1"/>
  <c r="AE376" i="24"/>
  <c r="AC593" i="24"/>
  <c r="Y593" i="24"/>
  <c r="AB593" i="24"/>
  <c r="AA593" i="24"/>
  <c r="Z593" i="24"/>
  <c r="AE100" i="24"/>
  <c r="AD437" i="24"/>
  <c r="T620" i="24"/>
  <c r="AD529" i="24"/>
  <c r="AE529" i="24" s="1"/>
  <c r="AD559" i="24"/>
  <c r="AE559" i="24" s="1"/>
  <c r="Z438" i="24"/>
  <c r="AA438" i="24"/>
  <c r="AC438" i="24"/>
  <c r="Y438" i="24"/>
  <c r="AB438" i="24"/>
  <c r="AD475" i="24"/>
  <c r="AD117" i="24"/>
  <c r="AE117" i="24" s="1"/>
  <c r="AD428" i="24"/>
  <c r="AE428" i="24" s="1"/>
  <c r="Y485" i="24"/>
  <c r="AC485" i="24"/>
  <c r="S486" i="24"/>
  <c r="Z485" i="24"/>
  <c r="AB485" i="24"/>
  <c r="AA485" i="24"/>
  <c r="AC548" i="24"/>
  <c r="AB548" i="24"/>
  <c r="Z548" i="24"/>
  <c r="Y548" i="24"/>
  <c r="AA548" i="24"/>
  <c r="AD248" i="24"/>
  <c r="AE248" i="24" s="1"/>
  <c r="S556" i="24"/>
  <c r="O601" i="24"/>
  <c r="D14" i="50"/>
  <c r="AD522" i="24"/>
  <c r="AE522" i="24" s="1"/>
  <c r="AE275" i="24"/>
  <c r="C12" i="50"/>
  <c r="S555" i="24"/>
  <c r="Y547" i="24"/>
  <c r="AB547" i="24"/>
  <c r="Z547" i="24"/>
  <c r="AC547" i="24"/>
  <c r="AA547" i="24"/>
  <c r="AD517" i="24"/>
  <c r="T637" i="24"/>
  <c r="X635" i="24"/>
  <c r="AD535" i="24"/>
  <c r="AE535" i="24" s="1"/>
  <c r="D14" i="52" l="1"/>
  <c r="AD158" i="24"/>
  <c r="AE158" i="24" s="1"/>
  <c r="AK158" i="24" s="1"/>
  <c r="AK607" i="24" s="1"/>
  <c r="AN607" i="24" s="1"/>
  <c r="D6" i="52"/>
  <c r="C4" i="52"/>
  <c r="AD489" i="24"/>
  <c r="AE489" i="24" s="1"/>
  <c r="H18" i="47"/>
  <c r="F20" i="47"/>
  <c r="C6" i="50"/>
  <c r="E20" i="47"/>
  <c r="AD660" i="24"/>
  <c r="AD661" i="24" s="1"/>
  <c r="AA461" i="24"/>
  <c r="AL460" i="24"/>
  <c r="Z461" i="24"/>
  <c r="AC461" i="24"/>
  <c r="F10" i="4"/>
  <c r="M8" i="4" s="1"/>
  <c r="Y461" i="24"/>
  <c r="H16" i="47"/>
  <c r="E10" i="50"/>
  <c r="E19" i="50" s="1"/>
  <c r="E25" i="50" s="1"/>
  <c r="S621" i="24"/>
  <c r="AL485" i="24"/>
  <c r="T619" i="24"/>
  <c r="S619" i="24" s="1"/>
  <c r="C9" i="50"/>
  <c r="F9" i="50" s="1"/>
  <c r="AD510" i="24"/>
  <c r="AE510" i="24" s="1"/>
  <c r="S506" i="24"/>
  <c r="S601" i="24" s="1"/>
  <c r="AC601" i="24" s="1"/>
  <c r="AD554" i="24"/>
  <c r="AE554" i="24" s="1"/>
  <c r="E13" i="4"/>
  <c r="AC614" i="24"/>
  <c r="AC660" i="24"/>
  <c r="AC661" i="24" s="1"/>
  <c r="S620" i="24"/>
  <c r="AD459" i="24"/>
  <c r="AE459" i="24" s="1"/>
  <c r="AD471" i="24"/>
  <c r="AE471" i="24" s="1"/>
  <c r="AD472" i="24"/>
  <c r="AE472" i="24" s="1"/>
  <c r="S622" i="24"/>
  <c r="AD354" i="24"/>
  <c r="AE354" i="24" s="1"/>
  <c r="AD592" i="24"/>
  <c r="AE592" i="24" s="1"/>
  <c r="AD509" i="24"/>
  <c r="AE509" i="24" s="1"/>
  <c r="F17" i="50"/>
  <c r="F18" i="50" s="1"/>
  <c r="C16" i="52"/>
  <c r="C13" i="52" s="1"/>
  <c r="AD410" i="24"/>
  <c r="AD485" i="24"/>
  <c r="AE485" i="24" s="1"/>
  <c r="C11" i="50"/>
  <c r="F11" i="50" s="1"/>
  <c r="AE187" i="24"/>
  <c r="D10" i="52"/>
  <c r="AE475" i="24"/>
  <c r="F8" i="50"/>
  <c r="D7" i="52"/>
  <c r="AD438" i="24"/>
  <c r="AE438" i="24" s="1"/>
  <c r="AE437" i="24"/>
  <c r="AD593" i="24"/>
  <c r="AE593" i="24" s="1"/>
  <c r="S628" i="24"/>
  <c r="AL547" i="24"/>
  <c r="AE517" i="24"/>
  <c r="F12" i="50"/>
  <c r="AD430" i="24"/>
  <c r="AE430" i="24" s="1"/>
  <c r="D11" i="52"/>
  <c r="S602" i="24"/>
  <c r="O603" i="24"/>
  <c r="AD548" i="24"/>
  <c r="AE548" i="24" s="1"/>
  <c r="AD547" i="24"/>
  <c r="AE547" i="24" s="1"/>
  <c r="AB556" i="24"/>
  <c r="Y556" i="24"/>
  <c r="Z556" i="24"/>
  <c r="AA556" i="24"/>
  <c r="AC556" i="24"/>
  <c r="D16" i="52" l="1"/>
  <c r="D13" i="52" s="1"/>
  <c r="F6" i="50"/>
  <c r="C10" i="50"/>
  <c r="AD505" i="24"/>
  <c r="AE505" i="24" s="1"/>
  <c r="D20" i="47"/>
  <c r="F13" i="4"/>
  <c r="AD461" i="24"/>
  <c r="AE461" i="24" s="1"/>
  <c r="D8" i="52"/>
  <c r="D4" i="52" s="1"/>
  <c r="H15" i="47"/>
  <c r="AD486" i="24"/>
  <c r="AE486" i="24" s="1"/>
  <c r="H17" i="47"/>
  <c r="G20" i="47"/>
  <c r="C18" i="50"/>
  <c r="AD602" i="24"/>
  <c r="C21" i="50"/>
  <c r="C24" i="50" s="1"/>
  <c r="AD460" i="24"/>
  <c r="AE460" i="24" s="1"/>
  <c r="AB601" i="24"/>
  <c r="Z601" i="24"/>
  <c r="Y601" i="24"/>
  <c r="AA601" i="24"/>
  <c r="AE601" i="24"/>
  <c r="AD555" i="24"/>
  <c r="AE555" i="24" s="1"/>
  <c r="AD556" i="24"/>
  <c r="AE556" i="24" s="1"/>
  <c r="C10" i="4"/>
  <c r="AA614" i="24"/>
  <c r="AA660" i="24"/>
  <c r="AA661" i="24" s="1"/>
  <c r="F5" i="50"/>
  <c r="D10" i="50"/>
  <c r="D19" i="50" s="1"/>
  <c r="D25" i="50" s="1"/>
  <c r="F10" i="50" l="1"/>
  <c r="F21" i="50"/>
  <c r="C19" i="52"/>
  <c r="H20" i="47"/>
  <c r="AE159" i="24"/>
  <c r="H22" i="47"/>
  <c r="E26" i="47"/>
  <c r="H23" i="47"/>
  <c r="G26" i="47"/>
  <c r="C13" i="4"/>
  <c r="J8" i="4"/>
  <c r="F27" i="50" l="1"/>
  <c r="F24" i="50"/>
  <c r="D19" i="52"/>
  <c r="F26" i="47"/>
  <c r="D26" i="47" l="1"/>
  <c r="H21" i="47"/>
  <c r="H26" i="47" s="1"/>
  <c r="AA311" i="24"/>
  <c r="AB311" i="24" l="1"/>
  <c r="Z311" i="24"/>
  <c r="AC311" i="24"/>
  <c r="Y311" i="24"/>
  <c r="T618" i="24" s="1"/>
  <c r="AB623" i="24"/>
  <c r="AB625" i="24" s="1"/>
  <c r="K10" i="4"/>
  <c r="K13" i="4" s="1"/>
  <c r="P314" i="24"/>
  <c r="AB658" i="24"/>
  <c r="AB659" i="24" s="1"/>
  <c r="Y312" i="24"/>
  <c r="AD311" i="24" l="1"/>
  <c r="AE311" i="24" s="1"/>
  <c r="AB312" i="24"/>
  <c r="W623" i="24" s="1"/>
  <c r="S315" i="24"/>
  <c r="AA315" i="24" s="1"/>
  <c r="AD315" i="24" s="1"/>
  <c r="P603" i="24"/>
  <c r="T623" i="24"/>
  <c r="T625" i="24" s="1"/>
  <c r="Z658" i="24"/>
  <c r="AA312" i="24"/>
  <c r="V618" i="24" s="1"/>
  <c r="AC312" i="24"/>
  <c r="X618" i="24" s="1"/>
  <c r="Z623" i="24"/>
  <c r="Z625" i="24" s="1"/>
  <c r="N10" i="4"/>
  <c r="N13" i="4" s="1"/>
  <c r="Z312" i="24"/>
  <c r="U618" i="24" s="1"/>
  <c r="W618" i="24" l="1"/>
  <c r="S618" i="24" s="1"/>
  <c r="T628" i="24" s="1"/>
  <c r="AD312" i="24"/>
  <c r="AE312" i="24" s="1"/>
  <c r="S314" i="24"/>
  <c r="Y313" i="24"/>
  <c r="AA313" i="24"/>
  <c r="AA603" i="24" s="1"/>
  <c r="AC313" i="24"/>
  <c r="AC603" i="24" s="1"/>
  <c r="AB313" i="24"/>
  <c r="AB603" i="24" s="1"/>
  <c r="Z313" i="24"/>
  <c r="V623" i="24"/>
  <c r="V625" i="24" s="1"/>
  <c r="S605" i="24"/>
  <c r="AB614" i="24"/>
  <c r="D10" i="4"/>
  <c r="AB660" i="24"/>
  <c r="AB661" i="24" s="1"/>
  <c r="Z659" i="24"/>
  <c r="X655" i="24"/>
  <c r="U623" i="24"/>
  <c r="U625" i="24" s="1"/>
  <c r="Z603" i="24"/>
  <c r="X623" i="24"/>
  <c r="X625" i="24" s="1"/>
  <c r="W625" i="24" l="1"/>
  <c r="W626" i="24" s="1"/>
  <c r="C27" i="50"/>
  <c r="C28" i="50" s="1"/>
  <c r="X656" i="24"/>
  <c r="S633" i="24"/>
  <c r="S636" i="24" s="1"/>
  <c r="S623" i="24"/>
  <c r="S625" i="24" s="1"/>
  <c r="K8" i="4"/>
  <c r="D13" i="4"/>
  <c r="G10" i="4"/>
  <c r="X626" i="24"/>
  <c r="U626" i="24"/>
  <c r="V626" i="24"/>
  <c r="AD313" i="24"/>
  <c r="AE313" i="24" s="1"/>
  <c r="Y603" i="24"/>
  <c r="S603" i="24"/>
  <c r="C12" i="52"/>
  <c r="C13" i="50"/>
  <c r="AE314" i="24"/>
  <c r="D12" i="52" l="1"/>
  <c r="D9" i="52" s="1"/>
  <c r="D17" i="52" s="1"/>
  <c r="D21" i="52" s="1"/>
  <c r="C9" i="52"/>
  <c r="C17" i="52" s="1"/>
  <c r="C21" i="52" s="1"/>
  <c r="O10" i="4"/>
  <c r="G13" i="4"/>
  <c r="H10" i="4" s="1"/>
  <c r="AD603" i="24"/>
  <c r="R605" i="24" s="1"/>
  <c r="T626" i="24"/>
  <c r="AC604" i="24"/>
  <c r="S637" i="24"/>
  <c r="Q604" i="24"/>
  <c r="AC608" i="24" s="1"/>
  <c r="AD604" i="24"/>
  <c r="O604" i="24"/>
  <c r="Z661" i="24"/>
  <c r="R604" i="24"/>
  <c r="AD608" i="24" s="1"/>
  <c r="S606" i="24"/>
  <c r="S626" i="24"/>
  <c r="P604" i="24"/>
  <c r="AB608" i="24" s="1"/>
  <c r="F13" i="50"/>
  <c r="F14" i="50" s="1"/>
  <c r="F19" i="50" s="1"/>
  <c r="F25" i="50" s="1"/>
  <c r="C14" i="50"/>
  <c r="C19" i="50" s="1"/>
  <c r="C25" i="50" l="1"/>
  <c r="F26" i="50" s="1"/>
  <c r="F28" i="50"/>
  <c r="G9" i="47"/>
  <c r="H11" i="4"/>
  <c r="H13" i="4"/>
  <c r="H12" i="4"/>
  <c r="E9" i="47"/>
  <c r="S604" i="24"/>
  <c r="AA612" i="24"/>
  <c r="AA610" i="24"/>
  <c r="AA609" i="24"/>
  <c r="AA611" i="24"/>
  <c r="AD611" i="24"/>
  <c r="G12" i="47" s="1"/>
  <c r="AD610" i="24"/>
  <c r="G11" i="47" s="1"/>
  <c r="AD609" i="24"/>
  <c r="G10" i="47" s="1"/>
  <c r="AD612" i="24"/>
  <c r="G13" i="47" s="1"/>
  <c r="AD605" i="24"/>
  <c r="F9" i="47"/>
  <c r="AB610" i="24"/>
  <c r="E11" i="47" s="1"/>
  <c r="AB611" i="24"/>
  <c r="E12" i="47" s="1"/>
  <c r="AB612" i="24"/>
  <c r="E13" i="47" s="1"/>
  <c r="AB609" i="24"/>
  <c r="E10" i="47" s="1"/>
  <c r="AC611" i="24"/>
  <c r="F12" i="47" s="1"/>
  <c r="AC610" i="24"/>
  <c r="F11" i="47" s="1"/>
  <c r="AC609" i="24"/>
  <c r="F10" i="47" s="1"/>
  <c r="AC612" i="24"/>
  <c r="F13" i="47" s="1"/>
  <c r="AA608" i="24"/>
  <c r="E31" i="47" l="1"/>
  <c r="D21" i="4"/>
  <c r="K21" i="4" s="1"/>
  <c r="Z611" i="24"/>
  <c r="D12" i="47"/>
  <c r="AB613" i="24"/>
  <c r="E30" i="47"/>
  <c r="D20" i="4"/>
  <c r="K20" i="4" s="1"/>
  <c r="F14" i="47"/>
  <c r="F27" i="47"/>
  <c r="E17" i="4"/>
  <c r="E28" i="47"/>
  <c r="D18" i="4"/>
  <c r="K18" i="4" s="1"/>
  <c r="E27" i="47"/>
  <c r="D17" i="4"/>
  <c r="E14" i="47"/>
  <c r="AC613" i="24"/>
  <c r="G28" i="47"/>
  <c r="F18" i="4"/>
  <c r="M18" i="4" s="1"/>
  <c r="G30" i="47"/>
  <c r="F20" i="4"/>
  <c r="M20" i="4" s="1"/>
  <c r="F31" i="47"/>
  <c r="E21" i="4"/>
  <c r="L21" i="4" s="1"/>
  <c r="Z609" i="24"/>
  <c r="D10" i="47"/>
  <c r="Z610" i="24"/>
  <c r="D11" i="47"/>
  <c r="F29" i="47"/>
  <c r="E19" i="4"/>
  <c r="L19" i="4" s="1"/>
  <c r="Z612" i="24"/>
  <c r="D13" i="47"/>
  <c r="G14" i="47"/>
  <c r="G27" i="47"/>
  <c r="F17" i="4"/>
  <c r="G29" i="47"/>
  <c r="F19" i="4"/>
  <c r="M19" i="4" s="1"/>
  <c r="Z608" i="24"/>
  <c r="AA613" i="24"/>
  <c r="D9" i="47"/>
  <c r="E29" i="47"/>
  <c r="D19" i="4"/>
  <c r="K19" i="4" s="1"/>
  <c r="E18" i="4"/>
  <c r="L18" i="4" s="1"/>
  <c r="F28" i="47"/>
  <c r="E20" i="4"/>
  <c r="L20" i="4" s="1"/>
  <c r="F30" i="47"/>
  <c r="G31" i="47"/>
  <c r="F21" i="4"/>
  <c r="M21" i="4" s="1"/>
  <c r="AD613" i="24"/>
  <c r="G32" i="47" l="1"/>
  <c r="D28" i="47"/>
  <c r="H28" i="47" s="1"/>
  <c r="H10" i="47"/>
  <c r="C18" i="4"/>
  <c r="K17" i="4"/>
  <c r="K22" i="4" s="1"/>
  <c r="D22" i="4"/>
  <c r="E32" i="47"/>
  <c r="D30" i="47"/>
  <c r="H30" i="47" s="1"/>
  <c r="C20" i="4"/>
  <c r="H12" i="47"/>
  <c r="C21" i="4"/>
  <c r="H13" i="47"/>
  <c r="D31" i="47"/>
  <c r="H31" i="47" s="1"/>
  <c r="D14" i="47"/>
  <c r="H9" i="47"/>
  <c r="D27" i="47"/>
  <c r="C17" i="4"/>
  <c r="Z613" i="24"/>
  <c r="H11" i="47"/>
  <c r="D29" i="47"/>
  <c r="H29" i="47" s="1"/>
  <c r="C19" i="4"/>
  <c r="E22" i="4"/>
  <c r="L17" i="4"/>
  <c r="L22" i="4" s="1"/>
  <c r="F22" i="4"/>
  <c r="M17" i="4"/>
  <c r="M22" i="4" s="1"/>
  <c r="F32" i="47"/>
  <c r="H14" i="47" l="1"/>
  <c r="J17" i="4"/>
  <c r="C22" i="4"/>
  <c r="G17" i="4"/>
  <c r="G18" i="4"/>
  <c r="H18" i="4" s="1"/>
  <c r="J18" i="4"/>
  <c r="N18" i="4" s="1"/>
  <c r="J20" i="4"/>
  <c r="N20" i="4" s="1"/>
  <c r="G20" i="4"/>
  <c r="H20" i="4" s="1"/>
  <c r="J19" i="4"/>
  <c r="N19" i="4" s="1"/>
  <c r="G19" i="4"/>
  <c r="H19" i="4" s="1"/>
  <c r="J21" i="4"/>
  <c r="N21" i="4" s="1"/>
  <c r="G21" i="4"/>
  <c r="H21" i="4" s="1"/>
  <c r="D32" i="47"/>
  <c r="H27" i="47"/>
  <c r="H32" i="47" s="1"/>
  <c r="Z626" i="24"/>
  <c r="Z614" i="24"/>
  <c r="G22" i="4" l="1"/>
  <c r="H17" i="4"/>
  <c r="J22" i="4"/>
  <c r="N17" i="4"/>
  <c r="N22" i="4" s="1"/>
  <c r="H22" i="4" l="1"/>
  <c r="G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Rattana</author>
  </authors>
  <commentList>
    <comment ref="M13" authorId="0" shapeId="0" xr:uid="{00000000-0006-0000-0200-000001000000}">
      <text>
        <r>
          <rPr>
            <b/>
            <sz val="9"/>
            <color indexed="81"/>
            <rFont val="Tahoma"/>
            <family val="2"/>
          </rPr>
          <t>Rattana:</t>
        </r>
        <r>
          <rPr>
            <sz val="9"/>
            <color indexed="81"/>
            <rFont val="Tahoma"/>
            <family val="2"/>
          </rPr>
          <t xml:space="preserve">
Difference from B.Mao.
Grant 50% + Ben 50%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KL</author>
    <author>Owner</author>
    <author>Dara Phuong</author>
    <author>Sophat Sophana</author>
    <author>Admin</author>
  </authors>
  <commentList>
    <comment ref="J15" authorId="0" shapeId="0" xr:uid="{00000000-0006-0000-0300-000001000000}">
      <text>
        <r>
          <rPr>
            <b/>
            <sz val="9"/>
            <color indexed="81"/>
            <rFont val="Tahoma"/>
            <family val="2"/>
          </rPr>
          <t>Reth:</t>
        </r>
        <r>
          <rPr>
            <sz val="9"/>
            <color indexed="81"/>
            <rFont val="Tahoma"/>
            <family val="2"/>
          </rPr>
          <t xml:space="preserve">
10% advance after contract signed</t>
        </r>
      </text>
    </comment>
    <comment ref="K15" authorId="0" shapeId="0" xr:uid="{00000000-0006-0000-0300-000002000000}">
      <text>
        <r>
          <rPr>
            <b/>
            <sz val="9"/>
            <color indexed="81"/>
            <rFont val="Tahoma"/>
            <family val="2"/>
          </rPr>
          <t>Reth:</t>
        </r>
        <r>
          <rPr>
            <sz val="9"/>
            <color indexed="81"/>
            <rFont val="Tahoma"/>
            <family val="2"/>
          </rPr>
          <t xml:space="preserve">
progress payment IPC-01</t>
        </r>
      </text>
    </comment>
    <comment ref="L15" authorId="0" shapeId="0" xr:uid="{00000000-0006-0000-0300-000003000000}">
      <text>
        <r>
          <rPr>
            <b/>
            <sz val="9"/>
            <color indexed="81"/>
            <rFont val="Tahoma"/>
            <family val="2"/>
          </rPr>
          <t>Reth:</t>
        </r>
        <r>
          <rPr>
            <sz val="9"/>
            <color indexed="81"/>
            <rFont val="Tahoma"/>
            <family val="2"/>
          </rPr>
          <t xml:space="preserve">
10% advance after contract signed</t>
        </r>
      </text>
    </comment>
    <comment ref="J16" authorId="0" shapeId="0" xr:uid="{00000000-0006-0000-0300-000004000000}">
      <text>
        <r>
          <rPr>
            <b/>
            <sz val="9"/>
            <color indexed="81"/>
            <rFont val="Tahoma"/>
            <family val="2"/>
          </rPr>
          <t>Reth:</t>
        </r>
        <r>
          <rPr>
            <sz val="9"/>
            <color indexed="81"/>
            <rFont val="Tahoma"/>
            <family val="2"/>
          </rPr>
          <t xml:space="preserve">
90% after receipt of goods.
</t>
        </r>
      </text>
    </comment>
    <comment ref="K16" authorId="0" shapeId="0" xr:uid="{00000000-0006-0000-0300-000005000000}">
      <text>
        <r>
          <rPr>
            <b/>
            <sz val="9"/>
            <color indexed="81"/>
            <rFont val="Tahoma"/>
            <family val="2"/>
          </rPr>
          <t>Reth:</t>
        </r>
        <r>
          <rPr>
            <sz val="9"/>
            <color indexed="81"/>
            <rFont val="Tahoma"/>
            <family val="2"/>
          </rPr>
          <t xml:space="preserve">
10% retention 1 month after receipt of goods and make sure it work well.</t>
        </r>
      </text>
    </comment>
    <comment ref="L16" authorId="0" shapeId="0" xr:uid="{00000000-0006-0000-0300-000006000000}">
      <text>
        <r>
          <rPr>
            <b/>
            <sz val="9"/>
            <color indexed="81"/>
            <rFont val="Tahoma"/>
            <family val="2"/>
          </rPr>
          <t>Reth:</t>
        </r>
        <r>
          <rPr>
            <sz val="9"/>
            <color indexed="81"/>
            <rFont val="Tahoma"/>
            <family val="2"/>
          </rPr>
          <t xml:space="preserve">
90% after receipt of goods.
</t>
        </r>
      </text>
    </comment>
    <comment ref="I36" authorId="0" shapeId="0" xr:uid="{00000000-0006-0000-0300-000007000000}">
      <text>
        <r>
          <rPr>
            <b/>
            <sz val="9"/>
            <color indexed="81"/>
            <rFont val="Tahoma"/>
            <family val="2"/>
          </rPr>
          <t xml:space="preserve">Reth:
</t>
        </r>
        <r>
          <rPr>
            <sz val="9"/>
            <color indexed="81"/>
            <rFont val="Tahoma"/>
            <family val="2"/>
          </rPr>
          <t xml:space="preserve">Retention 10% from 2022
</t>
        </r>
      </text>
    </comment>
    <comment ref="I37" authorId="0" shapeId="0" xr:uid="{00000000-0006-0000-0300-000008000000}">
      <text>
        <r>
          <rPr>
            <b/>
            <sz val="9"/>
            <color indexed="81"/>
            <rFont val="Tahoma"/>
            <family val="2"/>
          </rPr>
          <t xml:space="preserve">Reth: 
</t>
        </r>
        <r>
          <rPr>
            <sz val="9"/>
            <color indexed="81"/>
            <rFont val="Tahoma"/>
            <family val="2"/>
          </rPr>
          <t xml:space="preserve">Based on EE$997,000
Bid opening 9 May 22, BER in progress
</t>
        </r>
      </text>
    </comment>
    <comment ref="J37" authorId="0" shapeId="0" xr:uid="{00000000-0006-0000-0300-000009000000}">
      <text>
        <r>
          <rPr>
            <b/>
            <sz val="9"/>
            <color indexed="81"/>
            <rFont val="Tahoma"/>
            <family val="2"/>
          </rPr>
          <t xml:space="preserve">Reth:
</t>
        </r>
        <r>
          <rPr>
            <sz val="9"/>
            <color indexed="81"/>
            <rFont val="Tahoma"/>
            <family val="2"/>
          </rPr>
          <t xml:space="preserve">Retention 10% from 2022
</t>
        </r>
      </text>
    </comment>
    <comment ref="N107" authorId="1" shapeId="0" xr:uid="{00000000-0006-0000-0300-00000A000000}">
      <text>
        <r>
          <rPr>
            <b/>
            <sz val="9"/>
            <color indexed="81"/>
            <rFont val="Tahoma"/>
            <family val="2"/>
          </rPr>
          <t>Owner:</t>
        </r>
        <r>
          <rPr>
            <sz val="9"/>
            <color indexed="81"/>
            <rFont val="Tahoma"/>
            <family val="2"/>
          </rPr>
          <t xml:space="preserve">
TAK=8</t>
        </r>
      </text>
    </comment>
    <comment ref="G176" authorId="2" shapeId="0" xr:uid="{00000000-0006-0000-0300-00000B000000}">
      <text>
        <r>
          <rPr>
            <b/>
            <sz val="9"/>
            <color indexed="81"/>
            <rFont val="Tahoma"/>
            <family val="2"/>
          </rPr>
          <t>Dara Phuong:</t>
        </r>
        <r>
          <rPr>
            <sz val="9"/>
            <color indexed="81"/>
            <rFont val="Tahoma"/>
            <family val="2"/>
          </rPr>
          <t xml:space="preserve">
PPIUs will conduct</t>
        </r>
      </text>
    </comment>
    <comment ref="G177" authorId="2" shapeId="0" xr:uid="{00000000-0006-0000-0300-00000C000000}">
      <text>
        <r>
          <rPr>
            <b/>
            <sz val="9"/>
            <color indexed="81"/>
            <rFont val="Tahoma"/>
            <family val="2"/>
          </rPr>
          <t>Dara Phuong:</t>
        </r>
        <r>
          <rPr>
            <sz val="9"/>
            <color indexed="81"/>
            <rFont val="Tahoma"/>
            <family val="2"/>
          </rPr>
          <t xml:space="preserve">
4PPIUs+CARDI</t>
        </r>
      </text>
    </comment>
    <comment ref="I184" authorId="1" shapeId="0" xr:uid="{00000000-0006-0000-0300-00000D000000}">
      <text>
        <r>
          <rPr>
            <b/>
            <sz val="9"/>
            <color indexed="81"/>
            <rFont val="Tahoma"/>
            <family val="2"/>
          </rPr>
          <t>Reth:</t>
        </r>
        <r>
          <rPr>
            <sz val="9"/>
            <color indexed="81"/>
            <rFont val="Tahoma"/>
            <family val="2"/>
          </rPr>
          <t xml:space="preserve">
Eestimate from procurement plan</t>
        </r>
      </text>
    </comment>
    <comment ref="I278" authorId="1" shapeId="0" xr:uid="{00000000-0006-0000-0300-00000E000000}">
      <text>
        <r>
          <rPr>
            <b/>
            <sz val="9"/>
            <color indexed="81"/>
            <rFont val="Tahoma"/>
            <family val="2"/>
          </rPr>
          <t>Reth:</t>
        </r>
        <r>
          <rPr>
            <sz val="9"/>
            <color indexed="81"/>
            <rFont val="Tahoma"/>
            <family val="2"/>
          </rPr>
          <t xml:space="preserve">
Engineering estimate for construction 2023=$99,891.35 newly proposed.
 ADB MTR approved
</t>
        </r>
      </text>
    </comment>
    <comment ref="G307" authorId="3" shapeId="0" xr:uid="{00000000-0006-0000-0300-00000F000000}">
      <text>
        <r>
          <rPr>
            <b/>
            <sz val="9"/>
            <color indexed="81"/>
            <rFont val="Tahoma"/>
            <family val="2"/>
          </rPr>
          <t>Sophat Sophana:</t>
        </r>
        <r>
          <rPr>
            <sz val="9"/>
            <color indexed="81"/>
            <rFont val="Tahoma"/>
            <family val="2"/>
          </rPr>
          <t xml:space="preserve">
Add new that requested by FWUC specialist</t>
        </r>
      </text>
    </comment>
    <comment ref="G337" authorId="4" shapeId="0" xr:uid="{00000000-0006-0000-0300-000010000000}">
      <text>
        <r>
          <rPr>
            <b/>
            <sz val="9"/>
            <color indexed="81"/>
            <rFont val="Tahoma"/>
            <family val="2"/>
          </rPr>
          <t>Admin:</t>
        </r>
        <r>
          <rPr>
            <sz val="9"/>
            <color indexed="81"/>
            <rFont val="Tahoma"/>
            <family val="2"/>
          </rPr>
          <t xml:space="preserve">
Break</t>
        </r>
      </text>
    </comment>
    <comment ref="J473" authorId="0" shapeId="0" xr:uid="{00000000-0006-0000-0300-000011000000}">
      <text>
        <r>
          <rPr>
            <b/>
            <sz val="9"/>
            <color indexed="81"/>
            <rFont val="Tahoma"/>
            <family val="2"/>
          </rPr>
          <t xml:space="preserve">Reth:
</t>
        </r>
        <r>
          <rPr>
            <sz val="9"/>
            <color indexed="81"/>
            <rFont val="Tahoma"/>
            <family val="2"/>
          </rPr>
          <t xml:space="preserve">DTL MAFF= 0.50 permonth
DTL MOWRAM=0.50 per month
DTL MRD=0.50 per month
</t>
        </r>
      </text>
    </comment>
    <comment ref="J474" authorId="0" shapeId="0" xr:uid="{00000000-0006-0000-0300-000012000000}">
      <text>
        <r>
          <rPr>
            <b/>
            <sz val="9"/>
            <color indexed="81"/>
            <rFont val="Tahoma"/>
            <family val="2"/>
          </rPr>
          <t xml:space="preserve">Reth:
</t>
        </r>
        <r>
          <rPr>
            <sz val="9"/>
            <color indexed="81"/>
            <rFont val="Tahoma"/>
            <family val="2"/>
          </rPr>
          <t xml:space="preserve">Procurement specialist 
MAFF= 0.50 per month
MRD=0.45 per month
MOWRAM=0.50 per month
</t>
        </r>
      </text>
    </comment>
    <comment ref="M474" authorId="0" shapeId="0" xr:uid="{00000000-0006-0000-0300-000013000000}">
      <text>
        <r>
          <rPr>
            <b/>
            <sz val="9"/>
            <color indexed="81"/>
            <rFont val="Tahoma"/>
            <family val="2"/>
          </rPr>
          <t xml:space="preserve">Reth:
Q4-2023 only one procurement specialist at MRD.
</t>
        </r>
        <r>
          <rPr>
            <sz val="9"/>
            <color indexed="81"/>
            <rFont val="Tahoma"/>
            <family val="2"/>
          </rPr>
          <t xml:space="preserve">
</t>
        </r>
      </text>
    </comment>
    <comment ref="J475" authorId="0" shapeId="0" xr:uid="{00000000-0006-0000-0300-000014000000}">
      <text>
        <r>
          <rPr>
            <b/>
            <sz val="9"/>
            <color indexed="81"/>
            <rFont val="Tahoma"/>
            <family val="2"/>
          </rPr>
          <t>Reth:</t>
        </r>
        <r>
          <rPr>
            <sz val="9"/>
            <color indexed="81"/>
            <rFont val="Tahoma"/>
            <family val="2"/>
          </rPr>
          <t xml:space="preserve">
Finance MRD=0.50
Finance MOWRAM=0.50
</t>
        </r>
      </text>
    </comment>
    <comment ref="J476" authorId="0" shapeId="0" xr:uid="{00000000-0006-0000-0300-000015000000}">
      <text>
        <r>
          <rPr>
            <b/>
            <sz val="9"/>
            <color indexed="81"/>
            <rFont val="Tahoma"/>
            <family val="2"/>
          </rPr>
          <t>Reth:</t>
        </r>
        <r>
          <rPr>
            <sz val="9"/>
            <color indexed="81"/>
            <rFont val="Tahoma"/>
            <family val="2"/>
          </rPr>
          <t xml:space="preserve">
Finance PMU-MAFF 100%</t>
        </r>
      </text>
    </comment>
    <comment ref="J477" authorId="0" shapeId="0" xr:uid="{00000000-0006-0000-0300-000016000000}">
      <text>
        <r>
          <rPr>
            <sz val="9"/>
            <color indexed="81"/>
            <rFont val="Tahoma"/>
            <family val="2"/>
          </rPr>
          <t xml:space="preserve">Reth:
Finance MEF 100%
</t>
        </r>
      </text>
    </comment>
    <comment ref="J478" authorId="0" shapeId="0" xr:uid="{00000000-0006-0000-0300-000017000000}">
      <text>
        <r>
          <rPr>
            <b/>
            <sz val="9"/>
            <color indexed="81"/>
            <rFont val="Tahoma"/>
            <family val="2"/>
          </rPr>
          <t>Reth:</t>
        </r>
        <r>
          <rPr>
            <sz val="9"/>
            <color indexed="81"/>
            <rFont val="Tahoma"/>
            <family val="2"/>
          </rPr>
          <t xml:space="preserve">
Gender Specialist 0.70 per month</t>
        </r>
      </text>
    </comment>
    <comment ref="J479" authorId="0" shapeId="0" xr:uid="{00000000-0006-0000-0300-000018000000}">
      <text>
        <r>
          <rPr>
            <b/>
            <sz val="9"/>
            <color indexed="81"/>
            <rFont val="Tahoma"/>
            <family val="2"/>
          </rPr>
          <t>Reth:</t>
        </r>
        <r>
          <rPr>
            <sz val="9"/>
            <color indexed="81"/>
            <rFont val="Tahoma"/>
            <family val="2"/>
          </rPr>
          <t xml:space="preserve">
SSS= 0.75 follow PD recommendations in the propsed VO 15 for AESA dated 25 Oct 2023</t>
        </r>
      </text>
    </comment>
    <comment ref="J480" authorId="0" shapeId="0" xr:uid="{00000000-0006-0000-0300-000019000000}">
      <text>
        <r>
          <rPr>
            <sz val="9"/>
            <color indexed="81"/>
            <rFont val="Tahoma"/>
            <family val="2"/>
          </rPr>
          <t xml:space="preserve">Reth:
Environment specialist= 0.75 follow PD recommendations in the propsed VO 15 for AESA dated 25 Oct 2023
</t>
        </r>
      </text>
    </comment>
    <comment ref="J481" authorId="0" shapeId="0" xr:uid="{00000000-0006-0000-0300-00001A000000}">
      <text>
        <r>
          <rPr>
            <b/>
            <sz val="9"/>
            <color indexed="81"/>
            <rFont val="Tahoma"/>
            <family val="2"/>
          </rPr>
          <t>Reth:</t>
        </r>
        <r>
          <rPr>
            <sz val="9"/>
            <color indexed="81"/>
            <rFont val="Tahoma"/>
            <family val="2"/>
          </rPr>
          <t xml:space="preserve">
WMIE MOWRAM=4X0.50 follow PD recommendations in the propsed VO 15 for AESA dated 25 Oct 2023</t>
        </r>
      </text>
    </comment>
    <comment ref="J482" authorId="0" shapeId="0" xr:uid="{00000000-0006-0000-0300-00001B000000}">
      <text>
        <r>
          <rPr>
            <b/>
            <sz val="9"/>
            <color indexed="81"/>
            <rFont val="Tahoma"/>
            <family val="2"/>
          </rPr>
          <t xml:space="preserve">Reth:
</t>
        </r>
        <r>
          <rPr>
            <sz val="9"/>
            <color indexed="81"/>
            <rFont val="Tahoma"/>
            <family val="2"/>
          </rPr>
          <t xml:space="preserve"> CSRRE MRD+MAFF=4X0.50 follow PD recommendations in the propsed VO 15 for AESA dated 25 Oct 2023
</t>
        </r>
      </text>
    </comment>
    <comment ref="G523" authorId="2" shapeId="0" xr:uid="{00000000-0006-0000-0300-00001C000000}">
      <text>
        <r>
          <rPr>
            <b/>
            <sz val="9"/>
            <color indexed="81"/>
            <rFont val="Tahoma"/>
            <family val="2"/>
          </rPr>
          <t>Dara Phuong:</t>
        </r>
        <r>
          <rPr>
            <sz val="9"/>
            <color indexed="81"/>
            <rFont val="Tahoma"/>
            <family val="2"/>
          </rPr>
          <t xml:space="preserve">
Proposed in MoU of ADB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K94" authorId="0" shapeId="0" xr:uid="{00000000-0006-0000-0500-000001000000}">
      <text>
        <r>
          <rPr>
            <b/>
            <sz val="11"/>
            <color indexed="81"/>
            <rFont val="Tahoma"/>
            <family val="2"/>
          </rPr>
          <t>3 days per month</t>
        </r>
        <r>
          <rPr>
            <sz val="9"/>
            <color indexed="81"/>
            <rFont val="Tahoma"/>
            <family val="2"/>
          </rPr>
          <t xml:space="preserve">
=3*34</t>
        </r>
      </text>
    </comment>
  </commentList>
</comments>
</file>

<file path=xl/sharedStrings.xml><?xml version="1.0" encoding="utf-8"?>
<sst xmlns="http://schemas.openxmlformats.org/spreadsheetml/2006/main" count="5392" uniqueCount="1633">
  <si>
    <t>Budget
Code</t>
  </si>
  <si>
    <t>Unit</t>
  </si>
  <si>
    <t>Quantity</t>
  </si>
  <si>
    <t>Cost (USD)</t>
  </si>
  <si>
    <t>Source of Funds</t>
  </si>
  <si>
    <t>Task Description</t>
  </si>
  <si>
    <t>Q1</t>
  </si>
  <si>
    <t>Q2</t>
  </si>
  <si>
    <t>Q3</t>
  </si>
  <si>
    <t>Q4</t>
  </si>
  <si>
    <t>Total</t>
  </si>
  <si>
    <t>ls</t>
  </si>
  <si>
    <t xml:space="preserve"> </t>
  </si>
  <si>
    <t>MAFF</t>
  </si>
  <si>
    <t>TOTAL</t>
  </si>
  <si>
    <t>GRAND TOTAL</t>
  </si>
  <si>
    <t>Executing 
Agency</t>
  </si>
  <si>
    <t>OVERALL
TOTALS</t>
  </si>
  <si>
    <t>SOURCE OF FUNDS</t>
  </si>
  <si>
    <t>Executing Agency</t>
  </si>
  <si>
    <t>EXECUTING AGENCY</t>
  </si>
  <si>
    <t>Funding Sources</t>
  </si>
  <si>
    <t>CW</t>
  </si>
  <si>
    <t>CS</t>
  </si>
  <si>
    <t>ADB</t>
  </si>
  <si>
    <t>RGC</t>
  </si>
  <si>
    <t>Loan</t>
  </si>
  <si>
    <t>II. RECURRENT COSTS</t>
  </si>
  <si>
    <t>INCREMENTAL STAFF</t>
  </si>
  <si>
    <t>Sub-Total (Incremental Staff)</t>
  </si>
  <si>
    <t>OPERATION AND MANAGEMENT COSTS</t>
  </si>
  <si>
    <t>MAFF TOTAL</t>
  </si>
  <si>
    <t>OM</t>
  </si>
  <si>
    <t>CD</t>
  </si>
  <si>
    <t>IS</t>
  </si>
  <si>
    <t>CFAVC-Climate-Friendly Agribusiness Value Chains Sector Project</t>
  </si>
  <si>
    <t>Subtotal</t>
  </si>
  <si>
    <t>GCF Loan</t>
  </si>
  <si>
    <t>GCF Grant</t>
  </si>
  <si>
    <t>Gov't</t>
  </si>
  <si>
    <t>Beneficiaries</t>
  </si>
  <si>
    <t>PMO</t>
  </si>
  <si>
    <t>Govt</t>
  </si>
  <si>
    <t>Motorcycles</t>
  </si>
  <si>
    <t>TABLE 18. PROJECT MANAGEMENT UNIT</t>
  </si>
  <si>
    <t>A. Project Management Staff - supplementary payments</t>
  </si>
  <si>
    <t>B. Other PMU Costs</t>
  </si>
  <si>
    <t>1. Operating Costs</t>
  </si>
  <si>
    <t>Financial Audit</t>
  </si>
  <si>
    <t>C. Other Vehicles for Provincial Offices</t>
  </si>
  <si>
    <t>1. Vehicles for Irrigation Implementation (PDWRAM)</t>
  </si>
  <si>
    <t xml:space="preserve">ADB </t>
  </si>
  <si>
    <t>GCL Grant</t>
  </si>
  <si>
    <t>lump sum</t>
  </si>
  <si>
    <t/>
  </si>
  <si>
    <t>month</t>
  </si>
  <si>
    <t>Reconcilled</t>
  </si>
  <si>
    <t>Climate-Friendly Agribusiness Value Chains Section Project</t>
  </si>
  <si>
    <t>MRD</t>
  </si>
  <si>
    <t>GCF</t>
  </si>
  <si>
    <t>grant</t>
  </si>
  <si>
    <t>PDWRAM - Provincial offices (4 offices, 3 months/year)</t>
  </si>
  <si>
    <t>MOWRAM</t>
  </si>
  <si>
    <t>ALL EA and IAs</t>
  </si>
  <si>
    <t>Cost ('000USD)</t>
  </si>
  <si>
    <r>
      <rPr>
        <b/>
        <sz val="16"/>
        <rFont val="Calibri"/>
        <family val="2"/>
      </rPr>
      <t>CFAVC-</t>
    </r>
    <r>
      <rPr>
        <b/>
        <sz val="13"/>
        <rFont val="Calibri"/>
        <family val="2"/>
      </rPr>
      <t>Climate-Friendly Agribusiness Value Chains Sector Project</t>
    </r>
  </si>
  <si>
    <t>Annual Work Plan Budget 2020 (PMU-MAFF)</t>
  </si>
  <si>
    <t>INCREMENATL OPERATING COST (IOC)</t>
  </si>
  <si>
    <t>Budget Code</t>
  </si>
  <si>
    <t>budget Line</t>
  </si>
  <si>
    <t>Activity Code</t>
  </si>
  <si>
    <t>Unit Cost (USD)</t>
  </si>
  <si>
    <t>Grand</t>
  </si>
  <si>
    <t>A.</t>
  </si>
  <si>
    <t>a.</t>
  </si>
  <si>
    <t>Central Level (28 Persons)</t>
  </si>
  <si>
    <t>m</t>
  </si>
  <si>
    <t>b.</t>
  </si>
  <si>
    <t>Provincial Level (28 Persons)</t>
  </si>
  <si>
    <t>c.</t>
  </si>
  <si>
    <t>Road Taxes (10 Pick-Up Cars)</t>
  </si>
  <si>
    <t>B.</t>
  </si>
  <si>
    <t>Vehicle Operating Costs (10 Pick-Up Cars)</t>
  </si>
  <si>
    <t>ADB- Loan</t>
  </si>
  <si>
    <t>Motorbike fuel and communication allowances</t>
  </si>
  <si>
    <r>
      <t>Per Diems and DSA (MAFF central 28</t>
    </r>
    <r>
      <rPr>
        <sz val="10"/>
        <color indexed="13"/>
        <rFont val="Arial"/>
        <family val="2"/>
      </rPr>
      <t xml:space="preserve"> </t>
    </r>
    <r>
      <rPr>
        <sz val="10"/>
        <color theme="1"/>
        <rFont val="Calibri"/>
        <family val="2"/>
      </rPr>
      <t>persons , 6drivers)</t>
    </r>
  </si>
  <si>
    <t>d.</t>
  </si>
  <si>
    <r>
      <t>Per Diems and DSA (PDAFF  28</t>
    </r>
    <r>
      <rPr>
        <sz val="10"/>
        <color indexed="13"/>
        <rFont val="Arial"/>
        <family val="2"/>
      </rPr>
      <t xml:space="preserve"> </t>
    </r>
    <r>
      <rPr>
        <sz val="10"/>
        <color theme="1"/>
        <rFont val="Calibri"/>
        <family val="2"/>
      </rPr>
      <t>persons , 4 drivers)</t>
    </r>
  </si>
  <si>
    <t>e.</t>
  </si>
  <si>
    <t xml:space="preserve">Office Operating Costs (including salary for 10 drivers + 2 cleaners) </t>
  </si>
  <si>
    <t>f.</t>
  </si>
  <si>
    <t>Equipment and Facility for Internet Installation</t>
  </si>
  <si>
    <t>g.</t>
  </si>
  <si>
    <t>Design and Develop Project Website</t>
  </si>
  <si>
    <t>h.</t>
  </si>
  <si>
    <t>Advertiment Charges</t>
  </si>
  <si>
    <t>I.</t>
  </si>
  <si>
    <t xml:space="preserve">General Meeting </t>
  </si>
  <si>
    <t>Decimination Workshop on AWPB</t>
  </si>
  <si>
    <t>k.</t>
  </si>
  <si>
    <t>Translatation Fees</t>
  </si>
  <si>
    <t>l.</t>
  </si>
  <si>
    <t>Rental Car (4 Cars)</t>
  </si>
  <si>
    <t>m.</t>
  </si>
  <si>
    <t>Rental Car Operation Costs (4 Cars)</t>
  </si>
  <si>
    <t>n.</t>
  </si>
  <si>
    <t>Per Diems and DSA Driver for Rental Car (4 Persons)</t>
  </si>
  <si>
    <t>Sub-Total (Operation and management Costs)</t>
  </si>
  <si>
    <t>TOTAL RECURRENT COST</t>
  </si>
  <si>
    <t xml:space="preserve">ADB  </t>
  </si>
  <si>
    <t xml:space="preserve">  </t>
  </si>
  <si>
    <t>ALL EA and Ias</t>
  </si>
  <si>
    <t>UNASSIGNED</t>
  </si>
  <si>
    <t>Additional in-kind support to PMU-MOWRAM</t>
  </si>
  <si>
    <t>IOC</t>
  </si>
  <si>
    <t>DT_1: Kampot Province Irrigation Sub-projects</t>
  </si>
  <si>
    <t>DT_1: Takeo Province Irrigation Sub-projects</t>
  </si>
  <si>
    <t>DT_1: Tbong Khmum Province Irrigation Sub-projects</t>
  </si>
  <si>
    <t>DT_1: Kampong Cham Province Irrigation Sub-projects</t>
  </si>
  <si>
    <t>MOWRAM TOTAL</t>
  </si>
  <si>
    <t>CS5</t>
  </si>
  <si>
    <t>1 . Per diems, air travel, office operation cost</t>
  </si>
  <si>
    <t>Course</t>
  </si>
  <si>
    <t>GD</t>
  </si>
  <si>
    <t>CW3</t>
  </si>
  <si>
    <t>CS2</t>
  </si>
  <si>
    <t>CW19</t>
  </si>
  <si>
    <t>CS3</t>
  </si>
  <si>
    <t>CW18</t>
  </si>
  <si>
    <t>CW4</t>
  </si>
  <si>
    <t>CW5</t>
  </si>
  <si>
    <t>CS4</t>
  </si>
  <si>
    <t>CS1</t>
  </si>
  <si>
    <t>CS6</t>
  </si>
  <si>
    <t>CW11</t>
  </si>
  <si>
    <t>CW17</t>
  </si>
  <si>
    <t>Unit Cost
('000 USD)</t>
  </si>
  <si>
    <t>Cost ('000 USD)</t>
  </si>
  <si>
    <t>Governt</t>
  </si>
  <si>
    <t>Check</t>
  </si>
  <si>
    <t>I. INVESTMENT COSTS on CIVIL WORKs</t>
  </si>
  <si>
    <t>CW2</t>
  </si>
  <si>
    <t>CW12</t>
  </si>
  <si>
    <t>CW15</t>
  </si>
  <si>
    <t>CW13</t>
  </si>
  <si>
    <t>CW14</t>
  </si>
  <si>
    <t>Total Annual Cost For Civil Works</t>
  </si>
  <si>
    <t>2. PMU Staff - MOWRAM</t>
  </si>
  <si>
    <t>1 Gender Officer</t>
  </si>
  <si>
    <t>1 Irrigation Information System officer</t>
  </si>
  <si>
    <t>Per diem for field travel costs/g</t>
  </si>
  <si>
    <t>PMU - Utilities, consumables, office supplyetc.</t>
  </si>
  <si>
    <t>Fueld and Maintenance for 2 Vihicles</t>
  </si>
  <si>
    <t xml:space="preserve">2 Driver's remuneration </t>
  </si>
  <si>
    <t>4 Admin &amp; Finance Assistant</t>
  </si>
  <si>
    <t>4 Gender and Social Safeguards Officers</t>
  </si>
  <si>
    <t>Fuel and maintenance for 6 Motobike</t>
  </si>
  <si>
    <t>Subtotal for Operation Costs</t>
  </si>
  <si>
    <t>('000)</t>
  </si>
  <si>
    <t>Reconciled</t>
  </si>
  <si>
    <t xml:space="preserve"> Financing Rule</t>
  </si>
  <si>
    <t>CAMBODIA CLIMATE FRIENDLY AGRIBUSINESS VALUE CHAINS SECTOR PROJECT</t>
  </si>
  <si>
    <t>PROJECT ASSUMPTIONS</t>
  </si>
  <si>
    <t>3. All activity/cost items under the civil work expenditure category (irrigation, roads, cooperative warehouses, testing labaratories, biogas) is tax exempt. For vehicles, the base cost includes 25% of taxes (t). For other expenditure categories, the base cost includes 9% of taxes (t): TAX = BASE*t where t is the applicable tax rate.</t>
  </si>
  <si>
    <t>CODE</t>
  </si>
  <si>
    <t>Financing Rules</t>
  </si>
  <si>
    <t>Physical Cont.</t>
  </si>
  <si>
    <t>Foreign</t>
  </si>
  <si>
    <t>Tax rate</t>
  </si>
  <si>
    <t>Expenditure Categorys</t>
  </si>
  <si>
    <t>Expenditure Categories</t>
  </si>
  <si>
    <t>Spare</t>
  </si>
  <si>
    <t>Import</t>
  </si>
  <si>
    <t>Excise</t>
  </si>
  <si>
    <t>VAT</t>
  </si>
  <si>
    <t xml:space="preserve">Gross </t>
  </si>
  <si>
    <t>Exemption</t>
  </si>
  <si>
    <t>Water &amp; Irrigation</t>
  </si>
  <si>
    <t>IRRIGATION</t>
  </si>
  <si>
    <t>No</t>
  </si>
  <si>
    <t>Rural Connector Roads</t>
  </si>
  <si>
    <t>ROADS</t>
  </si>
  <si>
    <t>Storage Warehouses</t>
  </si>
  <si>
    <t>WAREHOUSES</t>
  </si>
  <si>
    <t>Other Infrastructure</t>
  </si>
  <si>
    <t>OTHER_INFRA</t>
  </si>
  <si>
    <t>Biogas Plants</t>
  </si>
  <si>
    <t>BIOGAS</t>
  </si>
  <si>
    <t>Compost Huts</t>
  </si>
  <si>
    <t>Equipment - Cooperative, Labaratories and Others</t>
  </si>
  <si>
    <t>EQUIPMENT-ADB</t>
  </si>
  <si>
    <t>Yes</t>
  </si>
  <si>
    <t>Equipment - ICT</t>
  </si>
  <si>
    <t>EQUIPMENT-ICT</t>
  </si>
  <si>
    <t>Vehicles</t>
  </si>
  <si>
    <t>VEHICLES</t>
  </si>
  <si>
    <t>Materials &amp; Supplies</t>
  </si>
  <si>
    <t>MATERIALS-ADB</t>
  </si>
  <si>
    <t>Studies &amp; Surveys</t>
  </si>
  <si>
    <t>STUDIES</t>
  </si>
  <si>
    <t>Training, Workshops &amp; Demonstrations</t>
  </si>
  <si>
    <t>TRAINING</t>
  </si>
  <si>
    <t>Policies &amp; Standards</t>
  </si>
  <si>
    <t>POLICIES_STANDARDS</t>
  </si>
  <si>
    <t>Monitoring &amp; Evaluation /a</t>
  </si>
  <si>
    <t>M&amp;E</t>
  </si>
  <si>
    <t>PIC - FS &amp; Detailed Engineeering Design</t>
  </si>
  <si>
    <t>PIC-DED</t>
  </si>
  <si>
    <t>PIC - Capacity Building and CSA Consultants - Intl</t>
  </si>
  <si>
    <t>PIC-Tech-Intl</t>
  </si>
  <si>
    <t>PIC - Capacity Building and CSA Consultants - Natl</t>
  </si>
  <si>
    <t>PIC-Tech-Natl</t>
  </si>
  <si>
    <t>PIC - Project Management - Intl</t>
  </si>
  <si>
    <t>PIC-PM-Intl</t>
  </si>
  <si>
    <t>PIC - Project Management - Natl</t>
  </si>
  <si>
    <t>PIC-PM-Natl</t>
  </si>
  <si>
    <t>PIC - Variety Development</t>
  </si>
  <si>
    <t>PIC-Variety</t>
  </si>
  <si>
    <t>PIC - ICT</t>
  </si>
  <si>
    <t>PIC-ICT</t>
  </si>
  <si>
    <t>Project Staff</t>
  </si>
  <si>
    <t>SUPPORT_STAFF</t>
  </si>
  <si>
    <t>Climate Risk Sharing Mechanism Support</t>
  </si>
  <si>
    <t>CRM_SUPPORT</t>
  </si>
  <si>
    <t>Land Acquisition &amp; Resettlement</t>
  </si>
  <si>
    <t>RESETTLEMENT</t>
  </si>
  <si>
    <t>Office Operations &amp; Support Costs</t>
  </si>
  <si>
    <t>OFFICE_SUPPORT</t>
  </si>
  <si>
    <t>Government Contribution</t>
  </si>
  <si>
    <t>GOVT_CONTRIBUTION</t>
  </si>
  <si>
    <t>Procurement</t>
  </si>
  <si>
    <t>On-farm Water Catchment Ponds</t>
  </si>
  <si>
    <t>CW1</t>
  </si>
  <si>
    <t>Traipaing Run Reservoir</t>
  </si>
  <si>
    <t>Construction of PADC Training Buildings for Takeo, Tbong Khmum &amp; Kampong Cham</t>
  </si>
  <si>
    <t>Renovation of PADC Trainign Building for Kampot</t>
  </si>
  <si>
    <t>Construction of Mechanization Workshops for Kampot, Tbong Khmum &amp; Kampong Cham</t>
  </si>
  <si>
    <t>CW7</t>
  </si>
  <si>
    <t>Flatbed Batch Drier</t>
  </si>
  <si>
    <t>Kampot Irrigation Subproject</t>
  </si>
  <si>
    <t>Tbong Khmum Irrigation Subproject</t>
  </si>
  <si>
    <t>Kampong Cham Irrigation Subproject</t>
  </si>
  <si>
    <t>Takeo Irrigation Subproject</t>
  </si>
  <si>
    <t>Unidentified Irrigation Subproject</t>
  </si>
  <si>
    <t>CW16</t>
  </si>
  <si>
    <t>Construciton of Rural Roads (paved and laterite)</t>
  </si>
  <si>
    <t>Repair glasshouse for germplasm</t>
  </si>
  <si>
    <t>Biodigesters</t>
  </si>
  <si>
    <t>Bio-technology Laboratory/GMO</t>
  </si>
  <si>
    <t>Rapid Test Kits and Bio/Organic Fertilizer Laboratory (materials and equipment)</t>
  </si>
  <si>
    <t>Equipment &amp; Materials for Drip Irrigation</t>
  </si>
  <si>
    <t>Equipment for Mechanization Workshops for All Four Provinces</t>
  </si>
  <si>
    <t>ICT Equipment, Training, Studies</t>
  </si>
  <si>
    <t>6 Paddy Milling Equipment</t>
  </si>
  <si>
    <t>5 Units of Maize Shellers</t>
  </si>
  <si>
    <t>PIC - Project Management</t>
  </si>
  <si>
    <t>PIC - Capacity Building and Climate Smart Agriculture Consultants</t>
  </si>
  <si>
    <t>Climate Resilient Variety Development by IRRI</t>
  </si>
  <si>
    <t>ICT</t>
  </si>
  <si>
    <t>Feasibility Study &amp; Detailed Engineering Design Consulting Firm for Irrigation and Farm Roads</t>
  </si>
  <si>
    <t>External Enviornment Monitoring</t>
  </si>
  <si>
    <t>Project Management Operations - No Procurement</t>
  </si>
  <si>
    <t>Government Counterpart Support - No Prorcurement</t>
  </si>
  <si>
    <t>Unspecified</t>
  </si>
  <si>
    <t>N/A</t>
  </si>
  <si>
    <t>Government Agency</t>
  </si>
  <si>
    <t>Govt ID</t>
  </si>
  <si>
    <t>Ministry of Water Resources and Meteorology</t>
  </si>
  <si>
    <t>Ministry of Agriculture, Forestry and Fisheries</t>
  </si>
  <si>
    <t>Minisy of Rural Development</t>
  </si>
  <si>
    <t>MAFF - General Directorate of Animal Health and Production</t>
  </si>
  <si>
    <t>MAFF - GDAHP</t>
  </si>
  <si>
    <t>MAFF - General Directorate of Agriculture</t>
  </si>
  <si>
    <t>MAFF - GDA</t>
  </si>
  <si>
    <t>MAFF - Cambodian Agricultural Research and Development Institute</t>
  </si>
  <si>
    <t>MAFF - CARDI</t>
  </si>
  <si>
    <t>Gov't AI 7</t>
  </si>
  <si>
    <t>Gov't AI 8</t>
  </si>
  <si>
    <t>Gov't AI 9</t>
  </si>
  <si>
    <t>Gov't AI 10</t>
  </si>
  <si>
    <t>Ouput</t>
  </si>
  <si>
    <t>1. Critical agribusiness value chain infrastructure improved and made climate resilient</t>
  </si>
  <si>
    <t>Sub-sector</t>
  </si>
  <si>
    <t>IA</t>
  </si>
  <si>
    <t>1.1 Rehabilitating water management infrastructure to climate resilient condition</t>
  </si>
  <si>
    <t>WATER_RESOURCES</t>
  </si>
  <si>
    <t>Irrigation</t>
  </si>
  <si>
    <t>1.2 Upgrading agricultural cooperative value chain infrastructure</t>
  </si>
  <si>
    <t>COOPERATIVES</t>
  </si>
  <si>
    <t>Agro-industry</t>
  </si>
  <si>
    <t>1.3 Improving connectivity to cooperatives and markets through climate resilient farm road networks</t>
  </si>
  <si>
    <t>Rural market</t>
  </si>
  <si>
    <t>1.4 Strengthening infrastructure for agricultural quality and safety testing</t>
  </si>
  <si>
    <t>TESTING_INFRASTRUCTURE</t>
  </si>
  <si>
    <t>1.5 Promoting renewable energy for value chain improvement</t>
  </si>
  <si>
    <t>Solid waste</t>
  </si>
  <si>
    <t>2. Climate smart agriculture and agribusiness promoted</t>
  </si>
  <si>
    <t>2.1 Deploying climate resilient varieties</t>
  </si>
  <si>
    <t>RESILIENT_VARIETIES</t>
  </si>
  <si>
    <t>Agri-production</t>
  </si>
  <si>
    <t>2.2 Strengthening capacity in climate friendly production practices and technologies</t>
  </si>
  <si>
    <t>CAPACITY_STRENGTHENING</t>
  </si>
  <si>
    <t xml:space="preserve">2.3 Promoting farm mechanization and extension </t>
  </si>
  <si>
    <t>MECHANICAL_WORKSHOP</t>
  </si>
  <si>
    <t>3. Enabling environment for climate friendly agribusiness enhanced</t>
  </si>
  <si>
    <t>3.1 Formulating climate friendly agribusiness policies and standards</t>
  </si>
  <si>
    <t>POLICY_STANDARDS</t>
  </si>
  <si>
    <t>Agri-policy</t>
  </si>
  <si>
    <t>3.2 Promoting green finance and risk sharing mechanisms</t>
  </si>
  <si>
    <t>GREEN_FINANCING</t>
  </si>
  <si>
    <t>3.3 Supporting climate risk management through information and communication technologies (ICT)</t>
  </si>
  <si>
    <t>PROJECT_MANAGEMENT</t>
  </si>
  <si>
    <t>Procurement Package ID</t>
  </si>
  <si>
    <t>Proc. Code</t>
  </si>
  <si>
    <t>Capacity Development</t>
  </si>
  <si>
    <t>CW12-A</t>
  </si>
  <si>
    <t>CW12-B</t>
  </si>
  <si>
    <t>CW12-C</t>
  </si>
  <si>
    <t>CW12-D</t>
  </si>
  <si>
    <t>Mlech Irregation Subproject</t>
  </si>
  <si>
    <t>Prey Takouch Irregation Subproject</t>
  </si>
  <si>
    <t>CW15-A</t>
  </si>
  <si>
    <t>CW15-B</t>
  </si>
  <si>
    <t>CW15-C</t>
  </si>
  <si>
    <t>CW15-D</t>
  </si>
  <si>
    <t>CW15-E</t>
  </si>
  <si>
    <t>Prey Kdouch Irregation Subproject</t>
  </si>
  <si>
    <t>Kraing Ampil Irregation Subproject</t>
  </si>
  <si>
    <t>CW13-A</t>
  </si>
  <si>
    <t>CW13-B</t>
  </si>
  <si>
    <t>Kbal Toeuk Irrigation Subproject</t>
  </si>
  <si>
    <t>Tuol Pring Irrigation Subproject</t>
  </si>
  <si>
    <t>CW13-C</t>
  </si>
  <si>
    <t>Trapeang Tross Irrigation Subproject</t>
  </si>
  <si>
    <t>CW14-A</t>
  </si>
  <si>
    <t>Pram Kompheak Irrigation Subproject</t>
  </si>
  <si>
    <t>O'Kamprok Irrigation Subproject</t>
  </si>
  <si>
    <t>CW14-B</t>
  </si>
  <si>
    <t>Teol La'ak Reservoir</t>
  </si>
  <si>
    <t>Trapaeng Boeueng reservoir</t>
  </si>
  <si>
    <t>Kandal reservoir</t>
  </si>
  <si>
    <t>Prawoek Pong reservoir</t>
  </si>
  <si>
    <t>CW12-E</t>
  </si>
  <si>
    <t>CW12-F</t>
  </si>
  <si>
    <t>K'Eth reservoir</t>
  </si>
  <si>
    <t>Two Community reservoirs</t>
  </si>
  <si>
    <t>CW13-D</t>
  </si>
  <si>
    <t>CW13-E</t>
  </si>
  <si>
    <t>Ocherey dam</t>
  </si>
  <si>
    <t>Teuk Char irrigation system</t>
  </si>
  <si>
    <t>Kouk Eurt reservoir</t>
  </si>
  <si>
    <t>CW14-C</t>
  </si>
  <si>
    <t>CW14-D</t>
  </si>
  <si>
    <t>CW14-E</t>
  </si>
  <si>
    <t>Sdok Sam reservoir</t>
  </si>
  <si>
    <t>Trapaing Khorn reservoir</t>
  </si>
  <si>
    <t>O'Rumdoul reservoir</t>
  </si>
  <si>
    <t>D1</t>
  </si>
  <si>
    <t>G1</t>
  </si>
  <si>
    <t>G2</t>
  </si>
  <si>
    <t>G3</t>
  </si>
  <si>
    <t>G4</t>
  </si>
  <si>
    <t>G5</t>
  </si>
  <si>
    <t>G6</t>
  </si>
  <si>
    <t>G7</t>
  </si>
  <si>
    <t>G8</t>
  </si>
  <si>
    <t>G9</t>
  </si>
  <si>
    <t>Incremental Operational Cost</t>
  </si>
  <si>
    <t>Exp. Cat</t>
  </si>
  <si>
    <t>Output Code</t>
  </si>
  <si>
    <t>IA Code</t>
  </si>
  <si>
    <t>MAFF-GDAHP</t>
  </si>
  <si>
    <t>MAFF-GDA</t>
  </si>
  <si>
    <t>MAFF-CARDI</t>
  </si>
  <si>
    <t>PM_MAFF</t>
  </si>
  <si>
    <t>PM_MOWRAM</t>
  </si>
  <si>
    <t>PM_MRD</t>
  </si>
  <si>
    <t>INDEX(Code!$J$110:$J$122,MATCH('$ MAFF  '!AG13,Code!$G$110:$G$122,0)),"")</t>
  </si>
  <si>
    <t>Project Management</t>
  </si>
  <si>
    <t>2 Driver's remuneration</t>
  </si>
  <si>
    <t>Scheme</t>
  </si>
  <si>
    <t>Output</t>
  </si>
  <si>
    <t>CHECKING BY BUDGET CODE</t>
  </si>
  <si>
    <t>CHECKING BY PROC. CODE</t>
  </si>
  <si>
    <t>Proc.
Code</t>
  </si>
  <si>
    <t>Vehicle Fueld &amp; Maintenance for 2 Vehicles</t>
  </si>
  <si>
    <t>momth</t>
  </si>
  <si>
    <t>Fuel and maintenance for 3 Motor bikes</t>
  </si>
  <si>
    <t>Costs by Sources of Fund ('000 USD)</t>
  </si>
  <si>
    <t>Translations</t>
  </si>
  <si>
    <t>Website</t>
  </si>
  <si>
    <t>Training</t>
  </si>
  <si>
    <t>Meeting</t>
  </si>
  <si>
    <t>CARDI</t>
  </si>
  <si>
    <t>CSA</t>
  </si>
  <si>
    <t>2.1.1</t>
  </si>
  <si>
    <t>1.4.1</t>
  </si>
  <si>
    <t>1.4.2</t>
  </si>
  <si>
    <t>1.4.3</t>
  </si>
  <si>
    <t>1.4.4</t>
  </si>
  <si>
    <t>CW15-G</t>
  </si>
  <si>
    <t>CW15-H</t>
  </si>
  <si>
    <t>CW15-J</t>
  </si>
  <si>
    <t>CW13-F</t>
  </si>
  <si>
    <t>CW13-G</t>
  </si>
  <si>
    <t>2 Technical Assistance and Gender Assistance</t>
  </si>
  <si>
    <t xml:space="preserve">4 Meteorology Assistance </t>
  </si>
  <si>
    <t>3 FWUC Organization and Formulation Officer</t>
  </si>
  <si>
    <t>2 Irrigation Information Assistant</t>
  </si>
  <si>
    <t>5 Technical Assistance of Irrigation System</t>
  </si>
  <si>
    <t>4 PDOWRAM Director for 4 provinces</t>
  </si>
  <si>
    <t>Renewable energy</t>
  </si>
  <si>
    <t>GAP</t>
  </si>
  <si>
    <t>Green finance</t>
  </si>
  <si>
    <t>Policy &amp; PPP</t>
  </si>
  <si>
    <t>Provisional sum (CS1, PIC)</t>
  </si>
  <si>
    <t>Contingencies (CS1, PIC)</t>
  </si>
  <si>
    <t>Reimbursable (CS1, PIC)</t>
  </si>
  <si>
    <t>Project staffs</t>
  </si>
  <si>
    <t>Office operation</t>
  </si>
  <si>
    <t>Perdiem</t>
  </si>
  <si>
    <t>Office</t>
  </si>
  <si>
    <t>Vehicle</t>
  </si>
  <si>
    <t>i.</t>
  </si>
  <si>
    <t>j.</t>
  </si>
  <si>
    <t>Advertisement</t>
  </si>
  <si>
    <t>Remuneration (CS1, PIC)</t>
  </si>
  <si>
    <t>Remuneration (CS2, PIC)</t>
  </si>
  <si>
    <t>Reimbursable (CS2, PIC)</t>
  </si>
  <si>
    <t>Provisional sum (CS2, PIC)</t>
  </si>
  <si>
    <t>Remuneration (CS5)</t>
  </si>
  <si>
    <t>Reimbursable (CS5)</t>
  </si>
  <si>
    <t>Advertisement charge</t>
  </si>
  <si>
    <t>3. Reimbursable Expenses and Provisional Sums</t>
  </si>
  <si>
    <t>C2. Renewable Energy for Value Chain Improvement</t>
  </si>
  <si>
    <t>Step2: Demarcate the command areas and data collection</t>
  </si>
  <si>
    <t>Step3: Create the Statute Committees to draft the Statute</t>
  </si>
  <si>
    <t>Step4: Form Farmer Water User Community</t>
  </si>
  <si>
    <t>Step5: Reviews and awareness of the draft statute</t>
  </si>
  <si>
    <t>Step6: FWUC Committee Election</t>
  </si>
  <si>
    <t>Step7: Finalization of FWUC Statute and Action Plan</t>
  </si>
  <si>
    <t>FWUC Management Training</t>
  </si>
  <si>
    <t>Systematic Operations</t>
  </si>
  <si>
    <t>Scheme Maintenance</t>
  </si>
  <si>
    <t>On-the-job training</t>
  </si>
  <si>
    <t>FWUC</t>
  </si>
  <si>
    <t>Sub-Total</t>
  </si>
  <si>
    <t>CS7</t>
  </si>
  <si>
    <t>1GG</t>
  </si>
  <si>
    <t>2L</t>
  </si>
  <si>
    <t>2GG</t>
  </si>
  <si>
    <t>3L</t>
  </si>
  <si>
    <t>1L</t>
  </si>
  <si>
    <t>IFERROR(INDEX('Annex 2_Code'!L$8:L$33,MATCH('Annex 3_MAFF'!$AG200,'Annex 2_Code'!$G$8:$G$33,0)),"")</t>
  </si>
  <si>
    <t>MIX1A</t>
  </si>
  <si>
    <t>L1B</t>
  </si>
  <si>
    <t>3G</t>
  </si>
  <si>
    <t xml:space="preserve">MAFF </t>
  </si>
  <si>
    <r>
      <t xml:space="preserve">Unit
</t>
    </r>
    <r>
      <rPr>
        <b/>
        <sz val="10"/>
        <rFont val="Khmer OS Content"/>
      </rPr>
      <t>ឯក្កតា</t>
    </r>
  </si>
  <si>
    <r>
      <t xml:space="preserve">Unit Cost
('000 USD)
</t>
    </r>
    <r>
      <rPr>
        <b/>
        <sz val="10"/>
        <rFont val="Khmer OS Content"/>
      </rPr>
      <t>តម្លៃឯក្កតា</t>
    </r>
  </si>
  <si>
    <r>
      <t xml:space="preserve">I. INVESTMENT COSTS </t>
    </r>
    <r>
      <rPr>
        <b/>
        <sz val="11"/>
        <rFont val="Khmer OS Content"/>
      </rPr>
      <t>(ការចំណាយលើវិនិយោគផ្សេងៗ)</t>
    </r>
  </si>
  <si>
    <r>
      <t>CFAVC-Climate-Friendly Agribusiness Value Chains Sector Project (</t>
    </r>
    <r>
      <rPr>
        <b/>
        <sz val="12"/>
        <rFont val="Khmer OS Content"/>
      </rPr>
      <t>គម្រោងខ្សែច្រវ៉ាក់ផលិតកម្មដោយភាតរៈបរិស្ថាន)</t>
    </r>
  </si>
  <si>
    <t>​</t>
  </si>
  <si>
    <t>Total-CARDI</t>
  </si>
  <si>
    <t>1.5.2.1</t>
  </si>
  <si>
    <t>1.5.2.2</t>
  </si>
  <si>
    <t>1.5.2.3</t>
  </si>
  <si>
    <t>1.5.2.4</t>
  </si>
  <si>
    <t>1.5.2.5</t>
  </si>
  <si>
    <t>1.5.2.6</t>
  </si>
  <si>
    <t>1.5.2.7</t>
  </si>
  <si>
    <t>1.5.2.8</t>
  </si>
  <si>
    <t>1.5.2.9</t>
  </si>
  <si>
    <t>1.5.3.1</t>
  </si>
  <si>
    <t>1.5.3.2</t>
  </si>
  <si>
    <t>1.5.3.3</t>
  </si>
  <si>
    <t>1.5.3.4</t>
  </si>
  <si>
    <t>1.5.3.5</t>
  </si>
  <si>
    <t>1.5.3.6</t>
  </si>
  <si>
    <t>1.5.3.7</t>
  </si>
  <si>
    <t>1.5.4.1</t>
  </si>
  <si>
    <t>1.5.4.2</t>
  </si>
  <si>
    <t>1.5.4.3</t>
  </si>
  <si>
    <t>1.5.4.4</t>
  </si>
  <si>
    <t>1.5.4.5</t>
  </si>
  <si>
    <t>1.5.4.6</t>
  </si>
  <si>
    <t>3.1.1.1</t>
  </si>
  <si>
    <t>3.1.1.2</t>
  </si>
  <si>
    <t>3.1.1.3</t>
  </si>
  <si>
    <t>3.1.1.4</t>
  </si>
  <si>
    <t>3.1.1.5</t>
  </si>
  <si>
    <t>3.1.2.1</t>
  </si>
  <si>
    <t>3.1.2.2</t>
  </si>
  <si>
    <t>3.1.2.3</t>
  </si>
  <si>
    <t>3.1.2.4</t>
  </si>
  <si>
    <t>3.1.2.5</t>
  </si>
  <si>
    <t>3.1.3.1</t>
  </si>
  <si>
    <t>3.1.3.2</t>
  </si>
  <si>
    <t>2.2.1.1</t>
  </si>
  <si>
    <t>2.2.1.2</t>
  </si>
  <si>
    <t>2.2.1.3</t>
  </si>
  <si>
    <t>2.2.1.4</t>
  </si>
  <si>
    <t>2.2.1.5</t>
  </si>
  <si>
    <t>2.2.1.6</t>
  </si>
  <si>
    <t>2.2.1.7</t>
  </si>
  <si>
    <t>2.2.2.1</t>
  </si>
  <si>
    <t>2.2.2.2</t>
  </si>
  <si>
    <t>2.2.2.3</t>
  </si>
  <si>
    <t>2.2.3.1</t>
  </si>
  <si>
    <t>2.2.3.2</t>
  </si>
  <si>
    <t>2.2.3.4</t>
  </si>
  <si>
    <t>2.2.3.5</t>
  </si>
  <si>
    <t>2.2.3.6</t>
  </si>
  <si>
    <t>2.2.3.7</t>
  </si>
  <si>
    <t>2.2.3.8</t>
  </si>
  <si>
    <t>2.2.3.9</t>
  </si>
  <si>
    <t>2.2.3.10</t>
  </si>
  <si>
    <t>2.2.3.11</t>
  </si>
  <si>
    <t>2.2.3.12</t>
  </si>
  <si>
    <t>2.2.3.13</t>
  </si>
  <si>
    <t>3.2.1.1</t>
  </si>
  <si>
    <t>3.2.1.2</t>
  </si>
  <si>
    <t>3.2.1.3</t>
  </si>
  <si>
    <t>3.2.1.4</t>
  </si>
  <si>
    <t>3.2.1.5</t>
  </si>
  <si>
    <t>3.2.1.6</t>
  </si>
  <si>
    <t>3.2.1.7</t>
  </si>
  <si>
    <t>3.2.1.8</t>
  </si>
  <si>
    <t>3.2.1.9</t>
  </si>
  <si>
    <t>3.2.1.10</t>
  </si>
  <si>
    <t>3.2.1.11</t>
  </si>
  <si>
    <t>3.2.1.12</t>
  </si>
  <si>
    <t>3.2.1.13</t>
  </si>
  <si>
    <t>3.2.1.14</t>
  </si>
  <si>
    <t>3.2.1.15</t>
  </si>
  <si>
    <t>3.3.1.1</t>
  </si>
  <si>
    <t>3.3.2.1</t>
  </si>
  <si>
    <t>1.4.1.1</t>
  </si>
  <si>
    <t>1.4.2.1</t>
  </si>
  <si>
    <t>1.4.2.2</t>
  </si>
  <si>
    <t>1.4.2.3</t>
  </si>
  <si>
    <t>1.4.4.1</t>
  </si>
  <si>
    <t>1.4.3.1</t>
  </si>
  <si>
    <t>1.4.3.2</t>
  </si>
  <si>
    <t>1.4.5</t>
  </si>
  <si>
    <t>1.4.6</t>
  </si>
  <si>
    <t>1.4.4.2</t>
  </si>
  <si>
    <t>1.4.4.3</t>
  </si>
  <si>
    <t>1.4.4.4</t>
  </si>
  <si>
    <t>1.4.5.1</t>
  </si>
  <si>
    <t>1.4.5.2</t>
  </si>
  <si>
    <t>1.4.5.3</t>
  </si>
  <si>
    <t>1.4.5.4</t>
  </si>
  <si>
    <t>1.4.6.1</t>
  </si>
  <si>
    <t>1.4.6.2</t>
  </si>
  <si>
    <t>1.4.6.3</t>
  </si>
  <si>
    <t>1.4.6.4</t>
  </si>
  <si>
    <t>Pro. Code</t>
  </si>
  <si>
    <t>unit</t>
  </si>
  <si>
    <t>Cost ('000US$)</t>
  </si>
  <si>
    <t>Financial Rule</t>
  </si>
  <si>
    <t>Cost by source of fund ('000US$)</t>
  </si>
  <si>
    <t>CW22</t>
  </si>
  <si>
    <t>1.2.1</t>
  </si>
  <si>
    <t>1.2.2</t>
  </si>
  <si>
    <t>OK</t>
  </si>
  <si>
    <t>TABLE 3. 1.1  OTHER WATER MANAGEMENT INFRASTRUCTURE</t>
  </si>
  <si>
    <t>CW1-c</t>
  </si>
  <si>
    <t>pond</t>
  </si>
  <si>
    <t>CW1-b</t>
  </si>
  <si>
    <t>CW1-a</t>
  </si>
  <si>
    <t>CW1-d</t>
  </si>
  <si>
    <t>Sub-Total for FWUC Estab. &amp; Capacity Building</t>
  </si>
  <si>
    <t>ICT (Including: Infrastructure, Software development, Training, workshops and Demonstrations, Policies and standards, Consultants, Office operations and support costs)</t>
  </si>
  <si>
    <t>1.1.1.1</t>
  </si>
  <si>
    <t>Expendituer Categories</t>
  </si>
  <si>
    <t xml:space="preserve">Hydrologist
</t>
  </si>
  <si>
    <t>AutoCAD Specialist - 3</t>
  </si>
  <si>
    <t>AutoCAD Specialist - 7</t>
  </si>
  <si>
    <t>AutoCAD Specialist - 8</t>
  </si>
  <si>
    <t>AutoCAD/GIS Specialist</t>
  </si>
  <si>
    <t>Assistant Irrigation Design Engineer 1</t>
  </si>
  <si>
    <t xml:space="preserve">Irrigation Structure Design Engineer </t>
  </si>
  <si>
    <r>
      <t xml:space="preserve">Subtotal </t>
    </r>
    <r>
      <rPr>
        <b/>
        <sz val="11"/>
        <rFont val="Khmer OS Content"/>
      </rPr>
      <t>(សរុបតាមផ្នែក)</t>
    </r>
  </si>
  <si>
    <t>1.4.2.4</t>
  </si>
  <si>
    <t>1.4.2.5</t>
  </si>
  <si>
    <t>1.4.2.6</t>
  </si>
  <si>
    <t>1.4.3.3</t>
  </si>
  <si>
    <r>
      <t xml:space="preserve">TWG meeting on development of SOP for biofertilizer fertlizer quality testing </t>
    </r>
    <r>
      <rPr>
        <sz val="11"/>
        <rFont val="Khmer OS Battambang"/>
      </rPr>
      <t>(កិច្ចប្រជុំក្រុមការងារបច្ចេកទេសស្តីពីការរៀបចំស្តង់ដារនៃជីកសិកម្មជីវសាស្រ្ត និងជីសរីរាង្គ)</t>
    </r>
  </si>
  <si>
    <r>
      <t>Consultaive workshop on SOP for biofertilizer fertlizer quality testing manual (</t>
    </r>
    <r>
      <rPr>
        <sz val="11"/>
        <rFont val="Khmer OS Battambang"/>
      </rPr>
      <t>សិក្ខាសាលាពិគ្រោះយោបល់ស្តីពីស្តង់ដារវិភាគគុណភាពជីកសិកម្មជីវសាស្រ្ត និងជីសរីរាង្គ)</t>
    </r>
  </si>
  <si>
    <r>
      <rPr>
        <b/>
        <sz val="11"/>
        <rFont val="Arial"/>
        <family val="2"/>
      </rPr>
      <t>Development of Cassava and banana tissue culture manual (</t>
    </r>
    <r>
      <rPr>
        <b/>
        <sz val="11"/>
        <rFont val="Khmer OS Content"/>
      </rPr>
      <t>ការរៀបចំវិធីសាស្រ្តអនុវត្តជាលិការវប្បកម្មដំណាំដំឡូងមី)</t>
    </r>
  </si>
  <si>
    <r>
      <t>lump sum/</t>
    </r>
    <r>
      <rPr>
        <sz val="11"/>
        <rFont val="Khmer OS Content"/>
      </rPr>
      <t>សរុប</t>
    </r>
  </si>
  <si>
    <t>1.5.1.1</t>
  </si>
  <si>
    <t>1.5.1.2</t>
  </si>
  <si>
    <r>
      <t xml:space="preserve">Training
</t>
    </r>
    <r>
      <rPr>
        <sz val="11"/>
        <rFont val="Khmer OS Content"/>
      </rPr>
      <t>វគ្គបណ្តុះបណ្តាល</t>
    </r>
  </si>
  <si>
    <r>
      <t xml:space="preserve">Workshop
</t>
    </r>
    <r>
      <rPr>
        <sz val="11"/>
        <rFont val="Khmer OS Content"/>
      </rPr>
      <t>សិក្ខាសាលា</t>
    </r>
  </si>
  <si>
    <r>
      <t>Training on M&amp;E on biodigester and compost hut for PDAFF (</t>
    </r>
    <r>
      <rPr>
        <sz val="11"/>
        <rFont val="Khmer OS Content"/>
      </rPr>
      <t>វគ្គបណ្តុះបណ្តាលប្រព័ន្ធតាមដានត្រួតពិនិត្យ និងវាយតំលៃលើឡជីវឧស័្មន និងរោងជីកំប៉ុស្តិ៍សម្រាប់មន្រ្តីអនុវត្តគម្រោងថ្នាក់ខេត្ត)</t>
    </r>
  </si>
  <si>
    <r>
      <t xml:space="preserve">Sub total </t>
    </r>
    <r>
      <rPr>
        <b/>
        <sz val="11"/>
        <rFont val="Khmer OS Content"/>
      </rPr>
      <t>(សរុបតាមផ្នែក)</t>
    </r>
  </si>
  <si>
    <r>
      <t>Lump sum/</t>
    </r>
    <r>
      <rPr>
        <sz val="11"/>
        <rFont val="Khmer OS Content"/>
      </rPr>
      <t>សរុប</t>
    </r>
  </si>
  <si>
    <r>
      <t xml:space="preserve">Meeting
</t>
    </r>
    <r>
      <rPr>
        <sz val="11"/>
        <rFont val="Khmer OS Content"/>
      </rPr>
      <t>អង្គប្រជុំ</t>
    </r>
  </si>
  <si>
    <r>
      <t>Training to Model farmers &amp; exchange visits (</t>
    </r>
    <r>
      <rPr>
        <sz val="11"/>
        <rFont val="Khmer OS Content"/>
      </rPr>
      <t>វគ្គបណ្តុះបណ្តាលកសិករគំរូ និងទស្សនកិច្ចសិក្សា)</t>
    </r>
  </si>
  <si>
    <t>2.1.1.1</t>
  </si>
  <si>
    <t>2.1.1.2</t>
  </si>
  <si>
    <t>2.1.1.3</t>
  </si>
  <si>
    <t>2.1.1.4</t>
  </si>
  <si>
    <t>2.1.1.6</t>
  </si>
  <si>
    <t>2.2.1</t>
  </si>
  <si>
    <t>2.2.2</t>
  </si>
  <si>
    <t>2.2.3</t>
  </si>
  <si>
    <r>
      <t>Technical working group meeting on development of SOP for organic fertlizer quality testing (</t>
    </r>
    <r>
      <rPr>
        <sz val="11"/>
        <rFont val="Khmer OS Battambang"/>
      </rPr>
      <t>ប្រជុំក្រុមការងារ​បច្ចេកទេសរៀបចំនិតិវិធីប្រតិបត្តការវិភាគគុណភាពជីសរីរាង្គ)</t>
    </r>
  </si>
  <si>
    <r>
      <t>Consultaive workshop on SOP for organic fertlizer (</t>
    </r>
    <r>
      <rPr>
        <sz val="11"/>
        <rFont val="Khmer OS Battambang"/>
      </rPr>
      <t>សិក្ខាសាលាពិគ្រោះយោបល់ស្តិពីនិតិប្រតិបត្តស្តង់ដារជីសរីរាង្គ)</t>
    </r>
  </si>
  <si>
    <r>
      <t xml:space="preserve">Dessimination workshop on SOP of organic fertilizer quality testing manual​​ </t>
    </r>
    <r>
      <rPr>
        <sz val="11"/>
        <rFont val="Khmer OS Battambang"/>
      </rPr>
      <t>(សិក្ខាសាលាផ្សព្វផ្សាយស្តីពីណែនាំនៃការវិភាគគុណភាពជីសរីរាង្គ)</t>
    </r>
  </si>
  <si>
    <r>
      <t xml:space="preserve">Dessimination workshop on SOP of biofertilizer fertilizer quality testing manual​​ </t>
    </r>
    <r>
      <rPr>
        <sz val="11"/>
        <rFont val="Khmer OS Battambang"/>
      </rPr>
      <t>(សិក្ខាសាលាផ្សព្វផ្សាយស្តីពីណែនាំនៃការវិភាគគុណភាពជីកសិកម្ម​ជីវសាស្រ្ត)</t>
    </r>
  </si>
  <si>
    <r>
      <t>Commune &amp; provincial workshops on project dessimination, identification and selection cliants (</t>
    </r>
    <r>
      <rPr>
        <sz val="11"/>
        <rFont val="Khmer OS Content"/>
      </rPr>
      <t>សិក្ខាសាលាថ្នាក់ឃុំ និងខេត្តស្តីពីការផ្សព្វផ្សាយ ការកំណត់ និងជ្រើសរើសអ្នកជាវឡជីវឧស្ម័ន និងរោងជីកំប៉ុស្ត)</t>
    </r>
  </si>
  <si>
    <r>
      <t xml:space="preserve">Subtotal </t>
    </r>
    <r>
      <rPr>
        <b/>
        <sz val="11"/>
        <rFont val="Khmer OS Battambang"/>
      </rPr>
      <t>(សរុបតាមផ្នែក)</t>
    </r>
  </si>
  <si>
    <t>3.1.1</t>
  </si>
  <si>
    <t>3.1.2</t>
  </si>
  <si>
    <t>3.1.3</t>
  </si>
  <si>
    <t>1.5.1.4</t>
  </si>
  <si>
    <t>1.5.1.3</t>
  </si>
  <si>
    <r>
      <t>Activity 1.5: Promoting renewable energy (biodigester and use of solar energy in target cooperatives) for value chain improvement (</t>
    </r>
    <r>
      <rPr>
        <b/>
        <i/>
        <sz val="11"/>
        <color rgb="FFFF0000"/>
        <rFont val="Khmer OS Content"/>
      </rPr>
      <t>លទ្ធផលទី១: សកម្មភាពគម្រោង ១.៥: ការលើកកំពស់ការផ្តល់នូវថាមពលថ្មីទ្បើងវិញ (ទ្បជីវៈឧស្ម័ន និងការប្រើប្រាស់ឧស្ម័នពន្លឺព្រះអាទិត្យនៅតាមសហគមន៍កសិកម្មគោលដៅសំរាប់ការ ធ្វើអោយប្រសើរទ្បើងផ្នែកខ្សែច្រវ៉ាក់តម្លៃ)</t>
    </r>
  </si>
  <si>
    <t>1.4.7</t>
  </si>
  <si>
    <t>1.4.7.1</t>
  </si>
  <si>
    <t>1.4.7.2</t>
  </si>
  <si>
    <t>1.4.7.3</t>
  </si>
  <si>
    <t>1.4.7.4</t>
  </si>
  <si>
    <t>1.4.8</t>
  </si>
  <si>
    <t>Construction of AC's value chain infrastructure and solar panel</t>
  </si>
  <si>
    <t>1.2.1.7</t>
  </si>
  <si>
    <t>1.2.1.8</t>
  </si>
  <si>
    <t>Solar System study for agribusiness to reduce energy cost</t>
  </si>
  <si>
    <t>1.2.2.1</t>
  </si>
  <si>
    <t>1.2.2.2</t>
  </si>
  <si>
    <t>1.2.2.3</t>
  </si>
  <si>
    <t>1.2.2.4</t>
  </si>
  <si>
    <t>1.2.2.5</t>
  </si>
  <si>
    <t>2.3.3</t>
  </si>
  <si>
    <t>2.3.4</t>
  </si>
  <si>
    <t>2.3.3.1</t>
  </si>
  <si>
    <r>
      <t xml:space="preserve">Subtotal GF </t>
    </r>
    <r>
      <rPr>
        <b/>
        <sz val="11"/>
        <rFont val="Khmer OS Content"/>
      </rPr>
      <t>(សរុបតាមផ្នែក)</t>
    </r>
  </si>
  <si>
    <r>
      <t xml:space="preserve">Policies to support adoption of the ICT platform
</t>
    </r>
    <r>
      <rPr>
        <sz val="11"/>
        <rFont val="Khmer OS Content"/>
      </rPr>
      <t>គោលនយោបាយផ្សេងៗដើម្បីគាំទ្រការបន្សាំទៅនឹងព្រឹត្តិការណ៍បច្ចេកវិទ្យាទំនាក់ទំនងនិងព័ត៌មាន</t>
    </r>
  </si>
  <si>
    <r>
      <t xml:space="preserve">Data exchange standards </t>
    </r>
    <r>
      <rPr>
        <sz val="11"/>
        <rFont val="Khmer OS Content"/>
      </rPr>
      <t>(ស្តង់ដារផ្លាស់ប្តូរទិន្នន័យ)</t>
    </r>
  </si>
  <si>
    <r>
      <t xml:space="preserve">International consultant on climate specialist 
</t>
    </r>
    <r>
      <rPr>
        <sz val="11"/>
        <rFont val="Khmer OS Content"/>
      </rPr>
      <t>ទីប្រឹក្សាអន្តរជាតិស្តីពីអ្នកឯកទេសផ្នែកអាកាស់ធាតុ</t>
    </r>
  </si>
  <si>
    <r>
      <t xml:space="preserve">RECURRENT COSTS </t>
    </r>
    <r>
      <rPr>
        <b/>
        <sz val="11"/>
        <rFont val="Khmer OS Content"/>
      </rPr>
      <t>/ ការចំណាយតៗគ្នា</t>
    </r>
  </si>
  <si>
    <r>
      <t xml:space="preserve">TABLE 18. PROJECT MANAGEMENT UNIT / </t>
    </r>
    <r>
      <rPr>
        <b/>
        <sz val="11"/>
        <color rgb="FFFF0000"/>
        <rFont val="Khmer OS Content"/>
      </rPr>
      <t>តារាងទី ១៨. អង្គភាពគ្រប់គ្រងគម្រោង</t>
    </r>
  </si>
  <si>
    <r>
      <t xml:space="preserve">A. Recurrent Costs </t>
    </r>
    <r>
      <rPr>
        <sz val="11"/>
        <rFont val="Khmer OS Content"/>
      </rPr>
      <t xml:space="preserve"> / ការចំណាយតៗគ្នា</t>
    </r>
  </si>
  <si>
    <r>
      <t xml:space="preserve">1. INCREMENTAL STAFF </t>
    </r>
    <r>
      <rPr>
        <b/>
        <sz val="11"/>
        <rFont val="Khmer OS Content"/>
      </rPr>
      <t>(ចំនួនបុគ្គលិកដែលបានបន្ថែម)</t>
    </r>
  </si>
  <si>
    <r>
      <t xml:space="preserve">Central Level (32 persons) / </t>
    </r>
    <r>
      <rPr>
        <sz val="11"/>
        <rFont val="Khmer OS Content"/>
      </rPr>
      <t>បុគ្គលិកថ្នាក់កណ្តាល (៣២ នាក់)</t>
    </r>
  </si>
  <si>
    <r>
      <t>month/</t>
    </r>
    <r>
      <rPr>
        <sz val="11"/>
        <color rgb="FF0000FF"/>
        <rFont val="Khmer OS Content"/>
      </rPr>
      <t>ខែ</t>
    </r>
  </si>
  <si>
    <r>
      <t xml:space="preserve">Provincial level (28 persons) / </t>
    </r>
    <r>
      <rPr>
        <sz val="11"/>
        <rFont val="Khmer OS Content"/>
      </rPr>
      <t>បុគ្គលិកថ្នាក់ខេត្ត (២៨ នាក់)</t>
    </r>
  </si>
  <si>
    <r>
      <t>lump sum/</t>
    </r>
    <r>
      <rPr>
        <sz val="11"/>
        <color rgb="FF0000FF"/>
        <rFont val="Khmer OS Content"/>
      </rPr>
      <t>សរុប</t>
    </r>
  </si>
  <si>
    <r>
      <t xml:space="preserve">B. Operation and Management Costs / </t>
    </r>
    <r>
      <rPr>
        <b/>
        <sz val="11"/>
        <rFont val="Khmer OS Content"/>
      </rPr>
      <t>ការចំណាយផ្នែកគ្រប់គ្រងនិងប្រតិបត្តិ</t>
    </r>
  </si>
  <si>
    <r>
      <t>month/</t>
    </r>
    <r>
      <rPr>
        <sz val="11"/>
        <rFont val="Khmer OS Content"/>
      </rPr>
      <t>ខែ</t>
    </r>
  </si>
  <si>
    <r>
      <t xml:space="preserve">Equipment (12 Computors and 7 Printers)
</t>
    </r>
    <r>
      <rPr>
        <sz val="11"/>
        <rFont val="Khmer OS Content"/>
      </rPr>
      <t>ចំណាយលើបរិក្ខាការិយាល័យ (១២ កុំព្យួទ័រ និង ៧ ម៉ាស៊ីនព្រីន)</t>
    </r>
  </si>
  <si>
    <r>
      <t>Advertisement Charges</t>
    </r>
    <r>
      <rPr>
        <sz val="11"/>
        <rFont val="Khmer OS Content"/>
      </rPr>
      <t xml:space="preserve"> (ចំណាយលើផ្នែកផ្សព្វផ្សាយព័ត៌មាន)</t>
    </r>
  </si>
  <si>
    <r>
      <t xml:space="preserve">General Meeting </t>
    </r>
    <r>
      <rPr>
        <sz val="11"/>
        <rFont val="Khmer OS Content"/>
      </rPr>
      <t>(ចំណាយលើអង្គប្រជុំទូទៅ)</t>
    </r>
  </si>
  <si>
    <r>
      <t xml:space="preserve">Translatation Fees </t>
    </r>
    <r>
      <rPr>
        <sz val="11"/>
        <rFont val="Khmer OS Content"/>
      </rPr>
      <t>(ចំណាយថ្លៃបកប្រែ)</t>
    </r>
  </si>
  <si>
    <r>
      <t xml:space="preserve">Total (DT18) / </t>
    </r>
    <r>
      <rPr>
        <b/>
        <sz val="11"/>
        <color rgb="FFFF0000"/>
        <rFont val="Khmer OS Content"/>
      </rPr>
      <t>សរុប (តារាងទី១៨)</t>
    </r>
  </si>
  <si>
    <r>
      <t>TABLE 19. PROJECT TECHNICAL SUPPORT /</t>
    </r>
    <r>
      <rPr>
        <b/>
        <sz val="11"/>
        <color rgb="FFFF0000"/>
        <rFont val="Khmer OS Content"/>
      </rPr>
      <t xml:space="preserve"> តារាងទី១៩. ការគាំទ្រផ្នែកបច្ចេកទេសគម្រោង</t>
    </r>
  </si>
  <si>
    <r>
      <t xml:space="preserve">1. International Specialists /a </t>
    </r>
    <r>
      <rPr>
        <b/>
        <sz val="11"/>
        <rFont val="Khmer OS Content"/>
      </rPr>
      <t>(អ្នកឯកទេសផ្នែកអន្តរជាតិ)</t>
    </r>
  </si>
  <si>
    <r>
      <t xml:space="preserve">2. National Specialists </t>
    </r>
    <r>
      <rPr>
        <b/>
        <sz val="11"/>
        <rFont val="Khmer OS Content"/>
      </rPr>
      <t>(ទីប្រឹក្សាជាតិ)</t>
    </r>
  </si>
  <si>
    <r>
      <t xml:space="preserve"> Provisional Sums</t>
    </r>
    <r>
      <rPr>
        <b/>
        <sz val="11"/>
        <rFont val="Khmer OS Content"/>
      </rPr>
      <t xml:space="preserve"> (សរុបចំណាយបផ្សេងៗបន្ថែមទៀត)</t>
    </r>
  </si>
  <si>
    <r>
      <t xml:space="preserve">5. Contingencies </t>
    </r>
    <r>
      <rPr>
        <b/>
        <sz val="11"/>
        <rFont val="Khmer OS Content"/>
      </rPr>
      <t>(ចំណាយជាយថាហេតុផ្សេងៗ)</t>
    </r>
  </si>
  <si>
    <r>
      <t xml:space="preserve">B. Independent Environment Monitoring Entity/Consultant
</t>
    </r>
    <r>
      <rPr>
        <b/>
        <sz val="11"/>
        <color rgb="FF0070C0"/>
        <rFont val="Khmer OS Content"/>
      </rPr>
      <t>ទីប្រឹក្សា / អង្គភាពត្រួតពិនិត្យបរិស្ថានឯករាជ្យ</t>
    </r>
  </si>
  <si>
    <r>
      <t xml:space="preserve">C. CS 2 Training and Capacity Building Support
</t>
    </r>
    <r>
      <rPr>
        <b/>
        <sz val="11"/>
        <color rgb="FF0070C0"/>
        <rFont val="Khmer OS Content"/>
      </rPr>
      <t>ការគាំទ្រផ្នែកពង្រឹងសមត្ថភាពនិងវគ្គបណ្តុះបណ្តាល</t>
    </r>
  </si>
  <si>
    <r>
      <t xml:space="preserve">C1. National Agricultural Laboratory </t>
    </r>
    <r>
      <rPr>
        <b/>
        <sz val="11"/>
        <rFont val="Khmer OS Content"/>
      </rPr>
      <t>(មន្ទីរពិសោធន៍ជាតិផ្នែកកសិកម្ម)</t>
    </r>
  </si>
  <si>
    <r>
      <t>1. International Specialists</t>
    </r>
    <r>
      <rPr>
        <sz val="11"/>
        <rFont val="Khmer OS Content"/>
      </rPr>
      <t xml:space="preserve"> (អ្នកឯកទេសផ្នែកអន្តរជាតិ)</t>
    </r>
  </si>
  <si>
    <r>
      <t>2. National Specialists</t>
    </r>
    <r>
      <rPr>
        <sz val="11"/>
        <rFont val="Khmer OS Content"/>
      </rPr>
      <t xml:space="preserve"> (អ្នកឯកទេសជាតិ)</t>
    </r>
  </si>
  <si>
    <r>
      <t>C3.Support for Capacity Building</t>
    </r>
    <r>
      <rPr>
        <b/>
        <sz val="11"/>
        <rFont val="Khmer OS Content"/>
      </rPr>
      <t xml:space="preserve"> (ការគាំទ្រផ្នែកកសាងសមត្ថភាព)</t>
    </r>
  </si>
  <si>
    <r>
      <t>C4. Policy &amp; Standards</t>
    </r>
    <r>
      <rPr>
        <b/>
        <sz val="11"/>
        <rFont val="Khmer OS Content"/>
      </rPr>
      <t xml:space="preserve"> (គោលនយោបាយនិងស្តង់ដារ)</t>
    </r>
  </si>
  <si>
    <r>
      <t xml:space="preserve">1. International Specialists </t>
    </r>
    <r>
      <rPr>
        <sz val="11"/>
        <rFont val="Khmer OS Content"/>
      </rPr>
      <t>(អ្នកឯកទេសផ្នែកអន្តរជាតិ)</t>
    </r>
  </si>
  <si>
    <r>
      <t xml:space="preserve">2. National Specialists </t>
    </r>
    <r>
      <rPr>
        <sz val="11"/>
        <rFont val="Khmer OS Content"/>
      </rPr>
      <t>(អ្នកឯកទេសជាតិ)</t>
    </r>
  </si>
  <si>
    <r>
      <t xml:space="preserve">C5. Green Finance Facility Support </t>
    </r>
    <r>
      <rPr>
        <b/>
        <sz val="11"/>
        <rFont val="Khmer OS Content"/>
      </rPr>
      <t>(ការគាំទ្រផ្នែកហិរញ្ញប្បទាន)</t>
    </r>
  </si>
  <si>
    <r>
      <t xml:space="preserve">C6. Reimbursable Expenses and Provisional Sums 
</t>
    </r>
    <r>
      <rPr>
        <b/>
        <sz val="11"/>
        <rFont val="Khmer OS Content"/>
      </rPr>
      <t>ការទូទាត់ការចំណាយត្រទ្បប់មកវិញ និងសរុបចំណាយបផ្សេងៗបន្ថែមទៀត</t>
    </r>
  </si>
  <si>
    <r>
      <t>1. Consultations/workshop (</t>
    </r>
    <r>
      <rPr>
        <sz val="11"/>
        <rFont val="Khmer OS Content"/>
      </rPr>
      <t>ពិគ្រោះយោបល់ / សិក្ខាសាលា )</t>
    </r>
  </si>
  <si>
    <r>
      <t>2.Training/meeting​  (</t>
    </r>
    <r>
      <rPr>
        <sz val="11"/>
        <rFont val="Khmer OS Content"/>
      </rPr>
      <t>វគ្គបណ្តុះបណ្តាល/ អង្គប្រជុំ)</t>
    </r>
  </si>
  <si>
    <r>
      <t>3. Translation</t>
    </r>
    <r>
      <rPr>
        <sz val="11"/>
        <rFont val="Khmer OS Content"/>
      </rPr>
      <t xml:space="preserve"> (ចំណាយថ្លៃបកប្រែ)</t>
    </r>
  </si>
  <si>
    <r>
      <t xml:space="preserve">D. CS5 Feasibility Studies and Detailed Engineering Design
</t>
    </r>
    <r>
      <rPr>
        <b/>
        <sz val="11"/>
        <rFont val="Khmer OS Content"/>
      </rPr>
      <t>ការចុះសិក្សាពីលទ្ធភាព និងការគ្រោងប្លង់លំអិត</t>
    </r>
  </si>
  <si>
    <r>
      <t xml:space="preserve">D1. Remuneration </t>
    </r>
    <r>
      <rPr>
        <b/>
        <sz val="11"/>
        <rFont val="Khmer OS Content"/>
      </rPr>
      <t>(ការផ្តល់សំណង ឬប្រាក់ខែ)</t>
    </r>
  </si>
  <si>
    <r>
      <t xml:space="preserve">D2. Reimbursable Expenses and Provisional Sums
</t>
    </r>
    <r>
      <rPr>
        <b/>
        <sz val="11"/>
        <rFont val="Khmer OS Content"/>
      </rPr>
      <t>ការទូទាត់ការចំណាយត្រទ្បប់មកវិញ និងសរុបចំណាយបផ្សេងៗបន្ថែមទៀត</t>
    </r>
  </si>
  <si>
    <r>
      <t xml:space="preserve">Total (T19) </t>
    </r>
    <r>
      <rPr>
        <b/>
        <sz val="11"/>
        <color rgb="FFFF0000"/>
        <rFont val="Khmer OS Content"/>
      </rPr>
      <t>/ សរុប (តារាងទី១៩)</t>
    </r>
  </si>
  <si>
    <r>
      <t xml:space="preserve">TOTAL (MAFF) </t>
    </r>
    <r>
      <rPr>
        <b/>
        <sz val="11"/>
        <rFont val="Khmer OS Content"/>
      </rPr>
      <t>/ សរុប (ក្រសួងកសិកម្ម រុក្ខាប្រមាញ់និងនេសាទ)</t>
    </r>
  </si>
  <si>
    <r>
      <t xml:space="preserve">Activity 3.3: Supporting climate risk management through Information and Communication Technologies (ICT) </t>
    </r>
    <r>
      <rPr>
        <b/>
        <sz val="11"/>
        <color rgb="FFFF0000"/>
        <rFont val="Khmer OS Content"/>
      </rPr>
      <t>លទ្ធផលទី៣: សកម្មភាព ៣.៣ ការគាំទ្រការគ្រប់គ្រងហានិភ័យអាកាស់ធាតុតាមរយះបច្ចេកវិទ្យាទំនាក់ទំនងនិងព័ត៌មាន</t>
    </r>
  </si>
  <si>
    <r>
      <t xml:space="preserve">OUTPUT 3: Enabling environment for climate smart agribusiness enhanced 
</t>
    </r>
    <r>
      <rPr>
        <b/>
        <sz val="12"/>
        <rFont val="Khmer OS Content"/>
      </rPr>
      <t>(លទ្ធផលទី៣: ការធ្វើអោយបរិយាកាស់ល្អប្រសើរទ្បើងផ្នែកកសិធុរៈកិច្ចវ័យឆ្លាតបានលើកកំពស់)</t>
    </r>
  </si>
  <si>
    <t>2.1.1.7</t>
  </si>
  <si>
    <t>2.1.1.8</t>
  </si>
  <si>
    <r>
      <t>ha/</t>
    </r>
    <r>
      <rPr>
        <sz val="11"/>
        <rFont val="Khmer OS Content"/>
      </rPr>
      <t>ហិកតា</t>
    </r>
  </si>
  <si>
    <t>Total of Activity 1.2: Upgrading AC value chain infrastructure</t>
  </si>
  <si>
    <t>Total of Activity 1.4: Support NAL improvement</t>
  </si>
  <si>
    <t xml:space="preserve">Total of activity 1.5: promoting renewable energy </t>
  </si>
  <si>
    <r>
      <t xml:space="preserve">Activity 2.1: Deploying climate resilient varieties </t>
    </r>
    <r>
      <rPr>
        <b/>
        <i/>
        <sz val="11"/>
        <color rgb="FFFF0000"/>
        <rFont val="Khmer OS Content"/>
      </rPr>
      <t>(លទ្ធផលទី២: សកម្មភាព ២.១: ការបង្កើតអោយមានពូជដែលធននឹងការប្រែប្រួលអាកាស់ធាតុ)</t>
    </r>
  </si>
  <si>
    <t>2.3.5</t>
  </si>
  <si>
    <t>2.3.5.1</t>
  </si>
  <si>
    <t>2.3.5.2</t>
  </si>
  <si>
    <t>2.3.5.3</t>
  </si>
  <si>
    <t>2.3.5.4</t>
  </si>
  <si>
    <t>2.3.5.5</t>
  </si>
  <si>
    <t>2.3.5.6</t>
  </si>
  <si>
    <t>2.3.5.7</t>
  </si>
  <si>
    <t>2.3.5.8</t>
  </si>
  <si>
    <t>Total of Activity 2.2: Strengthening capacity in climate friendly</t>
  </si>
  <si>
    <t>Total of activity 2.3: Promoting farm mechanization and extension</t>
  </si>
  <si>
    <r>
      <t xml:space="preserve">Green Finance Initiatives </t>
    </r>
    <r>
      <rPr>
        <b/>
        <sz val="11"/>
        <rFont val="Khmer OS Content"/>
      </rPr>
      <t>(ការផ្តួចផ្តើមគំនិតថ្មីៗផ្នែកហិរញ្ញប្បទានបៃតង)</t>
    </r>
  </si>
  <si>
    <t>3.2.1</t>
  </si>
  <si>
    <t>3.2.2</t>
  </si>
  <si>
    <r>
      <t xml:space="preserve">Activity 3.2: Promoting green finance and risk sharing mechanism 
</t>
    </r>
    <r>
      <rPr>
        <b/>
        <sz val="11"/>
        <color rgb="FFFF0000"/>
        <rFont val="Khmer OS Content"/>
      </rPr>
      <t>(សកម្មភាព ៣.២: ការលើកកំពស់ហិរញ្ញប្បទានបៃតង និងយន្តការចែករំលែកពីហានិភ័យ)</t>
    </r>
  </si>
  <si>
    <t>Total of activity 3.2: Promoting green finance and risk sharing mechanism</t>
  </si>
  <si>
    <r>
      <t xml:space="preserve">Subtotal / </t>
    </r>
    <r>
      <rPr>
        <b/>
        <sz val="11"/>
        <color rgb="FFFF0000"/>
        <rFont val="Khmer OS Content"/>
      </rPr>
      <t>សរុបតាមផ្នែក</t>
    </r>
    <r>
      <rPr>
        <b/>
        <sz val="11"/>
        <color rgb="FFFF0000"/>
        <rFont val="Arial"/>
        <family val="2"/>
      </rPr>
      <t xml:space="preserve"> (CS6)</t>
    </r>
  </si>
  <si>
    <r>
      <t>Subtotal for CS1</t>
    </r>
    <r>
      <rPr>
        <b/>
        <sz val="11"/>
        <color rgb="FFFF0000"/>
        <rFont val="Khmer OS Content"/>
      </rPr>
      <t xml:space="preserve"> (សរុបតាមផ្នែក) </t>
    </r>
    <r>
      <rPr>
        <b/>
        <sz val="11"/>
        <color rgb="FFFF0000"/>
        <rFont val="Arial"/>
        <family val="2"/>
      </rPr>
      <t>CS1</t>
    </r>
  </si>
  <si>
    <r>
      <t xml:space="preserve">Subtotal </t>
    </r>
    <r>
      <rPr>
        <b/>
        <sz val="11"/>
        <color rgb="FFFF0000"/>
        <rFont val="Khmer OS Content"/>
      </rPr>
      <t>/ សរុបតាមផ្នែក</t>
    </r>
    <r>
      <rPr>
        <b/>
        <sz val="11"/>
        <color rgb="FFFF0000"/>
        <rFont val="Arial"/>
        <family val="2"/>
      </rPr>
      <t xml:space="preserve"> (CS5)</t>
    </r>
  </si>
  <si>
    <r>
      <t xml:space="preserve">Subtotal / </t>
    </r>
    <r>
      <rPr>
        <b/>
        <sz val="11"/>
        <color rgb="FFFF0000"/>
        <rFont val="Khmer OS Content"/>
      </rPr>
      <t>សរុបតាមផ្នែក</t>
    </r>
    <r>
      <rPr>
        <b/>
        <sz val="11"/>
        <color rgb="FFFF0000"/>
        <rFont val="Arial"/>
        <family val="2"/>
      </rPr>
      <t xml:space="preserve"> (CS2)</t>
    </r>
  </si>
  <si>
    <r>
      <t>Subtotal</t>
    </r>
    <r>
      <rPr>
        <b/>
        <sz val="11"/>
        <rFont val="Khmer OS Content"/>
      </rPr>
      <t xml:space="preserve"> (សរុបតាមផ្នែក)</t>
    </r>
    <r>
      <rPr>
        <b/>
        <sz val="11"/>
        <rFont val="Arial"/>
        <family val="2"/>
      </rPr>
      <t xml:space="preserve"> CS1</t>
    </r>
  </si>
  <si>
    <t>Activity  
Code</t>
  </si>
  <si>
    <t>Unit Cost
(USD)</t>
  </si>
  <si>
    <t>Unit Cost</t>
  </si>
  <si>
    <t>Financing Rule</t>
  </si>
  <si>
    <t>Costs by Sources of Fund</t>
  </si>
  <si>
    <t>('000 USD)</t>
  </si>
  <si>
    <t>I. INVESTMENT COSTS</t>
  </si>
  <si>
    <t>OUPUT 1: Critical agribusiness value chain infrastructure improved and made climate resilient</t>
  </si>
  <si>
    <t>1- CIVIL WORKS ( Improving connectivity to cooperatives and markets through climate resilient farm road networks)***</t>
  </si>
  <si>
    <t>Total Civil Works CW17</t>
  </si>
  <si>
    <t>2- PROJECT MANAGEMENT UNIT</t>
  </si>
  <si>
    <t>A. INCREMENTAL STAFF</t>
  </si>
  <si>
    <t>1. PMU and PDRD staff</t>
  </si>
  <si>
    <t>Project Director</t>
  </si>
  <si>
    <t>Project Manager</t>
  </si>
  <si>
    <t>Social Guard</t>
  </si>
  <si>
    <t>Civil Engineer</t>
  </si>
  <si>
    <t>Gender Officer</t>
  </si>
  <si>
    <t xml:space="preserve">PDRD Director </t>
  </si>
  <si>
    <t>Admin &amp; Finance Assistant (4 staff x $100)</t>
  </si>
  <si>
    <t>B. Operation and Management Costs</t>
  </si>
  <si>
    <t>-Motorbike Operating Costs  (PIU) (1 Motorbike X $50*12 Months)</t>
  </si>
  <si>
    <t>- Office Operation (PIU $350 &amp; PDRDs= 4x$100)</t>
  </si>
  <si>
    <t>- Per-diem &amp; DSA for 5 persons for PIU (10days/month/person =(34*8+14*2)*5=1,500$)</t>
  </si>
  <si>
    <t>province</t>
  </si>
  <si>
    <t>Total Project Managemet Unit</t>
  </si>
  <si>
    <t>TOTAL (MRD)</t>
  </si>
  <si>
    <t>*** Civil Works and budget plan will be revised after completing detailed Design</t>
  </si>
  <si>
    <t>MRD TOTAL</t>
  </si>
  <si>
    <t>3.1.1.6</t>
  </si>
  <si>
    <t>2.1.1.9</t>
  </si>
  <si>
    <t>2.1.1.10</t>
  </si>
  <si>
    <t>2.2.2.5</t>
  </si>
  <si>
    <t>1.5.5.1</t>
  </si>
  <si>
    <t>1.5.5.2</t>
  </si>
  <si>
    <t>1.5.5.3</t>
  </si>
  <si>
    <t>1.5.5.4</t>
  </si>
  <si>
    <t>1.5.5.5</t>
  </si>
  <si>
    <t>1.5.5.6</t>
  </si>
  <si>
    <t>1.5.5.7</t>
  </si>
  <si>
    <t>1.5.5.8</t>
  </si>
  <si>
    <t>1.5.5.9</t>
  </si>
  <si>
    <t>1.5.5.10</t>
  </si>
  <si>
    <t>2.1.1.11</t>
  </si>
  <si>
    <r>
      <t xml:space="preserve">1.1 Rehabilitating water management infrastructure to climate resilient condition
</t>
    </r>
    <r>
      <rPr>
        <sz val="10"/>
        <color theme="1"/>
        <rFont val="Khmer OS Battambang"/>
      </rPr>
      <t>គ្រប់គ្រងហេដ្ឋារចនាសម្ព័ន្ធប្រភពទឹកឆ្លើយតបភាពធន់ការប្រែប្រួលអាកាសធាតុ</t>
    </r>
  </si>
  <si>
    <r>
      <t>1.2 Upgrading agricultural cooperative value chain infrastructure
.</t>
    </r>
    <r>
      <rPr>
        <sz val="10"/>
        <color theme="1"/>
        <rFont val="Khmer OS Battambang"/>
      </rPr>
      <t xml:space="preserve"> ធ្វើអោយប្រសើរហេដ្ឋារចនាសម្ព័ន្ធខ្សែច្រវ៉ាក់តម្លៃសហគមន៍កសិកម្ម</t>
    </r>
  </si>
  <si>
    <r>
      <t>1.3 Improving connectivity to cooperatives and markets through climate resilient farm road networks
.</t>
    </r>
    <r>
      <rPr>
        <sz val="10"/>
        <color theme="1"/>
        <rFont val="Khmer OS Battambang"/>
      </rPr>
      <t xml:space="preserve">ការធ្វើឱ្យប្រសើរឡើងនូវកាតភ្ជាប់ផ្លូវពីសហគមន៍កសិកម្មទៅផ្លូវធំ ឬផ្សារដែលធន់នឹងបម្រែបម្រួលអាកាសធាតុ </t>
    </r>
  </si>
  <si>
    <r>
      <t xml:space="preserve">1.4 Strengthening infrastructure for agricultural quality and safety testing
</t>
    </r>
    <r>
      <rPr>
        <sz val="10"/>
        <color theme="1"/>
        <rFont val="Khmer OS Battambang"/>
      </rPr>
      <t>កែលំអរហេដ្ឋារចនាសម្ព័ន្ធធ្វើតេស្តគុណភាព និងសុវត្ថិភាពផលិតផលដំណាំ</t>
    </r>
  </si>
  <si>
    <r>
      <t xml:space="preserve">1.5 Promoting renewable energy for value chain improvement
</t>
    </r>
    <r>
      <rPr>
        <sz val="10"/>
        <color theme="1"/>
        <rFont val="Khmer OS Battambang"/>
      </rPr>
      <t>ថាមពលកកើតឡើងវិញសម្រាប់ការកែលម្អខ្សែសង្វាក់ផលិតកម្ម</t>
    </r>
  </si>
  <si>
    <r>
      <t xml:space="preserve">2.1 Deploying climate resilient varieties
</t>
    </r>
    <r>
      <rPr>
        <sz val="10"/>
        <color theme="1"/>
        <rFont val="Khmer OS Battambang"/>
      </rPr>
      <t xml:space="preserve">ការផលិត នឹងផ្សព្វផ្សាយពូជដែលធននឹងការប្រែប្រួលអាកាស់ធាតុ </t>
    </r>
  </si>
  <si>
    <r>
      <t xml:space="preserve">2.2 Strengthening capacity in climate friendly production practices and technologies
</t>
    </r>
    <r>
      <rPr>
        <sz val="10"/>
        <color theme="1"/>
        <rFont val="Khmer OS Battambang"/>
      </rPr>
      <t>ការពង្រឹងសមត្ថភាពនៃការអនុវត្ត​កសិកម្មដោយភាតរៈបរិស្ថាន</t>
    </r>
  </si>
  <si>
    <r>
      <t xml:space="preserve">2.3 Promoting farm mechanization and extension 
</t>
    </r>
    <r>
      <rPr>
        <sz val="10"/>
        <color theme="1"/>
        <rFont val="Khmer OS Battambang"/>
      </rPr>
      <t>ជុំរុញ នឹងផ្សព្វផ្សាយការប្រើប្រាស់គ្រឿងយន្តូបនីយ៍កម្មកសិកម្ម</t>
    </r>
  </si>
  <si>
    <r>
      <t xml:space="preserve">3.1 Formulating climate friendly agribusiness policies and standards
</t>
    </r>
    <r>
      <rPr>
        <sz val="10"/>
        <color theme="1"/>
        <rFont val="Khmer OS Battambang"/>
      </rPr>
      <t>ការសិក្សា និងរៀបចំគោលនយោបាយ និងស្តង់ដារ</t>
    </r>
  </si>
  <si>
    <r>
      <t xml:space="preserve">3.2 Promoting green finance and risk sharing mechanisms
</t>
    </r>
    <r>
      <rPr>
        <sz val="10"/>
        <color theme="1"/>
        <rFont val="Khmer OS Battambang"/>
      </rPr>
      <t>ការលើកកំពស់ហិរញ្ញប្បទានបៃតង និងយន្តការចែករំលែកពីហានិភ័យ)</t>
    </r>
  </si>
  <si>
    <r>
      <t xml:space="preserve">3.3 Supporting climate risk management through information and communication technologies (ICT)
</t>
    </r>
    <r>
      <rPr>
        <sz val="10"/>
        <color theme="1"/>
        <rFont val="Khmer OS Battambang"/>
      </rPr>
      <t>ការគាំទ្រការគ្រប់គ្រងហានិភ័យអាកាស់ធាតុតាមរយះបច្ចេកវិទ្យាទំនាក់ទំនងនិងព័ត៌មាន</t>
    </r>
  </si>
  <si>
    <t>2.3.4.1</t>
  </si>
  <si>
    <t>2.3.4.2</t>
  </si>
  <si>
    <t>2.3.4.3</t>
  </si>
  <si>
    <t>2.3.4.4</t>
  </si>
  <si>
    <t>2.3.4.5</t>
  </si>
  <si>
    <t>2.3.4.6</t>
  </si>
  <si>
    <t>2.3.4.7</t>
  </si>
  <si>
    <r>
      <t xml:space="preserve">Infrastructure </t>
    </r>
    <r>
      <rPr>
        <b/>
        <sz val="11"/>
        <rFont val="Khmer OS Content"/>
      </rPr>
      <t>(ហេដ្ឋារចនាសម្ព័ន្ធ)</t>
    </r>
  </si>
  <si>
    <r>
      <t xml:space="preserve">ICT Policies and Data Exchange Standards </t>
    </r>
    <r>
      <rPr>
        <b/>
        <sz val="11"/>
        <rFont val="Khmer OS Content"/>
      </rPr>
      <t>(គោលនយោបាយនិងស្តង់ដារ)</t>
    </r>
  </si>
  <si>
    <t>Lot</t>
  </si>
  <si>
    <t>CW3a</t>
  </si>
  <si>
    <t>CW3b1</t>
  </si>
  <si>
    <t>CW3b2</t>
  </si>
  <si>
    <t>CW3b3</t>
  </si>
  <si>
    <t>Cooperative  Storage</t>
  </si>
  <si>
    <t>Training, Workshop, consultation</t>
  </si>
  <si>
    <t>Studies, Survey and reporting</t>
  </si>
  <si>
    <t>4.1.1</t>
  </si>
  <si>
    <t>4.1.2</t>
  </si>
  <si>
    <t>D1a</t>
  </si>
  <si>
    <t>Demonstration and Training of Laser Land Levelling (500ha)</t>
  </si>
  <si>
    <t>Demonstration and Training of Laser Land Levelling (3,500ha)</t>
  </si>
  <si>
    <r>
      <t xml:space="preserve">Training, workshops and Demonstrations 
</t>
    </r>
    <r>
      <rPr>
        <b/>
        <sz val="11"/>
        <rFont val="Khmer OS Content"/>
      </rPr>
      <t>វគ្គបណ្តុះបណ្តាល សិក្ខាសាលា និងការធ្វើបទបង្ហាញ</t>
    </r>
  </si>
  <si>
    <t>Consultants (ទីប្រឹក្សា)</t>
  </si>
  <si>
    <t xml:space="preserve">Studies, survey and design </t>
  </si>
  <si>
    <t>Information and Communication Technologies (ICT)</t>
  </si>
  <si>
    <t>Package</t>
  </si>
  <si>
    <r>
      <t xml:space="preserve">Subtotal CS4 </t>
    </r>
    <r>
      <rPr>
        <b/>
        <sz val="11"/>
        <rFont val="Khmer OS Content"/>
      </rPr>
      <t>(សរុបតាមផ្នែក)</t>
    </r>
  </si>
  <si>
    <t>Lump sum</t>
  </si>
  <si>
    <t>2.3.5.9</t>
  </si>
  <si>
    <r>
      <t>Activity 2.2: Strengthening capacity in climate friendly
(</t>
    </r>
    <r>
      <rPr>
        <b/>
        <sz val="11"/>
        <color rgb="FFFF0000"/>
        <rFont val="Khmer OS Content"/>
      </rPr>
      <t>សកម្មភាពគម្រោង ២.២ ការពង្រឹងសមត្ថភាពដោយភាតរៈបរិស្ថាន)</t>
    </r>
  </si>
  <si>
    <t>2.2.4</t>
  </si>
  <si>
    <t>2.2.4.1</t>
  </si>
  <si>
    <t>2.2.4.2</t>
  </si>
  <si>
    <t>2.2.4.3</t>
  </si>
  <si>
    <t>Extension leaflet on agricultural information
ខិតប័ណ្ណផ្សព្វផ្សាយព័ត៌មានកសិកម្ម</t>
  </si>
  <si>
    <t>2.2.1.8</t>
  </si>
  <si>
    <t>2.2.1.9</t>
  </si>
  <si>
    <t>2.2.1.10</t>
  </si>
  <si>
    <t>2.2.1.11</t>
  </si>
  <si>
    <t>Dissemination workshop on contract farming mechanism
សិក្ខាសាលាផ្សព្វផ្សាយ ស្តីពីយន្តការផលិតកម្មកសិកម្មតាមកិច្ចសន្យា</t>
  </si>
  <si>
    <t>Workshop on verification workshop on the result of contract farming implementation
សិក្ខាសាលាស្តីពីការផ្ទៀងផ្ទាត់លទ្ធផលនៃការអនុវត្ត ផលិតកម្មកសិកម្មតាមកិច្ចសន្យាកិច្ចសន្យា</t>
  </si>
  <si>
    <t>1.4.2.7</t>
  </si>
  <si>
    <t>1.4.2.9</t>
  </si>
  <si>
    <t>1.4.2.10</t>
  </si>
  <si>
    <t>1.4.2.11</t>
  </si>
  <si>
    <t>1.4.2.12</t>
  </si>
  <si>
    <t>1.4.2.13</t>
  </si>
  <si>
    <t>Subtotal (សរុបតាមផ្នែក)</t>
  </si>
  <si>
    <t>1.4.9</t>
  </si>
  <si>
    <t>1.4.9.1</t>
  </si>
  <si>
    <r>
      <t>Development of Standard Operation Procedure (SOP) for quality testing of biofertilizer</t>
    </r>
    <r>
      <rPr>
        <b/>
        <sz val="11"/>
        <rFont val="Khmer OS Content"/>
      </rPr>
      <t>(ការរៀបចំបទដ្ឋានស្តង់ដារបច្ចេកទេសសម្រាប់ការវិភាគគុណភាពជីកសិកម្មជីវសាស្រ្ត)</t>
    </r>
  </si>
  <si>
    <r>
      <t>Development of Standard Operation Procedure (SOP) for quality testing of organic fertilizer (</t>
    </r>
    <r>
      <rPr>
        <b/>
        <sz val="11"/>
        <rFont val="Khmer OS Content"/>
      </rPr>
      <t>រៀបចំឯកសារស្តង់ដារបច្ចេកទេសសម្រាប់ការវិភាគគុណភាពជីសរីរាង្គ)</t>
    </r>
  </si>
  <si>
    <r>
      <t>Training on data entry and database management (</t>
    </r>
    <r>
      <rPr>
        <sz val="11"/>
        <rFont val="Khmer OS Content"/>
      </rPr>
      <t>វគ្គបណ្តុះបណ្តាលស្តីពីការបញ្ចូល និងគ្រប់គ្រងប្រព័ន្ធទិន្នន័យឡជីវឧស្ម័ន និងរោងជីកំប៉ុស្តិ៍)</t>
    </r>
  </si>
  <si>
    <t>1.5.2.10</t>
  </si>
  <si>
    <t>1.5.2.11</t>
  </si>
  <si>
    <t>1.5.2.12</t>
  </si>
  <si>
    <t>1.5.2.13</t>
  </si>
  <si>
    <t>1.5.2.14</t>
  </si>
  <si>
    <t>1.5.5.11</t>
  </si>
  <si>
    <t>2.3.5.10</t>
  </si>
  <si>
    <t>2.3.5.11</t>
  </si>
  <si>
    <t>2.3.5.12</t>
  </si>
  <si>
    <t>2.3.5.13</t>
  </si>
  <si>
    <r>
      <t>Provincial monthly Progress meetings (</t>
    </r>
    <r>
      <rPr>
        <sz val="11"/>
        <rFont val="Khmer OS Content"/>
      </rPr>
      <t>ប្រជុំវឌ្ឍនភាពការងារប្រចាំ</t>
    </r>
    <r>
      <rPr>
        <sz val="11"/>
        <rFont val="Khmer OS Battambang"/>
      </rPr>
      <t>ខែសម្រាប់អង្គភាពអនុវត្តគម្រោងថ្នាក់ខេត្ត</t>
    </r>
    <r>
      <rPr>
        <sz val="11"/>
        <rFont val="Khmer OS Content"/>
      </rPr>
      <t>)</t>
    </r>
  </si>
  <si>
    <t>Workshop
សិក្ខាសាលា</t>
  </si>
  <si>
    <t>3.2.1.16</t>
  </si>
  <si>
    <t xml:space="preserve">Training on quality control and evaluation methods of construction for biodigester and compost Hut
វគ្គបណ្តុះបណ្តាលស្តីពី វិធីសាស្រ្តត្រួតពិនិត្យ និងវាយតម្លៃគុណភាព នៃការសាងសង់ឡជីវឧស្ម័ន និងរោងជីកំប៉ុស្តិ៍ </t>
  </si>
  <si>
    <t xml:space="preserve">Training on compost processing techniques and methods and packaging
វគ្គបណ្តុះបណ្តាល ស្តីពីបច្ចេកទេស និងវិធីសាស្រ្តកែច្នៃផលិតជីកំប៉ុស្តិ៍ និងការវេចខ្ចប់ </t>
  </si>
  <si>
    <t>Exchange of experiences and visit on integrated farming systems based on biodigester and composting
ទស្សនកិច្ចសិក្សា និងផ្លាស់ប្តូរបទពិសោធន៍ស្តីពីប្រព័ន្ធកសិកម្មចម្រុះ ដោយយកឡជីវឧស័្មន និងជី
កំប៉ុស្តិ៍ជាមូលដ្ឋាន</t>
  </si>
  <si>
    <t>Training
បណ្តុះបណ្តាល</t>
  </si>
  <si>
    <t>Advancing rice generation ការធ្វើវិយោគកម្មប្រជាករបង្កាត់លើដំណាំស្រូវ</t>
  </si>
  <si>
    <t>SI/ពង្រីកពូជ</t>
  </si>
  <si>
    <t>2.1.1.5</t>
  </si>
  <si>
    <t>On-farm adaptive trial on promissing line  ពិសោធន៍បន្សាំស្រឡាយស្រូវលើស្រែកសិករ</t>
  </si>
  <si>
    <t>Demo/បង្ហាញ</t>
  </si>
  <si>
    <t>Farmer field day  ទិវាស្រែ</t>
  </si>
  <si>
    <t>Training
វគ្គបណ្តុះបណ្តាល</t>
  </si>
  <si>
    <t>Population/
ប្រជាករ</t>
  </si>
  <si>
    <t>Event
ព្រឹត្តការណ៍</t>
  </si>
  <si>
    <t>Dissemination workshop on national biodigester policy in Cambodia 
សិក្ខាសាលាផ្សព្វផ្សាយស្តីពី គោលនយោបាយឡជីវឧស័្មននៅកម្ពុជា</t>
  </si>
  <si>
    <t>Meeting
កិច្ចប្រជុំ</t>
  </si>
  <si>
    <t xml:space="preserve"> Business Forum (វេទិកាធុរៈកិច្ច)</t>
  </si>
  <si>
    <t xml:space="preserve"> Forum
វេទិកា</t>
  </si>
  <si>
    <t>1.4.2.8</t>
  </si>
  <si>
    <t xml:space="preserve">External exchange visit on processing for compost production and packaging of effective use of bio-slurry ទស្សនកិច្ចសិក្សាក្រៅខេត្ត ស្តីពីការកែច្នៃការផលិតជីកំប៉ុស្តិ៍ និងការវេចខ្ចប់ នៃប្រសិទ្ធិភាពក្នុងការប្រើប្រាស់ជីឡជីវឧស័្មន  </t>
  </si>
  <si>
    <t>Lab room renovation and Lab equipment 
ការជូសជុលបន្ទប់ពិសោធន៍ និងឧបករណ៍សម្រាប់មន្ទីរពិសោធន៍ជាតិ</t>
  </si>
  <si>
    <t xml:space="preserve">Rapid​ Test Kit its for GMO and Phytotoxine Laboratory (materials, equipment and reagents)   ឧបករណ៍តេស្តរហ័សសម្រាប់មន្ទីរពិសោធន៍ GMO and Phytotoxine(សម្ភារៈបរិក្ខា ឧបករណ៍ និងសារធាតុប្រឆាំង)      </t>
  </si>
  <si>
    <t xml:space="preserve">Lump sum
សរុបរួម </t>
  </si>
  <si>
    <t>2.2.1.12</t>
  </si>
  <si>
    <t>2.2.1.13</t>
  </si>
  <si>
    <t>2.2.1.14</t>
  </si>
  <si>
    <t>Workshop/
សិក្ខាសាលា</t>
  </si>
  <si>
    <t>Meeting/
ប្រជុំ</t>
  </si>
  <si>
    <t>3.1.2.6</t>
  </si>
  <si>
    <t>ha/ហិកតា</t>
  </si>
  <si>
    <t>Demo/ha</t>
  </si>
  <si>
    <r>
      <t>Field day/</t>
    </r>
    <r>
      <rPr>
        <sz val="11"/>
        <rFont val="Khmer OS Content"/>
      </rPr>
      <t>ទិវា</t>
    </r>
  </si>
  <si>
    <t>Lump sum
សរុប</t>
  </si>
  <si>
    <t>2.2.1.15</t>
  </si>
  <si>
    <t>2.2.1.16</t>
  </si>
  <si>
    <t>2.2.1.17</t>
  </si>
  <si>
    <t>2.2.1.18</t>
  </si>
  <si>
    <t>2.2.1.19</t>
  </si>
  <si>
    <t>2.2.1.20</t>
  </si>
  <si>
    <t>2.2.1.21</t>
  </si>
  <si>
    <t>2.2.1.22</t>
  </si>
  <si>
    <t>2.2.1.23</t>
  </si>
  <si>
    <t>2.2.1.24</t>
  </si>
  <si>
    <t>2.2.1.25</t>
  </si>
  <si>
    <t>2.2.1.26</t>
  </si>
  <si>
    <t>2.2.1.27</t>
  </si>
  <si>
    <t>2.2.1.28</t>
  </si>
  <si>
    <t>2.2.1.29</t>
  </si>
  <si>
    <t>2.2.1.30</t>
  </si>
  <si>
    <t>2.2.1.31</t>
  </si>
  <si>
    <t xml:space="preserve">Training and coaching on making buisness plan on Rice, Cassava, Corn and Mango with AC វគ្គបណ្តុះបណ្តាល និងបង្ហាត់ផ្ទាល់ក្នុងការរៀបចំមុខជំនួញដល់សហគមន៍កសិកម្ម                                                 </t>
  </si>
  <si>
    <t>Training and coaching on Internal Audit/Inspection with suppervisory committee of AC វគ្គបណ្តុះបណ្តាល និងបង្ហាត់ផ្ទាល់លើកាធ្វើការត្រួតពិនិត្យផ្ទៃក្នុងដល់គណៈកម្មាធិការត្រួតពិនិត្យសហគមន៍កសិកម្ម</t>
  </si>
  <si>
    <t>Coaching on Annual Action plan and Financial Plan with AC                                  
បង្ហាត់ផ្ទាល់ស្តីពីការរៀបចំផែនការសកម្មភាពប្រចាំឆ្នាំ និងផែនការថវិកាប្រចាំឆ្នាំដល់សហគមន៍កសិកម្ម</t>
  </si>
  <si>
    <t>Coaching on Book keeping with AC
បង្ហាត់ផ្ទាល់លើការចុះបញ្ជីគណនេយ្យរបស់សហគមន៍កសិកកម្ម</t>
  </si>
  <si>
    <t>Coaching on Annual report making
បង្ហាត់ផ្ទាល់ស្តីពីការរៀបចំរបាយកាណ៍លទ្ធផលប្រចាំឆ្នាំរបស់សហគមន៍កសិកម្ម</t>
  </si>
  <si>
    <t>2.2.3.3</t>
  </si>
  <si>
    <t>2.2.3.14</t>
  </si>
  <si>
    <t>2.2.3.15</t>
  </si>
  <si>
    <t>2.2.3.16</t>
  </si>
  <si>
    <t>2.2.3.17</t>
  </si>
  <si>
    <t>2.2.3.18</t>
  </si>
  <si>
    <t>Forum
វេទិកា</t>
  </si>
  <si>
    <t>Legal farming contract signing ceremony at provincial level
ការរៀបចំពិធីចុះហត្ថលេខាផលិតកម្មតាមកិច្ចសន្យាថ្នាក់ខេត្ត</t>
  </si>
  <si>
    <t>Event
ព្រឹត្តិការណ៍</t>
  </si>
  <si>
    <t>Crop-centric forums for rice, cassava, maize, and mango and other specific crops (ការរៀបចំវេទិកាដំណាំយុទ្ធសាស្ត្រ (ស្រូវ ដំទ្បូងមី ពោត និងស្វាយ)</t>
  </si>
  <si>
    <t>2.3.5.24</t>
  </si>
  <si>
    <t>Trial/ពិសោធន៍</t>
  </si>
  <si>
    <t>2.1.1.12</t>
  </si>
  <si>
    <t>2.1.1.13</t>
  </si>
  <si>
    <t>Forum on multilateral matching platform on various condition of contract farming
វេទិកាផ្គូរផ្គងទ្វេភាគី ពហុភាគីស្តីពីលក្ខខណ្ឌតម្រូវផ្សេងៗក្នុងកិច្ចសន្យា</t>
  </si>
  <si>
    <t>Signing ceremony on contract farming 
ពិធីចុះហត្ថលេខាកិច្ចសន្យាផលិតកម្មកសិកម្ម</t>
  </si>
  <si>
    <t>Event/ព្រឹត្តិការណ៍</t>
  </si>
  <si>
    <t>Meeting
អង្គប្រជុំ</t>
  </si>
  <si>
    <r>
      <t xml:space="preserve">1. Independent Environment Monitoring Entity/Consultants
</t>
    </r>
    <r>
      <rPr>
        <sz val="11"/>
        <rFont val="Khmer OS Content"/>
      </rPr>
      <t>ទីប្រឹក្សា / អង្គភាពត្រួតពិនិត្យបរិស្ថានបែបឯករាជ្យ</t>
    </r>
  </si>
  <si>
    <r>
      <t>1. International Specialists</t>
    </r>
    <r>
      <rPr>
        <sz val="11"/>
        <color rgb="FF0000FF"/>
        <rFont val="Khmer OS Content"/>
      </rPr>
      <t xml:space="preserve"> (អ្នកឯកទេសផ្នែកអន្តរជាតិ)</t>
    </r>
  </si>
  <si>
    <r>
      <t>C7. Provisional Sums</t>
    </r>
    <r>
      <rPr>
        <b/>
        <sz val="11"/>
        <color rgb="FF0000FF"/>
        <rFont val="Khmer OS Content"/>
      </rPr>
      <t xml:space="preserve"> (សរុបចំណាយផ្សេងៗបន្ថែមទៀត)</t>
    </r>
  </si>
  <si>
    <t>3.2.3</t>
  </si>
  <si>
    <t>3.2.3.1</t>
  </si>
  <si>
    <t>3.2.3.2</t>
  </si>
  <si>
    <t>3.2.3.3</t>
  </si>
  <si>
    <t>3.2.3.4</t>
  </si>
  <si>
    <t xml:space="preserve">Annual workshop on the GAP for EAs/IAs and GFPs  </t>
  </si>
  <si>
    <t>4.1.3</t>
  </si>
  <si>
    <t xml:space="preserve">Secretary/Administrator </t>
  </si>
  <si>
    <t>1.2.1.11</t>
  </si>
  <si>
    <t>1.2.1.12</t>
  </si>
  <si>
    <t>1.4.1.2</t>
  </si>
  <si>
    <t>1.4.1.3</t>
  </si>
  <si>
    <t>1.4.1.4</t>
  </si>
  <si>
    <t>2.3.1.4</t>
  </si>
  <si>
    <t>2.3.2.4</t>
  </si>
  <si>
    <t>Healthy planting material of Cassava multiplication
ដាំពង្រីកកូនដំឡូងមីគ្មានជំងឺលើផ្ទៃដីមួយហិកតា</t>
  </si>
  <si>
    <t xml:space="preserve">Cassava field day
ទិវាចែកដើមពូជដំឡូងមីគ្មានជំងឺដល់កសិករ </t>
  </si>
  <si>
    <r>
      <t xml:space="preserve">Publication of SOP for organice fertilizer quality testing manaul and endoresment </t>
    </r>
    <r>
      <rPr>
        <sz val="11"/>
        <rFont val="Khmer OS Battambang"/>
      </rPr>
      <t>(បោះពុម្ពសៀវភៅ ណែនាំនិតិវិធីនៃការវិភាគគុណភាពជីសរីរាង្គ)</t>
    </r>
  </si>
  <si>
    <r>
      <t xml:space="preserve">Publication of SOP for biofertilizer and organice quality testing manaul and endoresment </t>
    </r>
    <r>
      <rPr>
        <sz val="11"/>
        <rFont val="Khmer OS Battambang"/>
      </rPr>
      <t>(បោះពុម្ពសៀវភៅការរៀបចំស្តង់ដារនៃជីកសិកម្មជីវសាស្រ្ត និងជីសរីរាង្គ)</t>
    </r>
  </si>
  <si>
    <t>Technical support or backstopping of GDAHP on training to farmers, field monitoring on promotion, marketing and QC on QC of Biodigester and Compost Hut 
ការចុះគាំទ្រផ្នែកបច្ចេកទេស ឬត្រួតពិនិត្យរបស់ GDAHP លើការបណ្តុះបណ្តាលដល់កសិករ, ការចុះតាមដាននៅទីវាលលើផ្សព្វផ្សាយ, ទីផ្សារ និងការត្រួតពិនិត្យគុណភាព ឡជីវឧស្ម័ន និងរោងជីកំប៉ុស្តិ៍</t>
  </si>
  <si>
    <t>2.2.1.32</t>
  </si>
  <si>
    <t>2.2.1.33</t>
  </si>
  <si>
    <t>2.2.1.34</t>
  </si>
  <si>
    <t>TOT on Producers’ group guideline and formation procedures 
វគ្គបណ្តុះបណ្តាលគ្រូបង្គោលថ្នាក់ខេត្តស្តីពី គោលការណ៍បង្កើតក្រុមផលិត នីតិវិធីចងក្រុមផលិត</t>
  </si>
  <si>
    <t>TOT on warehouse operation and maintanace committee formation concepts and procedure វគ្គបណ្តុះបណ្តាលគ្រូបង្គោលថ្នាក់ខេត្តស្តីពីគោលំនិតនិងនិតិវិធីបង្កើតគណៈកម្មាធិការថែទាំនិងប្រើប្រាស់ឃ្លាំងសហគមន៍កសិកម្ម</t>
  </si>
  <si>
    <t>Meeting/អង្គប្រជុំ</t>
  </si>
  <si>
    <t xml:space="preserve">a-  CW17b-CFAVC-MRD-TK3-2020 (Lot 1) </t>
  </si>
  <si>
    <t xml:space="preserve"> Rural road improvement in Takeo province (10.00 Km with contract value$1,243,719.86) </t>
  </si>
  <si>
    <t xml:space="preserve">a-  CW17b-CFAVC-MRD-TK4-2020 (Lot 2) </t>
  </si>
  <si>
    <t xml:space="preserve"> Rural road improvement in Takeo province (4.67 Km with contract value$879,298.64) </t>
  </si>
  <si>
    <t xml:space="preserve">b- CW17c-CFAVC-MRD-TBK5-2020 (Lot 1)  </t>
  </si>
  <si>
    <t xml:space="preserve">Rural road improvement in Tboung Khum province (9.774 Km with contract value$ 1,239,711.20) </t>
  </si>
  <si>
    <t xml:space="preserve">b- CW17c-CFAVC-MRD-TBK6-2020 (Lot 2)  </t>
  </si>
  <si>
    <t xml:space="preserve">Rural road improvement in Tboung Khum province (12.000 Km with contract value$ 1,444,588.37) </t>
  </si>
  <si>
    <t xml:space="preserve">c-  CW17d-CFAVC-MRD-KC7-2020  (Lot 1) </t>
  </si>
  <si>
    <t xml:space="preserve">Rural road improvement in Kampong Cham province (9.882 Km with contract value $1,103,011.81) </t>
  </si>
  <si>
    <t xml:space="preserve">c-  CW17d-CFAVC-MRD-KC8-2020 (Lot 2) </t>
  </si>
  <si>
    <t xml:space="preserve">Rural road improvement in Kampong Cham province (4.721 Km with contract value $611,183.48) </t>
  </si>
  <si>
    <t xml:space="preserve">d- CW17a-CFAVC-MRD-KP1-2020 (Lot 1) </t>
  </si>
  <si>
    <t xml:space="preserve">Rural road improvement in Kampot province  (11.948 Km with contract value $1,266,929.22) </t>
  </si>
  <si>
    <t>d- CW17a-CFAVC-MRD-KP2-2020 (Lot 2)</t>
  </si>
  <si>
    <t xml:space="preserve">Rural road improvement in Kampot province  (8.104 Km with contract value $877,375.76) </t>
  </si>
  <si>
    <t>a-  CW17a-CFAVC-MRD-KP-1A-Batch 2 (Lot 1)</t>
  </si>
  <si>
    <t>Rural road improvement (DBST) in Kampot province with 12.963 Km, and with estimate cost $2,201,113.23</t>
  </si>
  <si>
    <t>a-  CW17a-CFAVC-MRD-KP-2A-Batch 2 (Lot 2)</t>
  </si>
  <si>
    <t>Rural road improvement (DBST) in Kampot province with9.098 Km, and with estimate cost $1,403,944.77</t>
  </si>
  <si>
    <t>b- CW17b-CFAVC-MRD-TK1A-Batch 2 (Lot 1)</t>
  </si>
  <si>
    <t>Rural road improvement (DBST) in Takeo province with 13.976 Km, and with estimate cost $2,131,618.83</t>
  </si>
  <si>
    <t>b- CW17b-CFAVC-MRD-TK2A-Batch 2 (Lot 2)</t>
  </si>
  <si>
    <t>Rural road improvement (DBST) in Takeo province with 12.761 Km, and with estimate cost $1,925,035.17</t>
  </si>
  <si>
    <t>c- CW17c-CFAVC-MRD-TBK-1A-Batch 2 (Lot 1)</t>
  </si>
  <si>
    <t xml:space="preserve">Rural road improvement (DBST) in Tboung Khmum province with 16.370 Km, and with estimate cost $2,247,270.00 </t>
  </si>
  <si>
    <t>c- CW17c-CFAVC-MRD-TBK-2A-Batch 2 (Lot 2)</t>
  </si>
  <si>
    <t xml:space="preserve">Rural road improvement (DBST) in Tboung Khmum province with 12.891 Km, and with estimate cost $2,343,017.36 </t>
  </si>
  <si>
    <t>d- CW17d-CFAVC-MRD-KC-1A-Batch 2 (Lot 1)</t>
  </si>
  <si>
    <t xml:space="preserve"> Rural road improvement (DBST) in Kampong Cham province with 9.425 Km, and with estimate cost $1,417,291.71 </t>
  </si>
  <si>
    <t>d- CW17d-CFAVC-MRD-KC-2A-Batch 2 (Lot 2)</t>
  </si>
  <si>
    <t xml:space="preserve"> Rural road improvement (DBST) in Kampong Cham province with 12.640 Km, and with estimate cost $2,160,701.95 </t>
  </si>
  <si>
    <t>Rural road Technician (3 staff x $100)</t>
  </si>
  <si>
    <t>- Driver salary (7 drivers:  $250/month/person)</t>
  </si>
  <si>
    <r>
      <t>Activity 2.3: Promoting farm mechanization and extension
(</t>
    </r>
    <r>
      <rPr>
        <b/>
        <sz val="11"/>
        <color rgb="FFFF0000"/>
        <rFont val="Khmer OS Content"/>
      </rPr>
      <t>សកម្មភាព២.៣: ជុំរុញ នឹងផ្សព្វផ្សាយការប្រើប្រាស់គ្រឿងយន្តូបនីយ៍កម្មកសិកម្ម)</t>
    </r>
  </si>
  <si>
    <t>TOT Training on Producer Group Establishing Guideline to AC Committtee
វគ្គបណ្តុះបណ្តាលគ្រូបង្គោលស្តីពី គោលការណ៍នៃការបង្កើតក្រុមផលិតដល់សហគមន៍កសិកម្ម</t>
  </si>
  <si>
    <t>Forum វេទិកា</t>
  </si>
  <si>
    <t>Dissemination workshop on procedure for seed registration and certification សិក្ខាសិលាផ្សព្វផ្សាយស្តីពី នីតិវិធីចុះបញ្ជី និងបញ្ជាក់គុណភាពពូជដំណាំ</t>
  </si>
  <si>
    <t>2.2.1.35</t>
  </si>
  <si>
    <t>2.2.1.36</t>
  </si>
  <si>
    <t>2.2.1.37</t>
  </si>
  <si>
    <t>2.2.1.38</t>
  </si>
  <si>
    <t>2.2.1.39</t>
  </si>
  <si>
    <t>2.2.1.40</t>
  </si>
  <si>
    <t>2.2.1.41</t>
  </si>
  <si>
    <t>2.2.1.42</t>
  </si>
  <si>
    <t>Trip/Field Visit</t>
  </si>
  <si>
    <t>Lump Sum
សរុប</t>
  </si>
  <si>
    <t>Glasshouse
ផ្ទះកញ្ចក់</t>
  </si>
  <si>
    <t>Output Activities</t>
  </si>
  <si>
    <t>No.</t>
  </si>
  <si>
    <t>Total ('000 USD)</t>
  </si>
  <si>
    <t>Total USD</t>
  </si>
  <si>
    <t>Total of activity 3.3: Supporting climate risk management 
through information and communication technologies (ICT)-CS4</t>
  </si>
  <si>
    <t xml:space="preserve">OUTPUT 3: (លទ្ធផលទី៣)  Enabling environment for climate smart agribusiness enhanced </t>
  </si>
  <si>
    <t>3.1.4.1</t>
  </si>
  <si>
    <t>3.1.4.2</t>
  </si>
  <si>
    <t>3.1.4.3</t>
  </si>
  <si>
    <t>3.1.4</t>
  </si>
  <si>
    <t xml:space="preserve">Workshop on the effectiveness of the application of adaptation techniques to climate change in field experiments
សិក្ខាសាលាស្តីពី ប្រសិទ្ធិភាពនៃការអនុវត្តន៍បច្ចេកទេសបន្សុំា ទៅនឹងការប្រែប្រួលអាកាសធាតុ ក្នុងការពិសោធន៍បង្ហាញ </t>
  </si>
  <si>
    <t>Exchange visit and understanding on compost processing and use from the source of biodigester (ទស្សនកិច្ចសិក្សា និងស្វែងយល់ស្តីពីការកែច្នៃ និងប្រើប្រាស់ជីកំប៉ុស្តិ៍ប្រភពពីឡជីវឧស័្មន)</t>
  </si>
  <si>
    <t>Meeting/ប្រជុំ</t>
  </si>
  <si>
    <t>Dissemination workshop with stakeholders on Agro-Industrial Development Strategies for climate-friendly agribusiness (សិក្ខាសាលាផ្សព្វផ្សាយជាមួយនឹងអ្នកពាក់ព័ន្ធផ្សេងៗ ស្តីពីផែនការយុទ្ធសាស្រ្តអភិវឌ្ឍន៍កសិឧស្សាហកម្មសម្រាប់កសិធុរៈកិច្ច)</t>
  </si>
  <si>
    <t>Dissemination workshop with stakeholders on Cambodia industrial development policy for climate-friendly agribusiness​ (សិក្ខាសាលាផ្សព្វផ្សាយជាមួយនឹងអ្នកពាក់ព័ន្ធផ្សេងៗ ស្តីពីគោលនយោបាយអភិវឌ្ឍន៍វិស័យឧស្សាហកម្មកម្ពុជាសម្រាប់កសិធុរៈកិច្ច)</t>
  </si>
  <si>
    <t>Cambodia Industrial Development Policy​ (IDP) and Agro-Industrial Development Strategies (AIDS) for climate-friendly agribusiness (គោលនយោបាយអភិវឌ្ឍន៍ឧស្សាហកម្ម និងផែនការយុទ្ធសាស្រ្តអភិវឌ្ឍន៍កសិឧស្សាហកម្មសម្រាប់កសិធុរៈកិច្ច)</t>
  </si>
  <si>
    <t>Total of activity 3.1: Formulating Climate-Friendly Agri-business Policy and Standards
ការបង្កើតគោលនយោបាយ និងស្តង់ដា កសិធុរៈកិច្ចប្រកបដោយភាតរៈបរិស្ថាន</t>
  </si>
  <si>
    <t>Develop the guidance of crop insurance 
ការរៀបចំគោលការណ៍ណែនាំ អំពីការធានារ៉ាប់រងដំណាំ</t>
  </si>
  <si>
    <t>Consultation workshop to review the guidance of crop insurance (សិក្ខាសាលា​ពិគ្រោះ​យោបល់ ​ដើម្បី​ពិនិត្យ​ឡើង​វិញ​នូវ​គោលការណ៍ណែនាំការធានារ៉ាប់រងដំណាំ)</t>
  </si>
  <si>
    <t>Disseminationl workshop on the guidance of crop insurance
សិក្ខាសាលាផ្សព្វផ្សាយស្តីពី គោលការណ៍ណែនាំការធានារ៉ាប់រងដំណាំ</t>
  </si>
  <si>
    <t>Translation of the guidance of crop insurance
បកប្រែ គោលការណ៍ណែនាំការធានារ៉ាប់រងដំណាំ</t>
  </si>
  <si>
    <t>Publication of the guidance of crop insurance 
ការបោះពុម្ភ  គោលការណ៍ណែនាំការធានារ៉ាប់រងដំណាំ</t>
  </si>
  <si>
    <t xml:space="preserve">Establish and organize a community warehouse management and maintenance committee (បង្កើត និងចងក្រងគណៈកម្មការគ្រប់គ្រង និងថែទាំ ឃ្លាំងសហគមន៍) </t>
  </si>
  <si>
    <t>Organizing District business forum between producer group and buyers (rice, maize, corn and mango)
ការរៀបចំវេទិកាធុរកិច្ចរវាងក្រុមផលិត និងប្រមូលទិញថ្នាក់ស្រុក (ស្រូវ ដំទ្បូងមី ពោត និងស្វាយ)</t>
  </si>
  <si>
    <t>Dissemination meeting on the principles of contract farming
ប្រជុំផ្សព្វផ្សាយ ស្តីពីគោលការណ៍អនុវត្តផលិតកម្មតាមកិច្ចសន្សា</t>
  </si>
  <si>
    <t>Group
ក្រុម</t>
  </si>
  <si>
    <t>CW15-I</t>
  </si>
  <si>
    <t>CW15-K</t>
  </si>
  <si>
    <t>CW13-H</t>
  </si>
  <si>
    <t>CHOAM TAHEUNG IRRIGATION SUBPROJECT</t>
  </si>
  <si>
    <t>CW13-I</t>
  </si>
  <si>
    <t xml:space="preserve">TRAPEANG AMPIL IRRIGATION SUBPROJECT  </t>
  </si>
  <si>
    <t>TEUK CHAR WEST IRRIGATION SYSTEM</t>
  </si>
  <si>
    <t>10 new FWUCs and FWUGs Establishment and Capacity Building</t>
  </si>
  <si>
    <t>Step1: Dissemination the information and process FWUC formation</t>
  </si>
  <si>
    <t>Grant Total of MOWRAM Budget 2023</t>
  </si>
  <si>
    <t>Items</t>
  </si>
  <si>
    <t xml:space="preserve">FWUC </t>
  </si>
  <si>
    <t>Disbursement Used to Specific Tasks</t>
  </si>
  <si>
    <t>Ok</t>
  </si>
  <si>
    <t>CSs</t>
  </si>
  <si>
    <r>
      <t xml:space="preserve">1. International Key Experts </t>
    </r>
    <r>
      <rPr>
        <sz val="11"/>
        <rFont val="Khmer OS Content"/>
      </rPr>
      <t>(អ្នកជំនាញការអន្តរជាតិពេញម៉ោង)</t>
    </r>
  </si>
  <si>
    <r>
      <t xml:space="preserve">Team Leader/Irrigation Design Engineer
</t>
    </r>
    <r>
      <rPr>
        <sz val="11"/>
        <rFont val="Khmer OS Content"/>
      </rPr>
      <t>ប្រធានក្រុម / វិស្វករប្លង់ធារាសាស្ត្រអន្តរជាតិ</t>
    </r>
  </si>
  <si>
    <r>
      <t xml:space="preserve">Agriculture Economist 
</t>
    </r>
    <r>
      <rPr>
        <sz val="11"/>
        <rFont val="Khmer OS Content"/>
      </rPr>
      <t>សេដ្ឋវិទូកសិកម្ម ឬអ្នកឯកទេសអន្តរជាតិផ្នែកសេដ្ឋកិច្ចកសិកម្ម</t>
    </r>
  </si>
  <si>
    <r>
      <t xml:space="preserve">2. International non-Key Experts </t>
    </r>
    <r>
      <rPr>
        <sz val="11"/>
        <rFont val="Khmer OS Content"/>
      </rPr>
      <t>(អ្នកជំនាញអន្តរជាតិមិនពេញម៉ោងការងារ)</t>
    </r>
  </si>
  <si>
    <r>
      <t xml:space="preserve">Hydrologist 
</t>
    </r>
    <r>
      <rPr>
        <sz val="11"/>
        <rFont val="Khmer OS Content"/>
      </rPr>
      <t>អ្នកជំនាញអន្តរជាតិខាងជលសាស្ត្រ</t>
    </r>
  </si>
  <si>
    <r>
      <t xml:space="preserve">Environmental Safeguards Specialist 
</t>
    </r>
    <r>
      <rPr>
        <sz val="11"/>
        <rFont val="Khmer OS Content"/>
      </rPr>
      <t>អ្នកឯកទេសអន្តរជាតិផ្នែកសុវត្ថិភាពបរិស្ថាន</t>
    </r>
  </si>
  <si>
    <r>
      <t xml:space="preserve">Social Safeguards Specialist
</t>
    </r>
    <r>
      <rPr>
        <sz val="11"/>
        <rFont val="Khmer OS Content"/>
      </rPr>
      <t>អ្នកឯកទេសអន្តរជាតិផ្នែកសុវត្ថិភាពសង្គម</t>
    </r>
  </si>
  <si>
    <r>
      <t xml:space="preserve">3. National Experts - Reporting to MOWRAM </t>
    </r>
    <r>
      <rPr>
        <sz val="11"/>
        <rFont val="Khmer OS Content"/>
      </rPr>
      <t>(អ្នកជំនាញការជាតិ-បម្រើការនៅក្រសួងធនធានទឹក)</t>
    </r>
  </si>
  <si>
    <r>
      <t xml:space="preserve">Irrigation Design Engineer/DTL​
</t>
    </r>
    <r>
      <rPr>
        <sz val="11"/>
        <rFont val="Khmer OS Content"/>
      </rPr>
      <t>វិស្វករជាតិផ្នែកប្លង់ធារាសាស្ត្រ / អនុប្រធានក្រុម</t>
    </r>
  </si>
  <si>
    <r>
      <t xml:space="preserve">Agriculture Economic
</t>
    </r>
    <r>
      <rPr>
        <sz val="11"/>
        <rFont val="Khmer OS Content"/>
      </rPr>
      <t>សេដ្ឋវិទូកសិកម្ម ឬអ្នកឯកទេសជាតិផ្នែកសេដ្ឋកិច្ចកសិកម្ម</t>
    </r>
  </si>
  <si>
    <r>
      <t xml:space="preserve">Environmental Safeguards Specialist 
</t>
    </r>
    <r>
      <rPr>
        <sz val="11"/>
        <rFont val="Khmer OS Content"/>
      </rPr>
      <t>អ្នកឯកទេសជាតិផ្នែកសុវត្ថិភាពបរិស្ថាន</t>
    </r>
  </si>
  <si>
    <r>
      <t xml:space="preserve">Resettlemet / Social Safeguards Specialist (two persons)
</t>
    </r>
    <r>
      <rPr>
        <sz val="11"/>
        <rFont val="Khmer OS Content"/>
      </rPr>
      <t>អ្នកឯកទេសជាតិផ្នែកសុវត្ថិភាពសង្គម / ដោះស្រាយលំនៅដ្ឋាន (ពីរនាក់)</t>
    </r>
  </si>
  <si>
    <r>
      <t>Social Development &amp; Gender Safeguards Specialist</t>
    </r>
    <r>
      <rPr>
        <sz val="11"/>
        <rFont val="Khmer OS Content"/>
      </rPr>
      <t xml:space="preserve">
អ្នកឯកទេសជាតិផ្នែកសុវត្ថិភាពយេនឌ័រនិងអភិវឌ្ឍន៍សង្គម</t>
    </r>
  </si>
  <si>
    <r>
      <t xml:space="preserve">Procurement Specialist 
</t>
    </r>
    <r>
      <rPr>
        <sz val="11"/>
        <rFont val="Khmer OS Content"/>
      </rPr>
      <t>អ្នកឯកទេសជាតិផ្នែកលទ្ធកម្ម</t>
    </r>
  </si>
  <si>
    <r>
      <t>4. National Experts - Reporting to MRD</t>
    </r>
    <r>
      <rPr>
        <sz val="11"/>
        <rFont val="Khmer OS Content"/>
      </rPr>
      <t xml:space="preserve"> (អ្នកជំនាញការជាតិ-បម្រើការនៅក្រសួងអភិវឌ្ឍន៍ជនបទ)</t>
    </r>
  </si>
  <si>
    <r>
      <t xml:space="preserve">Road Design Engineer/DTL
</t>
    </r>
    <r>
      <rPr>
        <sz val="11"/>
        <rFont val="Khmer OS Content"/>
      </rPr>
      <t>អ្នកជំនាញជាតិផ្នែកប្លង់ផ្លូវ/ អនុប្រធានក្រុម</t>
    </r>
  </si>
  <si>
    <r>
      <t>Road Design Engineer (</t>
    </r>
    <r>
      <rPr>
        <sz val="11"/>
        <rFont val="Khmer OS Content"/>
      </rPr>
      <t>វិស្វករជាតិផ្នែកប្លង់ផ្លូវ)</t>
    </r>
  </si>
  <si>
    <r>
      <t xml:space="preserve">AutoCAD specialist -1 
</t>
    </r>
    <r>
      <rPr>
        <sz val="11"/>
        <rFont val="Khmer OS Content"/>
      </rPr>
      <t>អ្នកឯកទេសជាតិផ្នែក AutoCAD</t>
    </r>
  </si>
  <si>
    <r>
      <t xml:space="preserve">AutoCAD specialist -5 
</t>
    </r>
    <r>
      <rPr>
        <sz val="11"/>
        <rFont val="Khmer OS Content"/>
      </rPr>
      <t>អ្នកឯកទេសជាតិផ្នែក AutoCAD</t>
    </r>
  </si>
  <si>
    <r>
      <t xml:space="preserve">AutoCAD specialist -6 
</t>
    </r>
    <r>
      <rPr>
        <sz val="11"/>
        <rFont val="Khmer OS Content"/>
      </rPr>
      <t>អ្នកឯកទេសជាតិផ្នែក AutoCAD</t>
    </r>
  </si>
  <si>
    <r>
      <t xml:space="preserve">Assistant Road Design Engineer 1 
</t>
    </r>
    <r>
      <rPr>
        <sz val="11"/>
        <rFont val="Khmer OS Content"/>
      </rPr>
      <t>ជំនួយការវិស្វករជាតិផ្នែកប្លង់ផ្លូវ ១</t>
    </r>
  </si>
  <si>
    <r>
      <t xml:space="preserve">Social Safeguards and Resettlemet Specialist 
</t>
    </r>
    <r>
      <rPr>
        <sz val="11"/>
        <rFont val="Khmer OS Content"/>
      </rPr>
      <t>អ្នកឯកទេសជាតិផ្នែកសុវត្ថិភាពសង្គម / ដោះស្រាយលំនៅដ្ឋាន</t>
    </r>
  </si>
  <si>
    <r>
      <t xml:space="preserve">Social Safeguards and Resettlemet Specialist-2
</t>
    </r>
    <r>
      <rPr>
        <sz val="11"/>
        <rFont val="Khmer OS Content"/>
      </rPr>
      <t>អ្នកឯកទេសជាតិផ្នែកសុវត្ថិភាពសង្គម / ដោះស្រាយលំនៅដ្ឋាន - 2</t>
    </r>
  </si>
  <si>
    <r>
      <t xml:space="preserve">Social Economic Specialist
</t>
    </r>
    <r>
      <rPr>
        <sz val="11"/>
        <rFont val="Khmer OS Content"/>
      </rPr>
      <t>អ្នកឯកទេសជាតិផ្នែកសេដ្ឋកិច្ចសង្គម</t>
    </r>
  </si>
  <si>
    <r>
      <t xml:space="preserve">1 . Per diems, air travel, office operation cost </t>
    </r>
    <r>
      <rPr>
        <sz val="11"/>
        <rFont val="Khmer OS Content"/>
      </rPr>
      <t xml:space="preserve">
ការចំណាយលើថ្លៃអាហារ ថ្លៃស្នាក់នៅ ថ្លៃធ្វើដំណើរតាមយន្តហោះ និងថ្លៃប្រតិបត្តិការការិយាល័យ</t>
    </r>
  </si>
  <si>
    <r>
      <t xml:space="preserve">D3. Provisional Sums </t>
    </r>
    <r>
      <rPr>
        <b/>
        <sz val="11"/>
        <rFont val="Khmer OS Content"/>
      </rPr>
      <t>(សរុបចំណាយផ្សេងៗបន្ថែមទៀត)</t>
    </r>
  </si>
  <si>
    <r>
      <t xml:space="preserve">1.Training/ Consultations/workshop/meeting​ 
</t>
    </r>
    <r>
      <rPr>
        <sz val="11"/>
        <rFont val="Khmer OS Content"/>
      </rPr>
      <t>វគ្គបណ្តុះបណ្តាល / ពិគ្រោះយោបល់ / សិក្ខាសាលា / អង្គប្រជុំ</t>
    </r>
  </si>
  <si>
    <r>
      <t>2. Translation</t>
    </r>
    <r>
      <rPr>
        <sz val="11"/>
        <rFont val="Khmer OS Content"/>
      </rPr>
      <t xml:space="preserve"> (ចំណាយថ្លៃបកប្រែ)</t>
    </r>
  </si>
  <si>
    <r>
      <t xml:space="preserve">3. Studies, Survey and Reports </t>
    </r>
    <r>
      <rPr>
        <sz val="11"/>
        <rFont val="Khmer OS Content"/>
      </rPr>
      <t>(ការសិក្សា ការចុះស្ទង់មតិតាមមូលដ្ឋាន និងរបាយការណ៍)</t>
    </r>
  </si>
  <si>
    <r>
      <t xml:space="preserve">Annual Training on Social and Environment safeguards 
</t>
    </r>
    <r>
      <rPr>
        <sz val="11"/>
        <rFont val="Khmer OS Content"/>
      </rPr>
      <t>វគ្គបណ្តុះបណ្តាលប្រចាំឆ្នាំស្តីពីសុវត្ថិភាពបរិស្ថាននិងសង្គម</t>
    </r>
  </si>
  <si>
    <r>
      <t xml:space="preserve">Annual Training on PPMS 
</t>
    </r>
    <r>
      <rPr>
        <sz val="11"/>
        <rFont val="Khmer OS Content"/>
      </rPr>
      <t>វគ្គបណ្តុះបណ្តាលប្រចាំឆ្នាំស្តីពីប្រព័ន្ធត្រួតពិនិត្យ និងការបបង្ហាញគម្រោង</t>
    </r>
  </si>
  <si>
    <r>
      <t xml:space="preserve">1. International M&amp;E expert </t>
    </r>
    <r>
      <rPr>
        <sz val="11"/>
        <rFont val="Khmer OS Content"/>
      </rPr>
      <t>(អ្នកជំនាញអន្តរជាតិផ្នែកត្រួតពិនិត្យនិងវាយតម្លៃ)</t>
    </r>
  </si>
  <si>
    <r>
      <t xml:space="preserve">A. CS1 Implementation Support </t>
    </r>
    <r>
      <rPr>
        <sz val="11"/>
        <rFont val="Khmer OS Content"/>
      </rPr>
      <t>(ការគាំទ្រការអនុវត្តសំរាប់កញ្ចប់ទីប្រឹក្សា CS1)</t>
    </r>
  </si>
  <si>
    <r>
      <t xml:space="preserve">Start-up Procurement Specialist </t>
    </r>
    <r>
      <rPr>
        <sz val="11"/>
        <rFont val="Khmer OS Content"/>
      </rPr>
      <t>(អ្នកឯកទេសអន្តរជាតិផ្នែកលទ្ធកម្ម)</t>
    </r>
  </si>
  <si>
    <r>
      <t xml:space="preserve">Project Management &amp; Rural Infrastructure Specialist &amp; Team Leader
</t>
    </r>
    <r>
      <rPr>
        <sz val="11"/>
        <rFont val="Khmer OS Content"/>
      </rPr>
      <t>អ្នកឯកទេសអន្តរជាតិផ្នែកហេដ្ឋារចនាសម្ព័ន្ធជនបទ និងគ្រប់គ្រងគម្រោង / ប្រធានក្រុម</t>
    </r>
  </si>
  <si>
    <r>
      <t xml:space="preserve">Social Development &amp; Gender Specialist
</t>
    </r>
    <r>
      <rPr>
        <sz val="11"/>
        <rFont val="Khmer OS Content"/>
      </rPr>
      <t>អ្នកឯកទេសអន្តរជាតិផ្នែកយេនឌ័រ និងការអភិវឌ្ឍន៍សង្គម</t>
    </r>
  </si>
  <si>
    <r>
      <t xml:space="preserve">Social Safeguards Specialist </t>
    </r>
    <r>
      <rPr>
        <sz val="11"/>
        <rFont val="Khmer OS Content"/>
      </rPr>
      <t>(អ្នកឯកទេសអន្តរជាតិផ្នែកសុវត្ថិភាពសង្គម)</t>
    </r>
  </si>
  <si>
    <r>
      <t xml:space="preserve">Environment &amp; Climate Change Specialist 
</t>
    </r>
    <r>
      <rPr>
        <sz val="11"/>
        <rFont val="Khmer OS Content"/>
      </rPr>
      <t>អ្នកឯកទេសអន្តរជាតិផ្នែកប្រែប្រួលអាកាស់ធាតុ និងបរិស្ថាន</t>
    </r>
  </si>
  <si>
    <r>
      <t xml:space="preserve">PADC Management &amp; Operations Specialist
</t>
    </r>
    <r>
      <rPr>
        <sz val="11"/>
        <rFont val="Khmer OS Content"/>
      </rPr>
      <t>អ្នកឯកទេសអន្តរជាតិផ្នែកប្រតិបត្តិ និងគ្រប់គ្រងមជ្ឈមណ្ឌលអភិវឌ្ឍន៍កសិកម្មថ្នាក់ខេត្ត</t>
    </r>
  </si>
  <si>
    <r>
      <t>Mechanisation Workshop, Operations &amp; Management Specialist</t>
    </r>
    <r>
      <rPr>
        <sz val="11"/>
        <rFont val="Khmer OS Content"/>
      </rPr>
      <t xml:space="preserve">
អ្នកឯកទេសអន្តរជាតិផ្នែកគ្រប់គ្រង និងប្រតិបត្តិរោងជាងគ្រឿងចក្រកសិកម្ម</t>
    </r>
  </si>
  <si>
    <r>
      <t>Project Steering Committee Meeting</t>
    </r>
    <r>
      <rPr>
        <sz val="11"/>
        <rFont val="Khmer OS Content"/>
      </rPr>
      <t xml:space="preserve"> (ប្រជុំគណៈកម្មការគ្រប់គ្រងគម្រោង)</t>
    </r>
  </si>
  <si>
    <r>
      <t xml:space="preserve">Meeting
</t>
    </r>
    <r>
      <rPr>
        <sz val="11"/>
        <rFont val="Khmer OS Content"/>
      </rPr>
      <t>ប្រជុំ</t>
    </r>
  </si>
  <si>
    <r>
      <t xml:space="preserve">Support Green Financing Facility Working Group and the Micro-Finance Institutions (MFI) Clients to develop environmental and climate screening criteria and tools to guide their lending activities </t>
    </r>
    <r>
      <rPr>
        <sz val="11"/>
        <rFont val="Khmer OS Battambang"/>
      </rPr>
      <t>(គាំទ្រក្រុមការងារហិរញ្ញប្បទានបៃតង និងគោលការណ៍ការពារអតិថិជនរបស់
ស្ថាប័នមីក្រូហិរញ្ញវត្ថុ ដើម្បីរៀបចំលក្ខណៈវិនិច្ឆ័យបរិស្ថាននិងអាកាសធាតុ ព្រមទាំងឧបករណ៍ណែនាំការផ្តល់ឥណទាន)</t>
    </r>
  </si>
  <si>
    <r>
      <t>Coordination meeting and lessons sharing with the Association of Banks in Cambodia (ABC), which has recently launched the Cambodian Sustainable Finance Initiative (CSFI)</t>
    </r>
    <r>
      <rPr>
        <sz val="11"/>
        <rFont val="Khmer OS Battambang"/>
      </rPr>
      <t xml:space="preserve"> (សម្របសម្រួលជាមួយសមាគមធនាគារកម្ពុជា ដើម្បីសិក្សាពីគោលការណ៍ហិរញ្ញវត្ថុប្រកបដោយចីរភាពរបស់កម្ពុជា) </t>
    </r>
  </si>
  <si>
    <r>
      <t xml:space="preserve">Dessemination workshop on climate finance landscape and key stakeholder analysis </t>
    </r>
    <r>
      <rPr>
        <sz val="11"/>
        <rFont val="Khmer OS Battambang"/>
      </rPr>
      <t>(សិក្ខាសាលាផ្សព្វផ្សាយស្តីពីរបាយការណ៍វិភាគស្ថានភាពនិងអ្នកពាក់ព័ន្ធហិរញ្ញប្បទានបៃតង)</t>
    </r>
  </si>
  <si>
    <r>
      <t xml:space="preserve">Meeting to design a training program for financial institutions including banks/MFIs to understand environmental and climate screening criteria and to evaluate loans against these criteria​ </t>
    </r>
    <r>
      <rPr>
        <sz val="11"/>
        <rFont val="Khmer OS Battambang"/>
      </rPr>
      <t>(ប្រជុំរៀបចំកម្មវិធីបណ្តុះបណ្តាលស្ថាប័នហិរញ្ញវត្ថុ ដូចជា ធនាគារ ស្ថាប័នមីក្រូហិរញ្ញវត្ថុ អំពីលក្ខណៈវិនិច្ឆ័យបរិស្ថាននិងអាកាសធាតុ និងការវាយតម្លៃឥណទាន)</t>
    </r>
  </si>
  <si>
    <r>
      <t xml:space="preserve">Exchange Visit
</t>
    </r>
    <r>
      <rPr>
        <sz val="11"/>
        <rFont val="Khmer OS Content"/>
      </rPr>
      <t>ទស្សនកិច្ចសិក្សា</t>
    </r>
  </si>
  <si>
    <r>
      <t xml:space="preserve">Forum
</t>
    </r>
    <r>
      <rPr>
        <sz val="11"/>
        <rFont val="Khmer OS Content"/>
      </rPr>
      <t>វេទិកា</t>
    </r>
  </si>
  <si>
    <r>
      <t xml:space="preserve">Repairing glasshouse and Genbak for germplasm maintenance 
</t>
    </r>
    <r>
      <rPr>
        <sz val="11"/>
        <rFont val="Khmer OS Content"/>
      </rPr>
      <t>ជួសជុលផ្ទះកញ្ចក់និងធនាគារពន្ធុសម្រាប់ការអភិក្សពូជដំណាំ</t>
    </r>
  </si>
  <si>
    <r>
      <rPr>
        <sz val="11"/>
        <rFont val="Khmer OS Content"/>
      </rPr>
      <t>ទស្សនកិច្ចសិក្សា</t>
    </r>
    <r>
      <rPr>
        <sz val="11"/>
        <rFont val="Arial"/>
        <family val="2"/>
      </rPr>
      <t xml:space="preserve">
Exchange Visit</t>
    </r>
  </si>
  <si>
    <r>
      <t>Quality control &amp; monitoring during and completion the construction of biodigester for PPIUs and CEWs (</t>
    </r>
    <r>
      <rPr>
        <sz val="11"/>
        <rFont val="Khmer OS Content"/>
      </rPr>
      <t>ការត្រួតពិនិត្យគុណភាព និងតាមដានវាយតំលៃកំឡុងពេលសាងសង់ និងបញ្ចប់សាងសង់ឡជីវឧស្ម័នសម្រាប់ភ្នាក់ងារផ្សព្វផ្សាយ និងមន្រ្តីអនុវត្តគម្រោង )</t>
    </r>
  </si>
  <si>
    <r>
      <t xml:space="preserve">Biodigester
</t>
    </r>
    <r>
      <rPr>
        <sz val="11"/>
        <rFont val="Khmer OS Content"/>
      </rPr>
      <t>ទ្បជីឧស្ម័ន</t>
    </r>
  </si>
  <si>
    <r>
      <t>Course/</t>
    </r>
    <r>
      <rPr>
        <sz val="11"/>
        <rFont val="Khmer OS Content"/>
      </rPr>
      <t>វគ្គ</t>
    </r>
  </si>
  <si>
    <r>
      <t>Refresher training of trainer on biogas plant, bio-slurry use and management for extension workers (</t>
    </r>
    <r>
      <rPr>
        <sz val="11"/>
        <rFont val="Khmer OS Content"/>
      </rPr>
      <t>វគ្គបណ្តុះបណ្តាលពង្រឹងសមត្ថភាពគ្រូបង្គោល​ ស្តីពីឡជីវឧស័្មន និងជីឡឧស័្មន ដល់អ្នកផ្សព្វផ្សាយ)</t>
    </r>
  </si>
  <si>
    <r>
      <t>National training on biodigester contruction techniques and quality control 
(</t>
    </r>
    <r>
      <rPr>
        <sz val="11"/>
        <rFont val="Khmer OS Content"/>
      </rPr>
      <t>វគ្គបណ្តុះបណ្តាលថ្នាក់ជាតិស្តីបចេ្ចកទេសសាងសង់ និងត្រួតពិនិត្យគុណភាពជីវឧស័្មន)</t>
    </r>
  </si>
  <si>
    <r>
      <t>National workshops on biodigester and composting  (</t>
    </r>
    <r>
      <rPr>
        <sz val="11"/>
        <rFont val="Khmer OS Content"/>
      </rPr>
      <t>សិក្ខាសាលាថ្នាក់ជាតិ​ ស្តីពីឡជីវឧស័្មន និងការផលិតជីកំប៉ុស្តិ៍)</t>
    </r>
  </si>
  <si>
    <r>
      <rPr>
        <sz val="11"/>
        <rFont val="Arial"/>
        <family val="2"/>
      </rPr>
      <t>Lump-sum</t>
    </r>
    <r>
      <rPr>
        <sz val="11"/>
        <rFont val="Khmer OS Content"/>
      </rPr>
      <t>/​សរុប</t>
    </r>
  </si>
  <si>
    <t>Pcs/គ្រឿង</t>
  </si>
  <si>
    <t xml:space="preserve">Dissemination workshop on National guideline for products of  of Biofertilizer and Organic Fertilizer and Bio-Pesticide at provincial level(Kampong Cham and Tboung Khum) (សិក្ខាសាលាផ្សព្វផ្សាយស្តីពីការណែនាំផលិតផលនៃជីជីវសាស្រ្ត ជីសរីរាង្គនិងថ្នាំកសិកម្មជីវសាស្រ្តថ្នាក់ក្រោមជាតិ សម្រាប់ខេត្តកំពង់ចាម និងត្បូងឃ្មុំ) </t>
  </si>
  <si>
    <t>Raising awareness workshop on law of fertilizer and pesticide management at national level (សិក្ខាសាលាលើកកម្ពស់ការយល់ដឹងស្តីពីច្បាប់នៃការគ្រប់គ្រងជីកសិកម្ម និងថ្នាំកសិកម្មថ្នាក់ជាតិ)</t>
  </si>
  <si>
    <t>Capacity Building on Seed Quality Testing for NAL staffs (វគ្គកសាងសមត្ថភាពលើការ
បណ្តុះបណ្តាលនៃការពិនិត្យគុណភាពគ្រាប់ពូជ សម្រាប់មន្ត្រីជំនាញមន្ទីរពិសោធន៍)</t>
  </si>
  <si>
    <t>Dissemination workshop on Quality Declared Seed System (QDS) សិក្ខាសិលាផ្សព្វផ្សាយ
ស្តីពីប្រព័ន្ធធានាគុណភាពពូជដំណាំ (ប.គ.ព)</t>
  </si>
  <si>
    <r>
      <t>Training of farmers on CSA, SRP, CamGAP/</t>
    </r>
    <r>
      <rPr>
        <b/>
        <sz val="11"/>
        <color rgb="FF002060"/>
        <rFont val="Khmer OS Content"/>
      </rPr>
      <t xml:space="preserve"> វគ្គបណ្តុះបណ្តាលកសិករក្នុងខេត្តគោលដៅ</t>
    </r>
  </si>
  <si>
    <t>Training of ACs boards on ACs business development/a  គ. វគ្គបណ្តុះបណ្តាលថ្នាក់ដឹកនាំសហគមន៍ស្តីពី ការអភិវឌ្ឍន៍មុខជំនួញរបស់សហគមន៍កសិកម្ម</t>
  </si>
  <si>
    <r>
      <t xml:space="preserve">Training of trainer and refresh training of trainers for provincial team/a   </t>
    </r>
    <r>
      <rPr>
        <sz val="11"/>
        <color rgb="FF0000FF"/>
        <rFont val="Khmer OS Content"/>
      </rPr>
      <t xml:space="preserve"> 
</t>
    </r>
    <r>
      <rPr>
        <b/>
        <sz val="11"/>
        <color rgb="FF0000FF"/>
        <rFont val="Khmer OS Content"/>
      </rPr>
      <t>វគ្គបណ្តុះបណ្តាលគ្រូបង្គោល និងវគ្គរំលឹកក្រុមគ្រូបង្គោលថ្នាក់ខេត្ត</t>
    </r>
  </si>
  <si>
    <t>Agricutural Technical Extension ការផ្សព្វផ្សាយបច្ចេកទេសកសិកម្ម</t>
  </si>
  <si>
    <t>Awareness meeting on the concept and establishment of producer group
ប្រជុំផ្សព្វផ្សាយ ពីគោលគំនិត និងការបង្កើតក្រុមផលិត</t>
  </si>
  <si>
    <t>Meeting to develop internal regulations and production calendar plan
ប្រជុំការបង្កើតបទបញ្ជាផ្ទៃក្នុង និងផែនការប្រតិទិនផលិតកម្ម</t>
  </si>
  <si>
    <t>Producer group meeting with input sellers, collectors and financial institutions
ប្រជុំរវាងក្រុមផលិត ជាមួយអ្នកលក់ធាតុចូល អ្នកប្រមូលទិញ​ និងស្ថាប័នហិរញ្ញវត្ថុ</t>
  </si>
  <si>
    <t>Dissemination and aising awareness workshop on National guideline for National Level (សិក្ខាសាលាផ្សព្វផ្សាយ និងលើកកម្ពស់ការយល់ដឹង ស្តីពីគោលការណ៍ណែនាំថ្នាក់ជាតិ)</t>
  </si>
  <si>
    <t>Dissemination workshop on National guideline for products of Biofertilizer and Organic Fertilizer​ at National Level (សិក្ខាសាលាផ្សព្វផ្សាយស្តីពីការណែនាំផលិតផលនៃជីជីវសាស្រ្តនិងជីសរីរាង្គថ្នាក់ជាតិ)</t>
  </si>
  <si>
    <t>Dissemination workshop on National guideline for products of  of Biofertilizer and Organic Fertilizer and Bio-Pesticide at provincial level​ for Takeo and Kampot (សិក្ខាសាលាផ្សព្វផ្សាយ
ស្តីពីការណែនាំផលិតផលនៃជីជីវសាស្រ្ត ជីសរីរាង្គនិងថ្នាំកសិកម្មជីវសាស្រ្តថ្នាក់ក្រោមជាតិ សម្រាប់ខេត្តតាកែវ និងកំពត)</t>
  </si>
  <si>
    <t xml:space="preserve">Workshop on standards for biodigester management and compost production
សិក្ខាសាលាស្តីពី បទដ្ឋាននៃការគ្រប់គ្រងជីឡជីវឧស័្មន និងការផលិតជីកំប៉ុស្តិ៍ </t>
  </si>
  <si>
    <r>
      <t>Bio-slurry lab studies (study on new biogas plant and bio-slurry innovation) (</t>
    </r>
    <r>
      <rPr>
        <sz val="11"/>
        <rFont val="Khmer OS Content"/>
      </rPr>
      <t>សិក្សាស្រាវជ្រាវក្នុងបន្ទប់ពិសោធន៍) (ឡជីវឧស័្មនដែលសង់ថ្មី និងការរកឃើញថ្មីៗ នៃជីឡជីវឧស័្មន)</t>
    </r>
  </si>
  <si>
    <t xml:space="preserve">National consultation workshop on market-connected compost production
សិក្ខាសាលាពិគ្រោះយោបល់ថ្នាក់ជាតិស្តីពី ការផលិតជីកំប៉ុស្តិ៍ផ្សារភ្ជាប់ទៅនឹងទីផ្សារ </t>
  </si>
  <si>
    <t xml:space="preserve">Estblish producer group of Rice, Cassava, Maize and Mango links with​ rice millers and traders (បង្កើតក្រុមផលិតដំណាំស្រូវ ក្រុមផលិតដំណាំដំទ្បូងមី ដំណាំពោត និងដំណាំស្វាយ តភ្ជាប់នឹងរោងម៉ាស៊ីនកិនស្រូវ និងពាណិជ្ជករ) </t>
  </si>
  <si>
    <t>PPP Initiatives for Agribusiness (ការផ្តួចផ្តើមគំនិតផ្នែកភាពជាដៃគូររវាងស្ថាប័នសាធារណៈនិងវិស័យឯកជនសំរាប់បរិយាកាសកសិធុរៈកិច្ច)</t>
  </si>
  <si>
    <r>
      <t xml:space="preserve">Other Costs of support activities </t>
    </r>
    <r>
      <rPr>
        <b/>
        <sz val="11"/>
        <rFont val="Khmer OS Battambang"/>
      </rPr>
      <t>(ការចំណាយលើសកម្មភាពផ្សេងៗ)</t>
    </r>
  </si>
  <si>
    <t>Training on landscape restoration (farm mechanization)/a ( វគ្គបណ្តុះបណ្តាលស្តីពីការស្តារស្ថានភាពដីទ្បើងវិញ និងការប្រើប្រាស់យន្តូបនីយកម្មកសិកម្ម)</t>
  </si>
  <si>
    <t xml:space="preserve">2.3.1 </t>
  </si>
  <si>
    <t>2.3.2:​</t>
  </si>
  <si>
    <t xml:space="preserve"> Activities support to CARDI (សកម្មភាព​គាំទ្រ​ ការឌី)​</t>
  </si>
  <si>
    <t>National Biodigester Policy and National Standards of Biodigester and Bio-slurry  
(គោលនយោបាយឡជីវឧស្ម័នថ្នាក់ជាតិ និងស្តង់ដាឡជីវឧស័្មន និងជីទ្បជីឧស្ម័ន)</t>
  </si>
  <si>
    <t xml:space="preserve">1.5.5 </t>
  </si>
  <si>
    <t xml:space="preserve"> Innovation &amp; VC Improvement (នវានុវត្តន៍ និងកែលម្អខ្សែច្រវ៉ាក់ផលិតកម្ម)</t>
  </si>
  <si>
    <t xml:space="preserve">1.5.4 </t>
  </si>
  <si>
    <t xml:space="preserve"> Monitoring &amp; Evaluation (ការតាមដានត្រួតពិនិត្យ និងវាយតំលៃ)</t>
  </si>
  <si>
    <t>1.5.1.</t>
  </si>
  <si>
    <t xml:space="preserve"> Biodigesters &amp; Compost Huts  ឡជីវឧស័្មន និងរោងជីកំប៉ុស្តិ៍</t>
  </si>
  <si>
    <t xml:space="preserve">1.5.2. </t>
  </si>
  <si>
    <t>Training &amp; Capacity Building  (វគ្គបណ្តុះបណ្តាល និងការពង្រឹងសមត្ថភាព)</t>
  </si>
  <si>
    <t>គាំទ្រម៉ាស៊ីនសំអាតគ្រាប់ពូជស្រូវដល់សហគមន៍កសិកម្ម
Support rice seed cleaning machines to agricultural cooperatives</t>
  </si>
  <si>
    <t>External exchange visit on compost production processing and packaging for efficiency use of bio-slurry application for compost producer groups and agricutural cooperatives
ទស្សនកិច្ចសិក្សាក្រៅខេត្ត ស្តីពីការកែច្នៃការផលិតជីកំប៉ុស្តិ៍ និងការវេចខ្ចប់ នៃប្រសិទ្ធិភាពក្នុងការប្រើប្រាស់ជីឡជីវឧស័្មនសម្រាប់ក្រុមផលិត និងសហគមន៍កសិកម្ម</t>
  </si>
  <si>
    <t xml:space="preserve">Total activity 1.1: Drip irrigation demonstration </t>
  </si>
  <si>
    <t>Drip irrigation system demonstraion and strengthening capacity of drip operation for mango farmers (ការបង្ហាញប្រពន្ធ័ស្រោចស្រព្វដោយដំណក់ទឹក នឹងការពង្រឹងសមត្ថភាពកសិករ​ស្តីពីការអនុវត្តប្រើប្រាស់ប្រពន្ធ័ដំណក់ទឹក)</t>
  </si>
  <si>
    <t>1.1.1</t>
  </si>
  <si>
    <r>
      <t xml:space="preserve">
Activity 1.1: Rehabilitation water management ifrastructure to climate resilient condition /​ </t>
    </r>
    <r>
      <rPr>
        <b/>
        <i/>
        <sz val="11"/>
        <color rgb="FF0000FF"/>
        <rFont val="Khmer OS Content"/>
      </rPr>
      <t>លទ្ធផលទី១:
សកម្មភាព ១.</t>
    </r>
    <r>
      <rPr>
        <b/>
        <i/>
        <sz val="11"/>
        <color rgb="FF0000FF"/>
        <rFont val="Khmer OS Battambang"/>
      </rPr>
      <t>១</t>
    </r>
    <r>
      <rPr>
        <b/>
        <i/>
        <sz val="11"/>
        <color rgb="FF0000FF"/>
        <rFont val="Khmer OS Content"/>
      </rPr>
      <t xml:space="preserve"> ធ្វើអោយប្រសើរឡើងនូវហេដ្ឋារចនាសម្ពន្ធ័គ្រប់គ្រងទឹកធន់នឹងលក្ខណ្ឌ័អាកាសាធាតុ</t>
    </r>
  </si>
  <si>
    <r>
      <t xml:space="preserve">Activity 1.4: Strengthening infrastructure for agricutlural quality and safety testing at the National Agriculture Laboratory (NAL) សកម្មភាព ១.៤: ការពង្រឹងហេដ្ឋារចនាសម្ពន្ធ័នៃមន្ទីរពិសោធន៍ជាតិផ្នែកកសិកម្មសម្រាប់ការវិភាគគុណភាព និងសុវត្ថិភាពនៃផលិតផលកសិកម្ម </t>
    </r>
    <r>
      <rPr>
        <b/>
        <sz val="11"/>
        <color rgb="FFFF0000"/>
        <rFont val="Arial"/>
        <family val="2"/>
      </rPr>
      <t/>
    </r>
  </si>
  <si>
    <r>
      <t xml:space="preserve"> Activity 1.2: Upgrading agriculture cooperative value chain infrastructure (drying, processing, and storage facilities) / </t>
    </r>
    <r>
      <rPr>
        <b/>
        <i/>
        <sz val="11"/>
        <color rgb="FF0000FF"/>
        <rFont val="Khmer OS Content"/>
      </rPr>
      <t>លទ្ធផលទី១: សកម្មភាព ១.២ ធ្វើឲហេដ្ឋារចនាសម្ព័ន្ធខ្សែច្រវ៉ាក់ ស.ក ល្អប្រសើរទ្បើង (ការ
សម្ងួត ការកែច្នៃ និងឧបករណ៍ស្តុកផ្សេងៗ)</t>
    </r>
  </si>
  <si>
    <t xml:space="preserve">1.5.3  </t>
  </si>
  <si>
    <t>Promotion &amp; Marketing  (ការផ្សព្វផ្សាយ និងទីផ្សារ)</t>
  </si>
  <si>
    <t>2.1.1.14</t>
  </si>
  <si>
    <t>2.3.5.22</t>
  </si>
  <si>
    <t>2.3.5.23</t>
  </si>
  <si>
    <t>3.2.2.1</t>
  </si>
  <si>
    <t>3.3.1</t>
  </si>
  <si>
    <t>3.3.2</t>
  </si>
  <si>
    <t>3.3.3</t>
  </si>
  <si>
    <t>3.3.4</t>
  </si>
  <si>
    <t>3.3.5</t>
  </si>
  <si>
    <r>
      <t xml:space="preserve">OUTPUT 2: </t>
    </r>
    <r>
      <rPr>
        <b/>
        <sz val="11"/>
        <rFont val="Khmer OS Content"/>
      </rPr>
      <t xml:space="preserve">(លទ្ធផលទី ២) Climate-smart agriculture and agribusiness promoted </t>
    </r>
  </si>
  <si>
    <r>
      <t>OUTPUT 1: (</t>
    </r>
    <r>
      <rPr>
        <b/>
        <sz val="11"/>
        <rFont val="Khmer OS Battambang"/>
      </rPr>
      <t>លទ្ធផលទី ១) Critical agribusiness value chain infrastructure improved and made climate-resilient. 
ហេដ្ឋារចនាសម្ព័ន្ធខ្សែសង្វាក់តម្លៃកសិធុរៈកិច្ចដ៏សំខាន់ ត្រូវបានកែលម្អ និងធ្វើឱ្យមានភាពធន់នឹងអាកាសធាតុ។</t>
    </r>
  </si>
  <si>
    <t xml:space="preserve">OUTPUT 1: (លទ្ធផលទី ១) Critical agribusiness value chain infrastructure improved and made climate-resilient. </t>
  </si>
  <si>
    <t>Retreat
សិក្ខាសាលា</t>
  </si>
  <si>
    <t>Training on Compost Processing Techniques, Methods and Packaging for Compost Production in Agricultural Cooperative
វគ្គបណ្តុះបណ្តាល ស្តីពីបច្ចេកទេស និងវិធីសាស្រ្តកែច្នៃផលិតជីកំប៉ុស្តិ៍ និងការវេចខ្ចប់ សម្រាប់ក្រុម
ផលិតជីកំប៉ុស្តិ៍នៅក្នុងសហគមន៍កសិកម្ម</t>
  </si>
  <si>
    <t>Land preparation demonstration by Tractor or hand tractor (ការបង្ហាញអំពីការរៀបចំដីដោយត្រាក់ទ័រ ឬត្រាក់ទ័រប្រើដោយដៃ)</t>
  </si>
  <si>
    <t>National quarterly meeting (កិច្ចប្រជុំប្រចាំត្រីមាសថ្នាក់ជាតិ)</t>
  </si>
  <si>
    <t>o.</t>
  </si>
  <si>
    <t>Study/សិក្សា</t>
  </si>
  <si>
    <r>
      <t>Month/</t>
    </r>
    <r>
      <rPr>
        <sz val="11"/>
        <rFont val="Khmer OS Content"/>
      </rPr>
      <t>ខែ</t>
    </r>
  </si>
  <si>
    <t>Month/ខែ</t>
  </si>
  <si>
    <t>Lump sum/សរុប</t>
  </si>
  <si>
    <t>Training on guidelines and procedures for organizing project procurement
(វគ្គបណ្តុះបណ្តាលស្តីពី គាលការណ៍ការណែនាំ និងនិតិវិធីនៃការរៀបចំការងារលទ្ធកម្មគម្រោង)</t>
  </si>
  <si>
    <r>
      <t>Technical training to NAL staff and PDAFF staff (</t>
    </r>
    <r>
      <rPr>
        <b/>
        <sz val="11"/>
        <color rgb="FFC00000"/>
        <rFont val="Khmer OS Battambang"/>
      </rPr>
      <t>វគ្គបណ្តុះបណ្តាលបច្ចេកទេសដល់មន្រ្តីមន្ទីរពិសោធន៍ និងមន្រ្តីអនុវត្តគម្រោង ដោយការអនុវត្តន៍ជាក់ស្តែង)</t>
    </r>
  </si>
  <si>
    <t xml:space="preserve">CW21/CFAVC/MAFF/2022 Renovation of Plant Tissue Laboratory, Biofertilizer and Biopesticide Testing Laboratory (of NAL under GDA) ជួសជុលបន្ទប់ពិសោធន៍       </t>
  </si>
  <si>
    <t xml:space="preserve">G1a/CFAVC/MAFF/2022 Biotechnology (NAL) Laboratory (including tissue culture house equipment) ឧបករណ៍តេស្តរហ័សសម្រាប់មន្ទីរពិសោធន៍   </t>
  </si>
  <si>
    <t>Equipmentand Materials for 15 Drip​ Irrigation Syetems(includes tube wells/water source connection, solar pumps and other agriculturalinputs e.g.training)(ឧបករណ៍សម្ភារៈសម្រាប់១៥ប្រព័ន្ធស្រោចស្រពតំណក់ទឹកចំនួន(រាប់បញ្ចូលទុយោ និងឧបករណ៍ភ្ជាប់ប្រព័ន្ធឌ្រីប ម៉ាស៊ីនបូមទឹកដោយប្រើប្រព័ន្ធថាមពលសូឡា ធាតុចូលកសិកម្មចាំបាច់សម្រាប់ប្រើជាមួយប្រព័ន្ធឌ្រីប និងវគ្គបណ្តុះបណ្តាលកសិករស្តីពីការប្រើប្រាស់ប្រព័ន្ធដំណក់ទឹក)</t>
  </si>
  <si>
    <t>Meeting
ប្រជុំ</t>
  </si>
  <si>
    <t>Trip/Field Visit
ទស្សនកិច្ច</t>
  </si>
  <si>
    <t>2.2.2.4</t>
  </si>
  <si>
    <r>
      <rPr>
        <sz val="11"/>
        <rFont val="Arial"/>
        <family val="2"/>
      </rPr>
      <t xml:space="preserve">District dissemination forum for strategy crop production
</t>
    </r>
    <r>
      <rPr>
        <sz val="11"/>
        <rFont val="Khmer OS Content"/>
      </rPr>
      <t>វេទិការផ្សព្វផ្សាយថ្នាក់ស្រុកស្តីពី ដំណាំយុទ្ធសាស្ត្រ</t>
    </r>
  </si>
  <si>
    <t>Business forum on rice, cassava, and other specific crop commodities (with input suppliers, producers, traders/buyers or collectors)
ការរៀបចំវេទិកាជំនួញជាមួយនឹងអ្នកផ្គត់ផ្គង់ធាតុចូលកសិកម្ម អ្នកផលិត  ឈ្មួញកណ្តាល / អ្នកប្រមូលទិញ</t>
  </si>
  <si>
    <t>Annual staff retreat for CFAVC Project (PMU, IAs (GDA, GDAHP and CARDI), Linked Departments, PPIUs, and other related CSs). 
សិក្ខាសាលាប្រចាំឆ្នាំរបស់ក្រុមការងារគម្រោង, មន្រ្តីគម្រោង PMU, ភ្នាក់ងារអនុវត្តគម្រោង, អង្គភាពអនុវត្ត គម្រោង, នាយកដ្ឋានពាក់ព័ន្ធ និងកញ្ចប់ទីប្រឹក្សាបច្ចេកទេសពាក់ព័ន្ធផ្សេងទៀត</t>
  </si>
  <si>
    <t>វគ្គបណ្តុះបណ្តាលការត្រួតពិនិត្យគុណភាពសាងសង់ ការជួសជុល និងការថែទាំឡជីវឧស័្មន
Training on quality control, construction, repair and maintenance of biodigester</t>
  </si>
  <si>
    <t>2.1.1.15</t>
  </si>
  <si>
    <t>2.1.1.16</t>
  </si>
  <si>
    <t>2.1.1.17</t>
  </si>
  <si>
    <t>2.1.1.18</t>
  </si>
  <si>
    <t>2.1.1.19</t>
  </si>
  <si>
    <t xml:space="preserve">Multi-location trial of rice (pop. PRD/CAR11, PRD/RCH, SPD/SKO-01, CAR15/pi21) ពិសោធន៍ពហុកន្លែងលើស្រឡាយស្រូវដែលសមស្របនឹងលក្ខខណ្ឌដាំដុះតំបន់ស្រែទំនាប
</t>
  </si>
  <si>
    <t>Field demonstration of Champei Sar-70 rice variety ស្រែបង្ហាញប្រភេទពូជស្រូវចំប៉ីស ៧០</t>
  </si>
  <si>
    <t>Seed increase of rice promissing line ការដាំពង្រីកស្រឡាយស្រូវដែលមានសំដែងកម្មល្អ</t>
  </si>
  <si>
    <t>Training course on rice seed production techninology and follow up to farmer group (វគ្គបណ្តុះបណ្តាលកសិករស្តីពីបច្ចេកទេសផលិតពូជស្រូវ និងចុះតាមដាន)</t>
  </si>
  <si>
    <t>2.3.5.26</t>
  </si>
  <si>
    <t>2.2.1.43</t>
  </si>
  <si>
    <t xml:space="preserve">Rapid Test Kits for biofertilizer/organic fertlizer, plant tissue culture and GMO&amp;Phytotoxin សារធាតុគីមី (ប្រតិករ) សម្រាប់ជីជីវសាស្រ្ត ជីសរីរាង្គ ជាលិកាវប្បកម្ម និង កែច្នៃហ្ស៊ែន&amp;ជាតិពុលរុក្ខជាតិ </t>
  </si>
  <si>
    <t>National Workshop on GMO safety awareness among stakeholders (សិក្ខាសាលាថ្នាក់ជាតិស្តីពីការលើកកម្ពស់ការយល់ដឹងពីសុវត្ថិភាពសារពាង្គកាយកែច្នៃហ្សែនដល់អ្នកពាក់ព័ន្ធ)</t>
  </si>
  <si>
    <t>Annual Work-Plan and Budget 2024 for MAFF</t>
  </si>
  <si>
    <t>Plantlet harderdening and maintenance  of cassava in greenhouse 
ការ​បន្សាំ និង ថែរក្សាកូនដើមដំឡូងមីក្នុងផ្ទះសំណាញ់</t>
  </si>
  <si>
    <t>In-vitro multiplication and maintenence of cassava mother plant   
ការពង្រីក និងថែរក្សាពូជមេនៃដំណាំដំឡូងមីក្នុងមន្ទីរពិសោធន៍</t>
  </si>
  <si>
    <t>Technical training of rice production to​ 27FWUG implemented by PPIUs
វគ្គបណ្ដុះបណ្ដាលបច្ចេកទេសស្ដីពី ផលិតកម្មដំណាំស្រូវ ដល់ក្រុមកសិករប្រើប្រាស់ទឹក អនុវត្តដោយមន្រ្តីអង្គភាពអនុវត្តគម្រោងខេត្ត</t>
  </si>
  <si>
    <t>Technical training on​ Cassava plant tissue culture technique for NAL Staffs (Practical methods in laboratory and greenhouse)
 វគ្គបណ្តុះបណ្តាលបច្ចេកទេសលើជាការពង្រីកពូជដំណាណដំឡូងមីតាមរយៈជាលិការវប្បកម្មដល់មន្រ្តីមន្ទីពិសោធន៍ជាតិកសិកម្ម (ការអនុវត្តន៍ក្នុងមន្ទីពិសោធ៍​ និងផ្ទះសំណាញ់)</t>
  </si>
  <si>
    <t>Training on cassava plant material  and Biofertilizer/pesticide sample collection method (for PDAFF Staff and AC) វគ្គបណ្តុះបណ្តាលស្តីពីវិធីសាស្ត្រប្រមូលដើមដំឡូងមី និងសំណាកជី និងថ្នាំជីវសាស្ត្រកសិកម្មដល់មន្ត្រីនៃមន្ទីកសិកម្មខេត្ត និងសហគមន៍កសិកម្ម</t>
  </si>
  <si>
    <t>Training on laboratory commercialization and service marketing on tissue culture-derived cassava plantlets for PDAFF Staff and AC វគ្គបណ្តុះបណ្តាលស្តីពីការធ្វើពាណិជ្ជកម្ម និងទីផ្សារសេវាកម្មក្នុងមន្ទីរពិសោធន៍ ទៅលើកូនដំឡូងមីជាលិកាវប្បកម្ម សម្រាប់ PDAFF និងសហគមន៍កសិកម្ម</t>
  </si>
  <si>
    <t>Training on laboratory commercialization and service marketing for NAL staffs វគ្គបណ្តុះបណ្តាលដល់មន្រ្តីមន្ទីរពិសោធន៍កសិម្មជាតិស្តីពីការធ្វើពាណិជ្ជកម្ម និងទីផ្សារសេវាកម្មក្នុងមន្ទីរពិសោធន៍</t>
  </si>
  <si>
    <t>Dessimination workshop on cassava tissue culture development manual  (សិក្ខាសាលាផ្សព្វផ្សាយលើដំណើរការរៀបចំសៀវភៅណែនាំស្តីពី "បច្ចេកទេសជាលិកាវប្បកម្មដំឡូងមី" )</t>
  </si>
  <si>
    <r>
      <t>TWG meeting on "Cassava plant tissue culture manual" development (</t>
    </r>
    <r>
      <rPr>
        <sz val="11"/>
        <color rgb="FF002060"/>
        <rFont val="Khmer OS Battambang"/>
      </rPr>
      <t>ប្រជុំក្រុមការងារបច្ចេកទេសលើដំណើរការរៀបចំសៀវភៅណែនាំស្តីពី "បច្ចេកទេសជាលិកាវប្បកម្មដំឡូងមី" )</t>
    </r>
  </si>
  <si>
    <r>
      <t>Consultaive workshop on "Cassava tissue culture manual" developement (</t>
    </r>
    <r>
      <rPr>
        <sz val="11"/>
        <color rgb="FF002060"/>
        <rFont val="Khmer OS Battambang"/>
      </rPr>
      <t>សិក្ខាសាលាពិគ្រោះយោបល លើដំណើរការរៀបចំសៀវភៅណែនាំស្តីពី "បច្ចេកទេសជាលិកាវប្បកម្មដំឡូងមី" )</t>
    </r>
  </si>
  <si>
    <r>
      <t xml:space="preserve">Publication of Cassava plant tissue culture manaul, and endoresment </t>
    </r>
    <r>
      <rPr>
        <sz val="11"/>
        <color rgb="FF002060"/>
        <rFont val="Khmer OS Battambang"/>
      </rPr>
      <t xml:space="preserve">(បោះពុម្ពផ្សព្វផ្សាយ សៀវភៅណែនាំស្តីពី "បច្ចេកទេសជាលិកាវប្បកម្មដំឡូងមី" </t>
    </r>
  </si>
  <si>
    <r>
      <t xml:space="preserve">Technical training on Bio-fertilizer/Bio-Pesticide Quality Testing 
</t>
    </r>
    <r>
      <rPr>
        <sz val="11"/>
        <color rgb="FF002060"/>
        <rFont val="Khmer OS Content"/>
      </rPr>
      <t>វគ្គបណ្តុះបណ្តាលបច្ចេកទេសដល់មន្រ្តីនៃមន្ទីរពិសោធន៍លើការវិភាគគុណភាពជីកសិកម្មជីវសាសស្រ្ត និងថ្នាំកសិកម្មជីវសាស្រ្ត</t>
    </r>
  </si>
  <si>
    <r>
      <t xml:space="preserve">Technical training on Organic Fertilizer Quality Testing 
</t>
    </r>
    <r>
      <rPr>
        <sz val="11"/>
        <color rgb="FF002060"/>
        <rFont val="Khmer OS Content"/>
      </rPr>
      <t>វគ្គបណ្តុះបណ្តាលបច្ចេកទេសដល់មន្រ្តីនៃមន្ទីរពិសោធន៍លើការវិភាគគុណភាពជីសរីរាង្គកសិកម្ម</t>
    </r>
  </si>
  <si>
    <r>
      <t xml:space="preserve">Technical training on GMO and Phytotoxin Analysis 
</t>
    </r>
    <r>
      <rPr>
        <sz val="11"/>
        <color rgb="FF002060"/>
        <rFont val="Khmer OS Content"/>
      </rPr>
      <t>វគ្គបណ្តុះបណ្តាលបច្ចេកទេសដល់មន្រ្តីនៃមន្ទីរពិសោធន៍លើការកែច្នៃសារពាង្គកាយរស់ និងការវិភាគសារធាតុពុលរុក្ខជាតិ</t>
    </r>
  </si>
  <si>
    <r>
      <t xml:space="preserve">Technical Training on ISO 17025 for NAL staffs 
</t>
    </r>
    <r>
      <rPr>
        <sz val="11"/>
        <color rgb="FF002060"/>
        <rFont val="Khmer OS Content"/>
      </rPr>
      <t>វគ្គបណ្តុះបណ្តាលបច្ចេកទេស ISO17025 សម្រាប់មន្ត្រីមន្ទីរពិសោធន៍</t>
    </r>
  </si>
  <si>
    <r>
      <t xml:space="preserve">Technical Training on GMO and Phytotoxin sample collection for PDAFF Staff </t>
    </r>
    <r>
      <rPr>
        <sz val="11"/>
        <color rgb="FF002060"/>
        <rFont val="Khmer OS Content"/>
      </rPr>
      <t xml:space="preserve">វគ្គបណ្តុះបណ្តាលបច្ចេកទេសដល់មន្រ្តីកសិកម្មខេត្តស្តីពីការចុះប្រមូលសំណាក GMO និង Phytotoxin </t>
    </r>
  </si>
  <si>
    <r>
      <t>Technical Training on ISO 17025 for PDAFF Staff</t>
    </r>
    <r>
      <rPr>
        <sz val="11"/>
        <color rgb="FF002060"/>
        <rFont val="Khmer OS Content"/>
      </rPr>
      <t xml:space="preserve"> វគ្គបណ្តុះបណ្តាលបច្ចេកទេសដល់មន្រ្តីមន្ទីរកសិកម្មខេត្តស្តីពីការវាយតម្លៃទទួលស្គាល់គុណភាព ISO 17025 </t>
    </r>
  </si>
  <si>
    <r>
      <t xml:space="preserve">Field Sampling for GMO and Phytotoxin Analysis </t>
    </r>
    <r>
      <rPr>
        <sz val="11"/>
        <color rgb="FF002060"/>
        <rFont val="Khmer OS Content"/>
      </rPr>
      <t>កម្មសិក្សាស្តីពីការចុះប្រមូលសំណាកនៃការកែច្នៃសារពាង្គកាយរស់ និងការវិភាគសារធាតុពុលរុក្ខជាតិដល់មន្រ្តីនៃមន្ទីរពិសោធន៍</t>
    </r>
  </si>
  <si>
    <t>Field Sampling for Bio-fertilizer/Bio-Pesticide and Organic fertilizer កម្មសិក្សាស្តីពីការចុះប្រមូលសំណាកនៃ ជីជីវសាស្រ្តកសិកម្ម ថ្នាំជីវសាស្រ្តកសិកម្ម និងជីសរីរាង្គកសិកម្ម</t>
  </si>
  <si>
    <t>Promotion meeting on plant tissue culture and Biofertilizer/pesticide for agriculture communities coordinated by PDAFF (កិច្ចប្រជុំផ្សព្វផ្សាយស្តីពី ជាលិកាវប្បកម្មនិងជីជីវសាស្រ្ត ថ្នាំជីវសាស្ត្រកសិកម្មដល់សហគមន៍កសិកម្មដែលសម្របសម្រួលដោយមន្រ្តី PDAFF)</t>
  </si>
  <si>
    <r>
      <t>Development of technical guideline and procedure for lab ISO17025 (</t>
    </r>
    <r>
      <rPr>
        <b/>
        <sz val="11"/>
        <color rgb="FF002060"/>
        <rFont val="Khmer OS Content"/>
      </rPr>
      <t>ការរៀ</t>
    </r>
    <r>
      <rPr>
        <b/>
        <sz val="11"/>
        <color rgb="FF002060"/>
        <rFont val="Khmer OS Battambang"/>
      </rPr>
      <t>បចំសៀវភៅមគ្គុទេសក៍</t>
    </r>
    <r>
      <rPr>
        <b/>
        <sz val="11"/>
        <color rgb="FF002060"/>
        <rFont val="Khmer OS Content"/>
      </rPr>
      <t>ណែនាំបច្ចេកទេស និងដំណើការទទួលស្គាល់គុណភាពមន្ទីរពិសោធន៍តាមស្តង់ដារ</t>
    </r>
    <r>
      <rPr>
        <b/>
        <sz val="11"/>
        <color rgb="FF002060"/>
        <rFont val="Arial"/>
        <family val="2"/>
      </rPr>
      <t xml:space="preserve"> ISO17025</t>
    </r>
    <r>
      <rPr>
        <b/>
        <sz val="11"/>
        <color rgb="FF002060"/>
        <rFont val="Khmer OS Content"/>
      </rPr>
      <t>)</t>
    </r>
  </si>
  <si>
    <r>
      <t xml:space="preserve">TWG meeting on ISO 17025 SOP accreditation guideline development </t>
    </r>
    <r>
      <rPr>
        <sz val="11"/>
        <color rgb="FF002060"/>
        <rFont val="Khmer OS Battambang"/>
      </rPr>
      <t>(ប្រជុំក្រុមការងារបច្ចេកទេសរៀបចំសៀវភៅមគ្គុទេសក៍ និងការចុះបញ្ជីការ ISO 17025)</t>
    </r>
  </si>
  <si>
    <r>
      <t>Consultaive workshop on ISO 17025 Accreditation guideline (</t>
    </r>
    <r>
      <rPr>
        <sz val="11"/>
        <color rgb="FF002060"/>
        <rFont val="Khmer OS Battambang"/>
      </rPr>
      <t>សិក្ខាសាលាពិគ្រោះយោបល់ស្តីពីការរៀបចំសៀវភៅមគ្គុទេសក៍ និងការចុះបញ្ជីការ ISO17025)</t>
    </r>
  </si>
  <si>
    <r>
      <t>Dessimination workshop on ISO 17025 guideline (</t>
    </r>
    <r>
      <rPr>
        <sz val="11"/>
        <color rgb="FF002060"/>
        <rFont val="Khmer OS Battambang"/>
      </rPr>
      <t>សិក្ខាសាលាផ្សព្វផ្សាយស្តីពីសៀវភៅមគ្គុទេសក៍ការចុះបញ្ជីការ ISO 17025)</t>
    </r>
  </si>
  <si>
    <r>
      <t xml:space="preserve">Publication of ISO 17025 guideline  and endoresment </t>
    </r>
    <r>
      <rPr>
        <sz val="11"/>
        <color rgb="FF002060"/>
        <rFont val="Khmer OS Battambang"/>
      </rPr>
      <t>(បោះពុម្ពសៀវភៅមគ្គុទេសក៍នៃការចុះបញ្ជីការ ISO 17025)</t>
    </r>
  </si>
  <si>
    <r>
      <t xml:space="preserve">Subtotal </t>
    </r>
    <r>
      <rPr>
        <b/>
        <sz val="11"/>
        <color rgb="FF002060"/>
        <rFont val="Khmer OS Content"/>
      </rPr>
      <t>(សរុបតាមផ្នែក)</t>
    </r>
  </si>
  <si>
    <r>
      <t xml:space="preserve">Capacity Building to NAL staff </t>
    </r>
    <r>
      <rPr>
        <b/>
        <sz val="12"/>
        <color rgb="FF002060"/>
        <rFont val="Khmer OS Content"/>
      </rPr>
      <t>(វគ្គកសាងសមត្ថភាពដល់មន្រ្តី NAL)</t>
    </r>
  </si>
  <si>
    <t>Business Forum  on (NAL's) tissue culture-derived cassava plantlets  at National Level
(វេទិកាធុរៈកិច្ចស្តីពីកូនដំឡូងមីជាលិកាវប្បកម្មកម្រិតថ្នាក់ជាតិ)</t>
  </si>
  <si>
    <t>Printing leaflet for risk sharing mechanism បោះពុម្ពខិតបណ្ណ ស្តីពីការចែករំលែកយន្តការហានិភ័យនៃការប្រែប្រួលអាកាសធាតុ</t>
  </si>
  <si>
    <t>Prrinting
បោះពុម្ព</t>
  </si>
  <si>
    <t>2.1.1.20</t>
  </si>
  <si>
    <t xml:space="preserve">Develop the technical Standard for Farmer's Friend Biodigester
រៀបចំបទដ្ឋានស្តង់ដារបច្ចេកទេសនៃឡជីវឧស័្មនមិត្តកសិករ </t>
  </si>
  <si>
    <t xml:space="preserve">Consultation workshop to review the technical standard for Farmer's Friend of biodigester  
សិក្ខាសាលា​ពិគ្រោះ​យោបល់ ​ដើម្បី​ពិនិត្យ​ឡើង​វិញ​នូវ​បទដ្ឋាន​ស្តង់ដារបច្ចេកទេស​នៃ​ឡជីវឧស្ម័នមិត្តកសិករ </t>
  </si>
  <si>
    <t>Meeting to discuss and review the technical Standard for Farmer's Friend Biodigester
ប្រជុំដើម្បី​ពិភាក្សា និងពិនិត្យ​ឡើង​វិញ​នូវ​បទដ្ឋានស្តង់ដារបច្ចេទេសនៃ​ឡជីវឧស្ម័នមិត្តកសិករ</t>
  </si>
  <si>
    <t>Translation of technical standard for Farmer's Friend of biodigester  
បកប្រែ បទដ្ឋានស្តង់ដារបច្ចេកទេសនៃឡជីវឧស្ម័នមិត្តកសិករ</t>
  </si>
  <si>
    <t>Disseminationl workshop on the technical standard for Farmer's Friend of biodigester and bio-slurry
សិក្ខាសាលាផ្សព្វផ្សាយស្តីពី បទដ្ឋានស្តង់ដារបច្ចេកទេសនៃឡជីវឧស្ម័ន និងជីឡជីវឧស្ម័ន</t>
  </si>
  <si>
    <t>1.4.7.5</t>
  </si>
  <si>
    <t>1.4.7.6</t>
  </si>
  <si>
    <t>1.4.3.4</t>
  </si>
  <si>
    <t>1.2.1.13</t>
  </si>
  <si>
    <t>Exsposure visit</t>
  </si>
  <si>
    <t>1.2.2.6</t>
  </si>
  <si>
    <t>1.2.2.7</t>
  </si>
  <si>
    <t>1.4.1.6</t>
  </si>
  <si>
    <t xml:space="preserve">Consumable Needed for Plant Tissue Culture  តម្រូវការសម្ភារៈប្រើប្រាស់ចាំបាច់ក្នុងការធ្វើជាលិកាវប្បកម្ម   </t>
  </si>
  <si>
    <t>Consumable Needed for Biofertilizer/Bio-pesticide, Organic fertlizer Quality Testing តម្រូវការសម្ភារៈប្រើប្រាស់ចាំបាច់ក្នុងការវិភាគជីជីវសាស្រ្ត/ថ្នាំកសិកម្មជីវសាស្រ្ត និងជីសរីរាង្គ</t>
  </si>
  <si>
    <t>1.4.1.5</t>
  </si>
  <si>
    <t>Training of Trainers on Climate Smart for PDAFF staff and Agriculture and Agricultural Communce officers វគ្គបណ្តុះបណ្តាលគ្រូបង្គោល ស្តីពីកសិកម្មវៃឆ្លាតនឹងអាកាសធាតុ (CSA) សម្រាប់មន្រ្តីមន្ទីរកសិកម្ម និងមន្រ្តីកសិកម្មឃុំ</t>
  </si>
  <si>
    <t>Training of Trainers on Sustainable Rice Platform for PDAFF staff and Agriculture and Agricultural Communce officers វគ្គបណ្តុះបណ្តាលគ្រូបង្គោលស្តីពី ផលិតកម្មដំណាំស្រូវប្រកបដោយនិរន្តរភាព(SRP) សម្រាប់មន្រ្តីមន្ទីរកសិកម្ម និងមន្រ្តីកសិកម្មឃុំ</t>
  </si>
  <si>
    <t>Training of Trainers on Rice Production Management for PDAFF staff and Agriculture and Agricultural Communce officers វគ្គបណ្តុះបណ្តាលគ្រូបង្គោលស្តីពី ការគ្រប់គ្រងផលិតកម្មដំណាំស្រូវ សម្រាប់មន្រ្តីមន្ទីរកសិកម្ម និងមន្រ្តីកសិកម្មឃុំ</t>
  </si>
  <si>
    <t>Training of Trainers on Rice Seed Production for Agricutural Commune officers វគ្គបណ្តុះបណ្តាលគ្រូបង្គោលស្តីពី បច្ចេកទេសផលិតកម្មគ្រាប់ពូជស្រូវ សម្រាប់មន្រ្តីមន្ទីរកសិកម្ម និងមន្រ្តីកសិកម្មឃុំ</t>
  </si>
  <si>
    <t>Training of Trainers on Intergrated Pest Management​ on Rice Production for Provincial Trainers and Agricutural Communce officers  វគ្គបណ្តុះបណ្តាលស្តីពីបច្ចេកទេសគ្រប់គ្រងសមាសភាពចង្រៃលើដំណាំស្រូវ សម្រាប់មន្រ្តីគ្រូបង្គោលខេត្ត និងមន្រ្តីកសិកម្មឃុំ</t>
  </si>
  <si>
    <t>Training of Trainers on Nutrient Management on rice production for  for PDAFF staff and Agriculture and Agricultural Communce officers  វគ្គបណ្តុះបណ្តាលគ្រូបង្គោលស្តីពី ការគ្រប់គ្រងជីជាតិ​ដីលើដំណាំស្រូវ សម្រាប់គ្រូបង្គោលខេត្ត និងមន្រ្តីកសិកម្មឃុំ</t>
  </si>
  <si>
    <t xml:space="preserve">Refresher training on Climate Smart of Agriculture (CSA) for PDAFF staff and Agriculture and Agricultural Communce officers 
វគ្គបណ្តុះបណ្តាល រំលឹកគ្រូបង្គោលថ្នាក់ខេត្តស្តីពី កសិកម្មវៃឆ្លាតធន់នឹងអាកាសធាតុ </t>
  </si>
  <si>
    <t>Refresher training on Sustainable Rice Platform (SRP)  for PDAFF staff and Agriculture and Agricultural Communce officers វគ្គបណ្តុះបណ្តាលរំលឹកគ្រូបង្គោលថ្នាក់ខេត្ត​ស្តីពី ស្តង់ដារផលិកម្មស្រូវប្រកបដោយនិរន្តរភាព</t>
  </si>
  <si>
    <t>Training of trainer (TOT) of ACs boards on leadership and management for Commune Agriculture Officers  វគ្គបណ្តុះបណ្តាលគ្រូបង្គោល ស្តីពីភាពជាអ្នកដឹកនាំនិងការគ្រប់គ្រងសហគមន៍កសិកម្ម សម្រាប់មន្រ្តីកសិកម្មឃុំ</t>
  </si>
  <si>
    <t>Training of trainer (TOT) of ACs boards on business plan and entrepreneurship for Commune Agriculture Officers  វគ្គបណ្តុះបណ្តាលគ្រូបង្គោល ស្តីពីការធ្វើផែនការអាជីវកម្ម និង ភាពជាសហគ្រិនសម្រាប់សហគមន៍កសិកម្ម សម្រាប់មន្រ្តីកសិកម្មឃុំ</t>
  </si>
  <si>
    <t>Training of trainer (TOT) of ACs boards on marketing principles for Commune Agriculture Officers 
 វគ្គបណ្តុះបណ្តាលគ្រូបង្គោល ស្តីពីគោលការណ៍គ្រឺះទីផ្សារសម្រាប់សហគមន៍កសិកម្ម សម្រាប់មន្រ្តីកសិកម្មឃុំ</t>
  </si>
  <si>
    <t xml:space="preserve"> Training of trainer (TOT) of ACs boards on annual report writing for Commune Agriculture Officers 
 វគ្គបណ្តុះបណ្តាលគ្រូបង្គោល ស្តីពីការសរសេររបាយការណ៍ប្រចាំឆ្នាំសហគមន៍កសិកម្ម សម្រាប់មន្រ្តីកសិកម្មឃុំ</t>
  </si>
  <si>
    <t xml:space="preserve"> Training of trainer (TOT) of ACs boards on agricultural input supply for Commune Agriculture Officers 
 វគ្គបណ្តុះបណ្តាលគ្រូបង្គោល ស្តីពីការផ្គត់ផ្គងធាតុចូលកសិកម្មដល់សហគមន៍កសិកម្ម សម្រាប់មន្រ្តីកសិកម្មឃុំ</t>
  </si>
  <si>
    <t>Training of trainer (TOT) of ACs boards on bookkeeping and accounting
 វគ្គបណ្តុះបណ្តាលគ្រូបង្គោល ស្តីពីការចុះបញ្ជីគណនេយ្យសហគមន៍កសិកម្ម  សម្រាប់មន្រ្តីកសិកម្មឃុំ</t>
  </si>
  <si>
    <t xml:space="preserve"> Training of trainer (TOT) of ACs boards on crop marketing business plan (rice, cassava, maize, mango) for PDAFF Staff
វគ្គបណ្តុះបណ្តាលគ្រូបង្គោល ស្តីពីផែនការអាជីវកម្មលើមុខដំណាំ (ស្រូវ ដំឡូងមី  ពោត ស្វាយ) សម្រាប់មន្រ្តីមន្ទីរកសិកម្ម</t>
  </si>
  <si>
    <t>Training of trainer (TOT) of ACs boards on Journaling for Suppliers and Marketing for Acs for PDAFF Staff
វគ្គបណ្តុះបណ្តាលគ្រូបង្គោល ស្តីពីការកត់ត្រាព័ត៌មាន សម្រាប់អ្នកផ្គត់ផ្គង់ និងទីផ្សារ សម្រាប់សហមន៍កសិកម្ម សម្រាប់ មន្រ្តីមន្ទីរកសិកម្មឃុំ</t>
  </si>
  <si>
    <t>Training of trainer (TOT) of ACs boards on Stock Management for suppliers and Marketing Businesses for Acs for PDAFF Staff
វគ្គបណ្តុះបណ្តាលគ្រូបង្គោល ស្តីពីការគ្រប់គ្រងស្តុកសម្រាប់ការផ្គត់ផ្គង់ និងការធ្វើអាជីវកម្មទីផ្សារ សម្រាប់សហមន៍កសិកម្ម សម្រាប់ មន្រ្តីមន្ទីរកសិកម្ម</t>
  </si>
  <si>
    <t>Training of trainer (TOT) on Internal Audit/Inspection with the supervisory committee of AC for PDAFF Staff
វគ្គបណ្តុះបណ្តាលគ្រូបង្គោល ស្តីពីនីតិវិធីការត្រួតពិនិត្យផ្ទៃក្នុង (សវនកម្មផ្ទៃក្នុង) ក្នុងសហគមន៍កសិកម្ម
 ដោយគណៈកម្មាធិការត្រួតពិនិត្យ សម្រាប់មន្រ្តីមន្ទីរកសិកម្ម</t>
  </si>
  <si>
    <t>Dissemination workshop on seed law and regulations under seed law សិក្ខាសាលាផ្សព្វផ្សាយស្តីពីច្បាប់គ្រាប់ពូជ និងបទប្បញ្ញត្តិក្រោមច្បាប់គ្រាប់ពូជ
ស្តីពីច្បាប់ ពូជដំណាំ និងលិខិតបទដ្ឋានគតិយុត្តក្រោមច្បាប់ពូជដំណាំ</t>
  </si>
  <si>
    <t>National training and exchange visit on​​ extension of adaptation techniques to climate change
វគ្គបណ្តុះបណ្តាលថ្នាក់ជាតិ និងទស្សនកិច្ចសិក្សាលើការផ្សព្វផ្សាយបច្ចេកទេសបន្សុំាទៅនឹងការប្រែប្រួលអាកាសធាតុ</t>
  </si>
  <si>
    <t>National training and exchange visit on extension for innovation and practical of agriculture technical 
វគ្គបណ្តុះបណ្តាលថ្នាក់ជាតិ និងទស្សនកិច្ចសិក្សាក្រៅតំបន់ស្តីពីការផ្សព្វផ្សាយបច្ចេកទេសថ្មីៗ និងការអនុវត្តនៃបច្ចេកទេសកសិកម្ម</t>
  </si>
  <si>
    <t>Reflection workshop on progress of management and leadership of ACs 
(សិក្ខាសាលាថ្នាក់ជាតិស្តីពី វឌ្ឍនភាពនៃការគ្រប់គ្រង និងដឹកនាំសហគមន៍កសិកម្ម)</t>
  </si>
  <si>
    <t>Seed Multiplication of pre-released cassava line (CMD resistance) 
ការដាំពង្រីកស្រឡាយដំឡូងមីត្រៀមបញ្ចេញ ដែលធន់នឹង CMD</t>
  </si>
  <si>
    <t>Dissemination workshop on agricultural cooperative concept and law                   
សិក្ខាសាលាផ្សព្វផ្សាយអំពីគោលគំនិត និងច្បាប់សហគមន៍កសិកម្ម</t>
  </si>
  <si>
    <t xml:space="preserve">On-farm adaptive trial on CMD-resistant cassava (IITA lines) ពិសោធន៍បន្សាំស្រឡាយដំឡូងមីដែលធន់នឹងជំងឺ CMD លើចម្ការកសិករ (ស្រឡាយរបស់ IITA) </t>
  </si>
  <si>
    <t>Rapid multiplication of disease free planting materials of cassava</t>
  </si>
  <si>
    <t>Production/ផលិតកម្ម</t>
    <phoneticPr fontId="58" type="noConversion"/>
  </si>
  <si>
    <t xml:space="preserve">Rice Seed Production of FS Seed Production of PMD, PRD, CAR16 and Champei Sar 70 ផលិតកម្មគ្រាប់ពូជគ្រឹះ
</t>
  </si>
  <si>
    <r>
      <t xml:space="preserve">Multi-location trial on cassava for high root and starch yield ( New Material from CIAT and CARDI's Mutant)​ </t>
    </r>
    <r>
      <rPr>
        <sz val="10"/>
        <rFont val="Khmer OS Content"/>
      </rPr>
      <t>ពិសោធន៍ពហុកន្លែងលើស្រឡាយដំណាំដំឡូងមីដែលមានទិន្នផល និងកំរិតជាតិម្សៅខ្ពស់ ( ស្រឡាយពីអង្គការ CIAT និងស្រឡាយបរិវត្តកម្មរបស់កាឌី)</t>
    </r>
  </si>
  <si>
    <t>Training of farmers on the production of cassava clean planting materials
វគ្គបណ្តុះបណ្តាលកសិករ ស្តីពីការផលិតដើមពូជដំឡូងមីគ្មានជម្ងឺ</t>
  </si>
  <si>
    <t xml:space="preserve"> Cassava clean planting material multiplication in net house  
ដាំថែទាំកូនដំឡូងមីគ្មានជំងឺក្នុងផ្ទះសំណាញ់ </t>
  </si>
  <si>
    <t xml:space="preserve">Training of trainer on producing cassava clean planting materials to PDAFF staff and Commune Agricultural Officers. 
វគ្គបណ្តុះបណ្តាលគ្រូបង្គោលស្តីពី ការផលិតដើមពូជដំឡូងមីគ្មានជម្ងឺដល់មន្រ្តីមន្ទីរកសិកម្ម និងមន្រ្តីកសិកម្មឃុំ  </t>
  </si>
  <si>
    <t>2.2.1.44</t>
  </si>
  <si>
    <t xml:space="preserve">Rice Seed Production of BS Seed Production of PMD, PRD, CAR16 and Champei Sar 70 ផលិតកម្មគ្រាប់ពូជជម្រើសវិទូ (1 Seasons/time)
</t>
  </si>
  <si>
    <t>Technical training on rice seed production for farmers
វគ្គបណ្តុះបណ្តាលបច្ចេកទេសផលិតពូជស្រូវសម្រាប់កសិករ</t>
  </si>
  <si>
    <t>2.2.3.19</t>
  </si>
  <si>
    <t>2.2.3.20</t>
  </si>
  <si>
    <t>Training of trainers on Integrated Insect Pest Management on rice for PDAFF staff and Commune Agricultural Officers វគ្គបណ្តុះបណ្តាលគ្រូបង្គោលស្តីពី វិធានការចម្រុះគ្រប់គ្រងសត្វល្អិតចង្រៃលើដំណាំស្រូវ</t>
  </si>
  <si>
    <t>Training of trainers on rice seed production technology for PDAFF staff and Commune Agricultural Officers វគ្គបណ្តុះបណ្តាលគ្រូបង្គោលស្តីពី បច្ចេកទេសផលិតពូជស្រូវ ដល់មន្រ្តី PDAFF និងមន្ត្រីកសិកម្មឃុំ</t>
  </si>
  <si>
    <t>Training of farmers on clean seed cassava production using rapid multiplication method
វគ្គបណ្តុះបណ្តាលកសិករស្តីពី ផលិតកម្មពូជដំឡូងមីដែលគ្មានជំងឺ​ ដោយប្រើប្រាស់វិធីសាស្រ្តពង្រីករហ័ស</t>
  </si>
  <si>
    <t>Training of trainers on best management practice (BMP) of rice, cassava, and maize production for PDAFF staff and Commune Agricultural Officers វគ្គបណ្តុះបណ្តាលបង្គោល
ស្តីពី ការអនុវត្តការគ្រប់គ្រង​ល្អ (លើដំណាំស្រូវ ដំណាំដំឡូងមី និងដំណាំពោត) ដល់មន្រ្តី PDAFF និង
មន្ត្រីកសិកម្មឃុំ</t>
  </si>
  <si>
    <t xml:space="preserve">Training of farmers on best management practice (BMP) of rice, cassava, and maize production វគ្គបណ្តុះបណ្តាលកសិករ
ស្តីពី ការអនុវត្តការគ្រប់គ្រង​ល្អ (លើដំណាំស្រូវ ដំណាំដំឡូងមី និងដំណាំពោត) </t>
  </si>
  <si>
    <t>2.1.1.21</t>
  </si>
  <si>
    <t>Training of farmers on Agricultural Extension Method 
វគ្គបណ្តុះបណ្តាលកសិករស្តីពី វិធីសាស្ត្រផ្សព្វផ្សាយកសិកម្ម</t>
  </si>
  <si>
    <t>Training of farners on Introduction to farm management
វគ្គបណ្តុះបណ្តាលកសិករស្តីពី សេចក្តីផ្តើមអំពីការគ្រប់គ្រងកសិដ្ឋាន</t>
  </si>
  <si>
    <t>Training of​ farmers on Rice Fish Integration Technique
វគ្គបណ្តុះបណ្តាលកសិករស្តីពី ប្រព័ន្ធដំណាំស្រូវចម្រុះជាមួយត្រី</t>
  </si>
  <si>
    <t>Training of farmers on Maize Growing adapt to Climate Change
វគ្គបណ្តុះបណ្តាលដល់កសិករ ស្តីពីការដាំដុះដំណាំពោតធន់នឹងការប្រែប្រួលអាកាសធាតុ</t>
  </si>
  <si>
    <t>Training of trainers on Agricultural Extension Method to Commune Agricultural Officer
វគ្គបណ្តុះបណ្តាលគ្រូបង្គោលដល់ មន្រ្តីកសិកម្មឃុំ ស្តីពី វិធីសាស្ត្រផ្សព្វផ្សាយកសិកម្ម</t>
  </si>
  <si>
    <t>Training of trainers on Introduction to farm management to Commune Agricultural Officer
វគ្គបណ្តុះបណ្តាលគ្រូបង្គោលដល់មន្រ្តីកសិកម្មឃុំ ស្តីពី សេចក្តីផ្តើមអំពីការគ្រប់គ្រងកសិដ្ឋាន</t>
  </si>
  <si>
    <t>Training of trainers on Rice Fish Integration Technique to Commune Agricultural Officer
វគ្គបណ្តុះបណ្តាលគ្រូបង្គោលដល់មន្រ្តីកសិកម្មឃុំ ស្តីពី ប្រព័ន្ធដំណាំស្រូវចម្រុះជាមួយត្រី</t>
  </si>
  <si>
    <t>Training of trainers on business farm management to Commune Agricultural Officer
វគ្គបណ្តុះបណ្តាលគ្រូបង្គោលដល់មន្រ្តីកសិកម្មឃុំស្តីពី សេចក្តីផ្តើមអំពីការគ្រប់គ្រងធុរកិច្ចកសិដ្ឋាន</t>
  </si>
  <si>
    <t>Training of trainer on Mango Growing Technique adapt to Climate Change to Commune Agricultural Officers
វគ្គបណ្តុះបណ្តាលគ្រូបង្គោលដល់មន្រ្តីកសិកម្មឃុំស្តីពី ការដាំដំណាំស្វាយ ឆ្លើយតបនឹងការបម្រែបម្រួលអាកាសធាតុ</t>
  </si>
  <si>
    <t>Training of trainers on Maize Growing adapt to Climate Change to Commune Agricultural Officers
វគ្គបណ្តុះបណ្តាលគ្រូបង្គោលដល់មន្រ្តីកសិកម្មឃុំស្តីពី ការដាំដុះដំណាំពោតធន់នឹងការប្រែប្រួលអាកាសធាតុ</t>
  </si>
  <si>
    <t>Training of trainers on Cassava Seed Selection adapt to Climate Change
វគ្គបណ្តុះបណ្តាលគ្រូបង្គោលដល់មន្រ្តីកសិកម្មឃុំស្តីពី ការជ្រើសពូជដំឡូងមីធន់នឹងការប្រែប្រួលអាកាសធាតុ</t>
  </si>
  <si>
    <t>Training of trainers on Cassava Seed Selection adapt to Climate Change
វគ្គបណ្តុះបណ្តាលដល់កសិករស្តីពី ការជ្រើសពូជដំឡូងមីធន់នឹងការប្រែប្រួលអាកាសធាតុ</t>
  </si>
  <si>
    <t>Training of farmers on Mango Growing Technique adapt to Climate Change
វគ្គបណ្តុះបណ្តាលដល់កសិករស្តីពី ការដាំដុំដំណាំស្វាយ ឆ្លើយតមនឹងការបម្រែបម្រួលអាកាសធាតុ</t>
  </si>
  <si>
    <t>Training of farmers on business farm management
វគ្គបណ្តុះបណ្តាលកសិករស្តីពី សេចក្តីផ្តើមអំពីការគ្រប់គ្រងធុរកិច្ចកសិដ្ឋាន</t>
  </si>
  <si>
    <t>2.2.2.6</t>
  </si>
  <si>
    <t>2.2.2.7</t>
  </si>
  <si>
    <t>2.2.2.8</t>
  </si>
  <si>
    <t>2.2.2.9</t>
  </si>
  <si>
    <t>2.2.2.10</t>
  </si>
  <si>
    <t>2.2.2.11</t>
  </si>
  <si>
    <t xml:space="preserve"> TRAINING BUILDINGS FOR PADCS /A (1 in 2023) / តារាង ១១.១.៣ អាគារបណ្តុះបណ្តាលសំរាប់មជ្ឈមណ្ឌលអភិវឌ្ឍន៍ផ្នែកកសិកម្មថ្នាក់ខេត្ត (១ អាគារសំរាប់កំពត ឆ្នាំ២០២៤)</t>
  </si>
  <si>
    <t xml:space="preserve"> MECHANISATION WORKSHOPS FOR PROVINCES
(តារាង ១២.១.៣ រោងជាងវិស្វកម្មកសិកម្មសំរាប់ខេត្ត, ១ អាគារសំរាប់ខេត្តតាកែវ ឆ្នាំ ២០២៤)</t>
  </si>
  <si>
    <t>Other Iterms​ of training equipments លក្ខខណ្ឌផ្សេងៗនៃឧបករណ៍សម្រាប់បណ្តុះបណ្តាល</t>
  </si>
  <si>
    <t>Unit/បរិក្ខា</t>
  </si>
  <si>
    <t>Major Equipment for Mechanization Workshop Kampot, Kampong cham, Tboung Khmum and Takeo (បរិក្ខាសំខាន់ផ្សេងៗសំរាប់រោងជាងទាំង៤​ខេត្ត)</t>
  </si>
  <si>
    <t>Selection  and Procument  of Commercially  off the shelf or other  ICT systems, CSA Services  or equipment ជ្រើសរើសឩបករណ៍សម្ភារៈប្រព័ន្ធបច្ចេកវិទ្យាគមនាគមន៍និងព័ត៌មាន សេវាកម្មកសិកម្មឆ្លាតវៃធន់និងអាកាសធាតុ ប្ញុឩបករណ៍ផ្សេងទៀតដើម្បីធ្វើលទ្ធកម្ម</t>
  </si>
  <si>
    <r>
      <t xml:space="preserve">Training, Knowledge  and capacity   development  workshops
</t>
    </r>
    <r>
      <rPr>
        <sz val="11"/>
        <rFont val="Khmer OS Content"/>
      </rPr>
      <t>សៀវភៅណែនាំវគ្គបណ្តុះបណ្តាល និងការបង្កើតមាតិការ</t>
    </r>
  </si>
  <si>
    <t>3.3.5.1</t>
  </si>
  <si>
    <r>
      <t xml:space="preserve">Subtotal G7 </t>
    </r>
    <r>
      <rPr>
        <b/>
        <sz val="11"/>
        <rFont val="Khmer OS Content"/>
      </rPr>
      <t>(សរុបតាមផ្នែក)</t>
    </r>
  </si>
  <si>
    <t>3.3.3.1</t>
  </si>
  <si>
    <t>3.3.4.1</t>
  </si>
  <si>
    <t>3.3.4.2</t>
  </si>
  <si>
    <r>
      <t>Annual Budget 2024</t>
    </r>
    <r>
      <rPr>
        <b/>
        <sz val="10"/>
        <color rgb="FFFF0000"/>
        <rFont val="Arial"/>
        <family val="2"/>
      </rPr>
      <t xml:space="preserve"> ('000USD) </t>
    </r>
  </si>
  <si>
    <t>ADB-Loan</t>
  </si>
  <si>
    <t>GCF-Loan</t>
  </si>
  <si>
    <r>
      <t xml:space="preserve">TAKOUCH IRRIGATION SUBPROJECT </t>
    </r>
    <r>
      <rPr>
        <sz val="10"/>
        <color rgb="FFFF0000"/>
        <rFont val="Arial"/>
        <family val="2"/>
      </rPr>
      <t>(Defect Live Liability)</t>
    </r>
  </si>
  <si>
    <r>
      <t>PRAWOEK PONG IRRIGATION SUBPROJECT</t>
    </r>
    <r>
      <rPr>
        <sz val="10"/>
        <color rgb="FFFF0000"/>
        <rFont val="Arial"/>
        <family val="2"/>
      </rPr>
      <t xml:space="preserve"> (Carry from 2023)</t>
    </r>
  </si>
  <si>
    <r>
      <t xml:space="preserve">KANDAL IRRIGATION SYSTEM </t>
    </r>
    <r>
      <rPr>
        <sz val="10"/>
        <color rgb="FFFF0000"/>
        <rFont val="Arial"/>
        <family val="2"/>
      </rPr>
      <t>(Carry from 2023)</t>
    </r>
  </si>
  <si>
    <r>
      <t>TRAPEANG BOEUNG RESERVOIR</t>
    </r>
    <r>
      <rPr>
        <sz val="10"/>
        <color rgb="FFFF0000"/>
        <rFont val="Arial"/>
        <family val="2"/>
      </rPr>
      <t xml:space="preserve"> (Carry from 2023)</t>
    </r>
  </si>
  <si>
    <r>
      <t>CHROUK1 &amp; PLOV TOUK CANAL</t>
    </r>
    <r>
      <rPr>
        <sz val="10"/>
        <color rgb="FFFF0000"/>
        <rFont val="Arial"/>
        <family val="2"/>
      </rPr>
      <t xml:space="preserve"> (Carry from 2023)</t>
    </r>
  </si>
  <si>
    <r>
      <t>KWAENG TAYI CANAL</t>
    </r>
    <r>
      <rPr>
        <sz val="10"/>
        <color rgb="FFFF0000"/>
        <rFont val="Arial"/>
        <family val="2"/>
      </rPr>
      <t xml:space="preserve"> (Carry from 2023)</t>
    </r>
  </si>
  <si>
    <r>
      <t>PREY RUMDENG CANAL</t>
    </r>
    <r>
      <rPr>
        <sz val="10"/>
        <color rgb="FFFF0000"/>
        <rFont val="Arial"/>
        <family val="2"/>
      </rPr>
      <t xml:space="preserve"> (Carry from 2023)</t>
    </r>
  </si>
  <si>
    <r>
      <t xml:space="preserve">PRALAY 95 IRRIGATION SUBPROJECT </t>
    </r>
    <r>
      <rPr>
        <sz val="10"/>
        <color rgb="FFFF0000"/>
        <rFont val="Arial"/>
        <family val="2"/>
      </rPr>
      <t>(carry from 2023)</t>
    </r>
  </si>
  <si>
    <t>PRALAY 42 IRRIGATION SUBPROJECT (carry fom 2023)</t>
  </si>
  <si>
    <r>
      <t xml:space="preserve">KBAL TOEUK IRRIGATION SUBPROJECT </t>
    </r>
    <r>
      <rPr>
        <sz val="10"/>
        <color theme="6" tint="-0.249977111117893"/>
        <rFont val="Arial"/>
        <family val="2"/>
      </rPr>
      <t>(Defect Live Liability)</t>
    </r>
  </si>
  <si>
    <r>
      <t xml:space="preserve">TOUL PRING IRRIGATION SUBPROJECT </t>
    </r>
    <r>
      <rPr>
        <sz val="10"/>
        <color rgb="FFFF0000"/>
        <rFont val="Arial"/>
        <family val="2"/>
      </rPr>
      <t xml:space="preserve"> </t>
    </r>
    <r>
      <rPr>
        <sz val="10"/>
        <color theme="6" tint="-0.249977111117893"/>
        <rFont val="Arial"/>
        <family val="2"/>
      </rPr>
      <t>(Defect Live Liability)</t>
    </r>
  </si>
  <si>
    <r>
      <t xml:space="preserve">TRAPEANG TROSS IRRIGATION SUBPROJECT </t>
    </r>
    <r>
      <rPr>
        <sz val="10"/>
        <color rgb="FFFF0000"/>
        <rFont val="Arial"/>
        <family val="2"/>
      </rPr>
      <t xml:space="preserve"> </t>
    </r>
    <r>
      <rPr>
        <sz val="10"/>
        <color theme="6" tint="-0.249977111117893"/>
        <rFont val="Arial"/>
        <family val="2"/>
      </rPr>
      <t>(Defect Live Liability)</t>
    </r>
  </si>
  <si>
    <r>
      <t xml:space="preserve">TBONG DAMREI RESERVOIR </t>
    </r>
    <r>
      <rPr>
        <sz val="10"/>
        <color rgb="FFFF0000"/>
        <rFont val="Arial"/>
        <family val="2"/>
      </rPr>
      <t>(Carry from 2023)</t>
    </r>
  </si>
  <si>
    <r>
      <t>KAMPONG RAING FEEDING CANAL</t>
    </r>
    <r>
      <rPr>
        <sz val="10"/>
        <color rgb="FFFF0000"/>
        <rFont val="Arial"/>
        <family val="2"/>
      </rPr>
      <t xml:space="preserve"> (Carry from 2023)</t>
    </r>
  </si>
  <si>
    <r>
      <t>PRAM KOMPHEAK IRRIGATION SUBPROJECT</t>
    </r>
    <r>
      <rPr>
        <sz val="10"/>
        <color rgb="FFFF0000"/>
        <rFont val="Arial"/>
        <family val="2"/>
      </rPr>
      <t xml:space="preserve"> </t>
    </r>
    <r>
      <rPr>
        <sz val="10"/>
        <color theme="6" tint="-0.249977111117893"/>
        <rFont val="Arial"/>
        <family val="2"/>
      </rPr>
      <t>(Defect Live Liability)</t>
    </r>
  </si>
  <si>
    <r>
      <t xml:space="preserve">O'KAMPROK IRRIGATION SUBPROJECT </t>
    </r>
    <r>
      <rPr>
        <sz val="10"/>
        <color theme="6" tint="-0.249977111117893"/>
        <rFont val="Arial"/>
        <family val="2"/>
      </rPr>
      <t>(Defect Live Liability)</t>
    </r>
  </si>
  <si>
    <r>
      <t xml:space="preserve">POTATRES RESERVOIR </t>
    </r>
    <r>
      <rPr>
        <sz val="10"/>
        <color rgb="FFFF0000"/>
        <rFont val="Arial"/>
        <family val="2"/>
      </rPr>
      <t>(Carry from 2023)</t>
    </r>
  </si>
  <si>
    <r>
      <t xml:space="preserve">TEUK CHAR EAST IRRIGATION SYSTEM </t>
    </r>
    <r>
      <rPr>
        <sz val="10"/>
        <color rgb="FFFF0000"/>
        <rFont val="Arial"/>
        <family val="2"/>
      </rPr>
      <t>(carried from 2023)</t>
    </r>
  </si>
  <si>
    <r>
      <t>Kampong Cham 66 On-farm rainwater harvesting ponds</t>
    </r>
    <r>
      <rPr>
        <sz val="10"/>
        <color rgb="FFFF0000"/>
        <rFont val="Arial"/>
        <family val="2"/>
      </rPr>
      <t xml:space="preserve"> (Carry from 2023)</t>
    </r>
  </si>
  <si>
    <r>
      <t>Tbng Khmum 63 On-farm rainwater harvesting ponds</t>
    </r>
    <r>
      <rPr>
        <sz val="10"/>
        <color rgb="FFFF0000"/>
        <rFont val="Arial"/>
        <family val="2"/>
      </rPr>
      <t xml:space="preserve"> (Carry from 2023)</t>
    </r>
  </si>
  <si>
    <r>
      <t xml:space="preserve">Kampot 80 On-farm rainwater harvesting ponds </t>
    </r>
    <r>
      <rPr>
        <sz val="10"/>
        <color rgb="FFFF0000"/>
        <rFont val="Arial"/>
        <family val="2"/>
      </rPr>
      <t>(constract signed)</t>
    </r>
  </si>
  <si>
    <r>
      <t>Takeo 69 On-farm rainwater harvesting ponds</t>
    </r>
    <r>
      <rPr>
        <sz val="10"/>
        <color rgb="FFFF0000"/>
        <rFont val="Arial"/>
        <family val="2"/>
      </rPr>
      <t xml:space="preserve"> (Carry from 2023)</t>
    </r>
  </si>
  <si>
    <t>Step8: FWUC Approval and Registration and translate FWUC documents</t>
  </si>
  <si>
    <t>5 FWUC Capacity Building (5 Fwuc carry from 2023)</t>
  </si>
  <si>
    <t>ប្រាក់ខែ</t>
  </si>
  <si>
    <t xml:space="preserve">Annual Budget 2024 ('000 USD) </t>
  </si>
  <si>
    <t>Contract Amount
(USD)</t>
  </si>
  <si>
    <t>Variation Order
(USD)</t>
  </si>
  <si>
    <t>Batch 1</t>
  </si>
  <si>
    <t>Sub-total Batch 1</t>
  </si>
  <si>
    <t>Batch 2</t>
  </si>
  <si>
    <t>Batch 3</t>
  </si>
  <si>
    <t>c- CW17c-CFAVC-MRD-TBK-1A-Batch 3</t>
  </si>
  <si>
    <t>d- CW17d-CFAVC-MRD-KC-1A-Batch 3</t>
  </si>
  <si>
    <t>-Vehicle Operating Costs  (PIU) (3 vehicles X $450*12 Months)</t>
  </si>
  <si>
    <t>-Vehicle Operating Costs  (PDRD) (4 vehicles X $150*12 Months)</t>
  </si>
  <si>
    <t>- Per-diem &amp; DSA for 4 PDRDs ( 2 persons for 5 days/month/person for each province =[(4*34+1*14)*2</t>
  </si>
  <si>
    <t>- Per diem &amp; DSA 3 drivers for PIU for 10 days ((8*34+2*14))*3</t>
  </si>
  <si>
    <t>- Per diem &amp; DSA 4 drivers for PDRDs for 5 days ((4*34+1*14))*4</t>
  </si>
  <si>
    <t>*** Concrete pavement will be applied where the road section within the residential area or local market places as need.</t>
  </si>
  <si>
    <t xml:space="preserve">*** The conditions of the existing road have become increasingly unpredictable and vulnerable due to the significant impact of climate change, with heavy rainfall occurring almost daily. </t>
  </si>
  <si>
    <t>Civil Work</t>
  </si>
  <si>
    <t>Project management Unit</t>
  </si>
  <si>
    <t>Dissemination workshop on Cam Standard for rice  
(សិក្ខាសាលាផ្សព្វផ្សាយស្តីពី ការប្រើប្រាស់ស្តង់ដារអង្ករកម្ពុជា)</t>
  </si>
  <si>
    <t>2.2.1.45</t>
  </si>
  <si>
    <t>Technical group meeting to develop the technical maual on Climate Smart of Agriculture for Rice, Maize , Cassava (ប្រជុំក្រុមការងារ បច្ចេកទេសរៀបចំគោលការណ៍ណែនាំបច្ចេកទេសកសិកម្មវៃឆ្លាតលើដំណាំស្រូវ ពោត និងដំឡូងមី)</t>
  </si>
  <si>
    <t>Develop the technical manual of Climate Smart of Agriculture​ on Rice (ការរៀបចំគោលការណ៍ណែនាំបច្ចេកទេសស្តីពីកសិកម្មវៃឆ្លាតលើដំណាំស្រូវ</t>
  </si>
  <si>
    <t>Develop the technical manual of Climate Smart of Agriculture​ on Cassava (ការរៀបចំគោលការណ៍ណែនាំស្តីពីកសិកម្មវៃឆ្លាត លើផលិតកម្មដំណាំដំឡូងមី )</t>
  </si>
  <si>
    <t>Develop the technical manual of Climate Smart of Agriculture​ on Maize (ការរៀបចំគោលការណ៍ណែនាំស្តីពីកសិកម្មវៃឆ្លាត លើផលិតកម្មដំណាំពោត )</t>
  </si>
  <si>
    <r>
      <t xml:space="preserve">Technical Manual Development of Climate Smart of Agriculture (CSA) on Rice, Maize , Cassava and Sustainable Rice Platform globle manual </t>
    </r>
    <r>
      <rPr>
        <b/>
        <sz val="11"/>
        <color theme="1"/>
        <rFont val="Khmer OS Content"/>
      </rPr>
      <t>(</t>
    </r>
    <r>
      <rPr>
        <b/>
        <sz val="11"/>
        <color theme="1"/>
        <rFont val="Khmer OS Battambang"/>
      </rPr>
      <t>រៀបចំ</t>
    </r>
    <r>
      <rPr>
        <b/>
        <sz val="11"/>
        <color theme="1"/>
        <rFont val="Khmer OS Content"/>
      </rPr>
      <t>គោលការណ៍ណែនាំបច្ចេកទេសកសិកម្មវៃឆ្លាត លើដំណាំស្រូវ ពោត និងដំឡូងមី) និង (គោលការណ៍ស្តង់ដារផលិតកម្មស្រូវប្រកបដោយនិរន្តរភាព)</t>
    </r>
  </si>
  <si>
    <t>Activty 3.1: Formulating Climate-Friendly Agri-business Policy and Standards
ការបង្កើតគោលនយោបាយ និងស្តង់ដា កសិធុរៈកិច្ចប្រកបដោយភាតរៈបរិស្ថាន</t>
  </si>
  <si>
    <t>3.1.1.7</t>
  </si>
  <si>
    <t>3.1.1.8</t>
  </si>
  <si>
    <t>3.1.1.9</t>
  </si>
  <si>
    <t>3.1.1.10</t>
  </si>
  <si>
    <t>3.1.1.11</t>
  </si>
  <si>
    <t>3.1.1.12</t>
  </si>
  <si>
    <t>Visit
ទស្សកិច្ចសិក្សា</t>
  </si>
  <si>
    <t>Awareness Raising on Green Financing and Risk Sharing Mechanism 
ការផ្សព្វផ្សាយលើកកម្ពស់ការយល់ដឹងលើការផ្តល់ហិរញ្ញប្បទានបៃតង និងយន្តការចែករំលែកហានិភ័យ</t>
  </si>
  <si>
    <t>Workshop on Awareness Raising on Climate Risk and Crop insurance 
សិក្ខាសាលាស្តីពី​ ការផ្សព្វផ្សាយីហានិភ័យអាកាសធាតុ និង​ការធានារ៉ាប់រងដំណាំ</t>
  </si>
  <si>
    <t>Printing training​ flip-chart on the Cliamte Change and access to green financing for ACs and Agribusiness (បោះពុម្ពផ្ទាំងបណ្តុះបណ្តាល អំពីការប្រែប្រួលអាកាសធាតុ និងការទទួលបានហិរញ្ញប្បទានបៃតងសម្រាប់សហគមន៍កសិកម្ម និងកសិធុរកិច្ច)</t>
  </si>
  <si>
    <r>
      <t>Training on green financing for commercial banks and microfinance institutions in targeted​ provinces (វគ្គ</t>
    </r>
    <r>
      <rPr>
        <sz val="11"/>
        <rFont val="Khmer OS Battambang"/>
      </rPr>
      <t>បណ្តុះបណ្តាលស្តីពីហិរញ្ញប្បទានបៃតង ដល់ធនាគារពាណិជ្ជ និងស្ថាប័នមីក្រូហិរញ្ញវត្ថុនៅក្នុងខេត្តគោលដៅ)</t>
    </r>
  </si>
  <si>
    <r>
      <t xml:space="preserve">Conduct field visits with banks and agribusiness to review potential green financing projects </t>
    </r>
    <r>
      <rPr>
        <sz val="11"/>
        <rFont val="Khmer OS Battambang"/>
      </rPr>
      <t>(រៀបចំទស្សនកិច្ចនៅទីវាលជាមួយធនាគារ និងកសិធុរកិច្ច ដើម្បីពិនិត្យមើលគម្រោងហិរញ្ញប្បទានបៃតងដែលមានសក្តានុពល)</t>
    </r>
  </si>
  <si>
    <r>
      <t>Training on Understanding the Green Financing and CSA to Agribussiness and Agricutural Cooperative (</t>
    </r>
    <r>
      <rPr>
        <sz val="11"/>
        <rFont val="Khmer OS Battambang"/>
      </rPr>
      <t>វគ្គបណ្តុះបណ្តាលការស្វែងយល់ពីហិរញ្ញប្បទានបៃតង និងកសិកម្មមានភាពឆ្លាតវៃដល់កសិធុរកិច្ច និងសហគមន៍កសិកម្ម)</t>
    </r>
  </si>
  <si>
    <r>
      <t xml:space="preserve">Training on cause and impact of climate change to PDAFF, Bank and MFI
</t>
    </r>
    <r>
      <rPr>
        <sz val="11"/>
        <rFont val="Khmer OS Battambang"/>
      </rPr>
      <t>វគ្គបណ្តុះបណ្តាលស្តីពី មូលហេតុ និងឥទ្ធិពនៃការប្រែប្រួលអាកាសធាតុដល់មន្រ្តីអនុត្តគម្រោងខេត្ត, ធនាគារ និងមីក្រូហិរញ្ញវត្ថុ</t>
    </r>
  </si>
  <si>
    <r>
      <t xml:space="preserve">Provide training on Climate Change and Green Financing to provincial bank/MFI, PDAFF and Agriculture Community
</t>
    </r>
    <r>
      <rPr>
        <sz val="11"/>
        <rFont val="Khmer OS Battambang"/>
      </rPr>
      <t>វគ្គបណ្តុះបណ្តាលថ្នាក់ជាតិស្តីពីការប្រែប្រួលអាកាសធាតុ និងហិរញ្ញប្បទានបៃតងដល់ធនាគារខេត្ត/គ្រឹះស្ថានមីក្រូហិរញ្ញវត្ថុ និងសហគមន៍កសិកម្ម</t>
    </r>
  </si>
  <si>
    <r>
      <t>National Workshop on Methods of Obtaining the Green Financing for Agri-busisiness and Agricultural Communities (</t>
    </r>
    <r>
      <rPr>
        <sz val="11"/>
        <rFont val="Khmer OS Battambang"/>
      </rPr>
      <t>សិក្ខាសាលាថ្នាក់ជាតិស្តីពី វិធីសាស្ត្រនៃការទទួលបានហិរញ្ញប្បទានបៃតង សម្រាប់កសិធុរកិច្ច និងសហគមន៍កសិកម្ម)</t>
    </r>
  </si>
  <si>
    <r>
      <t xml:space="preserve">Training on Sustainable Green Financing for PDAFF satff and Agri-business 
</t>
    </r>
    <r>
      <rPr>
        <sz val="11"/>
        <rFont val="Khmer OS Battambang"/>
      </rPr>
      <t>ការបណ្តុះបណ្តាលស្តីពីការផ្តល់ហិរញ្ញប្បទានបៃតងប្រកបដោយនិរន្តរភាពដល់មន្រ្តីអនុត្តគម្រោងខេត្ត និង
កសិធុរកិច្ច</t>
    </r>
  </si>
  <si>
    <r>
      <t xml:space="preserve">Dissemination meeting on Climate Change and Climate Smart Agriculture for AC, Agribusiness  
</t>
    </r>
    <r>
      <rPr>
        <sz val="11"/>
        <rFont val="Khmer OS Content"/>
      </rPr>
      <t>កិច្ចប្រជុំផ្សព្វផ្សាយស្តីពីការប្រែប្រួលអាកាសធាតុ និងកសិកម្មឆ្លាតវៃ សម្រាប់សហគមន៍កសិកម្ម និង កសិធុរកិច្ច</t>
    </r>
  </si>
  <si>
    <r>
      <t>Dissemination Workshop on AWPB 2024</t>
    </r>
    <r>
      <rPr>
        <sz val="11"/>
        <color rgb="FF000099"/>
        <rFont val="Khmer OS Content"/>
      </rPr>
      <t xml:space="preserve"> 
(សិក្ខាសាលាផ្សព្វផ្សាយស្តីពី ផែនការសកម្មភាព និងថវិកាឆ្នាំ២០២៤ )</t>
    </r>
  </si>
  <si>
    <r>
      <t>Training on AWPB 2024 budget breakdown 
(</t>
    </r>
    <r>
      <rPr>
        <sz val="11"/>
        <color rgb="FF000099"/>
        <rFont val="Khmer OS Content"/>
      </rPr>
      <t xml:space="preserve">វគ្គបណ្តុះបណ្តាលស្តីពី ការបំបែកថវិកាលំអិតលើផែនការសកម្មភាព និងថវិកាឆ្នាំ២០២៤)    </t>
    </r>
  </si>
  <si>
    <t xml:space="preserve">Consultation meeting on AWPB 2025 preparation 
(កិច្ចប្រជុំពិគ្រោះយោបល់ស្តីពី ផែនការសកម្មភាព និងថវិកាឆ្នាំ២០២៥) </t>
  </si>
  <si>
    <r>
      <t>Crop insurance guidance for enabling the environment of a climate-risk sharing mechanism (</t>
    </r>
    <r>
      <rPr>
        <b/>
        <sz val="11"/>
        <rFont val="Khmer OS Battambang"/>
      </rPr>
      <t>រៀបចំគោលការណែនាំអំពីការធានារ៉ាប់រងដំណាំ ធ្វើឱ្យបរិយាកាស នៃយន្តការចែករំលែកហានិភ័យអាកាសធាតុ)</t>
    </r>
  </si>
  <si>
    <t>Climate-smart and gender-responsive Agribusiness policy for target commodities, including a PPP framework focusing on agribusinesses formulated (គោលនយោបាយកសិកម្មឆ្លាតវៃ និងឆ្លើយតបតាមយេនឌ័រ សម្រាប់គោលដៅមុខដំណាំ រួមទាំងក្របខ័ណ្ឌ PPP ដែលផ្តោតលើអាជីវកម្មកសិផលដែលបានបង្កើត)</t>
  </si>
  <si>
    <t>3.2.2.1.1</t>
  </si>
  <si>
    <t>Technical group meeting to develop the PPP Framework Focusing on Agribusiness ប្រជុំក្រុមបច្ចេកទេសដើម្បីរៀបចំ ក្របខ័ណ្ឌភាពជាដៃគូរវាងស្ថាប័នសាធារណៈ និងវិស័យឯកជន</t>
  </si>
  <si>
    <t>3.2.2.1.2</t>
  </si>
  <si>
    <t xml:space="preserve"> Develop the PPP Framework Focusing on Agribusiness 
រៀបចំក្របខ័ណ្ឌភាពជាដៃគូរវាងស្ថាប័នសាធារណៈ និងវិស័យឯកជនដោយផ្តោតលើកសិធុរៈកិច្ច</t>
  </si>
  <si>
    <t>3.2.2.1.3</t>
  </si>
  <si>
    <t>Consultation workshop to review the PPP Framework Focusing on Agribusiness 
សិក្ខាសាលាពិគ្រោះយោបល់ស្តីពី ក្របខ័ណ្ឌភាពជាដៃគូរវាងស្ថាប័នសាធារណៈ និងវិស័យឯកជន ដោយផ្តោតលើកសិធុរៈកិច្ច</t>
  </si>
  <si>
    <t>Workshop សិក្ខាសាលា</t>
  </si>
  <si>
    <t>3.2.2.1.4</t>
  </si>
  <si>
    <t>Disseminationl workshop on the PPP Framework with IA-GDA, PPIUs, PMU, and Key stakeholders សិក្ខាសាលាផ្សព្វផ្សាយស្តីពីក្របខ័ណ្ឌ ភាពជាដៃគូរវាងវិស័យឯកជន និងស្ថាប័នសាធារណៈជាមួយ IA-GDA, PPIUs, PMU និងអ្នកពាក់ព័ន្ធសំខាន់ៗ</t>
  </si>
  <si>
    <t>3.2.2.1.5</t>
  </si>
  <si>
    <t>Translate of the PPP Framework Focusing on Agribusiness 
បកប្រែ ក្របខ័ណ្ឌភាពជាដៃគូរវាងស្ថាប័នសាធារណៈ និងវិស័យឯកជន ដោយផ្តោតលើកសិធុរៈកិច្ច</t>
  </si>
  <si>
    <t>3.2.2.1.6</t>
  </si>
  <si>
    <t>Publication of the PPP Framework Focusing on Agribusiness 
ការបោះពុម្ភ ក្របខ័ណ្ឌភាពជាដៃគូរវាងស្ថាប័នសាធារណៈ និងវិស័យឯកជន ដោយផ្តោតលើកសិធុរៈកិច្ច</t>
  </si>
  <si>
    <t>3.2.2.1.7</t>
  </si>
  <si>
    <t>3.2.2.1.8</t>
  </si>
  <si>
    <t>3.2.2.1.9</t>
  </si>
  <si>
    <t>3.2.2.1.10</t>
  </si>
  <si>
    <t>3.2.2.1.11</t>
  </si>
  <si>
    <t>3.2.2.1.12</t>
  </si>
  <si>
    <t>3.2.2.1.13</t>
  </si>
  <si>
    <t>3.2.2.1.14</t>
  </si>
  <si>
    <t>3.2.2.1.15</t>
  </si>
  <si>
    <t>3.2.2.1.16</t>
  </si>
  <si>
    <t>3.2.2.1.17</t>
  </si>
  <si>
    <t>3.2.2.1.18</t>
  </si>
  <si>
    <t>Organize National/Inter-provincials forum on agriculture inputs/supplier 
រៀបចំវេទិកាធុរកិច្ចថ្នាក់ជាតិ ឬពហុខេត្តស្តីអំពីធាតុចូលកសិកម្ម</t>
  </si>
  <si>
    <t>3.2.2.1.19</t>
  </si>
  <si>
    <t>Organize workshops to share successful experiences of agricultural communities to expand knowledge on agricultural production value chain management within an AC  
រៀបចំសិក្ខាសាលាចែករំលែកបទពិសោធន៍ជោគជ័យរបស់សហគមន៍កសិកម្ម ដើម្បីពង្រីកចំណេះដឹងលើការងារគ្រប់គ្រងខ្សែច្រវាក់តម្លៃផលិតកម្មកសិកម្ម</t>
  </si>
  <si>
    <t>3.2.2.1.20</t>
  </si>
  <si>
    <t>Documentary​ of the​ spot for successful story of lead AC​s on for crop commodities 
ផលិតឯកសារខ្លីៗ រអំពីដំណើររឿងជោគជ័យនៃហគមន៍កសិកម្មនាំមុខសម្រាប់មុខដំណាំនៅក្នុងគម្រោង</t>
  </si>
  <si>
    <t>Package 
កញ្ចប់</t>
  </si>
  <si>
    <t>Conduct assessment of 80 ACs supported by the​ warehouse using the criteria of relevance 
រៀបចំការវាយតម្លៃ ៨០សហគមន៍ ដែលគាំទ្រការសាងសង់ឃ្លាំងដោយប្រើលក្ខណៈវិនិច្ឆ័យដែលពាក់ព័ន្ធ</t>
  </si>
  <si>
    <t>Time
ដង</t>
  </si>
  <si>
    <t>AC Business directory making folders
ចងក្រងកម្រងព័ត៌មានទំនាក់ទំនងមុខជំនួញវិស័យឯកជន និងសហគមន៍កសិកម្ម</t>
  </si>
  <si>
    <t>Individual international consultants on cassava, and
to support further deployment of maize ទីប្រឹក្សាអន្តរជាតិ ស្តីពីដំឡូងមី និងគាំទ្រការបញ្ចេញពូជពោត</t>
  </si>
  <si>
    <r>
      <t>month/</t>
    </r>
    <r>
      <rPr>
        <sz val="11"/>
        <color rgb="FF000099"/>
        <rFont val="Khmer OS Content"/>
      </rPr>
      <t>ខែ</t>
    </r>
  </si>
  <si>
    <r>
      <t xml:space="preserve">GAP, CSA &amp; SRP Training Specialist
</t>
    </r>
    <r>
      <rPr>
        <sz val="11"/>
        <color rgb="FF000099"/>
        <rFont val="Khmer OS Content"/>
      </rPr>
      <t>អ្នកឯកទេសអន្តរជាតិផ្នែកវគ្គបណ្តុះបណ្តាលព្រឹត្តិការណ៍ស្រូវប្រកបដោយនិរន្តរភាព កសិកម្មវៃឆ្លាត ធននឹងអាកាស់ធាតុ និងការអនុវត្តកសិកម្មល្អ</t>
    </r>
  </si>
  <si>
    <r>
      <t xml:space="preserve">Cooperative Agribusiness Training Specialist /c
</t>
    </r>
    <r>
      <rPr>
        <sz val="11"/>
        <color rgb="FF000099"/>
        <rFont val="Khmer OS Content"/>
      </rPr>
      <t>អ្នកឯកទេសអន្តរជាតិផ្នែកវគ្គបណ្តុះបណ្តាលកសិធុរៈកិច្ចសហគមន៍កសិកម្ម</t>
    </r>
  </si>
  <si>
    <r>
      <t>GAP for Tropical Fruit Specialist</t>
    </r>
    <r>
      <rPr>
        <sz val="11"/>
        <color rgb="FF000099"/>
        <rFont val="Khmer OS Content"/>
      </rPr>
      <t xml:space="preserve">
អ្នកឯកទេសជាតិផ្នែកស្តង់ដារអនុវត្តកសិកម្មល្អសំរាប់ដំណាំឈើហូបផ្លែតំបន់ត្រូពិច</t>
    </r>
  </si>
  <si>
    <r>
      <t xml:space="preserve">National Policy &amp; Standards Advisor
</t>
    </r>
    <r>
      <rPr>
        <sz val="11"/>
        <color rgb="FF000099"/>
        <rFont val="Khmer OS Content"/>
      </rPr>
      <t>ទីប្រឹក្សាជាតិផ្នែកគោលនយោបាយ និងស្តង់ដារ</t>
    </r>
  </si>
  <si>
    <r>
      <t xml:space="preserve">International Green Financing Specialist 
</t>
    </r>
    <r>
      <rPr>
        <sz val="11"/>
        <color rgb="FF000099"/>
        <rFont val="Khmer OS Content"/>
      </rPr>
      <t>អ្នកជំនាញអន្តរជាតិ ផ្នែកហិរញ្ញប្បទានបៃតង</t>
    </r>
  </si>
  <si>
    <r>
      <t xml:space="preserve">National Green Financing Specialist 
</t>
    </r>
    <r>
      <rPr>
        <sz val="11"/>
        <color rgb="FF000099"/>
        <rFont val="Khmer OS Content"/>
      </rPr>
      <t>អ្នកជំនាញជាតិ ផ្នែកហិរញ្ញប្បទានបៃតង</t>
    </r>
  </si>
  <si>
    <r>
      <t xml:space="preserve">Policies &amp; Standards Advisor </t>
    </r>
    <r>
      <rPr>
        <sz val="11"/>
        <color rgb="FF000099"/>
        <rFont val="Khmer OS Content"/>
      </rPr>
      <t>(ទីប្រឹក្សាអន្តរជាតិផ្នែកគោលនយោបាយនិងស្តង់ដារ)</t>
    </r>
  </si>
  <si>
    <r>
      <t xml:space="preserve">Seed Commercialization &amp; Intellectual Property Specialist
</t>
    </r>
    <r>
      <rPr>
        <sz val="11"/>
        <color rgb="FF000099"/>
        <rFont val="Khmer OS Content"/>
      </rPr>
      <t>អ្នកឯកទេសអន្តរជាតិផ្នែកពាណិជ្ជកម្មពូជដំណាំ និងផ្តល់កម្មសិទ្ធបញ្ញា</t>
    </r>
  </si>
  <si>
    <r>
      <t>Agricultural Machinery O&amp;M Training Specialist</t>
    </r>
    <r>
      <rPr>
        <sz val="11"/>
        <color rgb="FF000099"/>
        <rFont val="Khmer OS Content"/>
      </rPr>
      <t xml:space="preserve">
អ្នកឯកទេសជាតិផ្នែកបណ្តុះបណ្តាលពីជំនាញប្រតិបត្តិ និងថែទាំគ្រឿងយន្តកសិកម្ម</t>
    </r>
  </si>
  <si>
    <r>
      <t>FWUC Training Specialist</t>
    </r>
    <r>
      <rPr>
        <sz val="11"/>
        <color rgb="FF000099"/>
        <rFont val="Khmer OS Content"/>
      </rPr>
      <t xml:space="preserve">
អ្នកឯកទេសជាតិផ្នែកវគ្គបណ្តុះបណ្តុះបណ្តាលសហគមន៍ប្រើប្រាស់ទឹក</t>
    </r>
  </si>
  <si>
    <r>
      <t xml:space="preserve">Photo-voltaic Specialist </t>
    </r>
    <r>
      <rPr>
        <sz val="11"/>
        <color rgb="FF000099"/>
        <rFont val="Khmer OS Content"/>
      </rPr>
      <t>(អ្នកឯកទេសអន្តរជាតិផ្នែកថាមពលពន្លឺ)</t>
    </r>
  </si>
  <si>
    <r>
      <t xml:space="preserve">Bio-slurry Specialist </t>
    </r>
    <r>
      <rPr>
        <sz val="11"/>
        <color rgb="FF000099"/>
        <rFont val="Khmer OS Content"/>
      </rPr>
      <t>(អ្នកឯកទេសអន្តរជាតិផ្នែកជីឡជីវឧស្ម័ន)</t>
    </r>
  </si>
  <si>
    <r>
      <t xml:space="preserve">Biodigester Standards Specialist </t>
    </r>
    <r>
      <rPr>
        <sz val="11"/>
        <color rgb="FF000099"/>
        <rFont val="Khmer OS Content"/>
      </rPr>
      <t>(អ្នកឯកទេសអន្តរជាតិផ្នែកស្តង់ដារទ្បជីវឧស្ម័ន)</t>
    </r>
  </si>
  <si>
    <t>Publication of technical standard for Farmer's Friend of biodigester  
ការបោះពុម្ភ បទដ្ឋានស្តង់ដារបច្ចេកទេសនៃឡជីវឧស្ម័នមិត្តកសិករ</t>
  </si>
  <si>
    <r>
      <t>Lot1: CW4a/CFAVC/MAFF/2023 Construction of Training Building for Provincial Agriculture Development Center (PADC) at Kampot (</t>
    </r>
    <r>
      <rPr>
        <sz val="11"/>
        <color rgb="FF002060"/>
        <rFont val="Khmer OS Battambang"/>
      </rPr>
      <t>សង់អាគារបណ្តុះបណ្តាលនៃមណ្ឌលអភិវឌ្ឍកសិកម្មខេត្តកំពត)</t>
    </r>
  </si>
  <si>
    <r>
      <t>Lot 2: CW7a/CFAVC/MAFF/2023 Construction of Mechanization Workshops (not including major &amp; minor equipment) &amp; Supervision, Takeo (</t>
    </r>
    <r>
      <rPr>
        <sz val="11"/>
        <color rgb="FF002060"/>
        <rFont val="Khmer OS Battambang"/>
      </rPr>
      <t>សង់រោងជាង (មិនបញ្ចូលឧបករណ៍ធុនធ្ងន់ និងស្រាល) និងការត្រួតពិនិត្យនៅខេត្តតាកែវ)</t>
    </r>
  </si>
  <si>
    <t>Tropical Fruit CamGAP Standards reviewing and development (ការពិនិត្យឡើងវិញ និងកែសម្រួលបទដ្ឋាននៃការអនុវត្តកសិកម្មល្អសម្រាប់ឈើហូបផ្លែ ប្រចាំកម្ពុជា)</t>
  </si>
  <si>
    <t>Develop the tropical Fruit CamGAP Standards reviewing 
រៀបចំបទដ្ឋាននៃការអនុវត្តកសិកម្មល្អសម្រាប់ឈើហូបផ្លែ ប្រចាំកម្ពុជា</t>
  </si>
  <si>
    <t xml:space="preserve">Total of Activity 2.1: Seed deployment </t>
  </si>
  <si>
    <r>
      <t xml:space="preserve">2. M&amp;E baseline survey </t>
    </r>
    <r>
      <rPr>
        <sz val="11"/>
        <rFont val="Khmer OS Content"/>
      </rPr>
      <t>(ត្រួតពិនិត្យនិងវាយតម្លៃលើការចុះសិក្សាផ្នែកស្ទុង់មតិមូលដ្ឋាន)</t>
    </r>
  </si>
  <si>
    <t>3. Database operator</t>
  </si>
  <si>
    <t>set</t>
  </si>
  <si>
    <t>Purchse Soil PH Meter 0.00~14.00pH (Digital)  75 units for the 4 provinces (ឧបករណ៍វាស់​PHដី ចំនួន៧៥ នៅ៤ខេត្ត)</t>
  </si>
  <si>
    <r>
      <t>Purchse grain moisture tester (Digital) 17 units for the 4 provinces (</t>
    </r>
    <r>
      <rPr>
        <sz val="11"/>
        <color rgb="FF003300"/>
        <rFont val="Khmer OS Battambang"/>
      </rPr>
      <t>ម៉ាស៊ីនវាស់សំណើមគ្រាប់ពូជស្រូវ សហគមន៍កសិកម្មចំនួន១៧​សម្រាប់៤ខេត្ត)</t>
    </r>
  </si>
  <si>
    <t>Purchase rice seed cleaning machine 17 units for the 4 provinces (ម៉ាស៊ីនសំអាតគ្រាប់ពូជស្រូវ សម្រាប់សហគមន៍កសិកម្មចំនួន១៧ នៅ៤ខេត្ត)</t>
  </si>
  <si>
    <t>Purchase bag sewing machine 75 Units for the 4 provinces (ម៉ាស៊ីនដេរមាត់បាវ សម្រាប់សហគមន៍កសិកម្មចំនួន៧៥ នៅ៤ខេត្ត)</t>
  </si>
  <si>
    <t>Purchase rice paddy milling 5 units for 5 ACs warehouse 50t 
ម៉ាស៊ីនកិនស្រូវសំរាប់ឃ្លាំងសហគមន៍កសិកម្មចំណុះ៥០តោនចំនួន៥</t>
  </si>
  <si>
    <r>
      <t>Construction of Rice Drying platform and infrastructure design, 13 for Takeo, Kampot and Tboung Khmum ​(</t>
    </r>
    <r>
      <rPr>
        <sz val="11"/>
        <color rgb="FF003300"/>
        <rFont val="Khmer OS Battambang"/>
      </rPr>
      <t>គូសប្លង់ និងលានហាលស្រូវសហគមន៍កសិកម្មចំនួន ១៣នៅ​ខេត្តតាកែវ កំពត និងខេត្តត្បូងឃ្មុំ)</t>
    </r>
  </si>
  <si>
    <t>National and Provincial Exposture Trips to share work experiences on Women Leadership, Management Experiences and Project Management of PMU, PPIUs, WFN and ACs. 
ទស្សនកិច្ចសិក្សា ដើម្បីចែករំលែកបទពីសោធន៍ អំពីស្រ្តីជាអ្នកដឹកានាំ បទពីសោធន៍លើការគ្រប់គ្រងទិន្នន៍យ និងកាការគ្រប់គ្រងគម្រោង របស់ថ្នាក់ជាតិ ថ្នាក់ខេត្ត បណ្តាញកសិករជាស្រ្តី និងគណៈកម្មការសហគមន៍កសិកម្ម។</t>
  </si>
  <si>
    <t>Exchange Visit
ទស្សនកិច្ចសិក្សា</t>
  </si>
  <si>
    <t>Training on Women Leadership, Project Management and Contractors' Performance, Code of conduct for GFPs at national level, PPIUs, Technical Staffs, WFN, AC Committees and Contractors
វគ្គបណ្តុះបណ្តាលថ្នាក់ជាតិ ស្តីពីភាពជាអ្នកដឹកនាំ ការគ្រប់គ្រងគម្រោង ការអនុវត្ត និងក្រមសិល្បធម៌របស់ក្រុមហ៊ុនម៉ៅការ សម្រាប់មន្រ្តីបង្គោលយេនឌ័រ ថ្នាក់ជាតិ អង្គភាពអនុវត្តគម្រោងខេត្ត មន្រ្តីបច្ចេកទេស បណ្តាញកសិករស្រ្តី គណកម្មការបស់ហគមន៍ និងក្រុមហ៊ុនម៉ៅការ។</t>
  </si>
  <si>
    <t>National Annual Gender Workshop and capacity building on Women Leadership and Project Management for GFPs PMU/PPIUs, Females FWUGs, WFN  and Acs
សិក្ខាសាលាយេនឌ័រថ្នាក់ជាតិ ប្រចាំឆ្នាំ និងការកសាងសមត្ថភាពអំពីស្រ្តីជាអ្នកដឹកនាំ សម្រាប់មន្រ្តីបង្គោលយេនឌ័រ មន្រ្តីអង្គភាពអនុវត្តគម្រោងខេត្ត សហគំន៍កសិករប្រើប្រាស់ទឹកជាស្រ្តី បណ្តាញកសិករស្រ្តី និងសហគមន៍កសិកម្ម។</t>
  </si>
  <si>
    <r>
      <t xml:space="preserve">Photo-voltaic Specialist </t>
    </r>
    <r>
      <rPr>
        <sz val="11"/>
        <color rgb="FF000099"/>
        <rFont val="Khmer OS Content"/>
      </rPr>
      <t>(អ្នកឯកទេសជាតិផ្នែកថាមពលពន្លឺ)</t>
    </r>
  </si>
  <si>
    <r>
      <t xml:space="preserve">Bio-fertilizer &amp; Organic Fertilizer Testing Specialist </t>
    </r>
    <r>
      <rPr>
        <sz val="11"/>
        <color rgb="FF000099"/>
        <rFont val="Khmer OS Content"/>
      </rPr>
      <t xml:space="preserve">
អ្នកឯកទេសជាតិផ្នែកពិសោធន៍ជីសរីរាង្គ និងជីជីវសាស្ត្រ</t>
    </r>
  </si>
  <si>
    <r>
      <t xml:space="preserve">Tissue Culture Development Specialist </t>
    </r>
    <r>
      <rPr>
        <sz val="11"/>
        <color rgb="FF000099"/>
        <rFont val="Khmer OS Content"/>
      </rPr>
      <t>(អ្នកឯកទេសជាតិផ្នែកអភិវឌ្ឍន៍ជាលិកាវប្បកម្ម)</t>
    </r>
  </si>
  <si>
    <r>
      <t xml:space="preserve">GMO &amp; Phyto-toxin Analysis Specialist 
</t>
    </r>
    <r>
      <rPr>
        <sz val="11"/>
        <color rgb="FF000099"/>
        <rFont val="Khmer OS Content"/>
      </rPr>
      <t>អ្នកឯកទេសជាតិវិភាគផ្នែកសារពាង្គកាយបម្លែងហ្សែននិងសារធាតុពុលពីរុក្ខជាតិ</t>
    </r>
  </si>
  <si>
    <r>
      <t xml:space="preserve">Laboratory Commercialization Specialist </t>
    </r>
    <r>
      <rPr>
        <sz val="11"/>
        <color rgb="FF000099"/>
        <rFont val="Khmer OS Content"/>
      </rPr>
      <t>(អ្នកឯកទេសផ្នែកពាណិជ្ជកម្មមន្ទីរពិសោធន៍)</t>
    </r>
  </si>
  <si>
    <r>
      <t xml:space="preserve">ISO 17025 Accreditation Compliance Specialist 
</t>
    </r>
    <r>
      <rPr>
        <sz val="11"/>
        <color rgb="FF000099"/>
        <rFont val="Khmer OS Content"/>
      </rPr>
      <t>អ្នកឯកទេសជាតិផ្នែកអនុលោមទទួលស្គាល់ស្តង់ដារ ISO 17025</t>
    </r>
  </si>
  <si>
    <r>
      <t>National Laboratory Coordinator​</t>
    </r>
    <r>
      <rPr>
        <sz val="11"/>
        <color rgb="FF000099"/>
        <rFont val="Khmer OS Content"/>
      </rPr>
      <t xml:space="preserve"> (អ្នកសម្របសម្រួលមន្ទីរពិសោធន៍ជាតិផ្នែកកសិកម្ម)</t>
    </r>
  </si>
  <si>
    <r>
      <t>Bio-slurry Specialist</t>
    </r>
    <r>
      <rPr>
        <sz val="11"/>
        <color rgb="FF000099"/>
        <rFont val="Khmer OS Content"/>
      </rPr>
      <t xml:space="preserve"> (អ្នកឯកទេសជាតិផ្នែកជីឡជីវឧស្ម័ន)</t>
    </r>
  </si>
  <si>
    <r>
      <t xml:space="preserve">Training &amp; Capacity Building Coordinator
</t>
    </r>
    <r>
      <rPr>
        <sz val="11"/>
        <color rgb="FF000099"/>
        <rFont val="Khmer OS Content"/>
      </rPr>
      <t>អ្នកសម្របសម្រួលជាតិផ្នែកកសាងសមត្ថភាពនិងវគ្គបណ្តុះបណ្តាល</t>
    </r>
  </si>
  <si>
    <r>
      <t xml:space="preserve">Farmer Demonstration Coordinator 
</t>
    </r>
    <r>
      <rPr>
        <sz val="11"/>
        <color rgb="FF000099"/>
        <rFont val="Khmer OS Content"/>
      </rPr>
      <t>អ្នកសម្របសម្រួលជាតិផ្នែកសាលាបង្ហាញកសិករ</t>
    </r>
  </si>
  <si>
    <r>
      <t xml:space="preserve">Public and Private Partnership Specialist 
</t>
    </r>
    <r>
      <rPr>
        <sz val="11"/>
        <color rgb="FF000099"/>
        <rFont val="Khmer OS Content"/>
      </rPr>
      <t>អ្នកឯកទេសជាតិផ្នែកភាពជាដៃគូរវិស័យឯកជន និងសាធារណៈ</t>
    </r>
  </si>
  <si>
    <t>GG3</t>
  </si>
  <si>
    <t>L2</t>
  </si>
  <si>
    <t>Cassava plant material collection (for propagtion/multiplication via plant tissue culture technique) ការចុះប្រមូលដើមដំឡូងមី​ (សម្រាប់​ការពង្រីកពូជតាមរយៈជាលិកាវប្បកម្ម)</t>
  </si>
  <si>
    <t xml:space="preserve">1.5.6  </t>
  </si>
  <si>
    <t>1.5.6.1</t>
  </si>
  <si>
    <t>1.5.6.2</t>
  </si>
  <si>
    <t>1.5.6.3</t>
  </si>
  <si>
    <t>1.5.6.4</t>
  </si>
  <si>
    <t>1.5.6.5</t>
  </si>
  <si>
    <t>1.5.6.6</t>
  </si>
  <si>
    <t>1.5.6.7</t>
  </si>
  <si>
    <t>1.5.6.8</t>
  </si>
  <si>
    <t>GG2</t>
  </si>
  <si>
    <t>L1C</t>
  </si>
  <si>
    <t>L3</t>
  </si>
  <si>
    <t>3.1.1.13</t>
  </si>
  <si>
    <t>Consultation workshop to review the technical standard of SRP (សិក្ខាសាលា​ពិគ្រោះ​យោបល់ជាមួយនឹងអ្នកពាក់ព័ន្ធ ដើម្បីត្រួតពិនិត្យស្តង់ដារបច្ចេកទេសផលិតកម្មស្រូវប្រកបដោយ)</t>
  </si>
  <si>
    <t>3.1.4.4</t>
  </si>
  <si>
    <t>3.1.4.5</t>
  </si>
  <si>
    <t>3.1.4.6</t>
  </si>
  <si>
    <t>3.1.4.7</t>
  </si>
  <si>
    <t>3.1.4.8</t>
  </si>
  <si>
    <t xml:space="preserve">Printing and design layout of SRP &amp;CSA technical training flip-chart for Famers Field Training រៀបចំ និងបោះពុម្ព ផ្ទាំងរូបភាពបច្ចេកទេសសម្រាប់សាលារៀនស្រែកសិករកសិកម្មវៃឆ្លាតធន់អាកាសធាតុ និងស្តង់ដារផលិតកម្មស្រូវនិរន្តរភាព </t>
  </si>
  <si>
    <t>GG1C</t>
  </si>
  <si>
    <t xml:space="preserve">Establish new 27 ACs at Water User Committee links with​ rice millers and traders (បង្កើតសហគមន៍កសិកម្មក្នុងសហគមន៍ប្រើប្រាស់ទឹក តភ្ជាប់នឹងរោងម៉ាស៊ីនកិនស្រូវ និងពាណិជ្ជករ) </t>
  </si>
  <si>
    <t>3.2.4</t>
  </si>
  <si>
    <t>3.2.4.1</t>
  </si>
  <si>
    <t>3.2.4.2</t>
  </si>
  <si>
    <t>Workshop awareness Provicial level on the concept and establishment of Agricultural Cooperatives (សិក្ខាសាលថ្នាក់ខេត្ត ដើម្បីផ្សព្វផ្សាយ ពីគោលគំនិត និងការបង្កើតជាសហគមន៍កសិកម្ម)</t>
  </si>
  <si>
    <t xml:space="preserve">Conduct training on AC concepts ​ with farmers and farmer perception survey 
ប្រជុំផ្សព្វផ្សាយស្តីពីគោលគំនិតសហគមន៍កសិកម្មនិងអង្កេតទស្សនៈកសិករ </t>
  </si>
  <si>
    <t>Conduct training on AC law, model statue and regulation with farmers and Set up founding committee to prepare draft business plan, statute and internal regulation 
បណ្តុះបណ្តាលស្តីពីច្បាបស់ស្តីពីសហគមន៍កសិកម្ម លក្ខន្តិកៈ និង បទបញ្ជារផ្ទៃក្នុង និងបង្កើតគណៈកម្មការសម្របសម្រួលដើម្បីរៀបចំសេចក្តីព្រាងផែនការមុខជំនួញ លក្ខន្តិកៈ និង បទបញ្ជាផ្ទៃក្នុង</t>
  </si>
  <si>
    <t>3.2.4.3</t>
  </si>
  <si>
    <t>Organize first general meeting to establish AC 
រៀបចំមហាសន្និបាតកំណើតតំបូង</t>
  </si>
  <si>
    <t>3.2.4.4</t>
  </si>
  <si>
    <t>3.2.4.5</t>
  </si>
  <si>
    <t>General Meeting
មហាសន្និបាត</t>
  </si>
  <si>
    <t xml:space="preserve">រៀបចំឯកសារចុះបញ្ជីសហគមន៍កសិកម្ម និងធ្វើស្លាកឈ្មោះសហគមន៍កសិកម្ម                                  Prepare required legal documents to register AC and Make AC name signboard </t>
  </si>
  <si>
    <t>AC
សហគមន៍</t>
  </si>
  <si>
    <r>
      <t xml:space="preserve">Subtotal PPP </t>
    </r>
    <r>
      <rPr>
        <b/>
        <sz val="11"/>
        <rFont val="Khmer OS Content"/>
      </rPr>
      <t>សរុបតាមផ្នែក</t>
    </r>
  </si>
  <si>
    <t>Purchase cassava chip maker 7 units  for Kampong Cham and Tboung Khmum) 
(ម៉ាស៊ីនកាត់ចំនិតដំឡូងមីសម្រាប់ឃ្លាំងសហគមន៍កសិកម្មចំនួន៧នៅខេត្តកំពង់ចាម និងត្បូងឃ្មុំ)</t>
  </si>
  <si>
    <t xml:space="preserve">Annual Budget 2024 (USD) </t>
  </si>
  <si>
    <t>TOTAL for 3 Outputs (Output1 + Output2 + Output3)</t>
  </si>
  <si>
    <t>Grant Total</t>
  </si>
  <si>
    <r>
      <t xml:space="preserve">Total for 3 Outputs </t>
    </r>
    <r>
      <rPr>
        <b/>
        <sz val="11"/>
        <rFont val="Khmer OS Content"/>
      </rPr>
      <t>(សរុប)</t>
    </r>
  </si>
  <si>
    <t>សង្ខេបថវិកាតាមសកម្មភាពនិមួយៗ សម្រាប់ឆ្នាំ២០២៤</t>
  </si>
  <si>
    <t>Total for Project Management</t>
  </si>
  <si>
    <r>
      <t xml:space="preserve">Total </t>
    </r>
    <r>
      <rPr>
        <b/>
        <sz val="11"/>
        <rFont val="Khmer OS Content"/>
      </rPr>
      <t>(សរុបរួម)</t>
    </r>
  </si>
  <si>
    <t xml:space="preserve">LED </t>
  </si>
  <si>
    <t>Set</t>
  </si>
  <si>
    <t>p</t>
  </si>
  <si>
    <t>MAFF (PMU + CS1 + CS2 + CS5 + CS6)</t>
  </si>
  <si>
    <r>
      <t>Total of activity 3.3: Supporting climate risk management through information and communication technologies (ICT)</t>
    </r>
    <r>
      <rPr>
        <b/>
        <sz val="11"/>
        <color rgb="FFFF0000"/>
        <rFont val="Khmer OS Content"/>
      </rPr>
      <t>-</t>
    </r>
    <r>
      <rPr>
        <b/>
        <sz val="11"/>
        <color rgb="FFFF0000"/>
        <rFont val="Arial"/>
        <family val="2"/>
      </rPr>
      <t>CS4</t>
    </r>
  </si>
  <si>
    <r>
      <t xml:space="preserve">Idenfify relevant Solar Technologies to demonstrate for potential agribusiness to attract their interest for investment. </t>
    </r>
    <r>
      <rPr>
        <sz val="11"/>
        <rFont val="Khmer OS Content"/>
      </rPr>
      <t xml:space="preserve">កំណត់បច្ចេកវិទ្យាថាមពលព្រះអាទិត្យដែលសមស្របទៅនឹងស្ថានភាព ដើម្បីទាក់ទាញការវិនិយោគពីកសិធុរកិច្ចដែលមានសក្ដានុពល </t>
    </r>
  </si>
  <si>
    <r>
      <t xml:space="preserve">Dissemination workshop on the Solar Technologies Investment with involvement of  agribusinesses, technology providers. </t>
    </r>
    <r>
      <rPr>
        <sz val="11"/>
        <rFont val="Khmer OS Content"/>
      </rPr>
      <t xml:space="preserve">សិក្ខាសាសាផ្សព្វផ្សាយស្តីពី ការវិនិយោគលើបច្ចេកវិទ្យាថាមពលព្រះអាទិត្យ ដោយមានការចូលរួមកសិពីធុរកិ អ្នកផ្គត់ផ្គង់បច្ចេកវិទ្យា </t>
    </r>
  </si>
  <si>
    <r>
      <t xml:space="preserve">Capacity building on the solar​ system technologies users </t>
    </r>
    <r>
      <rPr>
        <sz val="11"/>
        <rFont val="Khmer OS Content"/>
      </rPr>
      <t>ការកសាងសមត្ថភាពលើបច្ចេកវិទ្យា នៃការការប្រើប្រាស់ប្រព័ន្ធសូឡា</t>
    </r>
  </si>
  <si>
    <r>
      <t xml:space="preserve">Training and exchange visits for technologies exploration with potential agribusinesses including financing institutions </t>
    </r>
    <r>
      <rPr>
        <sz val="11"/>
        <rFont val="Khmer OS Content"/>
      </rPr>
      <t>វគ្គបណ្តុះបណ្តាល និងទស្សនកិច្ចសិក្សាសម្រាប់ការស្វែងយល់ពីបច្ចេកវិទ្យារបស់កសិធុរកិច្ចដែលមានសក្តានុពល ដោយមានការចូលរួមពីស្ថាប័នហិរញ្ញវត្ថុ</t>
    </r>
  </si>
  <si>
    <r>
      <t xml:space="preserve">Develop a business model for Solar Technologies Investment with involvement of  agribusinesses, technology providers and green financing institution </t>
    </r>
    <r>
      <rPr>
        <sz val="11"/>
        <rFont val="Khmer OS Content"/>
      </rPr>
      <t>បង្កើតគំរូអាជីវកម្មមួយសម្រាប់ការវិនិយោគលើបច្ចេកវិទ្យាថាមពលព្រះអាទិត្យ ដោយមានការចូលរួមកសិពីធុរកិ អ្នកផ្គត់ផ្គង់បច្ចេកវិទ្យា និងស្ថាប័នហិរញ្ញវត្ថុបៃតង</t>
    </r>
  </si>
  <si>
    <r>
      <t xml:space="preserve">Support agribusiness to invest solar technology system for business. </t>
    </r>
    <r>
      <rPr>
        <sz val="11"/>
        <rFont val="Khmer OS Content"/>
      </rPr>
      <t>គាំទ្រដល់កសិធុរកិច្ច ដើម្បីវិនិយោគប្រព័ន្ធបច្ចេកវិទ្យាព្រះអាទិត្យសម្រាប់អាជីវកម្ម</t>
    </r>
  </si>
  <si>
    <r>
      <t xml:space="preserve">Support agribusiness to apply energy source (solar rooftop system) for additional incomes. </t>
    </r>
    <r>
      <rPr>
        <sz val="11"/>
        <rFont val="Khmer OS Content"/>
      </rPr>
      <t>គាំទ្រដល់កសិធុរកិច្ច ក្នុងការប្រើប្រាស់ថាមពល (ប្រព័ន្ធពន្លឺព្រះអាទិត្យ) សម្រាប់អាជីវកម្ម</t>
    </r>
  </si>
  <si>
    <r>
      <rPr>
        <sz val="11"/>
        <rFont val="Arial"/>
        <family val="2"/>
      </rPr>
      <t>Workshop</t>
    </r>
    <r>
      <rPr>
        <sz val="11"/>
        <rFont val="Khmer OS Content"/>
      </rPr>
      <t xml:space="preserve">
សិក្ខាសាលា</t>
    </r>
  </si>
  <si>
    <r>
      <t>Refresher training of extension workers for biodigester and bio-slurry /e (</t>
    </r>
    <r>
      <rPr>
        <sz val="11"/>
        <rFont val="Khmer OS Content"/>
      </rPr>
      <t>វគ្គពង្រឹងសមត្ថភាពដល់អ្នកផ្សព្វផ្សាយស្តីពីឡជីវឧស័្មន និងជីឡឧស័្មន)</t>
    </r>
  </si>
  <si>
    <r>
      <t>User training for biogas plant and bio-slurry (biogas plant and bio-slurry management (</t>
    </r>
    <r>
      <rPr>
        <sz val="11"/>
        <rFont val="Khmer OS Content"/>
      </rPr>
      <t>វគ្គបណ្តុះបណ្តា</t>
    </r>
    <r>
      <rPr>
        <sz val="11"/>
        <rFont val="Khmer OS Battambang"/>
      </rPr>
      <t>ដល់</t>
    </r>
    <r>
      <rPr>
        <sz val="11"/>
        <rFont val="Khmer OS Content"/>
      </rPr>
      <t>អ្នកប្រើប្រាស់ឡជីវឧស័្មន និងជីឡជីវឧស័្មន (ការគ្រប់គ្រងឡជីវឧស័្មន និងជីឡជីវឧស័្មន)</t>
    </r>
  </si>
  <si>
    <r>
      <t xml:space="preserve">TOT training on biogas plant, bio-slurry use and management for extension workers </t>
    </r>
    <r>
      <rPr>
        <sz val="11"/>
        <rFont val="Khmer OS Content"/>
      </rPr>
      <t>(វគ្គបណ្តុះបណ្តាលគ្រូបង្គោល​ ស្តីពីឡជីវឧស័្មន និងជីឡឧស័្មន ដល់អ្នកផ្សព្វផ្សាយ)</t>
    </r>
  </si>
  <si>
    <r>
      <t>Training on composting and its application to farmers and agriculture community  
(</t>
    </r>
    <r>
      <rPr>
        <sz val="11"/>
        <rFont val="Khmer OS Content"/>
      </rPr>
      <t>វគ្គបណ្តុះបណ្តាលការផលិតជីកប៉ុស្តិ៍ និងការប្រើប្រាស់ ដល់កសិករនិងសហគមន៍កសិកម្ម)</t>
    </r>
  </si>
  <si>
    <r>
      <t>Internal exchange visit on-site on site learning and field practices to EWs, key farmers, potential farmers  (</t>
    </r>
    <r>
      <rPr>
        <sz val="11"/>
        <rFont val="Khmer OS Content"/>
      </rPr>
      <t>ទស្សនកិច្ចសិក្សាក្នុងតំបន់ទៅលើការរៀនសូត្រ និងអនុវត្តផ្ទាល់នៅទីវាល​ដល់អ្នកផ្សព្វផ្សាយ, កសិករគំរូ​ និងកសិករ មានសក្តានុពល)</t>
    </r>
  </si>
  <si>
    <r>
      <t>Information folders, manuals, booklets and other extension material (</t>
    </r>
    <r>
      <rPr>
        <sz val="11"/>
        <rFont val="Khmer OS Battambang"/>
      </rPr>
      <t xml:space="preserve">កម្រងឯកសារពត៍មាន </t>
    </r>
    <r>
      <rPr>
        <sz val="11"/>
        <rFont val="Khmer OS Content"/>
      </rPr>
      <t xml:space="preserve">សៀវភៅណែនាំ និងសម្ភារៈផ្សព្វផ្សាយផ្សេងៗទៀត​ </t>
    </r>
  </si>
  <si>
    <r>
      <t>Promotion and marketing extension (posters, promotion leaflets and other promotion materials (</t>
    </r>
    <r>
      <rPr>
        <sz val="11"/>
        <rFont val="Khmer OS Battambang"/>
      </rPr>
      <t>ផ្សព្វផ្សាយនិងទីផ្សារ (ផ្ទាំងរូបភាព ខិតប័ណ្ណផ្សព្បផ្សាយ និងឯកសារផ្សព្វផ្សាយផ្សេងៗ)</t>
    </r>
  </si>
  <si>
    <r>
      <t>Unit/</t>
    </r>
    <r>
      <rPr>
        <sz val="11"/>
        <rFont val="Khmer OS Content"/>
      </rPr>
      <t>ឯកតា</t>
    </r>
  </si>
  <si>
    <r>
      <t>Small group meeting for extention &amp; seeking the interest clients (</t>
    </r>
    <r>
      <rPr>
        <sz val="11"/>
        <rFont val="Khmer OS Content"/>
      </rPr>
      <t>ការប្រជុំក្រុមតូចតាមភូមិ ដើម្បីផ្សព្វផ្សាយ និងស្វែងរកអ្នកស្ម័គ្រចិត្តជាវឡជីវឧស័្មន និងរោងជីកំប៉ុស្តិ៍)</t>
    </r>
  </si>
  <si>
    <r>
      <t>Meeting/</t>
    </r>
    <r>
      <rPr>
        <sz val="11"/>
        <rFont val="Khmer OS Content"/>
      </rPr>
      <t>អង្គប្រជុំ</t>
    </r>
  </si>
  <si>
    <r>
      <t>Coordination and monitoring meeting with relevant stakeholders (on marketing mechanism) /g (</t>
    </r>
    <r>
      <rPr>
        <sz val="11"/>
        <rFont val="Khmer OS Content"/>
      </rPr>
      <t>ប្រជុំសម្របសម្រួល និងត្រួតពិនិត្យ ជាមួយអ្នកពាក់ព័ន្ធ (យន្តការស្វែងរកទីផ្សារឡជីវឧស័្មន និងរោងជីកំប៉ុស្តិ៍)</t>
    </r>
  </si>
  <si>
    <r>
      <t>Promotion signboards /h (</t>
    </r>
    <r>
      <rPr>
        <sz val="11"/>
        <rFont val="Khmer OS Battambang"/>
      </rPr>
      <t>រៀបចំ</t>
    </r>
    <r>
      <rPr>
        <sz val="11"/>
        <rFont val="Khmer OS Content"/>
      </rPr>
      <t>ស្លាកសញ្ញាផ្សព្វផ្សាយឡជីវឧស័្មន និងរោងជីកំប៉ុស្តិ៍)</t>
    </r>
  </si>
  <si>
    <r>
      <t xml:space="preserve">Unit
</t>
    </r>
    <r>
      <rPr>
        <sz val="11"/>
        <rFont val="Khmer OS Content"/>
      </rPr>
      <t>ស្លាកផ្សព្វផ្សាយ</t>
    </r>
  </si>
  <si>
    <r>
      <t xml:space="preserve">Field coaching and mention on promotion and marketing
</t>
    </r>
    <r>
      <rPr>
        <sz val="11"/>
        <rFont val="Khmer OS Content"/>
      </rPr>
      <t>(ការចុះបង្វឹក-ណែនាំតាមសហគមន៍ស្តីពី ការផ្សព្វផ្សាយ និងទីផ្សារឡជីវឧស្ម័ន និង​រោងជីកំប៉ុស្តិ៍)</t>
    </r>
  </si>
  <si>
    <r>
      <t xml:space="preserve">Coaching
</t>
    </r>
    <r>
      <rPr>
        <sz val="11"/>
        <rFont val="Khmer OS Content"/>
      </rPr>
      <t>ការណែនាំ</t>
    </r>
  </si>
  <si>
    <r>
      <t xml:space="preserve">Follow up
</t>
    </r>
    <r>
      <rPr>
        <sz val="11"/>
        <rFont val="Khmer OS Content"/>
      </rPr>
      <t>ការត្រួតពិនិត្យ</t>
    </r>
  </si>
  <si>
    <r>
      <t>Support inputs for integrated farming demonstrations (</t>
    </r>
    <r>
      <rPr>
        <sz val="11"/>
        <rFont val="Khmer OS Content"/>
      </rPr>
      <t>បង្ហាញប្រព័ន្ធកសិម្មចម្រុះ</t>
    </r>
    <r>
      <rPr>
        <sz val="11"/>
        <rFont val="Khmer OS Battambang"/>
      </rPr>
      <t>ដោយប្រើជី
កំប៉ុស្តិ៍ និងជីឡជីវឧស្ម័ន)</t>
    </r>
  </si>
  <si>
    <r>
      <t>Demo/</t>
    </r>
    <r>
      <rPr>
        <sz val="11"/>
        <rFont val="Khmer OS Content"/>
      </rPr>
      <t>បង្ហាញ</t>
    </r>
  </si>
  <si>
    <r>
      <t>Quarterly technical meeting on quality control and biodigester construction (</t>
    </r>
    <r>
      <rPr>
        <sz val="11"/>
        <rFont val="Khmer OS Content"/>
      </rPr>
      <t>ប្រជុំបច្ចេកទេសប្រចាំត្រីមាសអំពីការត្រួតពិនិត្យគុណភាព និងការសាងសង់ឡជីវឧស័្មន)</t>
    </r>
  </si>
  <si>
    <r>
      <t>Meeting/</t>
    </r>
    <r>
      <rPr>
        <sz val="11"/>
        <rFont val="Khmer OS Content"/>
      </rPr>
      <t>ប្រជុំ</t>
    </r>
  </si>
  <si>
    <r>
      <t xml:space="preserve">District dissemination forum on biodigester and compost production
</t>
    </r>
    <r>
      <rPr>
        <sz val="11"/>
        <rFont val="Khmer OS Battambang"/>
      </rPr>
      <t>វេទិការផ្សព្វផ្សាយអំ</t>
    </r>
    <r>
      <rPr>
        <sz val="11"/>
        <rFont val="Khmer OS Content"/>
      </rPr>
      <t>ពីឡជីវឧស័្មន និងការផលិតជីកំប៉ុស្តិ៍ ថ្នាក់ស្រុក</t>
    </r>
  </si>
  <si>
    <r>
      <t>Capacity building and establish compost​​ producing group​ including equipment and relevant inputs support  proccessing (</t>
    </r>
    <r>
      <rPr>
        <sz val="11"/>
        <rFont val="Khmer OS Content"/>
      </rPr>
      <t>បង្កើតក្រុមផលិតជីកំប៉ុស្តិ៍ រួមទាំងឧបករណ៍ បរិក្ខាគាំទ្រការកែច្នៃ)</t>
    </r>
  </si>
  <si>
    <r>
      <t>Group/</t>
    </r>
    <r>
      <rPr>
        <sz val="11"/>
        <rFont val="Khmer OS Content"/>
      </rPr>
      <t>ក្រុម</t>
    </r>
  </si>
  <si>
    <r>
      <t xml:space="preserve">District dessimination workshop on biodigester and bio-slurry 
</t>
    </r>
    <r>
      <rPr>
        <sz val="11"/>
        <rFont val="Khmer OS Content"/>
      </rPr>
      <t>សិក្ខាសាលាផ្សព្វផ្សាយថ្នាក់ស្រុកស្តីពីឡជីវឧស័្មន និងជីឡជីវឧស័្មន</t>
    </r>
  </si>
  <si>
    <r>
      <t>Meeting with technical working group on biodigester and bio-slurry  (</t>
    </r>
    <r>
      <rPr>
        <sz val="11"/>
        <rFont val="Khmer OS Content"/>
      </rPr>
      <t>ប្រជុំជាមួយនឹងក្រុមការងារបច្ចេកទេសស្តីពីឡជីវឧស្ម័ន និងជីទ្បជីវឧស្ម័ន)</t>
    </r>
  </si>
  <si>
    <r>
      <t xml:space="preserve">Lump sum
</t>
    </r>
    <r>
      <rPr>
        <sz val="11"/>
        <rFont val="Khmer OS Content"/>
      </rPr>
      <t>សរុប</t>
    </r>
  </si>
  <si>
    <r>
      <t xml:space="preserve">Training
</t>
    </r>
    <r>
      <rPr>
        <sz val="11"/>
        <rFont val="Khmer OS Content"/>
      </rPr>
      <t>បណ្តុះបណ្តាល</t>
    </r>
  </si>
  <si>
    <t>2.1.1.22</t>
  </si>
  <si>
    <r>
      <t xml:space="preserve">Training of​ trainers on CamGAP for provincial trainers
</t>
    </r>
    <r>
      <rPr>
        <sz val="11"/>
        <rFont val="Khmer OS Content"/>
      </rPr>
      <t>វគ្គបណ្តុះបណ្តាលគ្រូបង្គោលថ្នាក់ខេត្ត​ស្តីពីការអនុវត្តកសិកម្មល្អលើដំណាំស្វាយ</t>
    </r>
  </si>
  <si>
    <r>
      <t xml:space="preserve">Refresher training of​ trainers on CamGAP for provincial trainers
</t>
    </r>
    <r>
      <rPr>
        <sz val="11"/>
        <rFont val="Khmer OS Content"/>
      </rPr>
      <t>វគ្គបណ្តុះបណ្តាលរំលឹកគ្រូបង្គោលថ្នាក់ខេត្ត​ស្តីពីការអនុវត្តកសិកម្មល្អលើដំណាំស្វាយ</t>
    </r>
  </si>
  <si>
    <r>
      <t xml:space="preserve">Training  on Inspection and Certification on Good Agricultural Practices (CamGAP)
</t>
    </r>
    <r>
      <rPr>
        <sz val="11"/>
        <rFont val="Khmer OS Content"/>
      </rPr>
      <t>វគ្គបណ្តុះបណ្តាលស្តីពីអធិការកិច្ច និងវិញ្ញាបនប័ត្រស្តីពីការអនុវត្តកសិកម្មល្អ (ការអនុវត្តកសិកម្មល្អកម្ពុជា</t>
    </r>
  </si>
  <si>
    <r>
      <t xml:space="preserve">Training of trainers (TOT) on Drip Irrigation System Operation and Maintenace for provincial trainer
</t>
    </r>
    <r>
      <rPr>
        <sz val="11"/>
        <rFont val="Khmer OS Content"/>
      </rPr>
      <t>(វគ្គបណ្តុះបណ្តាលគ្រូបង្គោលថ្នាក់ខេត្តស្តីពី ការប្រតិបត្តិនិងថែទាំប្រព័ន្ធស្រោចស្រពដោយដំណក់ទឹក</t>
    </r>
    <r>
      <rPr>
        <sz val="11"/>
        <rFont val="Arial"/>
        <family val="2"/>
      </rPr>
      <t>)</t>
    </r>
  </si>
  <si>
    <r>
      <t xml:space="preserve">Training of trainers (TOT) on O&amp;M of Agricultural Machinery for provincial trainer
</t>
    </r>
    <r>
      <rPr>
        <sz val="11"/>
        <rFont val="Khmer OS Content"/>
      </rPr>
      <t>(វគ្គបណ្តុះបណ្តាលគ្រូបង្គោលថ្នាក់ខេត្តស្តីពី ការប្រើប្រាស់និងថែទាំគ្រឿងយន្តកសិកម្ម)</t>
    </r>
  </si>
  <si>
    <r>
      <t xml:space="preserve">Refresher training of trainers (TOT) on Rice Postharvest Technology for provincial trainer
</t>
    </r>
    <r>
      <rPr>
        <sz val="11"/>
        <rFont val="Khmer OS Content"/>
      </rPr>
      <t>(វគ្គបណ្តុះបណ្តាលរំលឹកគ្រូបង្គោលថ្នាក់ខេត្តស្តីពី បច្ចេកវិទ្យាក្រោយប្រមូលផលស្រូវ)</t>
    </r>
  </si>
  <si>
    <r>
      <t xml:space="preserve">Refresher training of trainers (TOT) on Laser Land Levelling for provincial trainer
</t>
    </r>
    <r>
      <rPr>
        <sz val="11"/>
        <rFont val="Khmer OS Content"/>
      </rPr>
      <t>(វគ្គបណ្តុះបណ្តាលរំលឹកគ្រូបង្គោលថ្នាក់ខេត្តស្តីពី ការកៀរពង្រាបដីដោយប្រព័ន្ធឡាហ្ស៊ែរ)</t>
    </r>
  </si>
  <si>
    <r>
      <t xml:space="preserve">Refresher training of trainers (TOT) on Rice​ Storage Unit Operation for provincial trainer
</t>
    </r>
    <r>
      <rPr>
        <sz val="11"/>
        <rFont val="Khmer OS Content"/>
      </rPr>
      <t>(វគ្គបណ្តុះបណ្តាលរំលឹកគ្រូបង្គោលថ្នាក់ខេត្តស្តីពី កិច្ចប្រតិបត្តិក្នុងការទុកដាក់ស្រូវអង្ករ)</t>
    </r>
  </si>
  <si>
    <r>
      <t xml:space="preserve">Refresher training of trainers (TOT) on Practice of Conservation Agriculture on​ Conservation Agriculture Production System for provincial trainer
</t>
    </r>
    <r>
      <rPr>
        <sz val="11"/>
        <rFont val="Khmer OS Content"/>
      </rPr>
      <t>(វគ្គបណ្តុះបណ្តាលរំលឹកគ្រូបង្គោលថ្នាក់ខេត្តស្តីពី ប្រព័ន្ធផលិតកម្មកសិកម្មអភិរក្ស)</t>
    </r>
  </si>
  <si>
    <r>
      <t xml:space="preserve">Technical support or backstopping of GDA on training of farmers on SRP and CSA </t>
    </r>
    <r>
      <rPr>
        <sz val="11"/>
        <rFont val="Khmer OS Content"/>
      </rPr>
      <t xml:space="preserve">ការចុះត្រួតពិនិត្យ និងគាំទ្របច្ចេកទេសរបស់មន្ត្រី </t>
    </r>
    <r>
      <rPr>
        <sz val="11"/>
        <rFont val="Arial"/>
        <family val="2"/>
      </rPr>
      <t>GDA</t>
    </r>
    <r>
      <rPr>
        <sz val="11"/>
        <rFont val="Khmer OS Content"/>
      </rPr>
      <t xml:space="preserve"> លើវគ្គបណ្តុះបណ្តាលកសិករស្តីពី </t>
    </r>
    <r>
      <rPr>
        <sz val="11"/>
        <rFont val="Arial"/>
        <family val="2"/>
      </rPr>
      <t>SRP, CSA</t>
    </r>
  </si>
  <si>
    <r>
      <rPr>
        <sz val="11"/>
        <rFont val="Arial "/>
      </rPr>
      <t>Training of farmers on climate smart agriculture (CSA) for rice, cassava, maize ((</t>
    </r>
    <r>
      <rPr>
        <sz val="11"/>
        <rFont val="Khmer OS Content"/>
      </rPr>
      <t xml:space="preserve">វគ្គបណ្តុះបណ្តាលកសិករស្តីពីកសិកម្មវៃឆ្លាតធន់នឹងអាកាសធាតុ លើដំណាំស្រូវ​ ចំនួន​ ៩០វគ្គ ដំណាំដំឡូងមី ៤៥ វគ្គ និងដំណាំពោតចំនួន ៤៥វគ្គ) </t>
    </r>
  </si>
  <si>
    <r>
      <rPr>
        <sz val="11"/>
        <rFont val="Arial "/>
      </rPr>
      <t>Training of farmers on sustainable rice production (SRP)</t>
    </r>
    <r>
      <rPr>
        <sz val="11"/>
        <rFont val="Arial"/>
        <family val="2"/>
      </rPr>
      <t xml:space="preserve">
</t>
    </r>
    <r>
      <rPr>
        <sz val="11"/>
        <rFont val="Khmer OS Content"/>
      </rPr>
      <t>វគ្គបណ្តុះបណ្តាលកសិករស្តីពីផលិតកម្មដំណាំស្រូវប្រកបដោយនិរន្តរភាព</t>
    </r>
  </si>
  <si>
    <r>
      <t>Training of AC and  farmer group for Contract farming  (</t>
    </r>
    <r>
      <rPr>
        <sz val="11"/>
        <rFont val="Khmer OS Content"/>
      </rPr>
      <t>វគ្គបណ្តុះបណ្តាលគណៈកម្មការសហគមន៍ និងក្រុមកសិករ ស្តីពីផលិកម្មកសិកម្មតាមកិច្ចសន្យា)</t>
    </r>
  </si>
  <si>
    <r>
      <t>Training of farmers on CamGAP practi</t>
    </r>
    <r>
      <rPr>
        <strike/>
        <sz val="11"/>
        <rFont val="Arial"/>
        <family val="2"/>
      </rPr>
      <t>c</t>
    </r>
    <r>
      <rPr>
        <sz val="11"/>
        <rFont val="Arial"/>
        <family val="2"/>
      </rPr>
      <t>e and standard compliant for fruit crop-Mango  (</t>
    </r>
    <r>
      <rPr>
        <sz val="11"/>
        <rFont val="Khmer OS Content"/>
      </rPr>
      <t>វគ្គបណ្តុះបណ្តាលកសិករស្តីពីការអនុវត្តស្តង់ដារកសិកម្មល្អសម្រាប់ដំណាំស្វាយនៅកម្ពុជា)</t>
    </r>
  </si>
  <si>
    <r>
      <rPr>
        <sz val="11"/>
        <rFont val="Arial"/>
        <family val="2"/>
      </rPr>
      <t>Training of ACs boards on leadership and management</t>
    </r>
    <r>
      <rPr>
        <sz val="11"/>
        <rFont val="Arial Narrow"/>
        <family val="2"/>
      </rPr>
      <t xml:space="preserve">
</t>
    </r>
    <r>
      <rPr>
        <sz val="11"/>
        <rFont val="Khmer OS Content"/>
      </rPr>
      <t>វគ្គបណ្តុះបណ្តាលថ្នាក់ដឹកនាំ ស.ក ស្តីពីជំនាញដឹកនាំ និងគ្រប់គ្រងសហគមន៍កសិកម្ម</t>
    </r>
  </si>
  <si>
    <r>
      <rPr>
        <sz val="11"/>
        <rFont val="Arial"/>
        <family val="2"/>
      </rPr>
      <t>Training of ACs boards on business plan and entrepreneurship</t>
    </r>
    <r>
      <rPr>
        <sz val="11"/>
        <rFont val="Arial Narrow"/>
        <family val="2"/>
      </rPr>
      <t xml:space="preserve">
</t>
    </r>
    <r>
      <rPr>
        <sz val="11"/>
        <rFont val="Kh Content"/>
      </rPr>
      <t xml:space="preserve">វគ្គបណ្តុះបណ្តាលថ្នាក់ដឹកនាំ ស.ក ស្តីពី </t>
    </r>
    <r>
      <rPr>
        <sz val="11"/>
        <rFont val="Khmer OS Content"/>
      </rPr>
      <t>ផែនការមុខជំនួញ និងភាពជាសហក្រិន</t>
    </r>
  </si>
  <si>
    <r>
      <rPr>
        <sz val="11"/>
        <rFont val="Arial"/>
        <family val="2"/>
      </rPr>
      <t xml:space="preserve">Training of ACs boards on marketing principles </t>
    </r>
    <r>
      <rPr>
        <sz val="11"/>
        <rFont val="Arial Narrow"/>
        <family val="2"/>
      </rPr>
      <t xml:space="preserve">
</t>
    </r>
    <r>
      <rPr>
        <sz val="11"/>
        <rFont val="Khmer OS Content"/>
      </rPr>
      <t>វគ្គបណ្តុះបណ្តាលថ្នាក់ដឹកនាំ ស.ក ស្តីពីគោលការណ៍គ្រឹះនៃទីផ្សារសហគមន៍កសិកម្ម</t>
    </r>
  </si>
  <si>
    <r>
      <rPr>
        <sz val="11"/>
        <rFont val="Arial"/>
        <family val="2"/>
      </rPr>
      <t>Training of ACs boards on annual report writing</t>
    </r>
    <r>
      <rPr>
        <sz val="11"/>
        <rFont val="Arial Narrow"/>
        <family val="2"/>
      </rPr>
      <t xml:space="preserve">
</t>
    </r>
    <r>
      <rPr>
        <sz val="11"/>
        <rFont val="Kh Content"/>
      </rPr>
      <t>វគ្គបណ្តុះបណ្តាលថ្នាក់ដឹកនាំ ស.ក ស្តីពីការសរសេររបាយការណ៍ប្រចាំឆ្នាំ</t>
    </r>
  </si>
  <si>
    <r>
      <rPr>
        <sz val="11"/>
        <rFont val="Arial"/>
        <family val="2"/>
      </rPr>
      <t>Training of  ACs boards on bookkeeping</t>
    </r>
    <r>
      <rPr>
        <sz val="11"/>
        <rFont val="Arial Narrow"/>
        <family val="2"/>
      </rPr>
      <t xml:space="preserve">
</t>
    </r>
    <r>
      <rPr>
        <sz val="11"/>
        <rFont val="Kh Content"/>
      </rPr>
      <t>វគ្គបណ្តុះបណ្តាលថ្នាក់ដឹកនាំ ស.ក ស្តីពីការចុះបញ្ជីគណនេយ្យសហគមន៍កសិកម្ម</t>
    </r>
  </si>
  <si>
    <r>
      <t>Training of ACs boards on procedures for organizing crop producer groups</t>
    </r>
    <r>
      <rPr>
        <sz val="11"/>
        <rFont val="Arial Narrow"/>
        <family val="2"/>
      </rPr>
      <t xml:space="preserve">
</t>
    </r>
    <r>
      <rPr>
        <sz val="11"/>
        <rFont val="Khmer OS Content"/>
      </rPr>
      <t>វគ្គបណ្តុះបណ្តាលថ្នាក់ដឹកនាំ ស.ក ស្តីពីនីតិវិធីនៃការរៀបចំ និងដំណើរការក្រុមផលិតកម្មដំណាំ</t>
    </r>
  </si>
  <si>
    <r>
      <t xml:space="preserve">Training of ACs boards on agricultural input supply
</t>
    </r>
    <r>
      <rPr>
        <sz val="11"/>
        <rFont val="Khmer OS Content"/>
      </rPr>
      <t>វគ្គបណ្តុះបណ្តាលថ្នាក់ដឹកនាំ ស.ក ស្តីពីផែនការមុខជំនួញផ្គត់ផ្គង់ធាតុចូលកសិកម្ម</t>
    </r>
  </si>
  <si>
    <r>
      <rPr>
        <sz val="11"/>
        <rFont val="Arial"/>
        <family val="2"/>
      </rPr>
      <t xml:space="preserve">Training of ACs boards on crop marketing business plan (rice, cassava, maize, mango) </t>
    </r>
    <r>
      <rPr>
        <sz val="11"/>
        <rFont val="Khmer OS Content"/>
      </rPr>
      <t>វគ្គបណ្តុះបណ្តាលថ្នាក់ដឹកនាំ ស.ក ស្តីពីផែនការទីផ្សារដំណាំ (ស្រូវ ដំឡូងមី ពោត ស្វាយ)</t>
    </r>
  </si>
  <si>
    <r>
      <rPr>
        <sz val="11"/>
        <rFont val="Arial"/>
        <family val="2"/>
      </rPr>
      <t>Training of ACs boards on Journaling for Suppliers and Marketing for ACs (</t>
    </r>
    <r>
      <rPr>
        <sz val="11"/>
        <rFont val="Khmer OS Content"/>
      </rPr>
      <t>វគ្គបណ្តុះបណ្តាលថ្នាក់ដឹកនាំ ស.ក ស្តីពីការចុះទិនានុប្បវត្តិសម្រាប់ផ្គត់ផ្គង់ និងមុខរបរទីផ្សារសហគមន៍)</t>
    </r>
  </si>
  <si>
    <r>
      <rPr>
        <sz val="11"/>
        <rFont val="Arial"/>
        <family val="2"/>
      </rPr>
      <t>Training of ACs boards on Stock Management for suppliers and Marketing Businesses for Acs (</t>
    </r>
    <r>
      <rPr>
        <sz val="11"/>
        <rFont val="Khmer OS Content"/>
      </rPr>
      <t>វគ្គបណ្តុះបណ្តាលថ្នាក់ដឹកនាំ ស.ក ស្តីពីការគ្រប់គ្រងស្តុកទំនិញសម្រាប់មុខរបផ្គត់ផ្គង់ និងមុខរបរទីផ្សារសហគមន៍)</t>
    </r>
  </si>
  <si>
    <r>
      <rPr>
        <sz val="11"/>
        <rFont val="Arial"/>
        <family val="2"/>
      </rPr>
      <t xml:space="preserve">Exchange visit to outstanding ACs (Outside province)
</t>
    </r>
    <r>
      <rPr>
        <sz val="11"/>
        <rFont val="Khmer OS Content"/>
      </rPr>
      <t>ទស្សនកិច្ចសិក្សាសហគមន៍កសិកម្មឆ្នើម (ក្រៅខេត្ត)</t>
    </r>
  </si>
  <si>
    <r>
      <t xml:space="preserve">Lump Sum
</t>
    </r>
    <r>
      <rPr>
        <sz val="11"/>
        <rFont val="Khmer OS Content"/>
      </rPr>
      <t>សរុប</t>
    </r>
  </si>
  <si>
    <r>
      <t xml:space="preserve">Training of farmers on O&amp;M of agricultural machinery
</t>
    </r>
    <r>
      <rPr>
        <sz val="11"/>
        <rFont val="Khmer OS Battambang"/>
      </rPr>
      <t>វគ្គបណ្តុះបណ្តាលកសិករស្តីពីការប្រើប្រាស់ និងថែទាំគ្រឿងយន្តកសិកម្ម</t>
    </r>
  </si>
  <si>
    <r>
      <t xml:space="preserve">Training
</t>
    </r>
    <r>
      <rPr>
        <sz val="11"/>
        <rFont val="Khmer OS Battambang"/>
      </rPr>
      <t>បណ្តុះបណ្តាល</t>
    </r>
  </si>
  <si>
    <r>
      <t xml:space="preserve">Training of farmers on agriculture production conservation
</t>
    </r>
    <r>
      <rPr>
        <sz val="11"/>
        <rFont val="Khmer OS Battambang"/>
      </rPr>
      <t>វគ្គបណ្តុះបណ្តាលកសិករស្តីពីផលិតកម្មកសិអភិរក្ស</t>
    </r>
  </si>
  <si>
    <r>
      <t xml:space="preserve">Training of farmers on laser land levelling
</t>
    </r>
    <r>
      <rPr>
        <sz val="11"/>
        <rFont val="Khmer OS Battambang"/>
      </rPr>
      <t>វគ្គបណ្តុះបណ្តាលកសិករស្តីពីការកៀរពង្រាបដីស្រែដោយប្រព័ន្ធឡាហ្ស៊ែរ</t>
    </r>
  </si>
  <si>
    <r>
      <t xml:space="preserve">Training of farmers on storage unit operation
</t>
    </r>
    <r>
      <rPr>
        <sz val="11"/>
        <rFont val="Khmer OS Battambang"/>
      </rPr>
      <t>វគ្គបណ្តុះបណ្តាលកសិករស្តីពីកិច្ចប្រតិបត្តិក្នុងការទុកដាក់ស្រូវអង្ករ</t>
    </r>
  </si>
  <si>
    <r>
      <t xml:space="preserve">Training of farmers on post-harvest technology
</t>
    </r>
    <r>
      <rPr>
        <sz val="11"/>
        <rFont val="Khmer OS Battambang"/>
      </rPr>
      <t>វគ្គបណ្តុះបណ្តាលកសិករស្តីពីបច្ចេកវិទ្យាក្រោយប្រមូលផលស្រូវ</t>
    </r>
  </si>
  <si>
    <r>
      <t xml:space="preserve">Training of farmers on land preparation
</t>
    </r>
    <r>
      <rPr>
        <sz val="11"/>
        <rFont val="Khmer OS Battambang"/>
      </rPr>
      <t>វគ្គបណ្តុះបណ្តាលស្តីពី ការពង្រាបដីមុនពេលធ្វើការដាំដុះ</t>
    </r>
  </si>
  <si>
    <r>
      <t xml:space="preserve">Training on units/tools operation and management for ACs boards and members
</t>
    </r>
    <r>
      <rPr>
        <sz val="11"/>
        <rFont val="Khmer OS Battambang"/>
      </rPr>
      <t>(វគ្គបណ្តុះបណ្តាលស្តីពី ការប្រើប្រាស់ និងការគ្រប់គ្រងឃ្លាំងសហគមន៍កសិកម្ម)</t>
    </r>
  </si>
  <si>
    <r>
      <t>On-farm rice seed production demonstration (</t>
    </r>
    <r>
      <rPr>
        <sz val="11"/>
        <rFont val="Khmer OS Battambang"/>
      </rPr>
      <t>បង្ហាញផលិតកម្មពូជស្រូវលើស្រែកសិករ)</t>
    </r>
  </si>
  <si>
    <r>
      <t>Cassava planting material production demonstration</t>
    </r>
    <r>
      <rPr>
        <sz val="11"/>
        <rFont val="Khmer OS Battambang"/>
      </rPr>
      <t>(បង្ហាញផលិតកម្មពូជដំឡូងមីនៅ
តាមចំការកសិករ)</t>
    </r>
  </si>
  <si>
    <r>
      <t>Maize seed production demonstration (</t>
    </r>
    <r>
      <rPr>
        <sz val="11"/>
        <rFont val="Khmer OS Battambang"/>
      </rPr>
      <t>បង្ហាញផលិតកម្មពូជពោត)</t>
    </r>
  </si>
  <si>
    <r>
      <t xml:space="preserve">Field day for rice seed production </t>
    </r>
    <r>
      <rPr>
        <sz val="11"/>
        <rFont val="Khmer OS Battambang"/>
      </rPr>
      <t>(ទិវាស្រែបង្ហាញផលិតកម្មពូជស្រូវ)</t>
    </r>
  </si>
  <si>
    <r>
      <t xml:space="preserve">Field day for cassava planting material production  </t>
    </r>
    <r>
      <rPr>
        <sz val="11"/>
        <rFont val="Khmer OS Battambang"/>
      </rPr>
      <t>(ទិវាស្រែបង្ហាញផលិតកម្មពូជដំឡូង)</t>
    </r>
  </si>
  <si>
    <r>
      <t xml:space="preserve">Field day for maize seed production </t>
    </r>
    <r>
      <rPr>
        <sz val="11"/>
        <rFont val="Khmer OS Battambang"/>
      </rPr>
      <t>(ទិវាស្រែបង្ហាញផលិតកម្មពូជពោត)</t>
    </r>
  </si>
  <si>
    <r>
      <t xml:space="preserve">National reflection workshop on result progress of on-farm rice seed production demonstration
</t>
    </r>
    <r>
      <rPr>
        <sz val="11"/>
        <rFont val="Khmer OS Content"/>
      </rPr>
      <t>(សិក្ខាសាលាថ្នាក់ជាតិឆ្លុះបញ្ជាំងពីលទ្ធផលនៃការធ្វើបង្ហាញផលិតកម្មពូជស្រូវលើស្រែកសិករ)</t>
    </r>
  </si>
  <si>
    <r>
      <t xml:space="preserve">National reflection workshop on result progress of cassava planting material production demonstration
</t>
    </r>
    <r>
      <rPr>
        <sz val="11"/>
        <rFont val="Khmer OS Content"/>
      </rPr>
      <t>(សិក្ខាសាលាថ្នាក់ជាតិឆ្លុះបញ្ជាំងពីលទ្ធផលនៃការធ្វើបង្ហាញផលិតកម្មពូជដំឡូងមីនៅតាមចំការកសិករ)</t>
    </r>
  </si>
  <si>
    <r>
      <t xml:space="preserve">National reflection workshop on result progress of maize seed production demonstration
</t>
    </r>
    <r>
      <rPr>
        <sz val="11"/>
        <rFont val="Khmer OS Content"/>
      </rPr>
      <t>(សិក្ខាសាលាថ្នាក់ជាតិឆ្លុះបញ្ជាំងពីលទ្ធផលនៃការធ្វើបង្ហាញផលិតកម្មពូជពោត)</t>
    </r>
  </si>
  <si>
    <r>
      <t xml:space="preserve">Consultation workshop to review the Climate Smart Agriculture​ </t>
    </r>
    <r>
      <rPr>
        <b/>
        <sz val="11"/>
        <rFont val="Khmer OS Content"/>
      </rPr>
      <t>(CSA)</t>
    </r>
    <r>
      <rPr>
        <sz val="11"/>
        <rFont val="Khmer OS Content"/>
      </rPr>
      <t xml:space="preserve"> Manual on Rice, Cassava and Maize (សិក្ខាសាលា​ពិគ្រោះ​យោបល់ ​ដើម្បី​ពិនិត្យ​ឡើង​វិញ​នូវ​គោលការណ៍ណែនាំកសិកម្មវៃឆ្លាត លើដំណាំស្រូវ, ដំឡូងមី និងពោត)</t>
    </r>
  </si>
  <si>
    <r>
      <t xml:space="preserve">Disseminationl workshop on the Climate Smart Agriculture​ </t>
    </r>
    <r>
      <rPr>
        <b/>
        <sz val="11"/>
        <rFont val="Khmer OS Content"/>
      </rPr>
      <t>(CSA)</t>
    </r>
    <r>
      <rPr>
        <sz val="11"/>
        <rFont val="Khmer OS Content"/>
      </rPr>
      <t xml:space="preserve"> Manual on Rice, Cassava and Maize (សិក្ខាសាលាផ្សព្វផ្សាយស្តីពី គោលការណ៍ណែនាំកសិកម្មវៃឆ្លាត លើដំណាំស្រូវ, ដំឡូងមី និងពោត)</t>
    </r>
  </si>
  <si>
    <r>
      <t xml:space="preserve">Translate of the Climate Smart Agriculture​ </t>
    </r>
    <r>
      <rPr>
        <b/>
        <sz val="11"/>
        <rFont val="Khmer OS Content"/>
      </rPr>
      <t>(CSA)</t>
    </r>
    <r>
      <rPr>
        <sz val="11"/>
        <rFont val="Khmer OS Content"/>
      </rPr>
      <t xml:space="preserve"> Manual on Rice, Cassava and Maize
បកប្រែ គោលការណ៍ណែនាំកសិកម្មវៃឆ្លាត លើដំណាំស្រូវ, ដំឡូងមី និងពោត</t>
    </r>
  </si>
  <si>
    <r>
      <t xml:space="preserve">Publication of the Climate Smart Agriculture​ </t>
    </r>
    <r>
      <rPr>
        <b/>
        <sz val="11"/>
        <rFont val="Khmer OS Content"/>
      </rPr>
      <t>(CSA)</t>
    </r>
    <r>
      <rPr>
        <sz val="11"/>
        <rFont val="Khmer OS Content"/>
      </rPr>
      <t xml:space="preserve"> Manual on Rice, Cassava and Maize
ការបោះពុម្ភ គោលការណ៍ណែនាំកសិកម្មវៃឆ្លាត លើដំណាំស្រូវ, ដំឡូងមី និងពោត</t>
    </r>
  </si>
  <si>
    <r>
      <t>Technical meeting group to review the Sustainable Rice Platform</t>
    </r>
    <r>
      <rPr>
        <b/>
        <sz val="11"/>
        <rFont val="Khmer OS Content"/>
      </rPr>
      <t xml:space="preserve"> </t>
    </r>
    <r>
      <rPr>
        <sz val="11"/>
        <rFont val="Khmer OS Content"/>
      </rPr>
      <t>globle manual (ប្រជុំក្រុមការងារ បច្ចេកទេសត្រួតពិនិត្យគោលការណ៍ស្តង់ដារផលិតកម្មស្រូវប្រកបដោយនិរន្តរភាព)</t>
    </r>
  </si>
  <si>
    <r>
      <t xml:space="preserve">Dissemination workshop with stakeholders to review the technical standard of </t>
    </r>
    <r>
      <rPr>
        <b/>
        <sz val="11"/>
        <rFont val="Khmer OS Content"/>
      </rPr>
      <t>SRP (</t>
    </r>
    <r>
      <rPr>
        <sz val="11"/>
        <rFont val="Khmer OS Content"/>
      </rPr>
      <t>សិក្ខាសាលាផ្សព្វផ្សាយជាមួយនឹងអ្នកពាក់ព័ន្ធ ដើម្បីត្រួតពិនិត្យស្តង់ដារបច្ចេកទេសផលិតកម្មស្រូវប្រកបដោយនិរន្តរភាព)</t>
    </r>
  </si>
  <si>
    <r>
      <t xml:space="preserve">Translation the endorse​ technical standard of </t>
    </r>
    <r>
      <rPr>
        <b/>
        <sz val="11"/>
        <rFont val="Khmer OS Content"/>
      </rPr>
      <t>SRP</t>
    </r>
    <r>
      <rPr>
        <sz val="11"/>
        <rFont val="Khmer OS Content"/>
      </rPr>
      <t xml:space="preserve"> (ការបកប្រែ សៀវភៅណែនាំបច្ចេកទេសស្តីពី ស្តង់ដារផលិតកម្មស្រូវប្រកបដោយនិរន្តរភាព)</t>
    </r>
  </si>
  <si>
    <r>
      <t xml:space="preserve">Publication the technical standard of </t>
    </r>
    <r>
      <rPr>
        <b/>
        <sz val="11"/>
        <rFont val="Khmer OS Content"/>
      </rPr>
      <t>SRP</t>
    </r>
    <r>
      <rPr>
        <sz val="11"/>
        <rFont val="Khmer OS Content"/>
      </rPr>
      <t xml:space="preserve"> (បោះពុម្ព សៀវភៅណែនាំបច្ចេកទេស ស្តីពី
ស្តង់ដារបច្ចេកទេសផលិតកម្មស្រូវប្រកបដោយនិរន្តរភាព)</t>
    </r>
  </si>
  <si>
    <r>
      <t xml:space="preserve">Meetings with technical working group of CamGAP
</t>
    </r>
    <r>
      <rPr>
        <sz val="11"/>
        <rFont val="Khmer OS Content"/>
      </rPr>
      <t>ប្រជុំជាមួយក្រុមការងារបច្ចេកទេសស្តីពី ស្តង់ដារនៃការអនុវត្តកសិកម្មល្អកម្ពុជា</t>
    </r>
  </si>
  <si>
    <r>
      <t>Conduct public consultation workshop with stakeholders to review and endoresment of  CamGAP Standards (</t>
    </r>
    <r>
      <rPr>
        <sz val="11"/>
        <rFont val="Khmer OS Battambang"/>
      </rPr>
      <t>សិក្ខាសាលាពិគ្រោះយោបល់ជាមួយភាគីពាក់ពន្ធ័ដើម្បីពិនិ្យ និងឯកភាពការណែនាំពីបទដ្ឋានអនុវត្តកសិកម្មល្អកម្ពុជា)</t>
    </r>
  </si>
  <si>
    <r>
      <t xml:space="preserve">Workshop on Dissemination and Compliance of CamGAP Standards (IA Project, Public and Private Stakeholders)
</t>
    </r>
    <r>
      <rPr>
        <sz val="11"/>
        <rFont val="Khmer OS Content"/>
      </rPr>
      <t>សិក្ខាសាលាផ្សព្វផ្សាយ និងអនុលោមស្តង់ដាការអនុវត្តន៌កសិកម្មល្អកម្ពុជា</t>
    </r>
  </si>
  <si>
    <r>
      <t xml:space="preserve">Translation of CAMGAP the endorse the standards of CamGAP 
</t>
    </r>
    <r>
      <rPr>
        <sz val="11"/>
        <rFont val="Khmer OS Content"/>
      </rPr>
      <t>ការបកប្រែឯកសារគោលការណ៍ការណែនាំពីបទដ្ឋានអនុវត្តកសិកម្មល្អកម្ពុជា</t>
    </r>
  </si>
  <si>
    <r>
      <t xml:space="preserve">Public the tropical Fruit CamGAP Standards 
</t>
    </r>
    <r>
      <rPr>
        <sz val="11"/>
        <rFont val="Khmer OS Content"/>
      </rPr>
      <t>ការបោះពុម្ពសៀវភៅគោលការណ៍ការណែនាំពីបទដ្ឋានអនុវត្តកសិកម្មល្អកម្ពុជា</t>
    </r>
  </si>
  <si>
    <r>
      <t xml:space="preserve">Setting up CamGAP Demostation farm on Mango
</t>
    </r>
    <r>
      <rPr>
        <sz val="11"/>
        <rFont val="Khmer OS Content"/>
      </rPr>
      <t>រៀបចំចម្ការបង្ហាញនៃការអនុវត្តកសិកម្មល្អកម្ពុជាលើដំណាំស្វាយ</t>
    </r>
  </si>
  <si>
    <r>
      <t xml:space="preserve">Farm Inspection, Auditing, Collection Simple (Testing Products), CamGAP Farm Registration
</t>
    </r>
    <r>
      <rPr>
        <sz val="11"/>
        <rFont val="Khmer OS Content"/>
      </rPr>
      <t>ការចុះអធិការកិច្ច សវនកម្ម ការប្រមូលសំណាក (តេស្តផលិតផល) និងចុះបញ្ជីចម្ការ​ CamGAP</t>
    </r>
  </si>
  <si>
    <r>
      <t>Project Management &amp; Rural Infrastructure Specialist &amp; Deputy Team Leader (</t>
    </r>
    <r>
      <rPr>
        <sz val="11"/>
        <rFont val="Khmer OS Content"/>
      </rPr>
      <t>អ្នកឯកទេសជាតិផ្នែកហេដ្ឋារចនាសម្ព័ន្ធជនបទនិងគ្រប់គ្រងគម្រោង / អនុប្រធានក្រុម)</t>
    </r>
  </si>
  <si>
    <r>
      <t>Procurement Specialists (MRD, MoWRAM &amp; MAFF each for 18 months) 3 Experts (</t>
    </r>
    <r>
      <rPr>
        <sz val="11"/>
        <rFont val="Khmer OS Content"/>
      </rPr>
      <t>អ្នកឯកទេសជាតិផ្នែកលទ្ធកម្ម (៣ នាក់ សំរាប់ MRD, MoWRAM &amp; MAFF, ១៨ ខែក្នុង ០១នាក់)</t>
    </r>
  </si>
  <si>
    <r>
      <t xml:space="preserve">Financial Management Specialist (MOWRAM and MRD) 2 Experts
</t>
    </r>
    <r>
      <rPr>
        <sz val="11"/>
        <rFont val="Khmer OS Content"/>
      </rPr>
      <t>អ្នកឯកទេសជាតិផ្នែកគ្រប់គ្រងហិរញ្ញវត្ថុ (២ នាក់សំរាប់ MoWRAM និង MRD)</t>
    </r>
  </si>
  <si>
    <r>
      <t xml:space="preserve">Financial Management Specialist (PMU-MAFF)
</t>
    </r>
    <r>
      <rPr>
        <sz val="11"/>
        <rFont val="Khmer OS Content"/>
      </rPr>
      <t>អ្នកឯកទេសជាតិផ្នែកគ្រប់គ្រងហិរញ្ញវត្ថុ (អង្គភាពគ្រប់គ្រងគម្រោង - ក្រសួងកសិកម្ម)</t>
    </r>
  </si>
  <si>
    <r>
      <t xml:space="preserve">Financial management specialist MEF)
</t>
    </r>
    <r>
      <rPr>
        <sz val="11"/>
        <rFont val="Khmer OS Content"/>
      </rPr>
      <t>អ្នកឯកទេសជាតិផ្នែកគ្រប់គ្រងហិរញ្ញវត្ថុ (ក្រសួងសេដ្ឋកិច្ចនិងហិរញ្ញវត្ថុ)</t>
    </r>
  </si>
  <si>
    <r>
      <t xml:space="preserve">Social Development &amp; Gender Specialist
</t>
    </r>
    <r>
      <rPr>
        <sz val="11"/>
        <rFont val="Khmer OS Content"/>
      </rPr>
      <t>អ្នកឯកទេសជាតិផ្នែកយេនឌ័រ និងការអភិវឌ្ឍន៍សង្គម</t>
    </r>
  </si>
  <si>
    <r>
      <t xml:space="preserve">Social Safeguards Specialist </t>
    </r>
    <r>
      <rPr>
        <sz val="11"/>
        <rFont val="Khmer OS Content"/>
      </rPr>
      <t>(អ្នកឯកទេសជាតិផ្នែកសុវត្ថិភាពសង្គម)</t>
    </r>
  </si>
  <si>
    <r>
      <t xml:space="preserve">Environment &amp; Climate Change Specialist 
</t>
    </r>
    <r>
      <rPr>
        <sz val="11"/>
        <rFont val="Khmer OS Content"/>
      </rPr>
      <t>អ្នកឯកទេសជាតិផ្នែកប្រែប្រួលអាកាស់ធាតុនិងបរិស្ថាន</t>
    </r>
  </si>
  <si>
    <r>
      <t>Water Management and Irrigation Engineer - approval of DED and construction supervision (</t>
    </r>
    <r>
      <rPr>
        <sz val="11"/>
        <rFont val="Khmer OS Content"/>
      </rPr>
      <t>វិស្វករផ្នែកធារាសាស្ត្រនិងគ្រប់គ្រងទឹក - ការអនុម័តលើផ្នែកគ្រោងប្លង់លំអិត និងការត្រួតពិនិត្យសំណង់)</t>
    </r>
  </si>
  <si>
    <r>
      <t xml:space="preserve">Cooperative Storage &amp; Rural Roads Engineer - approval of DED and construction supervision </t>
    </r>
    <r>
      <rPr>
        <sz val="11"/>
        <rFont val="Khmer OS Content"/>
      </rPr>
      <t>(វិស្វករផ្នែកផ្លូវជនបទ - ការអនុម័តលើផ្នែកគ្រោងប្លង់លំអិត និងការត្រួតពិនិត្យសំណង់)</t>
    </r>
  </si>
  <si>
    <r>
      <t xml:space="preserve">National M&amp;E expert </t>
    </r>
    <r>
      <rPr>
        <sz val="11"/>
        <rFont val="Khmer OS Content"/>
      </rPr>
      <t>(អ្នកជំនាញជាតិផ្នែកត្រួតពិនិត្យនិងវាយតម្លៃ)</t>
    </r>
  </si>
  <si>
    <r>
      <t>Meeting with technical working group on the guidance of crop insurance (</t>
    </r>
    <r>
      <rPr>
        <sz val="11"/>
        <rFont val="Khmer OS Content"/>
      </rPr>
      <t>ប្រជុំជាមួយនឹងក្រុមការងារបច្ចេកទេសស្តីពីគោលការណ៍ណែនាំ ការធានារ៉ាប់រងដំណាំ)</t>
    </r>
  </si>
  <si>
    <r>
      <t xml:space="preserve">Annual Budget 2024 ('000 USD)  </t>
    </r>
    <r>
      <rPr>
        <b/>
        <sz val="14"/>
        <rFont val="Khmer OS Content"/>
      </rPr>
      <t>ផែនការថវិកាប្រចាំឆ្នាំ ២០២៤</t>
    </r>
  </si>
  <si>
    <r>
      <t xml:space="preserve">Road Taxes (12 Pick-Up Cars) </t>
    </r>
    <r>
      <rPr>
        <sz val="11"/>
        <rFont val="Khmer OS Content"/>
      </rPr>
      <t>/ ពន្ធផ្លូវ (ទ្បានម៉ាក់ Pick-Up ១២ គ្រឿង)</t>
    </r>
  </si>
  <si>
    <r>
      <t xml:space="preserve">Per Diems and DSA for PMU, AIs (43 Staffs +12 driver = 55 Persons "34x10=340$/month") </t>
    </r>
    <r>
      <rPr>
        <sz val="11"/>
        <rFont val="Khmer OS Content"/>
      </rPr>
      <t>ចំណាយថ្លៃស្នាក់នៅនិងអាហារសំរាប់មមន្ត្រីអង្គភាពគ្រប់គ្រងគម្រោង និងភ្នាក់ងារអនុវត្ត</t>
    </r>
  </si>
  <si>
    <r>
      <t xml:space="preserve">Per Diems and DSA (PDAFF  40 persons +4 drivers=44persons "34x2+14*10=208$/month") </t>
    </r>
    <r>
      <rPr>
        <sz val="11"/>
        <rFont val="Khmer OS Content"/>
      </rPr>
      <t>ចំណាយថ្លៃស្នាក់នៅនិងអាហារសំរាប់មមន្ត្រីអង្គភាពអនុវត្តគ្រប់គ្រងគម្រោងថ្នាក់ខេត្តនៃមន្ទីរកសិកម្មខេត្ត</t>
    </r>
  </si>
  <si>
    <r>
      <t xml:space="preserve">Motorbike fuel 
</t>
    </r>
    <r>
      <rPr>
        <sz val="11"/>
        <rFont val="Khmer OS Content"/>
      </rPr>
      <t>ការចំណាយលើថ្លៃប្រេងឥន្ធនៈសំរាប់ម៉ូតូ</t>
    </r>
  </si>
  <si>
    <r>
      <t xml:space="preserve">Vehicle Operating Costs (15 Vehicles "500$/month/vehicle")
</t>
    </r>
    <r>
      <rPr>
        <sz val="11"/>
        <rFont val="Khmer OS Content"/>
      </rPr>
      <t xml:space="preserve">ការចំណាយលើការប្រើប្រាស់ប្រេងឥន្ធនៈសម្រាប់យានយន្ត </t>
    </r>
  </si>
  <si>
    <r>
      <t>Laser land levelling for​ 418 ha (</t>
    </r>
    <r>
      <rPr>
        <sz val="11"/>
        <rFont val="Khmer OS Content"/>
      </rPr>
      <t>ការកៀរពង្រាបដីដោយប្រើប្រាស់ប្រព័ន្ធទ្បាស៊ែរ)</t>
    </r>
  </si>
  <si>
    <t>Approved</t>
  </si>
  <si>
    <t>Draft 27.2.24</t>
  </si>
  <si>
    <t>1.4.8.1</t>
  </si>
  <si>
    <r>
      <t>Installation and commissioning of 750 biodigesters and 750 Compost-huts      
(</t>
    </r>
    <r>
      <rPr>
        <sz val="11"/>
        <color rgb="FF002060"/>
        <rFont val="Khmer OS Battambang"/>
      </rPr>
      <t>សង់ឡជីវឧស្ម័នចំនួន ៦០០ឡ និង​រោងជី​ ៦០០)</t>
    </r>
    <r>
      <rPr>
        <sz val="11"/>
        <color rgb="FF002060"/>
        <rFont val="Arial"/>
        <family val="2"/>
      </rPr>
      <t xml:space="preserve"> Kampot</t>
    </r>
  </si>
  <si>
    <r>
      <t>Installation and commissioning of 750 biodigesters and 750 Compost-huts 
(</t>
    </r>
    <r>
      <rPr>
        <sz val="11"/>
        <color rgb="FF002060"/>
        <rFont val="Khmer OS Battambang"/>
      </rPr>
      <t>សង់ឡជីវឧស្ម័នចំនួន ៦០០ឡ និង​រោងជី​ ៦០០)</t>
    </r>
    <r>
      <rPr>
        <sz val="11"/>
        <color rgb="FF002060"/>
        <rFont val="Arial"/>
        <family val="2"/>
      </rPr>
      <t xml:space="preserve"> Takeo</t>
    </r>
  </si>
  <si>
    <r>
      <t>Installation and commissioning of 750 biodigesters and 750 Compost-huts 
(</t>
    </r>
    <r>
      <rPr>
        <sz val="11"/>
        <color rgb="FF002060"/>
        <rFont val="Khmer OS Battambang"/>
      </rPr>
      <t>សង់ឡជីវឧស្ម័នចំនួន ៦០០ឡ និង​រោងជី​ ៦០០)</t>
    </r>
    <r>
      <rPr>
        <sz val="11"/>
        <color rgb="FF002060"/>
        <rFont val="Arial"/>
        <family val="2"/>
      </rPr>
      <t xml:space="preserve"> Kampong Cham</t>
    </r>
  </si>
  <si>
    <r>
      <t>Installation and commissioning of 750 biodigesters and 750 Compost-huts 
(</t>
    </r>
    <r>
      <rPr>
        <sz val="11"/>
        <color rgb="FF002060"/>
        <rFont val="Khmer OS Battambang"/>
      </rPr>
      <t>សង់ឡជីវឧស្ម័នចំនួន ៦០០ឡ និង​រោងជី​ ៦០០)</t>
    </r>
    <r>
      <rPr>
        <sz val="11"/>
        <color rgb="FF002060"/>
        <rFont val="Arial"/>
        <family val="2"/>
      </rPr>
      <t xml:space="preserve"> Tboung Khmum</t>
    </r>
  </si>
  <si>
    <r>
      <t xml:space="preserve">Office Operating Costs for PMU and Ias (Reproduction Supplies, Office Maintainance, and Utilities)                                                                            
</t>
    </r>
    <r>
      <rPr>
        <sz val="11"/>
        <rFont val="Khmer OS Content"/>
      </rPr>
      <t>ការចំណាយលើប្រតិបត្តិការការិយាល័យ (បូករួមទាំងប្រាក់ខែសំរាប់អ្នកអនាម័យនិងអ្នកបើកបរ</t>
    </r>
  </si>
  <si>
    <r>
      <t xml:space="preserve">Office Operating Costs for PPIUs 
</t>
    </r>
    <r>
      <rPr>
        <sz val="11"/>
        <rFont val="Khmer OS Content"/>
      </rPr>
      <t>ការចំណាយលើប្រតិបត្តិការការិយាល័យសម្រាប់អង្គភាពអនុវត្តគម្រោង</t>
    </r>
  </si>
  <si>
    <r>
      <t xml:space="preserve">2 cleaners
</t>
    </r>
    <r>
      <rPr>
        <sz val="11"/>
        <rFont val="Khmer OS Content"/>
      </rPr>
      <t>ប្រាក់ខែសំរាប់អ្នកអនាម័យ</t>
    </r>
  </si>
  <si>
    <t>Per page</t>
  </si>
  <si>
    <t>AWPB 2024 for MAFF</t>
  </si>
  <si>
    <t>e.1</t>
  </si>
  <si>
    <t>e.2</t>
  </si>
  <si>
    <t>e.3</t>
  </si>
  <si>
    <t>e.4</t>
  </si>
  <si>
    <r>
      <t xml:space="preserve">10 drivers
10 </t>
    </r>
    <r>
      <rPr>
        <sz val="11"/>
        <rFont val="Khmer OS Content"/>
      </rPr>
      <t>អ្នកបើកបរ</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</si>
</sst>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0.0%"/>
    <numFmt numFmtId="167" formatCode="_(* #,##0_);_(* \(#,##0\);_(* &quot;-&quot;??_);_(@_)"/>
    <numFmt numFmtId="168" formatCode="_-* #,##0_-;\-* #,##0_-;_-* &quot;-&quot;??_-;_-@_-"/>
    <numFmt numFmtId="169" formatCode="#,##0.0"/>
    <numFmt numFmtId="170" formatCode="_-* #,##0.00_-;\-* #,##0.00_-;_-* &quot;-&quot;_-;_-@_-"/>
    <numFmt numFmtId="171" formatCode="_-* #,##0.0_-;\-* #,##0.0_-;_-* &quot;-&quot;??_-;_-@_-"/>
    <numFmt numFmtId="172" formatCode="_-* #,##0.0_-;\-* #,##0.0_-;_-* &quot;-&quot;?_-;_-@_-"/>
    <numFmt numFmtId="173" formatCode="_-* #,##0.000_-;\-* #,##0.000_-;_-* &quot;-&quot;??_-;_-@_-"/>
    <numFmt numFmtId="174" formatCode="#,##0.000"/>
    <numFmt numFmtId="175" formatCode="_(* #,##0.000_);_(* \(#,##0.000\);_(* &quot;-&quot;??_);_(@_)"/>
    <numFmt numFmtId="176" formatCode="_-* #,##0.00000_-;\-* #,##0.00000_-;_-* &quot;-&quot;??_-;_-@_-"/>
    <numFmt numFmtId="177" formatCode="0.000"/>
    <numFmt numFmtId="178" formatCode="00"/>
    <numFmt numFmtId="179" formatCode="_-* #,##0.00_-;\-* #,##0.00_-;_-* &quot;-&quot;?_-;_-@_-"/>
    <numFmt numFmtId="180" formatCode="_-* #,##0.0000_-;\-* #,##0.0000_-;_-* &quot;-&quot;??_-;_-@_-"/>
    <numFmt numFmtId="181" formatCode="_(* #,##0.0_);_(* \(#,##0.0\);_(* &quot;-&quot;?_);_(@_)"/>
    <numFmt numFmtId="182" formatCode="0.000%"/>
    <numFmt numFmtId="183" formatCode="_(* #,##0.0_);_(* \(#,##0.0\);_(* &quot;-&quot;??_);_(@_)"/>
    <numFmt numFmtId="184" formatCode="#,##0.00000"/>
    <numFmt numFmtId="185" formatCode="#,##0.00000000"/>
    <numFmt numFmtId="186" formatCode="#,##0.0000000"/>
    <numFmt numFmtId="187" formatCode="_(* #,##0.00_);_(* \(#,##0.00\);_(* &quot;-&quot;????_);_(@_)"/>
    <numFmt numFmtId="188" formatCode="_-* #,##0.000_-;\-* #,##0.000_-;_-* &quot;-&quot;?_-;_-@_-"/>
    <numFmt numFmtId="189" formatCode="0.0000"/>
    <numFmt numFmtId="190" formatCode="_(* #,##0.0000_);_(* \(#,##0.0000\);_(* &quot;-&quot;??_);_(@_)"/>
    <numFmt numFmtId="191" formatCode="#,##0.0000"/>
    <numFmt numFmtId="192" formatCode="_-* #,##0.0000_-;\-* #,##0.0000_-;_-* &quot;-&quot;_-;_-@_-"/>
    <numFmt numFmtId="193" formatCode="_-* #,##0.0000_-;\-* #,##0.0000_-;_-* &quot;-&quot;?_-;_-@_-"/>
    <numFmt numFmtId="194" formatCode="_(* #,##0.00000_);_(* \(#,##0.00000\);_(* &quot;-&quot;??_);_(@_)"/>
    <numFmt numFmtId="195" formatCode="_-* #,##0.000000_-;\-* #,##0.000000_-;_-* &quot;-&quot;??_-;_-@_-"/>
    <numFmt numFmtId="196" formatCode="_(* #,##0.000000_);_(* \(#,##0.000000\);_(* &quot;-&quot;??_);_(@_)"/>
  </numFmts>
  <fonts count="221">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b/>
      <sz val="10"/>
      <color theme="1"/>
      <name val="Calibri"/>
      <family val="2"/>
    </font>
    <font>
      <sz val="10"/>
      <name val="Calibri"/>
      <family val="2"/>
    </font>
    <font>
      <b/>
      <sz val="10"/>
      <name val="Calibri"/>
      <family val="2"/>
    </font>
    <font>
      <sz val="10"/>
      <color theme="1"/>
      <name val="Calibri"/>
      <family val="2"/>
      <scheme val="minor"/>
    </font>
    <font>
      <sz val="10"/>
      <name val="Arial Narrow"/>
      <family val="2"/>
    </font>
    <font>
      <sz val="10"/>
      <color theme="1"/>
      <name val="Arial Narrow"/>
      <family val="2"/>
    </font>
    <font>
      <b/>
      <sz val="10"/>
      <name val="Arial Narrow"/>
      <family val="2"/>
    </font>
    <font>
      <sz val="10"/>
      <color rgb="FF0000FF"/>
      <name val="Arial Narrow"/>
      <family val="2"/>
    </font>
    <font>
      <sz val="11"/>
      <name val="Arial"/>
      <family val="2"/>
    </font>
    <font>
      <sz val="10"/>
      <color rgb="FFFF0000"/>
      <name val="Calibri"/>
      <family val="2"/>
    </font>
    <font>
      <sz val="10"/>
      <name val="Arial"/>
      <family val="2"/>
    </font>
    <font>
      <b/>
      <sz val="10"/>
      <name val="Arial"/>
      <family val="2"/>
    </font>
    <font>
      <sz val="10"/>
      <color rgb="FF002060"/>
      <name val="Arial Narrow"/>
      <family val="2"/>
    </font>
    <font>
      <sz val="10"/>
      <color rgb="FF0070C0"/>
      <name val="Arial Narrow"/>
      <family val="2"/>
    </font>
    <font>
      <i/>
      <sz val="10"/>
      <color rgb="FF0070C0"/>
      <name val="Arial Narrow"/>
      <family val="2"/>
    </font>
    <font>
      <sz val="10"/>
      <color rgb="FF002060"/>
      <name val="Arial"/>
      <family val="2"/>
    </font>
    <font>
      <sz val="10"/>
      <color rgb="FFFF0000"/>
      <name val="Arial"/>
      <family val="2"/>
    </font>
    <font>
      <i/>
      <sz val="10"/>
      <name val="Arial"/>
      <family val="2"/>
    </font>
    <font>
      <b/>
      <i/>
      <sz val="10"/>
      <name val="Arial"/>
      <family val="2"/>
    </font>
    <font>
      <b/>
      <u/>
      <sz val="10"/>
      <name val="Arial"/>
      <family val="2"/>
    </font>
    <font>
      <b/>
      <sz val="11"/>
      <name val="Arial"/>
      <family val="2"/>
    </font>
    <font>
      <sz val="10"/>
      <color rgb="FF0070C0"/>
      <name val="Arial"/>
      <family val="2"/>
    </font>
    <font>
      <i/>
      <sz val="10"/>
      <color rgb="FF0070C0"/>
      <name val="Arial"/>
      <family val="2"/>
    </font>
    <font>
      <b/>
      <sz val="10"/>
      <color rgb="FF002060"/>
      <name val="Arial"/>
      <family val="2"/>
    </font>
    <font>
      <b/>
      <sz val="10"/>
      <color rgb="FF0070C0"/>
      <name val="Arial"/>
      <family val="2"/>
    </font>
    <font>
      <sz val="10"/>
      <color rgb="FF0000FF"/>
      <name val="Arial"/>
      <family val="2"/>
    </font>
    <font>
      <b/>
      <sz val="10"/>
      <color rgb="FF0000FF"/>
      <name val="Arial"/>
      <family val="2"/>
    </font>
    <font>
      <b/>
      <sz val="10"/>
      <color rgb="FFFF0000"/>
      <name val="Arial"/>
      <family val="2"/>
    </font>
    <font>
      <b/>
      <sz val="9"/>
      <name val="Arial"/>
      <family val="2"/>
    </font>
    <font>
      <sz val="9"/>
      <name val="Arial"/>
      <family val="2"/>
    </font>
    <font>
      <i/>
      <sz val="10"/>
      <color rgb="FFFF0000"/>
      <name val="Arial"/>
      <family val="2"/>
    </font>
    <font>
      <sz val="10"/>
      <color rgb="FFFF0000"/>
      <name val="Arial Narrow"/>
      <family val="2"/>
    </font>
    <font>
      <b/>
      <i/>
      <sz val="10"/>
      <color rgb="FFFF0000"/>
      <name val="Arial"/>
      <family val="2"/>
    </font>
    <font>
      <b/>
      <sz val="10"/>
      <color rgb="FFFF0000"/>
      <name val="Arial Narrow"/>
      <family val="2"/>
    </font>
    <font>
      <sz val="9"/>
      <color indexed="81"/>
      <name val="Tahoma"/>
      <family val="2"/>
    </font>
    <font>
      <sz val="10"/>
      <color theme="1"/>
      <name val="Arial"/>
      <family val="2"/>
    </font>
    <font>
      <b/>
      <sz val="10"/>
      <color rgb="FFFF0000"/>
      <name val="Calibri"/>
      <family val="2"/>
    </font>
    <font>
      <b/>
      <sz val="13"/>
      <name val="Calibri"/>
      <family val="2"/>
    </font>
    <font>
      <b/>
      <sz val="16"/>
      <name val="Calibri"/>
      <family val="2"/>
    </font>
    <font>
      <b/>
      <u/>
      <sz val="10"/>
      <color rgb="FFFF0000"/>
      <name val="CG Omega"/>
      <family val="2"/>
    </font>
    <font>
      <b/>
      <sz val="9"/>
      <color rgb="FFFF0000"/>
      <name val="Arial"/>
      <family val="2"/>
    </font>
    <font>
      <sz val="10"/>
      <color indexed="13"/>
      <name val="Arial"/>
      <family val="2"/>
    </font>
    <font>
      <b/>
      <sz val="12"/>
      <name val="Arial"/>
      <family val="2"/>
    </font>
    <font>
      <b/>
      <i/>
      <sz val="10"/>
      <color rgb="FF0070C0"/>
      <name val="Arial"/>
      <family val="2"/>
    </font>
    <font>
      <sz val="9"/>
      <name val="Arial Narrow"/>
      <family val="2"/>
    </font>
    <font>
      <sz val="8"/>
      <name val="Calibri"/>
      <family val="2"/>
    </font>
    <font>
      <b/>
      <sz val="11"/>
      <color rgb="FFFF0000"/>
      <name val="Arial"/>
      <family val="2"/>
    </font>
    <font>
      <b/>
      <sz val="12"/>
      <color rgb="FF002060"/>
      <name val="Arial"/>
      <family val="2"/>
    </font>
    <font>
      <b/>
      <sz val="12"/>
      <color theme="1"/>
      <name val="Calibri"/>
      <family val="2"/>
    </font>
    <font>
      <b/>
      <sz val="12"/>
      <name val="Arial Narrow"/>
      <family val="2"/>
    </font>
    <font>
      <sz val="10"/>
      <color theme="0"/>
      <name val="Arial"/>
      <family val="2"/>
    </font>
    <font>
      <i/>
      <sz val="10"/>
      <color theme="0"/>
      <name val="Arial"/>
      <family val="2"/>
    </font>
    <font>
      <b/>
      <sz val="10"/>
      <color rgb="FF0070C0"/>
      <name val="Arial Narrow"/>
      <family val="2"/>
    </font>
    <font>
      <sz val="11"/>
      <color rgb="FFFF0000"/>
      <name val="Calibri"/>
      <family val="2"/>
      <scheme val="minor"/>
    </font>
    <font>
      <b/>
      <sz val="11"/>
      <color theme="1"/>
      <name val="Calibri"/>
      <family val="2"/>
      <scheme val="minor"/>
    </font>
    <font>
      <b/>
      <sz val="12"/>
      <color theme="1"/>
      <name val="Calibri"/>
      <family val="2"/>
      <scheme val="minor"/>
    </font>
    <font>
      <sz val="11"/>
      <color rgb="FF0070C0"/>
      <name val="Calibri"/>
      <family val="2"/>
      <scheme val="minor"/>
    </font>
    <font>
      <b/>
      <sz val="9"/>
      <color indexed="81"/>
      <name val="Tahoma"/>
      <family val="2"/>
    </font>
    <font>
      <b/>
      <i/>
      <sz val="10"/>
      <color theme="1"/>
      <name val="Calibri"/>
      <family val="2"/>
    </font>
    <font>
      <b/>
      <sz val="10"/>
      <color theme="1"/>
      <name val="Arial"/>
      <family val="2"/>
    </font>
    <font>
      <sz val="9"/>
      <color rgb="FFFF0000"/>
      <name val="Arial Narrow"/>
      <family val="2"/>
    </font>
    <font>
      <sz val="12"/>
      <color rgb="FF002060"/>
      <name val="Arial"/>
      <family val="2"/>
    </font>
    <font>
      <sz val="12"/>
      <color theme="1"/>
      <name val="Arial Narrow"/>
      <family val="2"/>
    </font>
    <font>
      <b/>
      <sz val="10"/>
      <name val="Khmer OS Content"/>
    </font>
    <font>
      <b/>
      <sz val="11"/>
      <name val="Khmer OS Content"/>
    </font>
    <font>
      <b/>
      <sz val="12"/>
      <name val="Khmer OS Content"/>
    </font>
    <font>
      <sz val="12"/>
      <name val="Khmer OS Muol"/>
    </font>
    <font>
      <sz val="11"/>
      <name val="Khmer OS Content"/>
    </font>
    <font>
      <sz val="11"/>
      <name val="Arial Narrow"/>
      <family val="2"/>
    </font>
    <font>
      <sz val="11"/>
      <color rgb="FFFF0000"/>
      <name val="Arial Narrow"/>
      <family val="2"/>
    </font>
    <font>
      <sz val="11"/>
      <color rgb="FFFF0000"/>
      <name val="Arial"/>
      <family val="2"/>
    </font>
    <font>
      <sz val="11"/>
      <color theme="1"/>
      <name val="Arial"/>
      <family val="2"/>
    </font>
    <font>
      <sz val="11"/>
      <name val="Khmer OS Battambang"/>
    </font>
    <font>
      <b/>
      <sz val="11"/>
      <color rgb="FFFF0000"/>
      <name val="Khmer OS Content"/>
    </font>
    <font>
      <b/>
      <sz val="11"/>
      <color rgb="FFFF0000"/>
      <name val="Khmer OS Battambang"/>
    </font>
    <font>
      <sz val="11"/>
      <color rgb="FF0000FF"/>
      <name val="Arial"/>
      <family val="2"/>
    </font>
    <font>
      <sz val="11"/>
      <color rgb="FF0000FF"/>
      <name val="Khmer OS Content"/>
    </font>
    <font>
      <b/>
      <sz val="11"/>
      <color rgb="FF002060"/>
      <name val="Arial"/>
      <family val="2"/>
    </font>
    <font>
      <b/>
      <sz val="11"/>
      <color rgb="FF0000FF"/>
      <name val="Arial"/>
      <family val="2"/>
    </font>
    <font>
      <i/>
      <sz val="11"/>
      <color rgb="FF0070C0"/>
      <name val="Arial"/>
      <family val="2"/>
    </font>
    <font>
      <sz val="11"/>
      <color rgb="FF0070C0"/>
      <name val="Arial"/>
      <family val="2"/>
    </font>
    <font>
      <b/>
      <sz val="11"/>
      <color rgb="FFFF0000"/>
      <name val="Arial Narrow"/>
      <family val="2"/>
    </font>
    <font>
      <sz val="11"/>
      <color rgb="FF002060"/>
      <name val="Arial"/>
      <family val="2"/>
    </font>
    <font>
      <b/>
      <sz val="11"/>
      <color rgb="FF0070C0"/>
      <name val="Arial"/>
      <family val="2"/>
    </font>
    <font>
      <b/>
      <i/>
      <sz val="11"/>
      <color rgb="FFFF0000"/>
      <name val="Arial"/>
      <family val="2"/>
    </font>
    <font>
      <b/>
      <i/>
      <sz val="11"/>
      <color rgb="FF0070C0"/>
      <name val="Arial"/>
      <family val="2"/>
    </font>
    <font>
      <b/>
      <sz val="11"/>
      <name val="Arial Narrow"/>
      <family val="2"/>
    </font>
    <font>
      <b/>
      <i/>
      <sz val="11"/>
      <name val="Arial"/>
      <family val="2"/>
    </font>
    <font>
      <sz val="11"/>
      <name val="Khmer OS Content"/>
      <family val="2"/>
    </font>
    <font>
      <b/>
      <sz val="11"/>
      <color theme="1"/>
      <name val="Arial"/>
      <family val="2"/>
    </font>
    <font>
      <b/>
      <sz val="11"/>
      <color theme="4" tint="-0.249977111117893"/>
      <name val="Arial"/>
      <family val="2"/>
    </font>
    <font>
      <sz val="11"/>
      <color theme="4" tint="-0.249977111117893"/>
      <name val="Arial"/>
      <family val="2"/>
    </font>
    <font>
      <b/>
      <sz val="11"/>
      <name val="Khmer OS Content"/>
      <family val="2"/>
    </font>
    <font>
      <b/>
      <i/>
      <sz val="11"/>
      <color rgb="FFFF0000"/>
      <name val="Khmer OS Content"/>
    </font>
    <font>
      <i/>
      <sz val="11"/>
      <color rgb="FFFF0000"/>
      <name val="Arial"/>
      <family val="2"/>
    </font>
    <font>
      <b/>
      <sz val="10"/>
      <color theme="1"/>
      <name val="Calibri"/>
      <family val="2"/>
      <scheme val="minor"/>
    </font>
    <font>
      <b/>
      <sz val="11"/>
      <name val="Khmer OS Battambang"/>
    </font>
    <font>
      <b/>
      <sz val="11"/>
      <color theme="1"/>
      <name val="Calibri"/>
      <family val="3"/>
      <charset val="128"/>
      <scheme val="minor"/>
    </font>
    <font>
      <b/>
      <sz val="11"/>
      <color theme="1"/>
      <name val="Khmer OS Battambang"/>
    </font>
    <font>
      <i/>
      <sz val="11"/>
      <name val="Arial"/>
      <family val="2"/>
    </font>
    <font>
      <b/>
      <sz val="11"/>
      <color theme="1"/>
      <name val="Khmer OS Content"/>
    </font>
    <font>
      <sz val="11"/>
      <color rgb="FF0000FF"/>
      <name val="Arial Narrow"/>
      <family val="2"/>
    </font>
    <font>
      <b/>
      <sz val="11"/>
      <color rgb="FF0070C0"/>
      <name val="Khmer OS Content"/>
    </font>
    <font>
      <sz val="11"/>
      <color theme="1"/>
      <name val="Calibri"/>
      <family val="2"/>
    </font>
    <font>
      <b/>
      <u/>
      <sz val="11"/>
      <name val="Arial"/>
      <family val="2"/>
    </font>
    <font>
      <sz val="11"/>
      <color rgb="FF0070C0"/>
      <name val="Arial Narrow"/>
      <family val="2"/>
    </font>
    <font>
      <i/>
      <sz val="11"/>
      <color rgb="FF0070C0"/>
      <name val="Arial Narrow"/>
      <family val="2"/>
    </font>
    <font>
      <sz val="11"/>
      <color rgb="FF00B0F0"/>
      <name val="Arial"/>
      <family val="2"/>
    </font>
    <font>
      <sz val="11"/>
      <color rgb="FF00B0F0"/>
      <name val="Arial Narrow"/>
      <family val="2"/>
    </font>
    <font>
      <b/>
      <i/>
      <sz val="9"/>
      <name val="Arial"/>
      <family val="2"/>
    </font>
    <font>
      <b/>
      <i/>
      <sz val="8"/>
      <name val="Arial"/>
      <family val="2"/>
    </font>
    <font>
      <b/>
      <u/>
      <sz val="11"/>
      <color theme="9" tint="-0.249977111117893"/>
      <name val="Arial"/>
      <family val="2"/>
    </font>
    <font>
      <sz val="10"/>
      <color rgb="FF00B0F0"/>
      <name val="Arial"/>
      <family val="2"/>
    </font>
    <font>
      <b/>
      <sz val="10"/>
      <color rgb="FF0000FF"/>
      <name val="Arial Narrow"/>
      <family val="2"/>
    </font>
    <font>
      <b/>
      <sz val="8"/>
      <color rgb="FFFF0000"/>
      <name val="Arial"/>
      <family val="2"/>
    </font>
    <font>
      <sz val="12"/>
      <color theme="1"/>
      <name val="Calibri"/>
      <family val="2"/>
      <scheme val="minor"/>
    </font>
    <font>
      <b/>
      <sz val="11"/>
      <color indexed="81"/>
      <name val="Tahoma"/>
      <family val="2"/>
    </font>
    <font>
      <sz val="10"/>
      <color theme="1"/>
      <name val="Khmer OS Battambang"/>
    </font>
    <font>
      <i/>
      <sz val="11"/>
      <color rgb="FF0000FF"/>
      <name val="Arial"/>
      <family val="2"/>
    </font>
    <font>
      <b/>
      <sz val="11"/>
      <color rgb="FF0000FF"/>
      <name val="Arial Narrow"/>
      <family val="2"/>
    </font>
    <font>
      <sz val="11"/>
      <color rgb="FFC00000"/>
      <name val="Arial"/>
      <family val="2"/>
    </font>
    <font>
      <b/>
      <sz val="11"/>
      <color rgb="FFC00000"/>
      <name val="Arial"/>
      <family val="2"/>
    </font>
    <font>
      <sz val="11"/>
      <color rgb="FF006600"/>
      <name val="Arial"/>
      <family val="2"/>
    </font>
    <font>
      <b/>
      <sz val="11"/>
      <color rgb="FF006600"/>
      <name val="Arial"/>
      <family val="2"/>
    </font>
    <font>
      <sz val="11"/>
      <color rgb="FF006600"/>
      <name val="Khmer OS Content"/>
    </font>
    <font>
      <i/>
      <sz val="11"/>
      <color rgb="FF006600"/>
      <name val="Arial"/>
      <family val="2"/>
    </font>
    <font>
      <sz val="11"/>
      <color rgb="FF006600"/>
      <name val="Arial Narrow"/>
      <family val="2"/>
    </font>
    <font>
      <b/>
      <sz val="11"/>
      <color rgb="FF006600"/>
      <name val="Arial Narrow"/>
      <family val="2"/>
    </font>
    <font>
      <b/>
      <sz val="11"/>
      <color rgb="FF0000FF"/>
      <name val="Khmer OS Content"/>
    </font>
    <font>
      <b/>
      <i/>
      <sz val="10"/>
      <color rgb="FF0000FF"/>
      <name val="Arial Narrow"/>
      <family val="2"/>
    </font>
    <font>
      <b/>
      <i/>
      <sz val="11"/>
      <color rgb="FF0000FF"/>
      <name val="Arial"/>
      <family val="2"/>
    </font>
    <font>
      <i/>
      <sz val="11"/>
      <color rgb="FF002060"/>
      <name val="Arial"/>
      <family val="2"/>
    </font>
    <font>
      <sz val="11"/>
      <color rgb="FF002060"/>
      <name val="Arial Narrow"/>
      <family val="2"/>
    </font>
    <font>
      <b/>
      <sz val="11"/>
      <color rgb="FF002060"/>
      <name val="Arial Narrow"/>
      <family val="2"/>
    </font>
    <font>
      <sz val="11"/>
      <color rgb="FF002060"/>
      <name val="Khmer OS Battambang"/>
    </font>
    <font>
      <sz val="10"/>
      <color rgb="FF0000FF"/>
      <name val="Calibri"/>
      <family val="2"/>
    </font>
    <font>
      <b/>
      <sz val="14"/>
      <color theme="1"/>
      <name val="Calibri"/>
      <family val="2"/>
    </font>
    <font>
      <b/>
      <sz val="14"/>
      <color rgb="FF0000FF"/>
      <name val="Calibri"/>
      <family val="2"/>
    </font>
    <font>
      <b/>
      <sz val="12"/>
      <color rgb="FF0000FF"/>
      <name val="Calibri"/>
      <family val="2"/>
    </font>
    <font>
      <sz val="12"/>
      <color theme="1"/>
      <name val="Calibri"/>
      <family val="2"/>
    </font>
    <font>
      <b/>
      <sz val="12"/>
      <color theme="1"/>
      <name val="Khmer OS Content"/>
    </font>
    <font>
      <b/>
      <sz val="12"/>
      <color rgb="FF003300"/>
      <name val="Khmer OS Content"/>
    </font>
    <font>
      <b/>
      <sz val="14"/>
      <color rgb="FF660033"/>
      <name val="Calibri"/>
      <family val="2"/>
    </font>
    <font>
      <sz val="11"/>
      <color rgb="FF003300"/>
      <name val="Arial"/>
      <family val="2"/>
    </font>
    <font>
      <b/>
      <sz val="11"/>
      <color rgb="FF003300"/>
      <name val="Arial"/>
      <family val="2"/>
    </font>
    <font>
      <sz val="11"/>
      <color rgb="FF003300"/>
      <name val="Khmer OS Content"/>
    </font>
    <font>
      <sz val="11"/>
      <color rgb="FF003300"/>
      <name val="Arial Narrow"/>
      <family val="2"/>
    </font>
    <font>
      <b/>
      <sz val="11"/>
      <color rgb="FF003300"/>
      <name val="Arial Narrow"/>
      <family val="2"/>
    </font>
    <font>
      <sz val="9"/>
      <color theme="1"/>
      <name val="Arial Narrow"/>
      <family val="2"/>
    </font>
    <font>
      <b/>
      <u/>
      <sz val="9"/>
      <name val="Arial"/>
      <family val="2"/>
    </font>
    <font>
      <sz val="10"/>
      <name val="Khmer OS Content"/>
    </font>
    <font>
      <sz val="11"/>
      <color rgb="FFFF0000"/>
      <name val="Khmer OS Content"/>
    </font>
    <font>
      <b/>
      <sz val="11"/>
      <color rgb="FF002060"/>
      <name val="Khmer OS Content"/>
    </font>
    <font>
      <b/>
      <sz val="11"/>
      <color rgb="FF0000FF"/>
      <name val="Khmer OS Battambang"/>
    </font>
    <font>
      <b/>
      <i/>
      <sz val="11"/>
      <color rgb="FF0000FF"/>
      <name val="Khmer OS Content"/>
    </font>
    <font>
      <b/>
      <i/>
      <sz val="11"/>
      <color rgb="FF0000FF"/>
      <name val="Khmer OS Battambang"/>
    </font>
    <font>
      <b/>
      <i/>
      <sz val="11"/>
      <color rgb="FFFF0000"/>
      <name val="Khmer OS Battambang"/>
      <family val="2"/>
    </font>
    <font>
      <b/>
      <sz val="11"/>
      <color theme="1"/>
      <name val="Arial Narrow"/>
      <family val="2"/>
    </font>
    <font>
      <b/>
      <sz val="11"/>
      <color rgb="FFC00000"/>
      <name val="Khmer OS Battambang"/>
    </font>
    <font>
      <b/>
      <i/>
      <sz val="11"/>
      <color rgb="FFC00000"/>
      <name val="Arial"/>
      <family val="2"/>
    </font>
    <font>
      <b/>
      <sz val="11"/>
      <color rgb="FFC00000"/>
      <name val="Arial Narrow"/>
      <family val="2"/>
    </font>
    <font>
      <b/>
      <i/>
      <sz val="11"/>
      <name val="Khmer OS Battambang"/>
      <family val="2"/>
    </font>
    <font>
      <sz val="11"/>
      <color rgb="FF003300"/>
      <name val="Khmer OS Battambang"/>
    </font>
    <font>
      <sz val="11"/>
      <color rgb="FF00B050"/>
      <name val="Arial"/>
      <family val="2"/>
    </font>
    <font>
      <b/>
      <sz val="11"/>
      <color rgb="FF00B050"/>
      <name val="Arial Narrow"/>
      <family val="2"/>
    </font>
    <font>
      <sz val="11"/>
      <color rgb="FF002060"/>
      <name val="Khmer OS Content"/>
    </font>
    <font>
      <sz val="10"/>
      <color rgb="FF002060"/>
      <name val="Khmer OS Content"/>
    </font>
    <font>
      <b/>
      <sz val="11"/>
      <color rgb="FF002060"/>
      <name val="Khmer OS Battambang"/>
    </font>
    <font>
      <b/>
      <sz val="12"/>
      <color rgb="FF002060"/>
      <name val="Khmer OS Content"/>
    </font>
    <font>
      <sz val="12"/>
      <color rgb="FFFF0000"/>
      <name val="Calibri"/>
      <family val="2"/>
    </font>
    <font>
      <b/>
      <sz val="12"/>
      <color rgb="FFFF0000"/>
      <name val="Calibri"/>
      <family val="2"/>
    </font>
    <font>
      <sz val="11"/>
      <color rgb="FF000099"/>
      <name val="Arial"/>
      <family val="2"/>
    </font>
    <font>
      <sz val="11"/>
      <color rgb="FF000099"/>
      <name val="Khmer OS Content"/>
    </font>
    <font>
      <b/>
      <sz val="11"/>
      <color rgb="FF000099"/>
      <name val="Arial"/>
      <family val="2"/>
    </font>
    <font>
      <i/>
      <sz val="11"/>
      <color rgb="FF000099"/>
      <name val="Arial"/>
      <family val="2"/>
    </font>
    <font>
      <b/>
      <sz val="11"/>
      <color rgb="FF000099"/>
      <name val="Arial Narrow"/>
      <family val="2"/>
    </font>
    <font>
      <sz val="11"/>
      <color rgb="FF000099"/>
      <name val="Arial Narrow"/>
      <family val="2"/>
    </font>
    <font>
      <sz val="10"/>
      <color theme="6" tint="-0.249977111117893"/>
      <name val="Arial"/>
      <family val="2"/>
    </font>
    <font>
      <b/>
      <i/>
      <sz val="10"/>
      <color theme="1"/>
      <name val="Arial"/>
      <family val="2"/>
    </font>
    <font>
      <sz val="11"/>
      <color rgb="FF000000"/>
      <name val="Times New Roman"/>
      <family val="1"/>
    </font>
    <font>
      <b/>
      <sz val="12"/>
      <color rgb="FFFF0000"/>
      <name val="Arial Narrow"/>
      <family val="2"/>
    </font>
    <font>
      <b/>
      <sz val="12"/>
      <color rgb="FFFF0000"/>
      <name val="Arial"/>
      <family val="2"/>
    </font>
    <font>
      <b/>
      <i/>
      <sz val="10"/>
      <color theme="1"/>
      <name val="Calibri"/>
      <family val="2"/>
      <scheme val="minor"/>
    </font>
    <font>
      <b/>
      <i/>
      <sz val="14"/>
      <color theme="1"/>
      <name val="Calibri"/>
      <family val="2"/>
    </font>
    <font>
      <b/>
      <sz val="16"/>
      <color theme="1"/>
      <name val="Khmer OS Battambang"/>
    </font>
    <font>
      <sz val="11"/>
      <name val="Arial "/>
    </font>
    <font>
      <strike/>
      <sz val="11"/>
      <name val="Arial"/>
      <family val="2"/>
    </font>
    <font>
      <sz val="11"/>
      <name val="Kh Content"/>
    </font>
    <font>
      <b/>
      <sz val="9"/>
      <color rgb="FF0000FF"/>
      <name val="Arial"/>
      <family val="2"/>
    </font>
    <font>
      <b/>
      <sz val="14"/>
      <name val="Arial"/>
      <family val="2"/>
    </font>
    <font>
      <b/>
      <sz val="14"/>
      <name val="Khmer OS Content"/>
    </font>
    <font>
      <sz val="14"/>
      <name val="Arial"/>
      <family val="2"/>
    </font>
    <font>
      <sz val="14"/>
      <name val="Arial Narrow"/>
      <family val="2"/>
    </font>
    <font>
      <b/>
      <i/>
      <sz val="10"/>
      <color rgb="FFFF0000"/>
      <name val="Calibri"/>
      <family val="2"/>
    </font>
    <font>
      <b/>
      <sz val="10"/>
      <color rgb="FF0000FF"/>
      <name val="Calibri"/>
      <family val="2"/>
    </font>
  </fonts>
  <fills count="2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rgb="FF00B050"/>
        <bgColor indexed="64"/>
      </patternFill>
    </fill>
    <fill>
      <patternFill patternType="solid">
        <fgColor rgb="FF92D050"/>
        <bgColor indexed="64"/>
      </patternFill>
    </fill>
    <fill>
      <patternFill patternType="solid">
        <fgColor theme="5" tint="0.79998168889431442"/>
        <bgColor indexed="64"/>
      </patternFill>
    </fill>
    <fill>
      <patternFill patternType="solid">
        <fgColor rgb="FF99CCFF"/>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auto="1"/>
      </left>
      <right style="hair">
        <color auto="1"/>
      </right>
      <top/>
      <bottom/>
      <diagonal/>
    </border>
    <border>
      <left style="hair">
        <color auto="1"/>
      </left>
      <right style="hair">
        <color auto="1"/>
      </right>
      <top style="thin">
        <color indexed="64"/>
      </top>
      <bottom/>
      <diagonal/>
    </border>
    <border>
      <left style="hair">
        <color auto="1"/>
      </left>
      <right style="hair">
        <color auto="1"/>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medium">
        <color auto="1"/>
      </bottom>
      <diagonal/>
    </border>
    <border>
      <left/>
      <right style="hair">
        <color auto="1"/>
      </right>
      <top/>
      <bottom style="hair">
        <color auto="1"/>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bottom style="thick">
        <color indexed="64"/>
      </bottom>
      <diagonal/>
    </border>
  </borders>
  <cellStyleXfs count="479">
    <xf numFmtId="0" fontId="0" fillId="0" borderId="0"/>
    <xf numFmtId="165" fontId="25"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5" fillId="0" borderId="0" applyFont="0" applyFill="0" applyBorder="0" applyAlignment="0" applyProtection="0"/>
    <xf numFmtId="0" fontId="29" fillId="0" borderId="0"/>
    <xf numFmtId="0" fontId="29" fillId="0" borderId="0"/>
    <xf numFmtId="0" fontId="34" fillId="0" borderId="0"/>
    <xf numFmtId="9" fontId="25" fillId="0" borderId="0" applyFont="0" applyFill="0" applyBorder="0" applyAlignment="0" applyProtection="0"/>
    <xf numFmtId="0" fontId="25" fillId="0" borderId="0"/>
    <xf numFmtId="9" fontId="25" fillId="0" borderId="0" applyFont="0" applyFill="0" applyBorder="0" applyAlignment="0" applyProtection="0"/>
    <xf numFmtId="43" fontId="34" fillId="0" borderId="0" applyFont="0" applyFill="0" applyBorder="0" applyAlignment="0" applyProtection="0"/>
    <xf numFmtId="165" fontId="25" fillId="0" borderId="0" applyFont="0" applyFill="0" applyBorder="0" applyAlignment="0" applyProtection="0"/>
    <xf numFmtId="0" fontId="24" fillId="0" borderId="0"/>
    <xf numFmtId="0" fontId="23" fillId="0" borderId="0"/>
    <xf numFmtId="0" fontId="22" fillId="0" borderId="0"/>
    <xf numFmtId="0" fontId="21" fillId="0" borderId="0"/>
    <xf numFmtId="0" fontId="20" fillId="0" borderId="0"/>
    <xf numFmtId="0" fontId="19" fillId="0" borderId="0"/>
    <xf numFmtId="165" fontId="25"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5" fillId="0" borderId="0" applyFont="0" applyFill="0" applyBorder="0" applyAlignment="0" applyProtection="0"/>
    <xf numFmtId="0" fontId="36" fillId="0" borderId="0"/>
    <xf numFmtId="165" fontId="19" fillId="0" borderId="0" applyFont="0" applyFill="0" applyBorder="0" applyAlignment="0" applyProtection="0"/>
    <xf numFmtId="0" fontId="36" fillId="0" borderId="0"/>
    <xf numFmtId="165" fontId="34" fillId="0" borderId="0" applyFont="0" applyFill="0" applyBorder="0" applyAlignment="0" applyProtection="0"/>
    <xf numFmtId="165" fontId="25"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36" fillId="0" borderId="0" applyFont="0" applyFill="0" applyBorder="0" applyAlignment="0" applyProtection="0"/>
    <xf numFmtId="0" fontId="18" fillId="0" borderId="0"/>
    <xf numFmtId="0" fontId="17" fillId="0" borderId="0"/>
    <xf numFmtId="9" fontId="17"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165"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9" fontId="15"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9"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9" fontId="14"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165"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165"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165"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7" fillId="0" borderId="0"/>
    <xf numFmtId="0" fontId="6" fillId="0" borderId="0"/>
    <xf numFmtId="0" fontId="5" fillId="0" borderId="0"/>
    <xf numFmtId="0" fontId="4" fillId="0" borderId="0"/>
    <xf numFmtId="0" fontId="2" fillId="0" borderId="0"/>
    <xf numFmtId="43" fontId="2" fillId="0" borderId="0" applyFont="0" applyFill="0" applyBorder="0" applyAlignment="0" applyProtection="0"/>
    <xf numFmtId="44" fontId="2" fillId="0" borderId="0" applyFont="0" applyFill="0" applyBorder="0" applyAlignment="0" applyProtection="0"/>
  </cellStyleXfs>
  <cellXfs count="2731">
    <xf numFmtId="0" fontId="0" fillId="0" borderId="0" xfId="0"/>
    <xf numFmtId="0" fontId="27" fillId="0" borderId="0" xfId="0" applyFont="1"/>
    <xf numFmtId="0" fontId="31" fillId="0" borderId="0" xfId="0" applyFont="1"/>
    <xf numFmtId="3" fontId="30" fillId="0" borderId="0" xfId="0" applyNumberFormat="1" applyFont="1"/>
    <xf numFmtId="0" fontId="32" fillId="0" borderId="0" xfId="0" applyFont="1"/>
    <xf numFmtId="0" fontId="32" fillId="4" borderId="0" xfId="0" applyFont="1" applyFill="1"/>
    <xf numFmtId="0" fontId="26" fillId="0" borderId="0" xfId="0" applyFont="1"/>
    <xf numFmtId="3" fontId="0" fillId="0" borderId="0" xfId="0" applyNumberFormat="1"/>
    <xf numFmtId="0" fontId="35" fillId="0" borderId="0" xfId="0" applyFont="1"/>
    <xf numFmtId="0" fontId="0" fillId="0" borderId="13" xfId="0" applyBorder="1"/>
    <xf numFmtId="0" fontId="0" fillId="4" borderId="0" xfId="0" applyFill="1"/>
    <xf numFmtId="0" fontId="0" fillId="2" borderId="5" xfId="0" applyFill="1" applyBorder="1"/>
    <xf numFmtId="0" fontId="26" fillId="2" borderId="6" xfId="0" applyFont="1" applyFill="1" applyBorder="1"/>
    <xf numFmtId="166" fontId="0" fillId="0" borderId="0" xfId="8" applyNumberFormat="1" applyFont="1"/>
    <xf numFmtId="0" fontId="26" fillId="2" borderId="11" xfId="0" applyFont="1" applyFill="1" applyBorder="1" applyAlignment="1">
      <alignment vertical="center"/>
    </xf>
    <xf numFmtId="0" fontId="26" fillId="2" borderId="3" xfId="0" applyFont="1" applyFill="1" applyBorder="1" applyAlignment="1">
      <alignment vertical="center"/>
    </xf>
    <xf numFmtId="0" fontId="28" fillId="0" borderId="0" xfId="0" applyFont="1"/>
    <xf numFmtId="0" fontId="27" fillId="0" borderId="5" xfId="0" applyFont="1" applyBorder="1"/>
    <xf numFmtId="0" fontId="28" fillId="4" borderId="5" xfId="0" applyFont="1" applyFill="1" applyBorder="1"/>
    <xf numFmtId="0" fontId="28" fillId="0" borderId="5" xfId="0" applyFont="1" applyBorder="1"/>
    <xf numFmtId="0" fontId="28" fillId="0" borderId="8" xfId="0" applyFont="1" applyBorder="1"/>
    <xf numFmtId="0" fontId="0" fillId="0" borderId="15" xfId="0" applyBorder="1"/>
    <xf numFmtId="0" fontId="38" fillId="0" borderId="0" xfId="0" applyFont="1"/>
    <xf numFmtId="0" fontId="39" fillId="0" borderId="0" xfId="0" applyFont="1"/>
    <xf numFmtId="0" fontId="40" fillId="0" borderId="0" xfId="0" applyFont="1"/>
    <xf numFmtId="3" fontId="32" fillId="4" borderId="0" xfId="0" applyNumberFormat="1" applyFont="1" applyFill="1"/>
    <xf numFmtId="0" fontId="36" fillId="4" borderId="0" xfId="0" applyFont="1" applyFill="1"/>
    <xf numFmtId="0" fontId="37" fillId="4" borderId="0" xfId="0" applyFont="1" applyFill="1"/>
    <xf numFmtId="0" fontId="43" fillId="0" borderId="0" xfId="0" applyFont="1"/>
    <xf numFmtId="3" fontId="37" fillId="4" borderId="0" xfId="0" applyNumberFormat="1" applyFont="1" applyFill="1"/>
    <xf numFmtId="1" fontId="37" fillId="4" borderId="0" xfId="0" applyNumberFormat="1" applyFont="1" applyFill="1"/>
    <xf numFmtId="3" fontId="36" fillId="0" borderId="0" xfId="0" applyNumberFormat="1" applyFont="1"/>
    <xf numFmtId="3" fontId="37" fillId="0" borderId="0" xfId="0" applyNumberFormat="1" applyFont="1"/>
    <xf numFmtId="0" fontId="28" fillId="2" borderId="11" xfId="0" applyFont="1" applyFill="1" applyBorder="1"/>
    <xf numFmtId="0" fontId="26" fillId="7" borderId="2" xfId="0" applyFont="1" applyFill="1" applyBorder="1" applyAlignment="1">
      <alignment horizontal="center" vertical="center" wrapText="1"/>
    </xf>
    <xf numFmtId="0" fontId="26" fillId="7" borderId="6" xfId="0" applyFont="1" applyFill="1" applyBorder="1" applyAlignment="1">
      <alignment horizontal="center" vertical="center" wrapText="1"/>
    </xf>
    <xf numFmtId="0" fontId="26" fillId="7" borderId="9" xfId="0" applyFont="1" applyFill="1" applyBorder="1" applyAlignment="1">
      <alignment horizontal="right"/>
    </xf>
    <xf numFmtId="9" fontId="30" fillId="0" borderId="0" xfId="8" applyFont="1"/>
    <xf numFmtId="0" fontId="28" fillId="2" borderId="8" xfId="0" applyFont="1" applyFill="1" applyBorder="1"/>
    <xf numFmtId="0" fontId="28" fillId="2" borderId="14" xfId="0" applyFont="1" applyFill="1" applyBorder="1"/>
    <xf numFmtId="0" fontId="28" fillId="2" borderId="6" xfId="0" applyFont="1" applyFill="1" applyBorder="1"/>
    <xf numFmtId="0" fontId="28" fillId="7" borderId="12" xfId="0" applyFont="1" applyFill="1" applyBorder="1" applyAlignment="1">
      <alignment horizontal="center"/>
    </xf>
    <xf numFmtId="0" fontId="28" fillId="7" borderId="6" xfId="0" applyFont="1" applyFill="1" applyBorder="1" applyAlignment="1">
      <alignment horizontal="center"/>
    </xf>
    <xf numFmtId="0" fontId="27" fillId="2" borderId="3" xfId="0" applyFont="1" applyFill="1" applyBorder="1" applyAlignment="1">
      <alignment horizontal="center"/>
    </xf>
    <xf numFmtId="0" fontId="27" fillId="2" borderId="4" xfId="0" applyFont="1" applyFill="1" applyBorder="1" applyAlignment="1">
      <alignment horizontal="center"/>
    </xf>
    <xf numFmtId="0" fontId="27" fillId="0" borderId="13" xfId="0" applyFont="1" applyBorder="1" applyAlignment="1">
      <alignment horizontal="center"/>
    </xf>
    <xf numFmtId="0" fontId="27" fillId="0" borderId="0" xfId="0" applyFont="1" applyAlignment="1">
      <alignment horizontal="center"/>
    </xf>
    <xf numFmtId="168" fontId="36" fillId="0" borderId="0" xfId="1" applyNumberFormat="1" applyFont="1" applyFill="1" applyBorder="1" applyAlignment="1">
      <alignment vertical="center"/>
    </xf>
    <xf numFmtId="0" fontId="36" fillId="7" borderId="5" xfId="0" applyFont="1" applyFill="1" applyBorder="1" applyAlignment="1">
      <alignment horizontal="center" vertical="center"/>
    </xf>
    <xf numFmtId="0" fontId="46" fillId="2" borderId="5" xfId="0" applyFont="1" applyFill="1" applyBorder="1" applyAlignment="1">
      <alignment vertical="center"/>
    </xf>
    <xf numFmtId="164" fontId="36" fillId="0" borderId="0" xfId="1" applyNumberFormat="1" applyFont="1" applyBorder="1"/>
    <xf numFmtId="3" fontId="37" fillId="0" borderId="7" xfId="0" applyNumberFormat="1" applyFont="1" applyBorder="1"/>
    <xf numFmtId="0" fontId="36" fillId="0" borderId="0" xfId="0" applyFont="1"/>
    <xf numFmtId="0" fontId="37" fillId="0" borderId="0" xfId="0" applyFont="1"/>
    <xf numFmtId="3" fontId="36" fillId="0" borderId="5" xfId="0" applyNumberFormat="1" applyFont="1" applyBorder="1"/>
    <xf numFmtId="0" fontId="36" fillId="0" borderId="5" xfId="0" applyFont="1" applyBorder="1"/>
    <xf numFmtId="0" fontId="37" fillId="7" borderId="2" xfId="0" applyFont="1" applyFill="1" applyBorder="1" applyAlignment="1">
      <alignment vertical="center" wrapText="1"/>
    </xf>
    <xf numFmtId="0" fontId="41" fillId="0" borderId="5" xfId="0" applyFont="1" applyBorder="1" applyAlignment="1">
      <alignment horizontal="center" vertical="center"/>
    </xf>
    <xf numFmtId="0" fontId="42" fillId="0" borderId="5" xfId="0" applyFont="1" applyBorder="1" applyAlignment="1">
      <alignment horizontal="center" vertical="center"/>
    </xf>
    <xf numFmtId="0" fontId="42" fillId="0" borderId="0" xfId="0" applyFont="1" applyAlignment="1">
      <alignment vertical="center"/>
    </xf>
    <xf numFmtId="0" fontId="57" fillId="0" borderId="0" xfId="0" applyFont="1" applyAlignment="1">
      <alignment vertical="center"/>
    </xf>
    <xf numFmtId="0" fontId="36" fillId="0" borderId="0" xfId="0" applyFont="1" applyAlignment="1">
      <alignment vertical="center"/>
    </xf>
    <xf numFmtId="0" fontId="30" fillId="0" borderId="0" xfId="0" applyFont="1" applyAlignment="1">
      <alignment vertical="center"/>
    </xf>
    <xf numFmtId="0" fontId="36" fillId="4" borderId="0" xfId="0" applyFont="1" applyFill="1" applyAlignment="1">
      <alignment vertical="center"/>
    </xf>
    <xf numFmtId="0" fontId="37" fillId="4" borderId="0" xfId="0" applyFont="1" applyFill="1" applyAlignment="1">
      <alignment vertical="center"/>
    </xf>
    <xf numFmtId="0" fontId="41" fillId="0" borderId="0" xfId="0" applyFont="1" applyAlignment="1">
      <alignment vertical="center"/>
    </xf>
    <xf numFmtId="3" fontId="36" fillId="0" borderId="0" xfId="0" applyNumberFormat="1" applyFont="1" applyAlignment="1">
      <alignment vertical="center"/>
    </xf>
    <xf numFmtId="0" fontId="45" fillId="0" borderId="0" xfId="0" applyFont="1" applyAlignment="1">
      <alignment horizontal="right" vertical="center"/>
    </xf>
    <xf numFmtId="0" fontId="36" fillId="0" borderId="0" xfId="0" applyFont="1" applyAlignment="1">
      <alignment horizontal="right" vertical="center"/>
    </xf>
    <xf numFmtId="0" fontId="30" fillId="4" borderId="0" xfId="0" applyFont="1" applyFill="1" applyAlignment="1">
      <alignment vertical="center"/>
    </xf>
    <xf numFmtId="0" fontId="38" fillId="0" borderId="0" xfId="0" applyFont="1" applyAlignment="1">
      <alignment vertical="center"/>
    </xf>
    <xf numFmtId="0" fontId="37" fillId="0" borderId="0" xfId="0" applyFont="1" applyAlignment="1">
      <alignment horizontal="right"/>
    </xf>
    <xf numFmtId="0" fontId="53" fillId="0" borderId="0" xfId="25" applyFont="1" applyAlignment="1">
      <alignment horizontal="right"/>
    </xf>
    <xf numFmtId="0" fontId="37" fillId="4" borderId="0" xfId="0" applyFont="1" applyFill="1" applyAlignment="1">
      <alignment horizontal="center" vertical="center"/>
    </xf>
    <xf numFmtId="4" fontId="43" fillId="0" borderId="0" xfId="0" applyNumberFormat="1" applyFont="1"/>
    <xf numFmtId="165" fontId="36" fillId="0" borderId="0" xfId="1" applyFont="1" applyFill="1" applyBorder="1" applyAlignment="1">
      <alignment vertical="center"/>
    </xf>
    <xf numFmtId="4" fontId="37" fillId="0" borderId="0" xfId="0" applyNumberFormat="1" applyFont="1"/>
    <xf numFmtId="165" fontId="53" fillId="0" borderId="0" xfId="1" applyFont="1" applyFill="1" applyBorder="1" applyAlignment="1">
      <alignment vertical="center"/>
    </xf>
    <xf numFmtId="3" fontId="53" fillId="0" borderId="0" xfId="0" applyNumberFormat="1" applyFont="1"/>
    <xf numFmtId="4" fontId="36" fillId="0" borderId="0" xfId="0" applyNumberFormat="1" applyFont="1"/>
    <xf numFmtId="0" fontId="28" fillId="3" borderId="12" xfId="0" applyFont="1" applyFill="1" applyBorder="1"/>
    <xf numFmtId="0" fontId="28" fillId="3" borderId="5" xfId="0" applyFont="1" applyFill="1" applyBorder="1"/>
    <xf numFmtId="167" fontId="0" fillId="0" borderId="0" xfId="33" applyNumberFormat="1" applyFont="1"/>
    <xf numFmtId="167" fontId="53" fillId="0" borderId="0" xfId="33" applyNumberFormat="1" applyFont="1"/>
    <xf numFmtId="43" fontId="0" fillId="0" borderId="0" xfId="33" applyFont="1" applyFill="1"/>
    <xf numFmtId="43" fontId="0" fillId="0" borderId="0" xfId="33" applyFont="1"/>
    <xf numFmtId="0" fontId="36" fillId="0" borderId="0" xfId="23"/>
    <xf numFmtId="0" fontId="37" fillId="0" borderId="0" xfId="23" applyFont="1"/>
    <xf numFmtId="0" fontId="65" fillId="0" borderId="7" xfId="23" applyFont="1" applyBorder="1"/>
    <xf numFmtId="0" fontId="65" fillId="0" borderId="0" xfId="23" applyFont="1"/>
    <xf numFmtId="43" fontId="37" fillId="9" borderId="2" xfId="33" applyFont="1" applyFill="1" applyBorder="1" applyAlignment="1">
      <alignment horizontal="center"/>
    </xf>
    <xf numFmtId="0" fontId="36" fillId="9" borderId="2" xfId="23" applyFill="1" applyBorder="1" applyAlignment="1">
      <alignment horizontal="center" vertical="center"/>
    </xf>
    <xf numFmtId="0" fontId="37" fillId="0" borderId="0" xfId="23" applyFont="1" applyAlignment="1">
      <alignment horizontal="center"/>
    </xf>
    <xf numFmtId="43" fontId="37" fillId="9" borderId="0" xfId="33" applyFont="1" applyFill="1" applyBorder="1" applyAlignment="1">
      <alignment horizontal="center"/>
    </xf>
    <xf numFmtId="0" fontId="36" fillId="9" borderId="0" xfId="23" applyFill="1" applyAlignment="1">
      <alignment horizontal="center" vertical="center"/>
    </xf>
    <xf numFmtId="0" fontId="37" fillId="9" borderId="3" xfId="23" applyFont="1" applyFill="1" applyBorder="1" applyAlignment="1">
      <alignment horizontal="center"/>
    </xf>
    <xf numFmtId="0" fontId="37" fillId="9" borderId="7" xfId="23" applyFont="1" applyFill="1" applyBorder="1" applyAlignment="1">
      <alignment horizontal="center"/>
    </xf>
    <xf numFmtId="167" fontId="37" fillId="9" borderId="0" xfId="33" applyNumberFormat="1" applyFont="1" applyFill="1" applyBorder="1" applyAlignment="1">
      <alignment horizontal="center"/>
    </xf>
    <xf numFmtId="0" fontId="37" fillId="9" borderId="0" xfId="23" applyFont="1" applyFill="1" applyAlignment="1">
      <alignment horizontal="center"/>
    </xf>
    <xf numFmtId="0" fontId="36" fillId="4" borderId="15" xfId="23" applyFill="1" applyBorder="1"/>
    <xf numFmtId="0" fontId="37" fillId="4" borderId="1" xfId="23" applyFont="1" applyFill="1" applyBorder="1"/>
    <xf numFmtId="0" fontId="36" fillId="4" borderId="0" xfId="23" applyFill="1"/>
    <xf numFmtId="0" fontId="54" fillId="4" borderId="2" xfId="23" applyFont="1" applyFill="1" applyBorder="1"/>
    <xf numFmtId="0" fontId="54" fillId="4" borderId="10" xfId="23" applyFont="1" applyFill="1" applyBorder="1"/>
    <xf numFmtId="41" fontId="54" fillId="4" borderId="2" xfId="33" applyNumberFormat="1" applyFont="1" applyFill="1" applyBorder="1"/>
    <xf numFmtId="41" fontId="36" fillId="4" borderId="2" xfId="33" applyNumberFormat="1" applyFont="1" applyFill="1" applyBorder="1" applyAlignment="1">
      <alignment horizontal="center" vertical="center"/>
    </xf>
    <xf numFmtId="41" fontId="53" fillId="4" borderId="2" xfId="33" applyNumberFormat="1" applyFont="1" applyFill="1" applyBorder="1" applyAlignment="1">
      <alignment horizontal="center" vertical="center"/>
    </xf>
    <xf numFmtId="41" fontId="0" fillId="4" borderId="2" xfId="33" applyNumberFormat="1" applyFont="1" applyFill="1" applyBorder="1" applyAlignment="1">
      <alignment horizontal="center" vertical="center"/>
    </xf>
    <xf numFmtId="41" fontId="37" fillId="4" borderId="10" xfId="33" applyNumberFormat="1" applyFont="1" applyFill="1" applyBorder="1" applyAlignment="1">
      <alignment horizontal="center" vertical="center"/>
    </xf>
    <xf numFmtId="0" fontId="37" fillId="4" borderId="2" xfId="23" applyFont="1" applyFill="1" applyBorder="1"/>
    <xf numFmtId="0" fontId="36" fillId="4" borderId="2" xfId="23" applyFill="1" applyBorder="1" applyAlignment="1">
      <alignment horizontal="center" vertical="center" shrinkToFit="1"/>
    </xf>
    <xf numFmtId="0" fontId="36" fillId="4" borderId="10" xfId="23" applyFill="1" applyBorder="1" applyAlignment="1">
      <alignment horizontal="center" vertical="center" shrinkToFit="1"/>
    </xf>
    <xf numFmtId="0" fontId="55" fillId="4" borderId="13" xfId="23" applyFont="1" applyFill="1" applyBorder="1"/>
    <xf numFmtId="0" fontId="55" fillId="4" borderId="5" xfId="23" applyFont="1" applyFill="1" applyBorder="1"/>
    <xf numFmtId="0" fontId="50" fillId="4" borderId="0" xfId="23" applyFont="1" applyFill="1"/>
    <xf numFmtId="0" fontId="55" fillId="4" borderId="0" xfId="23" applyFont="1" applyFill="1"/>
    <xf numFmtId="0" fontId="50" fillId="4" borderId="7" xfId="23" applyFont="1" applyFill="1" applyBorder="1"/>
    <xf numFmtId="41" fontId="50" fillId="4" borderId="0" xfId="33" applyNumberFormat="1" applyFont="1" applyFill="1" applyBorder="1"/>
    <xf numFmtId="41" fontId="55" fillId="4" borderId="0" xfId="33" applyNumberFormat="1" applyFont="1" applyFill="1" applyBorder="1" applyAlignment="1">
      <alignment horizontal="center" vertical="center"/>
    </xf>
    <xf numFmtId="41" fontId="66" fillId="4" borderId="0" xfId="33" applyNumberFormat="1" applyFont="1" applyFill="1" applyBorder="1" applyAlignment="1">
      <alignment horizontal="center" vertical="center"/>
    </xf>
    <xf numFmtId="41" fontId="66" fillId="4" borderId="7" xfId="33" applyNumberFormat="1" applyFont="1" applyFill="1" applyBorder="1" applyAlignment="1">
      <alignment horizontal="center" vertical="center"/>
    </xf>
    <xf numFmtId="43" fontId="66" fillId="4" borderId="0" xfId="23" applyNumberFormat="1" applyFont="1" applyFill="1"/>
    <xf numFmtId="0" fontId="36" fillId="4" borderId="0" xfId="23" applyFill="1" applyAlignment="1">
      <alignment horizontal="center" vertical="center" shrinkToFit="1"/>
    </xf>
    <xf numFmtId="0" fontId="36" fillId="4" borderId="7" xfId="23" applyFill="1" applyBorder="1" applyAlignment="1">
      <alignment horizontal="center" vertical="center" shrinkToFit="1"/>
    </xf>
    <xf numFmtId="0" fontId="55" fillId="0" borderId="0" xfId="23" applyFont="1"/>
    <xf numFmtId="0" fontId="55" fillId="4" borderId="7" xfId="23" applyFont="1" applyFill="1" applyBorder="1"/>
    <xf numFmtId="41" fontId="55" fillId="4" borderId="0" xfId="33" applyNumberFormat="1" applyFont="1" applyFill="1" applyBorder="1"/>
    <xf numFmtId="0" fontId="36" fillId="4" borderId="13" xfId="23" applyFill="1" applyBorder="1" applyAlignment="1">
      <alignment horizontal="center"/>
    </xf>
    <xf numFmtId="0" fontId="36" fillId="4" borderId="7" xfId="23" applyFill="1" applyBorder="1"/>
    <xf numFmtId="41" fontId="36" fillId="4" borderId="0" xfId="33" applyNumberFormat="1" applyFont="1" applyFill="1" applyBorder="1" applyAlignment="1">
      <alignment horizontal="center"/>
    </xf>
    <xf numFmtId="0" fontId="66" fillId="4" borderId="0" xfId="23" applyFont="1" applyFill="1"/>
    <xf numFmtId="0" fontId="54" fillId="4" borderId="13" xfId="23" applyFont="1" applyFill="1" applyBorder="1"/>
    <xf numFmtId="0" fontId="54" fillId="4" borderId="5" xfId="23" applyFont="1" applyFill="1" applyBorder="1"/>
    <xf numFmtId="0" fontId="54" fillId="4" borderId="0" xfId="23" applyFont="1" applyFill="1"/>
    <xf numFmtId="41" fontId="36" fillId="4" borderId="0" xfId="33" applyNumberFormat="1" applyFont="1" applyFill="1" applyBorder="1" applyAlignment="1">
      <alignment horizontal="center" vertical="center"/>
    </xf>
    <xf numFmtId="43" fontId="53" fillId="4" borderId="0" xfId="33" applyFont="1" applyFill="1" applyBorder="1"/>
    <xf numFmtId="0" fontId="37" fillId="4" borderId="13" xfId="23" applyFont="1" applyFill="1" applyBorder="1"/>
    <xf numFmtId="0" fontId="37" fillId="4" borderId="5" xfId="23" applyFont="1" applyFill="1" applyBorder="1"/>
    <xf numFmtId="0" fontId="37" fillId="4" borderId="0" xfId="23" applyFont="1" applyFill="1"/>
    <xf numFmtId="41" fontId="0" fillId="4" borderId="0" xfId="33" applyNumberFormat="1" applyFont="1" applyFill="1" applyBorder="1" applyAlignment="1">
      <alignment horizontal="center"/>
    </xf>
    <xf numFmtId="41" fontId="53" fillId="4" borderId="0" xfId="33" applyNumberFormat="1" applyFont="1" applyFill="1" applyBorder="1" applyAlignment="1">
      <alignment horizontal="center" vertical="center"/>
    </xf>
    <xf numFmtId="41" fontId="37" fillId="4" borderId="0" xfId="33" applyNumberFormat="1" applyFont="1" applyFill="1" applyBorder="1" applyAlignment="1">
      <alignment horizontal="center" vertical="center"/>
    </xf>
    <xf numFmtId="41" fontId="53" fillId="4" borderId="7" xfId="33" applyNumberFormat="1" applyFont="1" applyFill="1" applyBorder="1" applyAlignment="1">
      <alignment horizontal="center" vertical="center"/>
    </xf>
    <xf numFmtId="0" fontId="55" fillId="4" borderId="13" xfId="23" applyFont="1" applyFill="1" applyBorder="1" applyAlignment="1">
      <alignment horizontal="right"/>
    </xf>
    <xf numFmtId="0" fontId="55" fillId="4" borderId="5" xfId="23" applyFont="1" applyFill="1" applyBorder="1" applyAlignment="1">
      <alignment horizontal="right"/>
    </xf>
    <xf numFmtId="0" fontId="55" fillId="4" borderId="0" xfId="23" applyFont="1" applyFill="1" applyAlignment="1">
      <alignment horizontal="right"/>
    </xf>
    <xf numFmtId="0" fontId="55" fillId="4" borderId="0" xfId="23" applyFont="1" applyFill="1" applyAlignment="1">
      <alignment horizontal="left"/>
    </xf>
    <xf numFmtId="0" fontId="55" fillId="4" borderId="7" xfId="23" applyFont="1" applyFill="1" applyBorder="1" applyAlignment="1">
      <alignment horizontal="left"/>
    </xf>
    <xf numFmtId="41" fontId="55" fillId="4" borderId="0" xfId="33" applyNumberFormat="1" applyFont="1" applyFill="1" applyBorder="1" applyAlignment="1">
      <alignment horizontal="center"/>
    </xf>
    <xf numFmtId="0" fontId="50" fillId="4" borderId="0" xfId="23" applyFont="1" applyFill="1" applyAlignment="1">
      <alignment horizontal="left"/>
    </xf>
    <xf numFmtId="0" fontId="36" fillId="4" borderId="7" xfId="23" applyFill="1" applyBorder="1" applyAlignment="1">
      <alignment horizontal="left"/>
    </xf>
    <xf numFmtId="0" fontId="36" fillId="4" borderId="0" xfId="23" applyFill="1" applyAlignment="1">
      <alignment horizontal="left"/>
    </xf>
    <xf numFmtId="43" fontId="53" fillId="4" borderId="0" xfId="23" applyNumberFormat="1" applyFont="1" applyFill="1"/>
    <xf numFmtId="0" fontId="36" fillId="4" borderId="0" xfId="23" applyFill="1" applyAlignment="1">
      <alignment horizontal="left" vertical="center" wrapText="1"/>
    </xf>
    <xf numFmtId="0" fontId="36" fillId="4" borderId="7" xfId="23" applyFill="1" applyBorder="1" applyAlignment="1">
      <alignment horizontal="left" vertical="center" wrapText="1"/>
    </xf>
    <xf numFmtId="41" fontId="36" fillId="4" borderId="0" xfId="33" applyNumberFormat="1" applyFont="1" applyFill="1" applyBorder="1" applyAlignment="1">
      <alignment horizontal="center" vertical="center" wrapText="1"/>
    </xf>
    <xf numFmtId="0" fontId="36" fillId="4" borderId="13" xfId="23" applyFill="1" applyBorder="1" applyAlignment="1">
      <alignment horizontal="right"/>
    </xf>
    <xf numFmtId="0" fontId="36" fillId="4" borderId="5" xfId="23" applyFill="1" applyBorder="1" applyAlignment="1">
      <alignment horizontal="right"/>
    </xf>
    <xf numFmtId="3" fontId="53" fillId="4" borderId="0" xfId="23" applyNumberFormat="1" applyFont="1" applyFill="1" applyAlignment="1">
      <alignment horizontal="center" vertical="center" shrinkToFit="1"/>
    </xf>
    <xf numFmtId="0" fontId="36" fillId="4" borderId="0" xfId="23" applyFill="1" applyAlignment="1">
      <alignment horizontal="right"/>
    </xf>
    <xf numFmtId="0" fontId="37" fillId="4" borderId="14" xfId="23" applyFont="1" applyFill="1" applyBorder="1" applyAlignment="1">
      <alignment horizontal="left"/>
    </xf>
    <xf numFmtId="0" fontId="54" fillId="4" borderId="14" xfId="23" applyFont="1" applyFill="1" applyBorder="1" applyAlignment="1">
      <alignment horizontal="left"/>
    </xf>
    <xf numFmtId="0" fontId="37" fillId="4" borderId="8" xfId="23" applyFont="1" applyFill="1" applyBorder="1" applyAlignment="1">
      <alignment horizontal="left"/>
    </xf>
    <xf numFmtId="0" fontId="37" fillId="4" borderId="6" xfId="23" applyFont="1" applyFill="1" applyBorder="1" applyAlignment="1">
      <alignment horizontal="left"/>
    </xf>
    <xf numFmtId="0" fontId="37" fillId="4" borderId="9" xfId="23" applyFont="1" applyFill="1" applyBorder="1" applyAlignment="1">
      <alignment horizontal="left"/>
    </xf>
    <xf numFmtId="41" fontId="37" fillId="4" borderId="6" xfId="33" applyNumberFormat="1" applyFont="1" applyFill="1" applyBorder="1" applyAlignment="1">
      <alignment horizontal="center"/>
    </xf>
    <xf numFmtId="41" fontId="36" fillId="4" borderId="6" xfId="33" applyNumberFormat="1" applyFont="1" applyFill="1" applyBorder="1" applyAlignment="1">
      <alignment horizontal="center" vertical="center"/>
    </xf>
    <xf numFmtId="41" fontId="53" fillId="4" borderId="6" xfId="33" applyNumberFormat="1" applyFont="1" applyFill="1" applyBorder="1" applyAlignment="1">
      <alignment horizontal="center" vertical="center"/>
    </xf>
    <xf numFmtId="41" fontId="53" fillId="4" borderId="9" xfId="33" applyNumberFormat="1" applyFont="1" applyFill="1" applyBorder="1" applyAlignment="1">
      <alignment horizontal="center" vertical="center"/>
    </xf>
    <xf numFmtId="43" fontId="53" fillId="4" borderId="6" xfId="33" applyFont="1" applyFill="1" applyBorder="1"/>
    <xf numFmtId="0" fontId="36" fillId="4" borderId="6" xfId="23" applyFill="1" applyBorder="1" applyAlignment="1">
      <alignment horizontal="center" vertical="center" shrinkToFit="1"/>
    </xf>
    <xf numFmtId="0" fontId="36" fillId="4" borderId="9" xfId="23" applyFill="1" applyBorder="1" applyAlignment="1">
      <alignment horizontal="center" vertical="center" shrinkToFit="1"/>
    </xf>
    <xf numFmtId="165" fontId="28" fillId="0" borderId="13" xfId="1" applyFont="1" applyFill="1" applyBorder="1" applyAlignment="1">
      <alignment horizontal="center"/>
    </xf>
    <xf numFmtId="165" fontId="28" fillId="3" borderId="13" xfId="1" applyFont="1" applyFill="1" applyBorder="1" applyAlignment="1">
      <alignment horizontal="center"/>
    </xf>
    <xf numFmtId="3" fontId="37" fillId="0" borderId="5" xfId="0" applyNumberFormat="1" applyFont="1" applyBorder="1"/>
    <xf numFmtId="165" fontId="28" fillId="0" borderId="14" xfId="1" applyFont="1" applyFill="1" applyBorder="1" applyAlignment="1">
      <alignment horizontal="center"/>
    </xf>
    <xf numFmtId="0" fontId="34" fillId="2" borderId="0" xfId="0" applyFont="1" applyFill="1" applyAlignment="1">
      <alignment vertical="center"/>
    </xf>
    <xf numFmtId="3" fontId="34" fillId="0" borderId="0" xfId="0" applyNumberFormat="1" applyFont="1" applyAlignment="1">
      <alignment vertical="center"/>
    </xf>
    <xf numFmtId="3" fontId="34" fillId="0" borderId="5" xfId="0" applyNumberFormat="1" applyFont="1" applyBorder="1" applyAlignment="1">
      <alignment vertical="center"/>
    </xf>
    <xf numFmtId="0" fontId="28" fillId="0" borderId="13" xfId="0" applyFont="1" applyBorder="1"/>
    <xf numFmtId="0" fontId="26" fillId="2" borderId="9" xfId="0" applyFont="1" applyFill="1" applyBorder="1"/>
    <xf numFmtId="4" fontId="37" fillId="0" borderId="7" xfId="0" applyNumberFormat="1" applyFont="1" applyBorder="1"/>
    <xf numFmtId="165" fontId="53" fillId="0" borderId="7" xfId="1" applyFont="1" applyFill="1" applyBorder="1" applyAlignment="1">
      <alignment vertical="center"/>
    </xf>
    <xf numFmtId="165" fontId="28" fillId="4" borderId="13" xfId="1" applyFont="1" applyFill="1" applyBorder="1" applyAlignment="1">
      <alignment horizontal="center"/>
    </xf>
    <xf numFmtId="165" fontId="62" fillId="4" borderId="13" xfId="1" applyFont="1" applyFill="1" applyBorder="1" applyAlignment="1">
      <alignment horizontal="center"/>
    </xf>
    <xf numFmtId="165" fontId="62" fillId="0" borderId="13" xfId="1" applyFont="1" applyFill="1" applyBorder="1" applyAlignment="1">
      <alignment horizontal="center"/>
    </xf>
    <xf numFmtId="165" fontId="62" fillId="0" borderId="7" xfId="1" applyFont="1" applyFill="1" applyBorder="1" applyAlignment="1">
      <alignment horizontal="center"/>
    </xf>
    <xf numFmtId="165" fontId="28" fillId="0" borderId="14" xfId="1" applyFont="1" applyBorder="1" applyAlignment="1">
      <alignment horizontal="center"/>
    </xf>
    <xf numFmtId="165" fontId="28" fillId="3" borderId="12" xfId="1" applyFont="1" applyFill="1" applyBorder="1" applyAlignment="1">
      <alignment horizontal="center"/>
    </xf>
    <xf numFmtId="165" fontId="28" fillId="0" borderId="3" xfId="1" applyFont="1" applyBorder="1" applyAlignment="1">
      <alignment horizontal="center"/>
    </xf>
    <xf numFmtId="165" fontId="28" fillId="0" borderId="4" xfId="1" applyFont="1" applyBorder="1" applyAlignment="1">
      <alignment horizontal="center"/>
    </xf>
    <xf numFmtId="165" fontId="28" fillId="2" borderId="3" xfId="1" applyFont="1" applyFill="1" applyBorder="1" applyAlignment="1">
      <alignment horizontal="center"/>
    </xf>
    <xf numFmtId="165" fontId="28" fillId="2" borderId="4" xfId="1" applyFont="1" applyFill="1" applyBorder="1" applyAlignment="1">
      <alignment horizontal="center"/>
    </xf>
    <xf numFmtId="165" fontId="28" fillId="0" borderId="0" xfId="1" applyFont="1" applyFill="1" applyBorder="1" applyAlignment="1">
      <alignment horizontal="center"/>
    </xf>
    <xf numFmtId="165" fontId="28" fillId="0" borderId="13" xfId="1" applyFont="1" applyBorder="1" applyAlignment="1">
      <alignment horizontal="center"/>
    </xf>
    <xf numFmtId="165" fontId="62" fillId="6" borderId="13" xfId="1" applyFont="1" applyFill="1" applyBorder="1" applyAlignment="1">
      <alignment horizontal="center"/>
    </xf>
    <xf numFmtId="165" fontId="0" fillId="0" borderId="13" xfId="1" applyFont="1" applyBorder="1"/>
    <xf numFmtId="165" fontId="26" fillId="0" borderId="0" xfId="1" applyFont="1"/>
    <xf numFmtId="0" fontId="36" fillId="7" borderId="23" xfId="0" applyFont="1" applyFill="1" applyBorder="1" applyAlignment="1">
      <alignment horizontal="center" vertical="center"/>
    </xf>
    <xf numFmtId="0" fontId="30" fillId="14" borderId="0" xfId="0" applyFont="1" applyFill="1"/>
    <xf numFmtId="164" fontId="36" fillId="0" borderId="5" xfId="1" applyNumberFormat="1" applyFont="1" applyBorder="1"/>
    <xf numFmtId="3" fontId="36" fillId="0" borderId="7" xfId="0" applyNumberFormat="1" applyFont="1" applyBorder="1"/>
    <xf numFmtId="3" fontId="43" fillId="0" borderId="0" xfId="0" applyNumberFormat="1" applyFont="1"/>
    <xf numFmtId="0" fontId="30" fillId="4" borderId="0" xfId="0" applyFont="1" applyFill="1"/>
    <xf numFmtId="4" fontId="37" fillId="4" borderId="0" xfId="0" applyNumberFormat="1" applyFont="1" applyFill="1"/>
    <xf numFmtId="168" fontId="36" fillId="0" borderId="5" xfId="1" applyNumberFormat="1" applyFont="1" applyFill="1" applyBorder="1" applyAlignment="1">
      <alignment vertical="center"/>
    </xf>
    <xf numFmtId="0" fontId="36" fillId="10" borderId="0" xfId="0" applyFont="1" applyFill="1"/>
    <xf numFmtId="168" fontId="36" fillId="10" borderId="5" xfId="1" applyNumberFormat="1" applyFont="1" applyFill="1" applyBorder="1" applyAlignment="1">
      <alignment vertical="center"/>
    </xf>
    <xf numFmtId="168" fontId="36" fillId="10" borderId="0" xfId="1" applyNumberFormat="1" applyFont="1" applyFill="1" applyBorder="1" applyAlignment="1">
      <alignment vertical="center"/>
    </xf>
    <xf numFmtId="3" fontId="37" fillId="10" borderId="7" xfId="0" applyNumberFormat="1" applyFont="1" applyFill="1" applyBorder="1"/>
    <xf numFmtId="3" fontId="36" fillId="10" borderId="0" xfId="0" applyNumberFormat="1" applyFont="1" applyFill="1"/>
    <xf numFmtId="3" fontId="37" fillId="10" borderId="0" xfId="0" applyNumberFormat="1" applyFont="1" applyFill="1"/>
    <xf numFmtId="3" fontId="36" fillId="10" borderId="5" xfId="0" applyNumberFormat="1" applyFont="1" applyFill="1" applyBorder="1"/>
    <xf numFmtId="4" fontId="36" fillId="10" borderId="0" xfId="0" applyNumberFormat="1" applyFont="1" applyFill="1"/>
    <xf numFmtId="0" fontId="30" fillId="10" borderId="0" xfId="0" applyFont="1" applyFill="1"/>
    <xf numFmtId="4" fontId="36" fillId="10" borderId="7" xfId="0" applyNumberFormat="1" applyFont="1" applyFill="1" applyBorder="1"/>
    <xf numFmtId="165" fontId="28" fillId="12" borderId="12" xfId="1" applyFont="1" applyFill="1" applyBorder="1" applyAlignment="1">
      <alignment horizontal="center"/>
    </xf>
    <xf numFmtId="0" fontId="59" fillId="0" borderId="0" xfId="0" applyFont="1" applyAlignment="1">
      <alignment vertical="center"/>
    </xf>
    <xf numFmtId="0" fontId="55" fillId="4" borderId="0" xfId="0" applyFont="1" applyFill="1"/>
    <xf numFmtId="0" fontId="54" fillId="7" borderId="6" xfId="0" applyFont="1" applyFill="1" applyBorder="1" applyAlignment="1">
      <alignment horizontal="center" vertical="center"/>
    </xf>
    <xf numFmtId="0" fontId="37" fillId="7" borderId="8" xfId="0" applyFont="1" applyFill="1" applyBorder="1" applyAlignment="1">
      <alignment vertical="center" wrapText="1"/>
    </xf>
    <xf numFmtId="0" fontId="37" fillId="7" borderId="6" xfId="0" applyFont="1" applyFill="1" applyBorder="1" applyAlignment="1">
      <alignment vertical="center" wrapText="1"/>
    </xf>
    <xf numFmtId="0" fontId="37" fillId="7" borderId="2" xfId="0" applyFont="1" applyFill="1" applyBorder="1" applyAlignment="1">
      <alignment horizontal="center" vertical="center"/>
    </xf>
    <xf numFmtId="0" fontId="37" fillId="7" borderId="0" xfId="0" applyFont="1" applyFill="1" applyAlignment="1">
      <alignment horizontal="center" vertical="center"/>
    </xf>
    <xf numFmtId="0" fontId="37" fillId="7" borderId="21" xfId="0" applyFont="1" applyFill="1" applyBorder="1" applyAlignment="1">
      <alignment horizontal="center" vertical="center"/>
    </xf>
    <xf numFmtId="0" fontId="37" fillId="7" borderId="20" xfId="0" applyFont="1" applyFill="1" applyBorder="1" applyAlignment="1">
      <alignment horizontal="right"/>
    </xf>
    <xf numFmtId="0" fontId="37" fillId="7" borderId="21" xfId="0" applyFont="1" applyFill="1" applyBorder="1" applyAlignment="1">
      <alignment horizontal="right"/>
    </xf>
    <xf numFmtId="0" fontId="37" fillId="7" borderId="22" xfId="0" applyFont="1" applyFill="1" applyBorder="1" applyAlignment="1">
      <alignment horizontal="right"/>
    </xf>
    <xf numFmtId="4" fontId="37" fillId="7" borderId="22" xfId="0" applyNumberFormat="1" applyFont="1" applyFill="1" applyBorder="1" applyAlignment="1">
      <alignment horizontal="right"/>
    </xf>
    <xf numFmtId="0" fontId="36" fillId="7" borderId="21" xfId="0" applyFont="1" applyFill="1" applyBorder="1" applyAlignment="1">
      <alignment horizontal="right"/>
    </xf>
    <xf numFmtId="0" fontId="37" fillId="7" borderId="0" xfId="0" applyFont="1" applyFill="1" applyAlignment="1">
      <alignment horizontal="right"/>
    </xf>
    <xf numFmtId="0" fontId="46" fillId="14" borderId="6" xfId="0" applyFont="1" applyFill="1" applyBorder="1" applyAlignment="1">
      <alignment vertical="center"/>
    </xf>
    <xf numFmtId="0" fontId="36" fillId="14" borderId="6" xfId="0" applyFont="1" applyFill="1" applyBorder="1"/>
    <xf numFmtId="3" fontId="43" fillId="14" borderId="2" xfId="0" applyNumberFormat="1" applyFont="1" applyFill="1" applyBorder="1"/>
    <xf numFmtId="3" fontId="43" fillId="14" borderId="10" xfId="0" applyNumberFormat="1" applyFont="1" applyFill="1" applyBorder="1"/>
    <xf numFmtId="3" fontId="43" fillId="14" borderId="1" xfId="0" applyNumberFormat="1" applyFont="1" applyFill="1" applyBorder="1"/>
    <xf numFmtId="0" fontId="46" fillId="8" borderId="0" xfId="0" applyFont="1" applyFill="1" applyAlignment="1">
      <alignment vertical="center"/>
    </xf>
    <xf numFmtId="0" fontId="36" fillId="8" borderId="0" xfId="0" applyFont="1" applyFill="1"/>
    <xf numFmtId="4" fontId="37" fillId="10" borderId="0" xfId="0" applyNumberFormat="1" applyFont="1" applyFill="1"/>
    <xf numFmtId="4" fontId="36" fillId="10" borderId="5" xfId="0" applyNumberFormat="1" applyFont="1" applyFill="1" applyBorder="1"/>
    <xf numFmtId="0" fontId="46" fillId="4" borderId="0" xfId="0" applyFont="1" applyFill="1" applyAlignment="1">
      <alignment vertical="center"/>
    </xf>
    <xf numFmtId="3" fontId="37" fillId="10" borderId="5" xfId="0" applyNumberFormat="1" applyFont="1" applyFill="1" applyBorder="1"/>
    <xf numFmtId="0" fontId="37" fillId="8" borderId="0" xfId="0" applyFont="1" applyFill="1"/>
    <xf numFmtId="4" fontId="37" fillId="10" borderId="5" xfId="0" applyNumberFormat="1" applyFont="1" applyFill="1" applyBorder="1"/>
    <xf numFmtId="4" fontId="37" fillId="10" borderId="7" xfId="0" applyNumberFormat="1" applyFont="1" applyFill="1" applyBorder="1"/>
    <xf numFmtId="4" fontId="32" fillId="4" borderId="0" xfId="0" applyNumberFormat="1" applyFont="1" applyFill="1"/>
    <xf numFmtId="0" fontId="68" fillId="15" borderId="3" xfId="9" applyFont="1" applyFill="1" applyBorder="1" applyAlignment="1">
      <alignment horizontal="center" vertical="center"/>
    </xf>
    <xf numFmtId="0" fontId="68" fillId="15" borderId="3" xfId="0" applyFont="1" applyFill="1" applyBorder="1" applyAlignment="1">
      <alignment vertical="center"/>
    </xf>
    <xf numFmtId="0" fontId="68" fillId="15" borderId="3" xfId="9" applyFont="1" applyFill="1" applyBorder="1" applyAlignment="1">
      <alignment horizontal="left" vertical="center"/>
    </xf>
    <xf numFmtId="0" fontId="68" fillId="15" borderId="3" xfId="9" applyFont="1" applyFill="1" applyBorder="1" applyAlignment="1">
      <alignment horizontal="left" vertical="center" wrapText="1"/>
    </xf>
    <xf numFmtId="0" fontId="74" fillId="15" borderId="3" xfId="0" applyFont="1" applyFill="1" applyBorder="1"/>
    <xf numFmtId="0" fontId="75" fillId="15" borderId="3" xfId="0" applyFont="1" applyFill="1" applyBorder="1"/>
    <xf numFmtId="43" fontId="75" fillId="15" borderId="3" xfId="0" applyNumberFormat="1" applyFont="1" applyFill="1" applyBorder="1"/>
    <xf numFmtId="43" fontId="75" fillId="15" borderId="11" xfId="0" applyNumberFormat="1" applyFont="1" applyFill="1" applyBorder="1"/>
    <xf numFmtId="43" fontId="75" fillId="15" borderId="4" xfId="0" applyNumberFormat="1" applyFont="1" applyFill="1" applyBorder="1"/>
    <xf numFmtId="0" fontId="76" fillId="0" borderId="0" xfId="0" applyFont="1"/>
    <xf numFmtId="0" fontId="77" fillId="0" borderId="0" xfId="0" applyFont="1"/>
    <xf numFmtId="43" fontId="77" fillId="0" borderId="0" xfId="0" applyNumberFormat="1" applyFont="1"/>
    <xf numFmtId="4" fontId="30" fillId="0" borderId="0" xfId="0" applyNumberFormat="1" applyFont="1"/>
    <xf numFmtId="43" fontId="32" fillId="4" borderId="0" xfId="0" applyNumberFormat="1" applyFont="1" applyFill="1"/>
    <xf numFmtId="165" fontId="40" fillId="0" borderId="0" xfId="1" applyFont="1"/>
    <xf numFmtId="165" fontId="78" fillId="0" borderId="0" xfId="0" applyNumberFormat="1" applyFont="1"/>
    <xf numFmtId="168" fontId="0" fillId="0" borderId="0" xfId="1" applyNumberFormat="1" applyFont="1"/>
    <xf numFmtId="0" fontId="37" fillId="7" borderId="14" xfId="0" applyFont="1" applyFill="1" applyBorder="1" applyAlignment="1">
      <alignment vertical="center" wrapText="1"/>
    </xf>
    <xf numFmtId="0" fontId="37" fillId="7" borderId="1" xfId="0" applyFont="1" applyFill="1" applyBorder="1" applyAlignment="1">
      <alignment vertical="center" wrapText="1"/>
    </xf>
    <xf numFmtId="0" fontId="37" fillId="7" borderId="0" xfId="0" applyFont="1" applyFill="1" applyAlignment="1">
      <alignment vertical="center"/>
    </xf>
    <xf numFmtId="0" fontId="17" fillId="0" borderId="0" xfId="35"/>
    <xf numFmtId="0" fontId="80" fillId="0" borderId="0" xfId="35" applyFont="1"/>
    <xf numFmtId="0" fontId="81" fillId="0" borderId="0" xfId="35" applyFont="1"/>
    <xf numFmtId="0" fontId="81" fillId="0" borderId="0" xfId="35" applyFont="1" applyAlignment="1">
      <alignment horizontal="center" vertical="center"/>
    </xf>
    <xf numFmtId="0" fontId="81" fillId="9" borderId="0" xfId="35" applyFont="1" applyFill="1" applyAlignment="1">
      <alignment horizontal="center" vertical="center"/>
    </xf>
    <xf numFmtId="0" fontId="81" fillId="7" borderId="0" xfId="35" applyFont="1" applyFill="1" applyAlignment="1">
      <alignment horizontal="center" vertical="center"/>
    </xf>
    <xf numFmtId="0" fontId="81" fillId="13" borderId="0" xfId="35" applyFont="1" applyFill="1" applyAlignment="1">
      <alignment horizontal="center" vertical="center"/>
    </xf>
    <xf numFmtId="0" fontId="81" fillId="10" borderId="0" xfId="35" applyFont="1" applyFill="1" applyAlignment="1">
      <alignment horizontal="center" vertical="center"/>
    </xf>
    <xf numFmtId="0" fontId="81" fillId="17" borderId="0" xfId="35" applyFont="1" applyFill="1" applyAlignment="1">
      <alignment horizontal="center" vertical="center"/>
    </xf>
    <xf numFmtId="0" fontId="81" fillId="18" borderId="0" xfId="35" applyFont="1" applyFill="1" applyAlignment="1">
      <alignment horizontal="center" vertical="center"/>
    </xf>
    <xf numFmtId="0" fontId="17" fillId="16" borderId="0" xfId="35" applyFill="1"/>
    <xf numFmtId="10" fontId="82" fillId="9" borderId="0" xfId="36" applyNumberFormat="1" applyFont="1" applyFill="1"/>
    <xf numFmtId="10" fontId="82" fillId="7" borderId="0" xfId="36" applyNumberFormat="1" applyFont="1" applyFill="1"/>
    <xf numFmtId="10" fontId="82" fillId="13" borderId="0" xfId="36" applyNumberFormat="1" applyFont="1" applyFill="1"/>
    <xf numFmtId="10" fontId="0" fillId="10" borderId="0" xfId="36" applyNumberFormat="1" applyFont="1" applyFill="1"/>
    <xf numFmtId="10" fontId="0" fillId="17" borderId="0" xfId="36" applyNumberFormat="1" applyFont="1" applyFill="1"/>
    <xf numFmtId="10" fontId="0" fillId="18" borderId="0" xfId="36" applyNumberFormat="1" applyFont="1" applyFill="1"/>
    <xf numFmtId="10" fontId="0" fillId="0" borderId="0" xfId="36" applyNumberFormat="1" applyFont="1"/>
    <xf numFmtId="10" fontId="79" fillId="9" borderId="0" xfId="36" applyNumberFormat="1" applyFont="1" applyFill="1"/>
    <xf numFmtId="10" fontId="0" fillId="7" borderId="0" xfId="36" applyNumberFormat="1" applyFont="1" applyFill="1"/>
    <xf numFmtId="10" fontId="0" fillId="13" borderId="0" xfId="36" applyNumberFormat="1" applyFont="1" applyFill="1"/>
    <xf numFmtId="10" fontId="0" fillId="9" borderId="0" xfId="36" applyNumberFormat="1" applyFont="1" applyFill="1"/>
    <xf numFmtId="10" fontId="82" fillId="10" borderId="0" xfId="36" applyNumberFormat="1" applyFont="1" applyFill="1"/>
    <xf numFmtId="10" fontId="82" fillId="17" borderId="0" xfId="36" applyNumberFormat="1" applyFont="1" applyFill="1"/>
    <xf numFmtId="10" fontId="79" fillId="13" borderId="0" xfId="36" applyNumberFormat="1" applyFont="1" applyFill="1"/>
    <xf numFmtId="10" fontId="79" fillId="10" borderId="0" xfId="36" applyNumberFormat="1" applyFont="1" applyFill="1"/>
    <xf numFmtId="0" fontId="17" fillId="19" borderId="0" xfId="35" applyFill="1"/>
    <xf numFmtId="0" fontId="17" fillId="14" borderId="0" xfId="35" applyFill="1"/>
    <xf numFmtId="0" fontId="17" fillId="20" borderId="0" xfId="35" applyFill="1"/>
    <xf numFmtId="0" fontId="17" fillId="6" borderId="0" xfId="35" applyFill="1"/>
    <xf numFmtId="0" fontId="79" fillId="19" borderId="0" xfId="35" applyFont="1" applyFill="1"/>
    <xf numFmtId="0" fontId="79" fillId="19" borderId="0" xfId="35" applyFont="1" applyFill="1" applyAlignment="1">
      <alignment horizontal="left" indent="1"/>
    </xf>
    <xf numFmtId="0" fontId="17" fillId="19" borderId="0" xfId="35" applyFill="1" applyAlignment="1">
      <alignment horizontal="left" indent="1"/>
    </xf>
    <xf numFmtId="0" fontId="79" fillId="0" borderId="0" xfId="35" applyFont="1"/>
    <xf numFmtId="0" fontId="80" fillId="19" borderId="0" xfId="35" applyFont="1" applyFill="1"/>
    <xf numFmtId="0" fontId="37" fillId="7" borderId="29" xfId="0" applyFont="1" applyFill="1" applyBorder="1" applyAlignment="1">
      <alignment vertical="center" wrapText="1"/>
    </xf>
    <xf numFmtId="0" fontId="37" fillId="7" borderId="23" xfId="0" applyFont="1" applyFill="1" applyBorder="1" applyAlignment="1">
      <alignment vertical="center" wrapText="1"/>
    </xf>
    <xf numFmtId="0" fontId="37" fillId="7" borderId="24" xfId="0" applyFont="1" applyFill="1" applyBorder="1" applyAlignment="1">
      <alignment vertical="center" wrapText="1"/>
    </xf>
    <xf numFmtId="0" fontId="37" fillId="7" borderId="20" xfId="0" applyFont="1" applyFill="1" applyBorder="1" applyAlignment="1">
      <alignment vertical="center" wrapText="1"/>
    </xf>
    <xf numFmtId="0" fontId="37" fillId="7" borderId="21" xfId="0" applyFont="1" applyFill="1" applyBorder="1" applyAlignment="1">
      <alignment vertical="center" wrapText="1"/>
    </xf>
    <xf numFmtId="0" fontId="16" fillId="19" borderId="0" xfId="35" applyFont="1" applyFill="1"/>
    <xf numFmtId="0" fontId="34" fillId="0" borderId="0" xfId="0" applyFont="1" applyAlignment="1">
      <alignment vertical="center"/>
    </xf>
    <xf numFmtId="0" fontId="30" fillId="0" borderId="0" xfId="0" applyFont="1"/>
    <xf numFmtId="0" fontId="57" fillId="0" borderId="0" xfId="0" applyFont="1"/>
    <xf numFmtId="0" fontId="41" fillId="0" borderId="0" xfId="0" applyFont="1"/>
    <xf numFmtId="0" fontId="42" fillId="0" borderId="0" xfId="0" applyFont="1"/>
    <xf numFmtId="0" fontId="34" fillId="0" borderId="13" xfId="0" applyFont="1" applyBorder="1" applyAlignment="1">
      <alignment horizontal="center" vertical="center"/>
    </xf>
    <xf numFmtId="165" fontId="53" fillId="0" borderId="5" xfId="1" applyFont="1" applyFill="1" applyBorder="1" applyAlignment="1">
      <alignment vertical="center"/>
    </xf>
    <xf numFmtId="0" fontId="36" fillId="0" borderId="0" xfId="0" applyFont="1" applyAlignment="1">
      <alignment horizontal="center" vertical="center"/>
    </xf>
    <xf numFmtId="0" fontId="51" fillId="0" borderId="13" xfId="9" applyFont="1" applyBorder="1" applyAlignment="1">
      <alignment horizontal="center" vertical="center"/>
    </xf>
    <xf numFmtId="0" fontId="16" fillId="6" borderId="0" xfId="35" applyFont="1" applyFill="1"/>
    <xf numFmtId="0" fontId="36" fillId="0" borderId="31" xfId="0" applyFont="1" applyBorder="1" applyAlignment="1">
      <alignment horizontal="center" vertical="center"/>
    </xf>
    <xf numFmtId="0" fontId="55" fillId="0" borderId="32" xfId="0" applyFont="1" applyBorder="1" applyAlignment="1">
      <alignment horizontal="center" vertical="center"/>
    </xf>
    <xf numFmtId="0" fontId="70" fillId="0" borderId="0" xfId="0" applyFont="1"/>
    <xf numFmtId="0" fontId="30" fillId="0" borderId="0" xfId="0" applyFont="1" applyAlignment="1">
      <alignment horizontal="center" vertical="center"/>
    </xf>
    <xf numFmtId="165" fontId="36" fillId="0" borderId="0" xfId="0" applyNumberFormat="1" applyFont="1" applyAlignment="1">
      <alignment horizontal="center" vertical="center"/>
    </xf>
    <xf numFmtId="0" fontId="16" fillId="16" borderId="0" xfId="35" applyFont="1" applyFill="1"/>
    <xf numFmtId="165" fontId="37" fillId="0" borderId="0" xfId="1" applyFont="1" applyFill="1" applyAlignment="1">
      <alignment vertical="center"/>
    </xf>
    <xf numFmtId="3" fontId="37" fillId="0" borderId="0" xfId="0" applyNumberFormat="1" applyFont="1" applyAlignment="1">
      <alignment vertical="center"/>
    </xf>
    <xf numFmtId="0" fontId="47" fillId="0" borderId="0" xfId="0" applyFont="1"/>
    <xf numFmtId="0" fontId="48" fillId="0" borderId="0" xfId="0" applyFont="1"/>
    <xf numFmtId="0" fontId="37" fillId="0" borderId="2" xfId="0" applyFont="1" applyBorder="1" applyAlignment="1">
      <alignment vertical="center"/>
    </xf>
    <xf numFmtId="0" fontId="37" fillId="0" borderId="10" xfId="0" applyFont="1" applyBorder="1" applyAlignment="1">
      <alignment vertical="center"/>
    </xf>
    <xf numFmtId="0" fontId="54" fillId="0" borderId="6" xfId="0" applyFont="1" applyBorder="1" applyAlignment="1">
      <alignment horizontal="right"/>
    </xf>
    <xf numFmtId="0" fontId="54" fillId="0" borderId="9" xfId="0" applyFont="1" applyBorder="1" applyAlignment="1">
      <alignment horizontal="right"/>
    </xf>
    <xf numFmtId="0" fontId="54" fillId="0" borderId="6" xfId="0" applyFont="1" applyBorder="1" applyAlignment="1">
      <alignment horizontal="center"/>
    </xf>
    <xf numFmtId="0" fontId="54" fillId="0" borderId="9" xfId="0" applyFont="1" applyBorder="1" applyAlignment="1">
      <alignment horizontal="center"/>
    </xf>
    <xf numFmtId="165" fontId="48" fillId="0" borderId="0" xfId="1" applyFont="1" applyFill="1" applyAlignment="1">
      <alignment vertical="center"/>
    </xf>
    <xf numFmtId="0" fontId="47" fillId="0" borderId="0" xfId="0" applyFont="1" applyAlignment="1">
      <alignment vertical="center"/>
    </xf>
    <xf numFmtId="0" fontId="48"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3" fontId="36" fillId="0" borderId="0" xfId="0" applyNumberFormat="1" applyFont="1" applyAlignment="1">
      <alignment horizontal="center"/>
    </xf>
    <xf numFmtId="165" fontId="36" fillId="0" borderId="12" xfId="1" applyFont="1" applyFill="1" applyBorder="1" applyAlignment="1">
      <alignment vertical="center"/>
    </xf>
    <xf numFmtId="165" fontId="36" fillId="0" borderId="12" xfId="1" applyFont="1" applyFill="1" applyBorder="1"/>
    <xf numFmtId="165" fontId="37" fillId="0" borderId="12" xfId="1" applyFont="1" applyFill="1" applyBorder="1"/>
    <xf numFmtId="165" fontId="37" fillId="0" borderId="0" xfId="1" applyFont="1" applyFill="1"/>
    <xf numFmtId="165" fontId="54" fillId="0" borderId="0" xfId="1" applyFont="1" applyFill="1"/>
    <xf numFmtId="43" fontId="36" fillId="0" borderId="0" xfId="0" applyNumberFormat="1" applyFont="1" applyAlignment="1">
      <alignment vertical="center"/>
    </xf>
    <xf numFmtId="0" fontId="48" fillId="0" borderId="0" xfId="0" applyFont="1" applyAlignment="1">
      <alignment horizontal="right" vertical="center"/>
    </xf>
    <xf numFmtId="165" fontId="58" fillId="0" borderId="0" xfId="0" applyNumberFormat="1" applyFont="1" applyAlignment="1">
      <alignment vertical="center"/>
    </xf>
    <xf numFmtId="165" fontId="69" fillId="0" borderId="0" xfId="1" applyFont="1" applyFill="1" applyAlignment="1">
      <alignment vertical="center"/>
    </xf>
    <xf numFmtId="165" fontId="58" fillId="0" borderId="0" xfId="1" applyFont="1" applyFill="1" applyAlignment="1">
      <alignment vertical="center"/>
    </xf>
    <xf numFmtId="165" fontId="69" fillId="0" borderId="0" xfId="0" applyNumberFormat="1" applyFont="1" applyAlignment="1">
      <alignment vertical="center"/>
    </xf>
    <xf numFmtId="165" fontId="36" fillId="0" borderId="12" xfId="1" applyFont="1" applyFill="1" applyBorder="1" applyAlignment="1">
      <alignment horizontal="center"/>
    </xf>
    <xf numFmtId="167" fontId="56" fillId="0" borderId="0" xfId="0" applyNumberFormat="1" applyFont="1" applyAlignment="1">
      <alignment vertical="center"/>
    </xf>
    <xf numFmtId="0" fontId="37" fillId="0" borderId="1" xfId="0" applyFont="1" applyBorder="1" applyAlignment="1">
      <alignment vertical="center"/>
    </xf>
    <xf numFmtId="0" fontId="54" fillId="0" borderId="8" xfId="0" applyFont="1" applyBorder="1" applyAlignment="1">
      <alignment horizontal="right"/>
    </xf>
    <xf numFmtId="3" fontId="34" fillId="0" borderId="7" xfId="0" applyNumberFormat="1" applyFont="1" applyBorder="1" applyAlignment="1">
      <alignment vertical="center"/>
    </xf>
    <xf numFmtId="172" fontId="51" fillId="0" borderId="7" xfId="9" applyNumberFormat="1" applyFont="1" applyBorder="1" applyAlignment="1">
      <alignment vertical="center"/>
    </xf>
    <xf numFmtId="172" fontId="53" fillId="0" borderId="0" xfId="1" applyNumberFormat="1" applyFont="1" applyFill="1" applyBorder="1" applyAlignment="1">
      <alignment horizontal="right" vertical="center"/>
    </xf>
    <xf numFmtId="172" fontId="53" fillId="0" borderId="7" xfId="9" applyNumberFormat="1" applyFont="1" applyBorder="1" applyAlignment="1">
      <alignment vertical="center"/>
    </xf>
    <xf numFmtId="0" fontId="53" fillId="0" borderId="10" xfId="0" applyFont="1" applyBorder="1" applyAlignment="1">
      <alignment vertical="center"/>
    </xf>
    <xf numFmtId="0" fontId="53" fillId="0" borderId="1" xfId="0" applyFont="1" applyBorder="1" applyAlignment="1">
      <alignment vertical="center"/>
    </xf>
    <xf numFmtId="0" fontId="53" fillId="0" borderId="10" xfId="0" applyFont="1" applyBorder="1" applyAlignment="1">
      <alignment wrapText="1"/>
    </xf>
    <xf numFmtId="165" fontId="32" fillId="0" borderId="0" xfId="1" applyFont="1" applyFill="1" applyAlignment="1">
      <alignment vertical="center"/>
    </xf>
    <xf numFmtId="165" fontId="27" fillId="2" borderId="3" xfId="0" applyNumberFormat="1" applyFont="1" applyFill="1" applyBorder="1" applyAlignment="1">
      <alignment horizontal="center"/>
    </xf>
    <xf numFmtId="43" fontId="30" fillId="0" borderId="0" xfId="0" applyNumberFormat="1" applyFont="1"/>
    <xf numFmtId="0" fontId="49" fillId="14" borderId="12" xfId="0" applyFont="1" applyFill="1" applyBorder="1" applyAlignment="1">
      <alignment horizontal="right" vertical="center"/>
    </xf>
    <xf numFmtId="0" fontId="49" fillId="8" borderId="13" xfId="0" applyFont="1" applyFill="1" applyBorder="1" applyAlignment="1">
      <alignment horizontal="right" vertical="center"/>
    </xf>
    <xf numFmtId="0" fontId="49" fillId="0" borderId="13" xfId="0" applyFont="1" applyBorder="1" applyAlignment="1">
      <alignment horizontal="center" vertical="center"/>
    </xf>
    <xf numFmtId="0" fontId="49" fillId="4" borderId="13" xfId="0" applyFont="1" applyFill="1" applyBorder="1" applyAlignment="1">
      <alignment horizontal="center" vertical="center"/>
    </xf>
    <xf numFmtId="0" fontId="53" fillId="8" borderId="13" xfId="0" applyFont="1" applyFill="1" applyBorder="1" applyAlignment="1">
      <alignment horizontal="center" vertical="center"/>
    </xf>
    <xf numFmtId="0" fontId="73" fillId="15" borderId="12" xfId="0" applyFont="1" applyFill="1" applyBorder="1" applyAlignment="1">
      <alignment horizontal="center" vertical="center"/>
    </xf>
    <xf numFmtId="0" fontId="37" fillId="7" borderId="23" xfId="0" applyFont="1" applyFill="1" applyBorder="1" applyAlignment="1">
      <alignment vertical="center"/>
    </xf>
    <xf numFmtId="0" fontId="37" fillId="7" borderId="24" xfId="0" applyFont="1" applyFill="1" applyBorder="1" applyAlignment="1">
      <alignment vertical="center"/>
    </xf>
    <xf numFmtId="0" fontId="37" fillId="7" borderId="25" xfId="0" applyFont="1" applyFill="1" applyBorder="1" applyAlignment="1">
      <alignment vertical="center"/>
    </xf>
    <xf numFmtId="0" fontId="37" fillId="7" borderId="8" xfId="0" applyFont="1" applyFill="1" applyBorder="1" applyAlignment="1">
      <alignment horizontal="centerContinuous" vertical="center"/>
    </xf>
    <xf numFmtId="0" fontId="37" fillId="7" borderId="6" xfId="0" applyFont="1" applyFill="1" applyBorder="1" applyAlignment="1">
      <alignment horizontal="centerContinuous" vertical="center"/>
    </xf>
    <xf numFmtId="0" fontId="37" fillId="7" borderId="9" xfId="0" applyFont="1" applyFill="1" applyBorder="1" applyAlignment="1">
      <alignment horizontal="centerContinuous" vertical="center"/>
    </xf>
    <xf numFmtId="165" fontId="0" fillId="4" borderId="0" xfId="0" applyNumberFormat="1" applyFill="1"/>
    <xf numFmtId="0" fontId="26" fillId="7" borderId="12" xfId="0" applyFont="1" applyFill="1" applyBorder="1" applyAlignment="1">
      <alignment horizontal="center" vertical="center"/>
    </xf>
    <xf numFmtId="0" fontId="26" fillId="7" borderId="6" xfId="0" applyFont="1" applyFill="1" applyBorder="1" applyAlignment="1">
      <alignment horizontal="center" vertical="center"/>
    </xf>
    <xf numFmtId="165" fontId="0" fillId="0" borderId="0" xfId="1" applyFont="1"/>
    <xf numFmtId="165" fontId="0" fillId="0" borderId="0" xfId="0" applyNumberFormat="1"/>
    <xf numFmtId="0" fontId="37" fillId="7" borderId="26" xfId="0" applyFont="1" applyFill="1" applyBorder="1" applyAlignment="1">
      <alignment horizontal="center" vertical="center"/>
    </xf>
    <xf numFmtId="0" fontId="37" fillId="7" borderId="27" xfId="0" applyFont="1" applyFill="1" applyBorder="1" applyAlignment="1">
      <alignment horizontal="center" vertical="center"/>
    </xf>
    <xf numFmtId="0" fontId="37" fillId="7" borderId="28" xfId="0" applyFont="1" applyFill="1" applyBorder="1" applyAlignment="1">
      <alignment horizontal="center" vertical="center"/>
    </xf>
    <xf numFmtId="165" fontId="37" fillId="0" borderId="7" xfId="1" applyFont="1" applyBorder="1"/>
    <xf numFmtId="165" fontId="36" fillId="0" borderId="5" xfId="1" applyFont="1" applyBorder="1"/>
    <xf numFmtId="165" fontId="36" fillId="0" borderId="0" xfId="1" applyFont="1" applyBorder="1"/>
    <xf numFmtId="0" fontId="30" fillId="0" borderId="31" xfId="0" applyFont="1" applyBorder="1" applyAlignment="1">
      <alignment horizontal="center" vertical="center"/>
    </xf>
    <xf numFmtId="0" fontId="70" fillId="0" borderId="30" xfId="0" applyFont="1" applyBorder="1" applyAlignment="1">
      <alignment horizontal="center" vertical="center"/>
    </xf>
    <xf numFmtId="0" fontId="57" fillId="0" borderId="30" xfId="0" applyFont="1" applyBorder="1" applyAlignment="1">
      <alignment horizontal="center" vertical="center"/>
    </xf>
    <xf numFmtId="3" fontId="36" fillId="21" borderId="12" xfId="0" applyNumberFormat="1" applyFont="1" applyFill="1" applyBorder="1" applyAlignment="1">
      <alignment horizontal="center"/>
    </xf>
    <xf numFmtId="165" fontId="36" fillId="21" borderId="12" xfId="1" applyFont="1" applyFill="1" applyBorder="1" applyAlignment="1">
      <alignment horizontal="center"/>
    </xf>
    <xf numFmtId="165" fontId="56" fillId="0" borderId="0" xfId="1" applyFont="1" applyFill="1" applyBorder="1" applyAlignment="1">
      <alignment vertical="center"/>
    </xf>
    <xf numFmtId="0" fontId="82" fillId="19" borderId="0" xfId="35" applyFont="1" applyFill="1"/>
    <xf numFmtId="170" fontId="36" fillId="0" borderId="5" xfId="1" applyNumberFormat="1" applyFont="1" applyFill="1" applyBorder="1"/>
    <xf numFmtId="43" fontId="36" fillId="0" borderId="0" xfId="1" applyNumberFormat="1" applyFont="1" applyFill="1" applyBorder="1" applyAlignment="1">
      <alignment vertical="center"/>
    </xf>
    <xf numFmtId="165" fontId="40" fillId="0" borderId="0" xfId="1" applyFont="1" applyFill="1" applyBorder="1"/>
    <xf numFmtId="0" fontId="49" fillId="18" borderId="13" xfId="0" applyFont="1" applyFill="1" applyBorder="1" applyAlignment="1">
      <alignment horizontal="center" vertical="center"/>
    </xf>
    <xf numFmtId="164" fontId="36" fillId="0" borderId="1" xfId="1" applyNumberFormat="1" applyFont="1" applyBorder="1"/>
    <xf numFmtId="164" fontId="36" fillId="0" borderId="2" xfId="1" applyNumberFormat="1" applyFont="1" applyBorder="1"/>
    <xf numFmtId="3" fontId="36" fillId="0" borderId="2" xfId="0" applyNumberFormat="1" applyFont="1" applyBorder="1"/>
    <xf numFmtId="3" fontId="36" fillId="0" borderId="10" xfId="0" applyNumberFormat="1" applyFont="1" applyBorder="1"/>
    <xf numFmtId="168" fontId="36" fillId="6" borderId="8" xfId="1" applyNumberFormat="1" applyFont="1" applyFill="1" applyBorder="1" applyAlignment="1">
      <alignment vertical="center"/>
    </xf>
    <xf numFmtId="168" fontId="36" fillId="6" borderId="6" xfId="1" applyNumberFormat="1" applyFont="1" applyFill="1" applyBorder="1" applyAlignment="1">
      <alignment vertical="center"/>
    </xf>
    <xf numFmtId="3" fontId="37" fillId="6" borderId="9" xfId="0" applyNumberFormat="1" applyFont="1" applyFill="1" applyBorder="1"/>
    <xf numFmtId="3" fontId="36" fillId="0" borderId="1" xfId="0" applyNumberFormat="1" applyFont="1" applyBorder="1"/>
    <xf numFmtId="4" fontId="37" fillId="0" borderId="10" xfId="0" applyNumberFormat="1" applyFont="1" applyBorder="1"/>
    <xf numFmtId="4" fontId="36" fillId="6" borderId="8" xfId="0" applyNumberFormat="1" applyFont="1" applyFill="1" applyBorder="1" applyAlignment="1">
      <alignment vertical="center"/>
    </xf>
    <xf numFmtId="4" fontId="36" fillId="6" borderId="6" xfId="0" applyNumberFormat="1" applyFont="1" applyFill="1" applyBorder="1" applyAlignment="1">
      <alignment vertical="center"/>
    </xf>
    <xf numFmtId="4" fontId="36" fillId="6" borderId="9" xfId="0" applyNumberFormat="1" applyFont="1" applyFill="1" applyBorder="1" applyAlignment="1">
      <alignment vertical="center"/>
    </xf>
    <xf numFmtId="2" fontId="37" fillId="0" borderId="1" xfId="0" applyNumberFormat="1" applyFont="1" applyBorder="1"/>
    <xf numFmtId="2" fontId="37" fillId="0" borderId="2" xfId="0" applyNumberFormat="1" applyFont="1" applyBorder="1"/>
    <xf numFmtId="2" fontId="37" fillId="0" borderId="10" xfId="0" applyNumberFormat="1" applyFont="1" applyBorder="1"/>
    <xf numFmtId="0" fontId="44" fillId="7" borderId="5" xfId="0" applyFont="1" applyFill="1" applyBorder="1" applyAlignment="1">
      <alignment horizontal="center"/>
    </xf>
    <xf numFmtId="3" fontId="36" fillId="14" borderId="1" xfId="0" applyNumberFormat="1" applyFont="1" applyFill="1" applyBorder="1"/>
    <xf numFmtId="164" fontId="36" fillId="14" borderId="5" xfId="1" applyNumberFormat="1" applyFont="1" applyFill="1" applyBorder="1"/>
    <xf numFmtId="164" fontId="36" fillId="14" borderId="0" xfId="1" applyNumberFormat="1" applyFont="1" applyFill="1" applyBorder="1"/>
    <xf numFmtId="3" fontId="36" fillId="14" borderId="23" xfId="0" applyNumberFormat="1" applyFont="1" applyFill="1" applyBorder="1"/>
    <xf numFmtId="3" fontId="36" fillId="14" borderId="24" xfId="0" applyNumberFormat="1" applyFont="1" applyFill="1" applyBorder="1"/>
    <xf numFmtId="4" fontId="37" fillId="14" borderId="25" xfId="0" applyNumberFormat="1" applyFont="1" applyFill="1" applyBorder="1"/>
    <xf numFmtId="2" fontId="37" fillId="14" borderId="5" xfId="8" applyNumberFormat="1" applyFont="1" applyFill="1" applyBorder="1"/>
    <xf numFmtId="2" fontId="37" fillId="14" borderId="0" xfId="8" applyNumberFormat="1" applyFont="1" applyFill="1" applyBorder="1"/>
    <xf numFmtId="2" fontId="37" fillId="14" borderId="7" xfId="8" applyNumberFormat="1" applyFont="1" applyFill="1" applyBorder="1"/>
    <xf numFmtId="3" fontId="37" fillId="0" borderId="2" xfId="0" applyNumberFormat="1" applyFont="1" applyBorder="1"/>
    <xf numFmtId="3" fontId="43" fillId="0" borderId="2" xfId="0" applyNumberFormat="1" applyFont="1" applyBorder="1"/>
    <xf numFmtId="3" fontId="43" fillId="0" borderId="10" xfId="0" applyNumberFormat="1" applyFont="1" applyBorder="1"/>
    <xf numFmtId="3" fontId="43" fillId="0" borderId="1" xfId="0" applyNumberFormat="1" applyFont="1" applyBorder="1"/>
    <xf numFmtId="0" fontId="30" fillId="0" borderId="7" xfId="0" applyFont="1" applyBorder="1"/>
    <xf numFmtId="3" fontId="37" fillId="6" borderId="6" xfId="0" applyNumberFormat="1" applyFont="1" applyFill="1" applyBorder="1"/>
    <xf numFmtId="3" fontId="36" fillId="6" borderId="6" xfId="0" applyNumberFormat="1" applyFont="1" applyFill="1" applyBorder="1"/>
    <xf numFmtId="168" fontId="36" fillId="6" borderId="11" xfId="1" applyNumberFormat="1" applyFont="1" applyFill="1" applyBorder="1" applyAlignment="1">
      <alignment vertical="center"/>
    </xf>
    <xf numFmtId="168" fontId="36" fillId="6" borderId="3" xfId="1" applyNumberFormat="1" applyFont="1" applyFill="1" applyBorder="1" applyAlignment="1">
      <alignment vertical="center"/>
    </xf>
    <xf numFmtId="4" fontId="36" fillId="10" borderId="8" xfId="0" applyNumberFormat="1" applyFont="1" applyFill="1" applyBorder="1"/>
    <xf numFmtId="4" fontId="36" fillId="10" borderId="6" xfId="0" applyNumberFormat="1" applyFont="1" applyFill="1" applyBorder="1"/>
    <xf numFmtId="4" fontId="36" fillId="10" borderId="9" xfId="0" applyNumberFormat="1" applyFont="1" applyFill="1" applyBorder="1"/>
    <xf numFmtId="4" fontId="37" fillId="10" borderId="9" xfId="0" applyNumberFormat="1" applyFont="1" applyFill="1" applyBorder="1"/>
    <xf numFmtId="3" fontId="36" fillId="22" borderId="0" xfId="0" applyNumberFormat="1" applyFont="1" applyFill="1"/>
    <xf numFmtId="3" fontId="36" fillId="22" borderId="5" xfId="0" applyNumberFormat="1" applyFont="1" applyFill="1" applyBorder="1"/>
    <xf numFmtId="3" fontId="36" fillId="22" borderId="1" xfId="0" applyNumberFormat="1" applyFont="1" applyFill="1" applyBorder="1"/>
    <xf numFmtId="3" fontId="37" fillId="22" borderId="10" xfId="0" applyNumberFormat="1" applyFont="1" applyFill="1" applyBorder="1"/>
    <xf numFmtId="3" fontId="37" fillId="22" borderId="0" xfId="0" applyNumberFormat="1" applyFont="1" applyFill="1"/>
    <xf numFmtId="4" fontId="37" fillId="22" borderId="5" xfId="0" applyNumberFormat="1" applyFont="1" applyFill="1" applyBorder="1"/>
    <xf numFmtId="4" fontId="43" fillId="22" borderId="0" xfId="0" applyNumberFormat="1" applyFont="1" applyFill="1"/>
    <xf numFmtId="4" fontId="43" fillId="22" borderId="7" xfId="0" applyNumberFormat="1" applyFont="1" applyFill="1" applyBorder="1"/>
    <xf numFmtId="3" fontId="43" fillId="22" borderId="0" xfId="0" applyNumberFormat="1" applyFont="1" applyFill="1"/>
    <xf numFmtId="3" fontId="43" fillId="22" borderId="5" xfId="0" applyNumberFormat="1" applyFont="1" applyFill="1" applyBorder="1"/>
    <xf numFmtId="3" fontId="43" fillId="22" borderId="1" xfId="0" applyNumberFormat="1" applyFont="1" applyFill="1" applyBorder="1"/>
    <xf numFmtId="3" fontId="43" fillId="22" borderId="2" xfId="0" applyNumberFormat="1" applyFont="1" applyFill="1" applyBorder="1"/>
    <xf numFmtId="3" fontId="43" fillId="22" borderId="10" xfId="0" applyNumberFormat="1" applyFont="1" applyFill="1" applyBorder="1"/>
    <xf numFmtId="43" fontId="0" fillId="0" borderId="0" xfId="0" applyNumberFormat="1"/>
    <xf numFmtId="0" fontId="28" fillId="2" borderId="12" xfId="0" applyFont="1" applyFill="1" applyBorder="1"/>
    <xf numFmtId="165" fontId="28" fillId="2" borderId="12" xfId="1" applyFont="1" applyFill="1" applyBorder="1" applyAlignment="1">
      <alignment horizontal="center"/>
    </xf>
    <xf numFmtId="174" fontId="43" fillId="22" borderId="0" xfId="0" applyNumberFormat="1" applyFont="1" applyFill="1"/>
    <xf numFmtId="173" fontId="69" fillId="0" borderId="0" xfId="1" applyNumberFormat="1" applyFont="1" applyFill="1" applyAlignment="1">
      <alignment vertical="center"/>
    </xf>
    <xf numFmtId="173" fontId="36" fillId="0" borderId="12" xfId="1" applyNumberFormat="1" applyFont="1" applyFill="1" applyBorder="1" applyAlignment="1">
      <alignment vertical="center"/>
    </xf>
    <xf numFmtId="165" fontId="37" fillId="0" borderId="12" xfId="1" applyFont="1" applyFill="1" applyBorder="1" applyAlignment="1">
      <alignment horizontal="center"/>
    </xf>
    <xf numFmtId="165" fontId="47" fillId="0" borderId="0" xfId="0" applyNumberFormat="1" applyFont="1" applyAlignment="1">
      <alignment vertical="center"/>
    </xf>
    <xf numFmtId="43" fontId="58" fillId="0" borderId="0" xfId="0" applyNumberFormat="1" applyFont="1" applyAlignment="1">
      <alignment vertical="center"/>
    </xf>
    <xf numFmtId="3" fontId="58" fillId="0" borderId="0" xfId="0" applyNumberFormat="1" applyFont="1" applyAlignment="1">
      <alignment vertical="center"/>
    </xf>
    <xf numFmtId="174" fontId="37" fillId="0" borderId="0" xfId="0" applyNumberFormat="1" applyFont="1" applyAlignment="1">
      <alignment vertical="center"/>
    </xf>
    <xf numFmtId="165" fontId="36" fillId="0" borderId="0" xfId="0" applyNumberFormat="1" applyFont="1" applyAlignment="1">
      <alignment vertical="center"/>
    </xf>
    <xf numFmtId="173" fontId="48" fillId="0" borderId="0" xfId="0" applyNumberFormat="1" applyFont="1" applyAlignment="1">
      <alignment vertical="center"/>
    </xf>
    <xf numFmtId="173" fontId="47" fillId="0" borderId="0" xfId="0" applyNumberFormat="1" applyFont="1" applyAlignment="1">
      <alignment vertical="center"/>
    </xf>
    <xf numFmtId="43" fontId="48" fillId="0" borderId="0" xfId="0" applyNumberFormat="1" applyFont="1" applyAlignment="1">
      <alignment vertical="center"/>
    </xf>
    <xf numFmtId="174" fontId="48" fillId="0" borderId="0" xfId="0" applyNumberFormat="1" applyFont="1" applyAlignment="1">
      <alignment vertical="center"/>
    </xf>
    <xf numFmtId="0" fontId="37" fillId="7" borderId="8" xfId="0" applyFont="1" applyFill="1" applyBorder="1" applyAlignment="1">
      <alignment horizontal="center" vertical="center"/>
    </xf>
    <xf numFmtId="0" fontId="37" fillId="7" borderId="6" xfId="0" applyFont="1" applyFill="1" applyBorder="1" applyAlignment="1">
      <alignment horizontal="center" vertical="center"/>
    </xf>
    <xf numFmtId="175" fontId="0" fillId="0" borderId="0" xfId="0" applyNumberFormat="1"/>
    <xf numFmtId="0" fontId="44" fillId="7" borderId="6" xfId="0" applyFont="1" applyFill="1" applyBorder="1" applyAlignment="1">
      <alignment horizontal="center" vertical="center"/>
    </xf>
    <xf numFmtId="0" fontId="49" fillId="0" borderId="5" xfId="0" applyFont="1" applyBorder="1" applyAlignment="1">
      <alignment horizontal="center" vertical="center"/>
    </xf>
    <xf numFmtId="165" fontId="36" fillId="0" borderId="0" xfId="1" applyFont="1" applyFill="1" applyBorder="1" applyAlignment="1">
      <alignment horizontal="center"/>
    </xf>
    <xf numFmtId="3" fontId="36" fillId="0" borderId="0" xfId="0" applyNumberFormat="1" applyFont="1" applyAlignment="1">
      <alignment horizontal="center" vertical="center"/>
    </xf>
    <xf numFmtId="0" fontId="37" fillId="0" borderId="5" xfId="0" applyFont="1" applyBorder="1" applyAlignment="1">
      <alignment horizontal="center" vertical="center"/>
    </xf>
    <xf numFmtId="0" fontId="46" fillId="4" borderId="5" xfId="0" applyFont="1" applyFill="1" applyBorder="1" applyAlignment="1">
      <alignment vertical="center"/>
    </xf>
    <xf numFmtId="170" fontId="61" fillId="0" borderId="13" xfId="1" applyNumberFormat="1" applyFont="1" applyBorder="1"/>
    <xf numFmtId="0" fontId="46" fillId="0" borderId="5" xfId="0" applyFont="1" applyBorder="1" applyAlignment="1">
      <alignment vertical="center"/>
    </xf>
    <xf numFmtId="170" fontId="36" fillId="0" borderId="13" xfId="1" applyNumberFormat="1" applyFont="1" applyFill="1" applyBorder="1" applyAlignment="1">
      <alignment horizontal="right"/>
    </xf>
    <xf numFmtId="170" fontId="36" fillId="0" borderId="13" xfId="0" applyNumberFormat="1" applyFont="1" applyBorder="1" applyAlignment="1">
      <alignment horizontal="right"/>
    </xf>
    <xf numFmtId="170" fontId="36" fillId="0" borderId="13" xfId="0" applyNumberFormat="1" applyFont="1" applyBorder="1" applyAlignment="1">
      <alignment horizontal="right" vertical="center"/>
    </xf>
    <xf numFmtId="0" fontId="70" fillId="0" borderId="0" xfId="0" applyFont="1" applyAlignment="1">
      <alignment vertical="center"/>
    </xf>
    <xf numFmtId="0" fontId="86" fillId="0" borderId="0" xfId="0" applyFont="1" applyAlignment="1">
      <alignment vertical="center"/>
    </xf>
    <xf numFmtId="4" fontId="0" fillId="0" borderId="0" xfId="0" applyNumberFormat="1"/>
    <xf numFmtId="0" fontId="84" fillId="5" borderId="0" xfId="0" applyFont="1" applyFill="1"/>
    <xf numFmtId="172" fontId="36" fillId="0" borderId="5" xfId="1" applyNumberFormat="1" applyFont="1" applyFill="1" applyBorder="1" applyAlignment="1">
      <alignment horizontal="right" vertical="center"/>
    </xf>
    <xf numFmtId="172" fontId="36" fillId="0" borderId="0" xfId="1" applyNumberFormat="1" applyFont="1" applyFill="1" applyBorder="1" applyAlignment="1">
      <alignment horizontal="right" vertical="center"/>
    </xf>
    <xf numFmtId="177" fontId="0" fillId="4" borderId="0" xfId="0" applyNumberFormat="1" applyFill="1"/>
    <xf numFmtId="2" fontId="0" fillId="4" borderId="0" xfId="0" applyNumberFormat="1" applyFill="1"/>
    <xf numFmtId="0" fontId="36" fillId="0" borderId="13" xfId="0" applyFont="1" applyBorder="1" applyAlignment="1">
      <alignment horizontal="right"/>
    </xf>
    <xf numFmtId="0" fontId="37" fillId="7" borderId="39" xfId="0" applyFont="1" applyFill="1" applyBorder="1" applyAlignment="1">
      <alignment vertical="center" wrapText="1"/>
    </xf>
    <xf numFmtId="164" fontId="36" fillId="14" borderId="14" xfId="1" applyNumberFormat="1" applyFont="1" applyFill="1" applyBorder="1"/>
    <xf numFmtId="164" fontId="36" fillId="0" borderId="13" xfId="1" applyNumberFormat="1" applyFont="1" applyBorder="1"/>
    <xf numFmtId="164" fontId="36" fillId="0" borderId="13" xfId="1" applyNumberFormat="1" applyFont="1" applyFill="1" applyBorder="1" applyAlignment="1">
      <alignment horizontal="center"/>
    </xf>
    <xf numFmtId="164" fontId="36" fillId="0" borderId="13" xfId="1" applyNumberFormat="1" applyFont="1" applyFill="1" applyBorder="1"/>
    <xf numFmtId="3" fontId="36" fillId="0" borderId="13" xfId="0" applyNumberFormat="1" applyFont="1" applyBorder="1"/>
    <xf numFmtId="0" fontId="36" fillId="0" borderId="13" xfId="0" applyFont="1" applyBorder="1" applyAlignment="1">
      <alignment horizontal="center" vertical="top"/>
    </xf>
    <xf numFmtId="0" fontId="36" fillId="10" borderId="13" xfId="0" applyFont="1" applyFill="1" applyBorder="1" applyAlignment="1">
      <alignment horizontal="right"/>
    </xf>
    <xf numFmtId="3" fontId="36" fillId="10" borderId="13" xfId="0" applyNumberFormat="1" applyFont="1" applyFill="1" applyBorder="1"/>
    <xf numFmtId="0" fontId="36" fillId="0" borderId="13" xfId="0" applyFont="1" applyBorder="1" applyAlignment="1">
      <alignment horizontal="right" vertical="top"/>
    </xf>
    <xf numFmtId="3" fontId="36" fillId="0" borderId="13" xfId="0" applyNumberFormat="1" applyFont="1" applyBorder="1" applyAlignment="1">
      <alignment horizontal="right"/>
    </xf>
    <xf numFmtId="4" fontId="36" fillId="0" borderId="13" xfId="0" applyNumberFormat="1" applyFont="1" applyBorder="1" applyAlignment="1">
      <alignment horizontal="right"/>
    </xf>
    <xf numFmtId="0" fontId="36" fillId="10" borderId="13" xfId="0" applyFont="1" applyFill="1" applyBorder="1" applyAlignment="1">
      <alignment horizontal="right" vertical="top"/>
    </xf>
    <xf numFmtId="3" fontId="36" fillId="10" borderId="13" xfId="0" applyNumberFormat="1" applyFont="1" applyFill="1" applyBorder="1" applyAlignment="1">
      <alignment horizontal="right"/>
    </xf>
    <xf numFmtId="0" fontId="36" fillId="10" borderId="14" xfId="0" applyFont="1" applyFill="1" applyBorder="1" applyAlignment="1">
      <alignment horizontal="right" vertical="top"/>
    </xf>
    <xf numFmtId="3" fontId="36" fillId="10" borderId="14" xfId="0" applyNumberFormat="1" applyFont="1" applyFill="1" applyBorder="1" applyAlignment="1">
      <alignment horizontal="right"/>
    </xf>
    <xf numFmtId="0" fontId="37" fillId="6" borderId="6" xfId="0" applyFont="1" applyFill="1" applyBorder="1"/>
    <xf numFmtId="0" fontId="36" fillId="6" borderId="6" xfId="0" applyFont="1" applyFill="1" applyBorder="1"/>
    <xf numFmtId="0" fontId="36" fillId="6" borderId="14" xfId="0" applyFont="1" applyFill="1" applyBorder="1" applyAlignment="1">
      <alignment horizontal="right" vertical="top"/>
    </xf>
    <xf numFmtId="3" fontId="36" fillId="6" borderId="14" xfId="0" applyNumberFormat="1" applyFont="1" applyFill="1" applyBorder="1"/>
    <xf numFmtId="0" fontId="36" fillId="22" borderId="2" xfId="0" applyFont="1" applyFill="1" applyBorder="1"/>
    <xf numFmtId="0" fontId="36" fillId="22" borderId="15" xfId="0" applyFont="1" applyFill="1" applyBorder="1" applyAlignment="1">
      <alignment horizontal="right"/>
    </xf>
    <xf numFmtId="3" fontId="36" fillId="22" borderId="15" xfId="0" applyNumberFormat="1" applyFont="1" applyFill="1" applyBorder="1"/>
    <xf numFmtId="166" fontId="37" fillId="6" borderId="8" xfId="8" applyNumberFormat="1" applyFont="1" applyFill="1" applyBorder="1"/>
    <xf numFmtId="166" fontId="37" fillId="6" borderId="6" xfId="8" applyNumberFormat="1" applyFont="1" applyFill="1" applyBorder="1"/>
    <xf numFmtId="166" fontId="37" fillId="6" borderId="9" xfId="8" applyNumberFormat="1" applyFont="1" applyFill="1" applyBorder="1"/>
    <xf numFmtId="166" fontId="37" fillId="22" borderId="1" xfId="8" applyNumberFormat="1" applyFont="1" applyFill="1" applyBorder="1"/>
    <xf numFmtId="166" fontId="37" fillId="22" borderId="2" xfId="8" applyNumberFormat="1" applyFont="1" applyFill="1" applyBorder="1"/>
    <xf numFmtId="166" fontId="37" fillId="22" borderId="10" xfId="8" applyNumberFormat="1" applyFont="1" applyFill="1" applyBorder="1"/>
    <xf numFmtId="43" fontId="75" fillId="15" borderId="12" xfId="0" applyNumberFormat="1" applyFont="1" applyFill="1" applyBorder="1"/>
    <xf numFmtId="3" fontId="37" fillId="22" borderId="5" xfId="0" applyNumberFormat="1" applyFont="1" applyFill="1" applyBorder="1"/>
    <xf numFmtId="0" fontId="30" fillId="22" borderId="7" xfId="0" applyFont="1" applyFill="1" applyBorder="1"/>
    <xf numFmtId="2" fontId="0" fillId="4" borderId="0" xfId="0" applyNumberFormat="1" applyFill="1" applyAlignment="1">
      <alignment vertical="center"/>
    </xf>
    <xf numFmtId="3" fontId="36" fillId="0" borderId="0" xfId="0" applyNumberFormat="1" applyFont="1" applyAlignment="1">
      <alignment horizontal="right"/>
    </xf>
    <xf numFmtId="3" fontId="36" fillId="0" borderId="0" xfId="0" applyNumberFormat="1" applyFont="1" applyAlignment="1">
      <alignment horizontal="right" vertical="center"/>
    </xf>
    <xf numFmtId="3" fontId="58" fillId="0" borderId="0" xfId="0" applyNumberFormat="1" applyFont="1" applyAlignment="1">
      <alignment horizontal="right" vertical="center"/>
    </xf>
    <xf numFmtId="0" fontId="42" fillId="8" borderId="13" xfId="0" applyFont="1" applyFill="1" applyBorder="1" applyAlignment="1">
      <alignment horizontal="center" vertical="center"/>
    </xf>
    <xf numFmtId="0" fontId="41" fillId="14" borderId="12" xfId="0" applyFont="1" applyFill="1" applyBorder="1" applyAlignment="1">
      <alignment horizontal="right" vertical="center"/>
    </xf>
    <xf numFmtId="0" fontId="41" fillId="8" borderId="13" xfId="0" applyFont="1" applyFill="1" applyBorder="1" applyAlignment="1">
      <alignment horizontal="right" vertical="center"/>
    </xf>
    <xf numFmtId="0" fontId="87" fillId="15" borderId="12" xfId="0" applyFont="1" applyFill="1" applyBorder="1" applyAlignment="1">
      <alignment horizontal="center" vertical="center"/>
    </xf>
    <xf numFmtId="0" fontId="33" fillId="4" borderId="0" xfId="0" applyFont="1" applyFill="1"/>
    <xf numFmtId="165" fontId="36" fillId="0" borderId="12" xfId="1" applyFont="1" applyBorder="1" applyAlignment="1">
      <alignment vertical="center"/>
    </xf>
    <xf numFmtId="43" fontId="36" fillId="0" borderId="12" xfId="1" applyNumberFormat="1" applyFont="1" applyBorder="1" applyAlignment="1">
      <alignment vertical="center"/>
    </xf>
    <xf numFmtId="0" fontId="41" fillId="0" borderId="13" xfId="0" applyFont="1" applyBorder="1" applyAlignment="1">
      <alignment horizontal="center" vertical="center"/>
    </xf>
    <xf numFmtId="0" fontId="49" fillId="8" borderId="13" xfId="0" applyFont="1" applyFill="1" applyBorder="1" applyAlignment="1">
      <alignment horizontal="center" vertical="center"/>
    </xf>
    <xf numFmtId="0" fontId="41" fillId="8" borderId="13" xfId="0" applyFont="1" applyFill="1" applyBorder="1" applyAlignment="1">
      <alignment horizontal="center" vertical="center"/>
    </xf>
    <xf numFmtId="0" fontId="41" fillId="10" borderId="13" xfId="0" applyFont="1" applyFill="1" applyBorder="1" applyAlignment="1">
      <alignment horizontal="center" vertical="center"/>
    </xf>
    <xf numFmtId="0" fontId="36" fillId="10" borderId="13" xfId="0" applyFont="1" applyFill="1" applyBorder="1" applyAlignment="1">
      <alignment horizontal="center"/>
    </xf>
    <xf numFmtId="0" fontId="41" fillId="18" borderId="13" xfId="0" applyFont="1" applyFill="1" applyBorder="1" applyAlignment="1">
      <alignment horizontal="center" vertical="center"/>
    </xf>
    <xf numFmtId="0" fontId="37" fillId="6" borderId="7" xfId="25" applyFont="1" applyFill="1" applyBorder="1" applyAlignment="1">
      <alignment horizontal="right"/>
    </xf>
    <xf numFmtId="0" fontId="36" fillId="6" borderId="14" xfId="0" applyFont="1" applyFill="1" applyBorder="1"/>
    <xf numFmtId="0" fontId="41" fillId="22" borderId="15" xfId="0" applyFont="1" applyFill="1" applyBorder="1" applyAlignment="1">
      <alignment horizontal="center" vertical="center"/>
    </xf>
    <xf numFmtId="165" fontId="37" fillId="6" borderId="8" xfId="1" applyFont="1" applyFill="1" applyBorder="1" applyAlignment="1">
      <alignment vertical="center"/>
    </xf>
    <xf numFmtId="165" fontId="36" fillId="0" borderId="5" xfId="1" applyFont="1" applyFill="1" applyBorder="1"/>
    <xf numFmtId="165" fontId="37" fillId="0" borderId="7" xfId="1" applyFont="1" applyFill="1" applyBorder="1"/>
    <xf numFmtId="170" fontId="36" fillId="0" borderId="13" xfId="0" applyNumberFormat="1" applyFont="1" applyBorder="1"/>
    <xf numFmtId="4" fontId="43" fillId="0" borderId="7" xfId="0" applyNumberFormat="1" applyFont="1" applyBorder="1"/>
    <xf numFmtId="3" fontId="43" fillId="0" borderId="7" xfId="0" applyNumberFormat="1" applyFont="1" applyBorder="1"/>
    <xf numFmtId="3" fontId="43" fillId="0" borderId="5" xfId="0" applyNumberFormat="1" applyFont="1" applyBorder="1"/>
    <xf numFmtId="4" fontId="36" fillId="0" borderId="5" xfId="0" applyNumberFormat="1" applyFont="1" applyBorder="1"/>
    <xf numFmtId="4" fontId="43" fillId="0" borderId="5" xfId="0" applyNumberFormat="1" applyFont="1" applyBorder="1"/>
    <xf numFmtId="4" fontId="36" fillId="0" borderId="7" xfId="0" applyNumberFormat="1" applyFont="1" applyBorder="1"/>
    <xf numFmtId="4" fontId="37" fillId="0" borderId="5" xfId="0" applyNumberFormat="1" applyFont="1" applyBorder="1"/>
    <xf numFmtId="166" fontId="37" fillId="0" borderId="5" xfId="8" applyNumberFormat="1" applyFont="1" applyFill="1" applyBorder="1"/>
    <xf numFmtId="166" fontId="37" fillId="0" borderId="0" xfId="8" applyNumberFormat="1" applyFont="1" applyFill="1" applyBorder="1"/>
    <xf numFmtId="166" fontId="37" fillId="0" borderId="7" xfId="8" applyNumberFormat="1" applyFont="1" applyFill="1" applyBorder="1"/>
    <xf numFmtId="165" fontId="36" fillId="0" borderId="0" xfId="1" applyFont="1" applyFill="1" applyBorder="1"/>
    <xf numFmtId="170" fontId="36" fillId="0" borderId="13" xfId="1" applyNumberFormat="1" applyFont="1" applyFill="1" applyBorder="1"/>
    <xf numFmtId="170" fontId="36" fillId="0" borderId="0" xfId="1" applyNumberFormat="1" applyFont="1" applyFill="1" applyBorder="1"/>
    <xf numFmtId="0" fontId="36" fillId="0" borderId="30" xfId="0" applyFont="1" applyBorder="1" applyAlignment="1">
      <alignment horizontal="center" vertical="center"/>
    </xf>
    <xf numFmtId="166" fontId="48" fillId="0" borderId="0" xfId="8" applyNumberFormat="1" applyFont="1" applyFill="1" applyAlignment="1">
      <alignment vertical="center"/>
    </xf>
    <xf numFmtId="165" fontId="47" fillId="0" borderId="0" xfId="1" applyFont="1" applyFill="1" applyAlignment="1">
      <alignment vertical="center"/>
    </xf>
    <xf numFmtId="43" fontId="36" fillId="0" borderId="5" xfId="0" applyNumberFormat="1" applyFont="1" applyBorder="1" applyAlignment="1">
      <alignment vertical="center" wrapText="1"/>
    </xf>
    <xf numFmtId="43" fontId="36" fillId="0" borderId="0" xfId="0" applyNumberFormat="1" applyFont="1" applyAlignment="1">
      <alignment vertical="center" wrapText="1"/>
    </xf>
    <xf numFmtId="165" fontId="47" fillId="0" borderId="0" xfId="8" applyNumberFormat="1" applyFont="1" applyFill="1" applyBorder="1" applyAlignment="1">
      <alignment vertical="center"/>
    </xf>
    <xf numFmtId="165" fontId="47" fillId="0" borderId="7" xfId="8" applyNumberFormat="1" applyFont="1" applyFill="1" applyBorder="1" applyAlignment="1">
      <alignment vertical="center"/>
    </xf>
    <xf numFmtId="43" fontId="27" fillId="0" borderId="0" xfId="0" applyNumberFormat="1" applyFont="1"/>
    <xf numFmtId="0" fontId="10" fillId="0" borderId="0" xfId="35" applyFont="1"/>
    <xf numFmtId="0" fontId="68" fillId="0" borderId="0" xfId="0" applyFont="1"/>
    <xf numFmtId="0" fontId="53" fillId="4" borderId="1" xfId="0" applyFont="1" applyFill="1" applyBorder="1" applyAlignment="1">
      <alignment wrapText="1"/>
    </xf>
    <xf numFmtId="0" fontId="54" fillId="4" borderId="8" xfId="0" applyFont="1" applyFill="1" applyBorder="1" applyAlignment="1">
      <alignment horizontal="center"/>
    </xf>
    <xf numFmtId="0" fontId="37" fillId="4" borderId="0" xfId="0" applyFont="1" applyFill="1" applyAlignment="1">
      <alignment horizontal="right" vertical="center"/>
    </xf>
    <xf numFmtId="3" fontId="36" fillId="4" borderId="0" xfId="0" applyNumberFormat="1" applyFont="1" applyFill="1" applyAlignment="1">
      <alignment horizontal="center"/>
    </xf>
    <xf numFmtId="0" fontId="36" fillId="4" borderId="0" xfId="0" applyFont="1" applyFill="1" applyAlignment="1">
      <alignment horizontal="center" vertical="center"/>
    </xf>
    <xf numFmtId="165" fontId="34" fillId="4" borderId="7" xfId="1" applyFont="1" applyFill="1" applyBorder="1" applyAlignment="1">
      <alignment horizontal="center" vertical="center"/>
    </xf>
    <xf numFmtId="165" fontId="51" fillId="4" borderId="7" xfId="1" applyFont="1" applyFill="1" applyBorder="1" applyAlignment="1">
      <alignment horizontal="center" vertical="center"/>
    </xf>
    <xf numFmtId="165" fontId="36" fillId="4" borderId="0" xfId="1" applyFont="1" applyFill="1" applyAlignment="1">
      <alignment horizontal="center" vertical="center"/>
    </xf>
    <xf numFmtId="165" fontId="30" fillId="4" borderId="0" xfId="1" applyFont="1" applyFill="1" applyAlignment="1">
      <alignment horizontal="center" vertical="center"/>
    </xf>
    <xf numFmtId="0" fontId="30" fillId="4" borderId="0" xfId="0" applyFont="1" applyFill="1" applyAlignment="1">
      <alignment horizontal="center" vertical="center"/>
    </xf>
    <xf numFmtId="0" fontId="46" fillId="15" borderId="3" xfId="9" applyFont="1" applyFill="1" applyBorder="1" applyAlignment="1">
      <alignment horizontal="left" vertical="center" wrapText="1"/>
    </xf>
    <xf numFmtId="165" fontId="34" fillId="4" borderId="7" xfId="1" applyFont="1" applyFill="1" applyBorder="1" applyAlignment="1">
      <alignment horizontal="left" vertical="center"/>
    </xf>
    <xf numFmtId="165" fontId="36" fillId="4" borderId="0" xfId="1" applyFont="1" applyFill="1" applyBorder="1" applyAlignment="1">
      <alignment horizontal="center"/>
    </xf>
    <xf numFmtId="0" fontId="37" fillId="0" borderId="2" xfId="0" applyFont="1" applyBorder="1" applyAlignment="1">
      <alignment horizontal="center" vertical="center"/>
    </xf>
    <xf numFmtId="0" fontId="37" fillId="0" borderId="2" xfId="0" applyFont="1" applyBorder="1" applyAlignment="1">
      <alignment horizontal="centerContinuous" vertical="top"/>
    </xf>
    <xf numFmtId="0" fontId="61" fillId="4" borderId="0" xfId="0" applyFont="1" applyFill="1"/>
    <xf numFmtId="0" fontId="61" fillId="8" borderId="0" xfId="0" applyFont="1" applyFill="1"/>
    <xf numFmtId="0" fontId="96" fillId="0" borderId="0" xfId="0" applyFont="1" applyAlignment="1">
      <alignment vertical="center"/>
    </xf>
    <xf numFmtId="0" fontId="54" fillId="0" borderId="9" xfId="0" applyFont="1" applyBorder="1" applyAlignment="1">
      <alignment horizontal="center" wrapText="1"/>
    </xf>
    <xf numFmtId="10" fontId="17" fillId="0" borderId="0" xfId="35" applyNumberFormat="1"/>
    <xf numFmtId="0" fontId="34" fillId="4" borderId="0" xfId="0" applyFont="1" applyFill="1" applyAlignment="1">
      <alignment vertical="center"/>
    </xf>
    <xf numFmtId="0" fontId="103" fillId="0" borderId="5" xfId="0" applyFont="1" applyBorder="1" applyAlignment="1">
      <alignment horizontal="center" vertical="center"/>
    </xf>
    <xf numFmtId="0" fontId="72" fillId="0" borderId="5" xfId="0" applyFont="1" applyBorder="1" applyAlignment="1">
      <alignment horizontal="center" vertical="center"/>
    </xf>
    <xf numFmtId="0" fontId="72" fillId="15" borderId="11" xfId="0" applyFont="1" applyFill="1" applyBorder="1" applyAlignment="1">
      <alignment vertical="center"/>
    </xf>
    <xf numFmtId="0" fontId="46" fillId="15" borderId="3" xfId="0" applyFont="1" applyFill="1" applyBorder="1" applyAlignment="1">
      <alignment vertical="center"/>
    </xf>
    <xf numFmtId="0" fontId="46" fillId="15" borderId="3" xfId="9" applyFont="1" applyFill="1" applyBorder="1" applyAlignment="1">
      <alignment horizontal="left" vertical="center"/>
    </xf>
    <xf numFmtId="0" fontId="46" fillId="15" borderId="12" xfId="5" applyFont="1" applyFill="1" applyBorder="1" applyAlignment="1">
      <alignment horizontal="center" vertical="center"/>
    </xf>
    <xf numFmtId="172" fontId="46" fillId="15" borderId="11" xfId="1" applyNumberFormat="1" applyFont="1" applyFill="1" applyBorder="1" applyAlignment="1">
      <alignment horizontal="right" vertical="center"/>
    </xf>
    <xf numFmtId="172" fontId="46" fillId="15" borderId="3" xfId="1" applyNumberFormat="1" applyFont="1" applyFill="1" applyBorder="1" applyAlignment="1">
      <alignment horizontal="right" vertical="center"/>
    </xf>
    <xf numFmtId="172" fontId="104" fillId="15" borderId="4" xfId="9" applyNumberFormat="1" applyFont="1" applyFill="1" applyBorder="1" applyAlignment="1">
      <alignment vertical="center"/>
    </xf>
    <xf numFmtId="43" fontId="46" fillId="15" borderId="11" xfId="0" applyNumberFormat="1" applyFont="1" applyFill="1" applyBorder="1" applyAlignment="1">
      <alignment vertical="center" wrapText="1"/>
    </xf>
    <xf numFmtId="43" fontId="46" fillId="15" borderId="3" xfId="0" applyNumberFormat="1" applyFont="1" applyFill="1" applyBorder="1" applyAlignment="1">
      <alignment vertical="center" wrapText="1"/>
    </xf>
    <xf numFmtId="166" fontId="105" fillId="0" borderId="0" xfId="8" applyNumberFormat="1" applyFont="1" applyFill="1" applyAlignment="1">
      <alignment vertical="center"/>
    </xf>
    <xf numFmtId="165" fontId="106" fillId="0" borderId="0" xfId="8" applyNumberFormat="1" applyFont="1" applyFill="1" applyBorder="1" applyAlignment="1">
      <alignment vertical="center"/>
    </xf>
    <xf numFmtId="165" fontId="106" fillId="0" borderId="7" xfId="8" applyNumberFormat="1" applyFont="1" applyFill="1" applyBorder="1" applyAlignment="1">
      <alignment vertical="center"/>
    </xf>
    <xf numFmtId="165" fontId="106" fillId="0" borderId="0" xfId="1" applyFont="1" applyFill="1" applyAlignment="1">
      <alignment vertical="center"/>
    </xf>
    <xf numFmtId="165" fontId="105" fillId="0" borderId="0" xfId="1" applyFont="1" applyFill="1" applyAlignment="1">
      <alignment vertical="center"/>
    </xf>
    <xf numFmtId="0" fontId="46" fillId="0" borderId="30" xfId="0" applyFont="1" applyBorder="1" applyAlignment="1">
      <alignment horizontal="center" vertical="center"/>
    </xf>
    <xf numFmtId="0" fontId="34" fillId="0" borderId="30" xfId="0" applyFont="1" applyBorder="1" applyAlignment="1">
      <alignment horizontal="center" vertical="center"/>
    </xf>
    <xf numFmtId="0" fontId="107" fillId="0" borderId="30" xfId="0" applyFont="1" applyBorder="1" applyAlignment="1">
      <alignment horizontal="center" vertical="center"/>
    </xf>
    <xf numFmtId="0" fontId="107" fillId="0" borderId="0" xfId="0" applyFont="1" applyAlignment="1">
      <alignment vertical="center"/>
    </xf>
    <xf numFmtId="0" fontId="72" fillId="17" borderId="11" xfId="0" applyFont="1" applyFill="1" applyBorder="1" applyAlignment="1">
      <alignment vertical="center"/>
    </xf>
    <xf numFmtId="0" fontId="46" fillId="17" borderId="3" xfId="0" applyFont="1" applyFill="1" applyBorder="1" applyAlignment="1">
      <alignment vertical="center"/>
    </xf>
    <xf numFmtId="0" fontId="46" fillId="17" borderId="3" xfId="9" applyFont="1" applyFill="1" applyBorder="1" applyAlignment="1">
      <alignment horizontal="left" vertical="center"/>
    </xf>
    <xf numFmtId="0" fontId="46" fillId="17" borderId="3" xfId="9" applyFont="1" applyFill="1" applyBorder="1" applyAlignment="1">
      <alignment horizontal="left" vertical="center" wrapText="1"/>
    </xf>
    <xf numFmtId="0" fontId="46" fillId="0" borderId="0" xfId="0" applyFont="1" applyAlignment="1">
      <alignment vertical="center"/>
    </xf>
    <xf numFmtId="0" fontId="96" fillId="0" borderId="5" xfId="0" applyFont="1" applyBorder="1" applyAlignment="1">
      <alignment horizontal="center" vertical="center"/>
    </xf>
    <xf numFmtId="0" fontId="96" fillId="0" borderId="5" xfId="0" applyFont="1" applyBorder="1" applyAlignment="1">
      <alignment vertical="center"/>
    </xf>
    <xf numFmtId="0" fontId="46" fillId="0" borderId="0" xfId="9" applyFont="1" applyAlignment="1">
      <alignment horizontal="left" vertical="center"/>
    </xf>
    <xf numFmtId="0" fontId="34" fillId="0" borderId="0" xfId="9" applyFont="1" applyAlignment="1">
      <alignment horizontal="left" vertical="center" wrapText="1"/>
    </xf>
    <xf numFmtId="0" fontId="101" fillId="0" borderId="13" xfId="9" applyFont="1" applyBorder="1" applyAlignment="1">
      <alignment horizontal="center" vertical="center"/>
    </xf>
    <xf numFmtId="165" fontId="101" fillId="4" borderId="7" xfId="1" applyFont="1" applyFill="1" applyBorder="1" applyAlignment="1">
      <alignment horizontal="center" vertical="center"/>
    </xf>
    <xf numFmtId="172" fontId="34" fillId="0" borderId="5" xfId="1" applyNumberFormat="1" applyFont="1" applyFill="1" applyBorder="1" applyAlignment="1">
      <alignment horizontal="right" vertical="center"/>
    </xf>
    <xf numFmtId="172" fontId="34" fillId="0" borderId="0" xfId="1" applyNumberFormat="1" applyFont="1" applyFill="1" applyBorder="1" applyAlignment="1">
      <alignment horizontal="right" vertical="center"/>
    </xf>
    <xf numFmtId="172" fontId="101" fillId="0" borderId="7" xfId="9" applyNumberFormat="1" applyFont="1" applyBorder="1" applyAlignment="1">
      <alignment vertical="center"/>
    </xf>
    <xf numFmtId="43" fontId="34" fillId="0" borderId="5" xfId="0" applyNumberFormat="1" applyFont="1" applyBorder="1" applyAlignment="1">
      <alignment vertical="center" wrapText="1"/>
    </xf>
    <xf numFmtId="43" fontId="34" fillId="0" borderId="0" xfId="0" applyNumberFormat="1" applyFont="1" applyAlignment="1">
      <alignment vertical="center" wrapText="1"/>
    </xf>
    <xf numFmtId="0" fontId="95" fillId="0" borderId="30" xfId="0" applyFont="1" applyBorder="1" applyAlignment="1">
      <alignment horizontal="center" vertical="center"/>
    </xf>
    <xf numFmtId="0" fontId="95" fillId="0" borderId="0" xfId="0" applyFont="1" applyAlignment="1">
      <alignment vertical="center"/>
    </xf>
    <xf numFmtId="0" fontId="34" fillId="0" borderId="0" xfId="9" applyFont="1" applyAlignment="1">
      <alignment horizontal="left" vertical="center"/>
    </xf>
    <xf numFmtId="0" fontId="104" fillId="17" borderId="12" xfId="9" applyFont="1" applyFill="1" applyBorder="1" applyAlignment="1">
      <alignment horizontal="center" vertical="center"/>
    </xf>
    <xf numFmtId="165" fontId="104" fillId="17" borderId="4" xfId="1" applyFont="1" applyFill="1" applyBorder="1" applyAlignment="1">
      <alignment horizontal="center" vertical="center"/>
    </xf>
    <xf numFmtId="172" fontId="72" fillId="17" borderId="11" xfId="1" applyNumberFormat="1" applyFont="1" applyFill="1" applyBorder="1" applyAlignment="1">
      <alignment horizontal="right" vertical="center"/>
    </xf>
    <xf numFmtId="172" fontId="72" fillId="17" borderId="3" xfId="1" applyNumberFormat="1" applyFont="1" applyFill="1" applyBorder="1" applyAlignment="1">
      <alignment horizontal="right" vertical="center"/>
    </xf>
    <xf numFmtId="172" fontId="72" fillId="17" borderId="4" xfId="9" applyNumberFormat="1" applyFont="1" applyFill="1" applyBorder="1" applyAlignment="1">
      <alignment vertical="center"/>
    </xf>
    <xf numFmtId="43" fontId="72" fillId="17" borderId="11" xfId="0" applyNumberFormat="1" applyFont="1" applyFill="1" applyBorder="1" applyAlignment="1">
      <alignment vertical="center" wrapText="1"/>
    </xf>
    <xf numFmtId="43" fontId="72" fillId="17" borderId="3" xfId="0" applyNumberFormat="1" applyFont="1" applyFill="1" applyBorder="1" applyAlignment="1">
      <alignment vertical="center" wrapText="1"/>
    </xf>
    <xf numFmtId="165" fontId="109" fillId="0" borderId="0" xfId="1" applyFont="1" applyFill="1" applyAlignment="1">
      <alignment vertical="center"/>
    </xf>
    <xf numFmtId="0" fontId="34" fillId="0" borderId="30" xfId="0" applyFont="1" applyBorder="1" applyAlignment="1">
      <alignment horizontal="center" vertical="top"/>
    </xf>
    <xf numFmtId="0" fontId="95" fillId="0" borderId="30" xfId="0" applyFont="1" applyBorder="1" applyAlignment="1">
      <alignment horizontal="center" vertical="top"/>
    </xf>
    <xf numFmtId="0" fontId="94" fillId="0" borderId="0" xfId="0" applyFont="1" applyAlignment="1">
      <alignment vertical="center"/>
    </xf>
    <xf numFmtId="0" fontId="103" fillId="0" borderId="5" xfId="0" applyFont="1" applyBorder="1" applyAlignment="1">
      <alignment horizontal="right" vertical="center"/>
    </xf>
    <xf numFmtId="0" fontId="72" fillId="0" borderId="5" xfId="0" applyFont="1" applyBorder="1" applyAlignment="1">
      <alignment horizontal="right" vertical="center"/>
    </xf>
    <xf numFmtId="3" fontId="106" fillId="0" borderId="0" xfId="0" applyNumberFormat="1" applyFont="1" applyAlignment="1">
      <alignment vertical="center"/>
    </xf>
    <xf numFmtId="3" fontId="105" fillId="0" borderId="0" xfId="0" applyNumberFormat="1" applyFont="1" applyAlignment="1">
      <alignment vertical="center"/>
    </xf>
    <xf numFmtId="165" fontId="46" fillId="0" borderId="0" xfId="1" applyFont="1" applyFill="1" applyAlignment="1">
      <alignment vertical="center"/>
    </xf>
    <xf numFmtId="0" fontId="72" fillId="0" borderId="13" xfId="0" applyFont="1" applyBorder="1" applyAlignment="1">
      <alignment vertical="center" wrapText="1"/>
    </xf>
    <xf numFmtId="0" fontId="34" fillId="4" borderId="5" xfId="0" applyFont="1" applyFill="1" applyBorder="1" applyAlignment="1">
      <alignment vertical="center"/>
    </xf>
    <xf numFmtId="0" fontId="34" fillId="0" borderId="7" xfId="0" applyFont="1" applyBorder="1" applyAlignment="1">
      <alignment vertical="center"/>
    </xf>
    <xf numFmtId="0" fontId="94" fillId="0" borderId="30" xfId="0" applyFont="1" applyBorder="1" applyAlignment="1">
      <alignment horizontal="center" vertical="center"/>
    </xf>
    <xf numFmtId="165" fontId="106" fillId="0" borderId="5" xfId="8" applyNumberFormat="1" applyFont="1" applyFill="1" applyBorder="1" applyAlignment="1">
      <alignment vertical="center"/>
    </xf>
    <xf numFmtId="0" fontId="96" fillId="4" borderId="5" xfId="0" applyFont="1" applyFill="1" applyBorder="1" applyAlignment="1">
      <alignment vertical="center"/>
    </xf>
    <xf numFmtId="0" fontId="46" fillId="4" borderId="0" xfId="9" applyFont="1" applyFill="1" applyAlignment="1">
      <alignment horizontal="left" vertical="center"/>
    </xf>
    <xf numFmtId="172" fontId="101" fillId="0" borderId="0" xfId="9" applyNumberFormat="1" applyFont="1" applyAlignment="1">
      <alignment vertical="center"/>
    </xf>
    <xf numFmtId="0" fontId="34" fillId="4" borderId="0" xfId="9" applyFont="1" applyFill="1" applyAlignment="1">
      <alignment horizontal="left" vertical="center"/>
    </xf>
    <xf numFmtId="0" fontId="104" fillId="0" borderId="13" xfId="9" applyFont="1" applyBorder="1" applyAlignment="1">
      <alignment horizontal="center" vertical="center"/>
    </xf>
    <xf numFmtId="165" fontId="104" fillId="4" borderId="7" xfId="1" applyFont="1" applyFill="1" applyBorder="1" applyAlignment="1">
      <alignment horizontal="center" vertical="center"/>
    </xf>
    <xf numFmtId="172" fontId="46" fillId="0" borderId="5" xfId="1" applyNumberFormat="1" applyFont="1" applyFill="1" applyBorder="1" applyAlignment="1">
      <alignment horizontal="right" vertical="center"/>
    </xf>
    <xf numFmtId="172" fontId="46" fillId="0" borderId="0" xfId="1" applyNumberFormat="1" applyFont="1" applyFill="1" applyBorder="1" applyAlignment="1">
      <alignment horizontal="right" vertical="center"/>
    </xf>
    <xf numFmtId="0" fontId="72" fillId="0" borderId="0" xfId="9" applyFont="1" applyAlignment="1">
      <alignment horizontal="left" vertical="center" wrapText="1"/>
    </xf>
    <xf numFmtId="43" fontId="34" fillId="4" borderId="5" xfId="0" applyNumberFormat="1" applyFont="1" applyFill="1" applyBorder="1" applyAlignment="1">
      <alignment vertical="center" wrapText="1"/>
    </xf>
    <xf numFmtId="43" fontId="34" fillId="4" borderId="0" xfId="0" applyNumberFormat="1" applyFont="1" applyFill="1" applyAlignment="1">
      <alignment vertical="center" wrapText="1"/>
    </xf>
    <xf numFmtId="0" fontId="108" fillId="0" borderId="5" xfId="0" applyFont="1" applyBorder="1" applyAlignment="1">
      <alignment horizontal="center" vertical="center"/>
    </xf>
    <xf numFmtId="0" fontId="72" fillId="15" borderId="3" xfId="0" applyFont="1" applyFill="1" applyBorder="1" applyAlignment="1">
      <alignment vertical="center"/>
    </xf>
    <xf numFmtId="165" fontId="104" fillId="15" borderId="4" xfId="1" applyFont="1" applyFill="1" applyBorder="1" applyAlignment="1">
      <alignment horizontal="center" vertical="center"/>
    </xf>
    <xf numFmtId="165" fontId="106" fillId="0" borderId="0" xfId="1" applyFont="1" applyFill="1" applyAlignment="1">
      <alignment vertical="top"/>
    </xf>
    <xf numFmtId="0" fontId="104" fillId="15" borderId="12" xfId="9" applyFont="1" applyFill="1" applyBorder="1" applyAlignment="1">
      <alignment horizontal="center" vertical="center"/>
    </xf>
    <xf numFmtId="165" fontId="46" fillId="15" borderId="11" xfId="1" applyFont="1" applyFill="1" applyBorder="1" applyAlignment="1">
      <alignment vertical="center"/>
    </xf>
    <xf numFmtId="165" fontId="46" fillId="15" borderId="3" xfId="1" applyFont="1" applyFill="1" applyBorder="1" applyAlignment="1">
      <alignment vertical="center"/>
    </xf>
    <xf numFmtId="165" fontId="109" fillId="0" borderId="0" xfId="8" applyNumberFormat="1" applyFont="1" applyFill="1" applyBorder="1" applyAlignment="1">
      <alignment vertical="center"/>
    </xf>
    <xf numFmtId="165" fontId="109" fillId="0" borderId="7" xfId="8" applyNumberFormat="1" applyFont="1" applyFill="1" applyBorder="1" applyAlignment="1">
      <alignment vertical="center"/>
    </xf>
    <xf numFmtId="0" fontId="95" fillId="4" borderId="0" xfId="0" applyFont="1" applyFill="1" applyAlignment="1">
      <alignment vertical="center"/>
    </xf>
    <xf numFmtId="0" fontId="34" fillId="0" borderId="5" xfId="0" applyFont="1" applyBorder="1" applyAlignment="1">
      <alignment horizontal="center" vertical="center"/>
    </xf>
    <xf numFmtId="172" fontId="34" fillId="4" borderId="5" xfId="1" applyNumberFormat="1" applyFont="1" applyFill="1" applyBorder="1" applyAlignment="1">
      <alignment horizontal="right" vertical="center"/>
    </xf>
    <xf numFmtId="172" fontId="34" fillId="4" borderId="0" xfId="1" applyNumberFormat="1" applyFont="1" applyFill="1" applyBorder="1" applyAlignment="1">
      <alignment horizontal="right" vertical="center"/>
    </xf>
    <xf numFmtId="4" fontId="34" fillId="4" borderId="5" xfId="9" applyNumberFormat="1" applyFont="1" applyFill="1" applyBorder="1" applyAlignment="1">
      <alignment vertical="center"/>
    </xf>
    <xf numFmtId="4" fontId="34" fillId="4" borderId="0" xfId="9" applyNumberFormat="1" applyFont="1" applyFill="1" applyAlignment="1">
      <alignment vertical="center"/>
    </xf>
    <xf numFmtId="0" fontId="104" fillId="15" borderId="4" xfId="9" applyFont="1" applyFill="1" applyBorder="1" applyAlignment="1">
      <alignment horizontal="center" vertical="center"/>
    </xf>
    <xf numFmtId="172" fontId="46" fillId="15" borderId="3" xfId="1" applyNumberFormat="1" applyFont="1" applyFill="1" applyBorder="1" applyAlignment="1">
      <alignment horizontal="center" vertical="center"/>
    </xf>
    <xf numFmtId="165" fontId="34" fillId="0" borderId="13" xfId="1" applyFont="1" applyFill="1" applyBorder="1" applyAlignment="1">
      <alignment vertical="center"/>
    </xf>
    <xf numFmtId="0" fontId="34" fillId="0" borderId="13" xfId="5" applyFont="1" applyBorder="1" applyAlignment="1">
      <alignment horizontal="center" vertical="center" wrapText="1"/>
    </xf>
    <xf numFmtId="0" fontId="46" fillId="15" borderId="12" xfId="9" applyFont="1" applyFill="1" applyBorder="1" applyAlignment="1">
      <alignment horizontal="left" vertical="center" wrapText="1"/>
    </xf>
    <xf numFmtId="172" fontId="46" fillId="15" borderId="1" xfId="1" applyNumberFormat="1" applyFont="1" applyFill="1" applyBorder="1" applyAlignment="1">
      <alignment horizontal="right" vertical="center"/>
    </xf>
    <xf numFmtId="172" fontId="46" fillId="15" borderId="2" xfId="1" applyNumberFormat="1" applyFont="1" applyFill="1" applyBorder="1" applyAlignment="1">
      <alignment horizontal="right" vertical="center"/>
    </xf>
    <xf numFmtId="172" fontId="104" fillId="15" borderId="10" xfId="9" applyNumberFormat="1" applyFont="1" applyFill="1" applyBorder="1" applyAlignment="1">
      <alignment vertical="center"/>
    </xf>
    <xf numFmtId="43" fontId="112" fillId="0" borderId="0" xfId="0" applyNumberFormat="1" applyFont="1" applyAlignment="1">
      <alignment vertical="center"/>
    </xf>
    <xf numFmtId="0" fontId="112" fillId="0" borderId="0" xfId="0" applyFont="1" applyAlignment="1">
      <alignment vertical="center"/>
    </xf>
    <xf numFmtId="165" fontId="46" fillId="4" borderId="7" xfId="1" applyFont="1" applyFill="1" applyBorder="1" applyAlignment="1">
      <alignment horizontal="center" vertical="center" wrapText="1"/>
    </xf>
    <xf numFmtId="172" fontId="104" fillId="0" borderId="7" xfId="9" applyNumberFormat="1" applyFont="1" applyBorder="1" applyAlignment="1">
      <alignment vertical="center"/>
    </xf>
    <xf numFmtId="43" fontId="96" fillId="0" borderId="0" xfId="0" applyNumberFormat="1" applyFont="1" applyAlignment="1">
      <alignment vertical="center" wrapText="1"/>
    </xf>
    <xf numFmtId="0" fontId="46" fillId="4" borderId="13" xfId="9" applyFont="1" applyFill="1" applyBorder="1" applyAlignment="1">
      <alignment horizontal="center" vertical="center" wrapText="1"/>
    </xf>
    <xf numFmtId="172" fontId="46" fillId="4" borderId="0" xfId="1" applyNumberFormat="1" applyFont="1" applyFill="1" applyBorder="1" applyAlignment="1">
      <alignment horizontal="right" vertical="center"/>
    </xf>
    <xf numFmtId="172" fontId="104" fillId="4" borderId="7" xfId="9" applyNumberFormat="1" applyFont="1" applyFill="1" applyBorder="1" applyAlignment="1">
      <alignment vertical="center"/>
    </xf>
    <xf numFmtId="0" fontId="107" fillId="4" borderId="0" xfId="0" applyFont="1" applyFill="1" applyAlignment="1">
      <alignment vertical="center"/>
    </xf>
    <xf numFmtId="0" fontId="46" fillId="14" borderId="11" xfId="0" applyFont="1" applyFill="1" applyBorder="1" applyAlignment="1">
      <alignment vertical="center"/>
    </xf>
    <xf numFmtId="0" fontId="46" fillId="14" borderId="3" xfId="0" applyFont="1" applyFill="1" applyBorder="1" applyAlignment="1">
      <alignment vertical="center"/>
    </xf>
    <xf numFmtId="0" fontId="46" fillId="14" borderId="4" xfId="9" applyFont="1" applyFill="1" applyBorder="1" applyAlignment="1">
      <alignment horizontal="left" vertical="center"/>
    </xf>
    <xf numFmtId="0" fontId="46" fillId="14" borderId="12" xfId="9" applyFont="1" applyFill="1" applyBorder="1" applyAlignment="1">
      <alignment horizontal="center" vertical="center" wrapText="1"/>
    </xf>
    <xf numFmtId="165" fontId="46" fillId="14" borderId="4" xfId="1" applyFont="1" applyFill="1" applyBorder="1" applyAlignment="1">
      <alignment horizontal="center" vertical="center" wrapText="1"/>
    </xf>
    <xf numFmtId="172" fontId="46" fillId="14" borderId="3" xfId="1" applyNumberFormat="1" applyFont="1" applyFill="1" applyBorder="1" applyAlignment="1">
      <alignment horizontal="right" vertical="center"/>
    </xf>
    <xf numFmtId="172" fontId="104" fillId="14" borderId="4" xfId="9" applyNumberFormat="1" applyFont="1" applyFill="1" applyBorder="1" applyAlignment="1">
      <alignment vertical="center"/>
    </xf>
    <xf numFmtId="172" fontId="46" fillId="4" borderId="7" xfId="9" applyNumberFormat="1" applyFont="1" applyFill="1" applyBorder="1" applyAlignment="1">
      <alignment vertical="center"/>
    </xf>
    <xf numFmtId="43" fontId="46" fillId="4" borderId="0" xfId="0" applyNumberFormat="1" applyFont="1" applyFill="1" applyAlignment="1">
      <alignment vertical="center" wrapText="1"/>
    </xf>
    <xf numFmtId="165" fontId="46" fillId="4" borderId="0" xfId="1" applyFont="1" applyFill="1" applyAlignment="1">
      <alignment vertical="center"/>
    </xf>
    <xf numFmtId="0" fontId="34" fillId="0" borderId="5" xfId="0" applyFont="1" applyBorder="1" applyAlignment="1">
      <alignment vertical="center"/>
    </xf>
    <xf numFmtId="170" fontId="34" fillId="4" borderId="0" xfId="0" applyNumberFormat="1" applyFont="1" applyFill="1" applyAlignment="1">
      <alignment vertical="center" wrapText="1"/>
    </xf>
    <xf numFmtId="0" fontId="46" fillId="14" borderId="3" xfId="9" applyFont="1" applyFill="1" applyBorder="1" applyAlignment="1">
      <alignment horizontal="left" vertical="center" wrapText="1"/>
    </xf>
    <xf numFmtId="0" fontId="46" fillId="15" borderId="11" xfId="0" applyFont="1" applyFill="1" applyBorder="1" applyAlignment="1">
      <alignment vertical="center"/>
    </xf>
    <xf numFmtId="165" fontId="116" fillId="15" borderId="4" xfId="1" applyFont="1" applyFill="1" applyBorder="1" applyAlignment="1">
      <alignment horizontal="center" vertical="center"/>
    </xf>
    <xf numFmtId="170" fontId="46" fillId="15" borderId="3" xfId="0" applyNumberFormat="1" applyFont="1" applyFill="1" applyBorder="1" applyAlignment="1">
      <alignment vertical="center" wrapText="1"/>
    </xf>
    <xf numFmtId="165" fontId="117" fillId="4" borderId="7" xfId="1" applyFont="1" applyFill="1" applyBorder="1" applyAlignment="1">
      <alignment horizontal="center" vertical="center"/>
    </xf>
    <xf numFmtId="0" fontId="46" fillId="15" borderId="12" xfId="5" applyFont="1" applyFill="1" applyBorder="1" applyAlignment="1">
      <alignment horizontal="center" vertical="center" wrapText="1"/>
    </xf>
    <xf numFmtId="0" fontId="34" fillId="4" borderId="13" xfId="5" applyFont="1" applyFill="1" applyBorder="1" applyAlignment="1">
      <alignment horizontal="center" vertical="center" wrapText="1"/>
    </xf>
    <xf numFmtId="0" fontId="46" fillId="0" borderId="5" xfId="0" applyFont="1" applyBorder="1" applyAlignment="1">
      <alignment horizontal="center" vertical="center"/>
    </xf>
    <xf numFmtId="0" fontId="46" fillId="15" borderId="4" xfId="9" applyFont="1" applyFill="1" applyBorder="1" applyAlignment="1">
      <alignment horizontal="left" vertical="center" wrapText="1"/>
    </xf>
    <xf numFmtId="165" fontId="116" fillId="15" borderId="12" xfId="1" applyFont="1" applyFill="1" applyBorder="1" applyAlignment="1">
      <alignment horizontal="right" vertical="center"/>
    </xf>
    <xf numFmtId="166" fontId="111" fillId="0" borderId="0" xfId="8" applyNumberFormat="1" applyFont="1" applyFill="1" applyAlignment="1">
      <alignment vertical="center"/>
    </xf>
    <xf numFmtId="0" fontId="115" fillId="15" borderId="12" xfId="9" applyFont="1" applyFill="1" applyBorder="1" applyAlignment="1">
      <alignment horizontal="center" vertical="center" wrapText="1"/>
    </xf>
    <xf numFmtId="43" fontId="96" fillId="0" borderId="0" xfId="0" applyNumberFormat="1" applyFont="1" applyAlignment="1">
      <alignment horizontal="center" vertical="center" wrapText="1"/>
    </xf>
    <xf numFmtId="0" fontId="72" fillId="15" borderId="3" xfId="9" applyFont="1" applyFill="1" applyBorder="1" applyAlignment="1">
      <alignment horizontal="left" vertical="center" wrapText="1"/>
    </xf>
    <xf numFmtId="165" fontId="46" fillId="15" borderId="4" xfId="1" applyFont="1" applyFill="1" applyBorder="1" applyAlignment="1">
      <alignment horizontal="center" vertical="center"/>
    </xf>
    <xf numFmtId="166" fontId="110" fillId="0" borderId="0" xfId="8" applyNumberFormat="1" applyFont="1" applyFill="1" applyAlignment="1">
      <alignment vertical="center"/>
    </xf>
    <xf numFmtId="166" fontId="120" fillId="0" borderId="0" xfId="8" applyNumberFormat="1" applyFont="1" applyFill="1" applyAlignment="1">
      <alignment vertical="center"/>
    </xf>
    <xf numFmtId="0" fontId="96" fillId="15" borderId="11" xfId="0" applyFont="1" applyFill="1" applyBorder="1" applyAlignment="1">
      <alignment vertical="center"/>
    </xf>
    <xf numFmtId="0" fontId="96" fillId="15" borderId="3" xfId="9" applyFont="1" applyFill="1" applyBorder="1" applyAlignment="1">
      <alignment horizontal="left" vertical="center" wrapText="1"/>
    </xf>
    <xf numFmtId="0" fontId="34" fillId="15" borderId="12" xfId="5" applyFont="1" applyFill="1" applyBorder="1" applyAlignment="1">
      <alignment horizontal="center" vertical="center"/>
    </xf>
    <xf numFmtId="165" fontId="34" fillId="15" borderId="4" xfId="1" applyFont="1" applyFill="1" applyBorder="1" applyAlignment="1">
      <alignment horizontal="center" vertical="center"/>
    </xf>
    <xf numFmtId="0" fontId="96" fillId="0" borderId="30" xfId="0" applyFont="1" applyBorder="1" applyAlignment="1">
      <alignment horizontal="center" vertical="center"/>
    </xf>
    <xf numFmtId="0" fontId="96" fillId="4" borderId="0" xfId="0" applyFont="1" applyFill="1" applyAlignment="1">
      <alignment vertical="center"/>
    </xf>
    <xf numFmtId="0" fontId="34" fillId="0" borderId="13" xfId="5" applyFont="1" applyBorder="1" applyAlignment="1">
      <alignment horizontal="center" vertical="center"/>
    </xf>
    <xf numFmtId="165" fontId="34" fillId="0" borderId="7" xfId="1" applyFont="1" applyFill="1" applyBorder="1" applyAlignment="1">
      <alignment horizontal="center" vertical="center"/>
    </xf>
    <xf numFmtId="0" fontId="107" fillId="0" borderId="0" xfId="0" applyFont="1" applyAlignment="1">
      <alignment horizontal="left" vertical="center"/>
    </xf>
    <xf numFmtId="172" fontId="34" fillId="4" borderId="7" xfId="9" applyNumberFormat="1" applyFont="1" applyFill="1" applyBorder="1" applyAlignment="1">
      <alignment vertical="center"/>
    </xf>
    <xf numFmtId="0" fontId="34" fillId="15" borderId="11" xfId="0" applyFont="1" applyFill="1" applyBorder="1" applyAlignment="1">
      <alignment vertical="center"/>
    </xf>
    <xf numFmtId="172" fontId="34" fillId="0" borderId="7" xfId="9" applyNumberFormat="1" applyFont="1" applyBorder="1" applyAlignment="1">
      <alignment vertical="center"/>
    </xf>
    <xf numFmtId="172" fontId="96" fillId="0" borderId="0" xfId="1" applyNumberFormat="1" applyFont="1" applyFill="1" applyBorder="1" applyAlignment="1">
      <alignment horizontal="right" vertical="center"/>
    </xf>
    <xf numFmtId="176" fontId="106" fillId="0" borderId="0" xfId="8" applyNumberFormat="1" applyFont="1" applyFill="1" applyBorder="1" applyAlignment="1">
      <alignment vertical="center"/>
    </xf>
    <xf numFmtId="0" fontId="34" fillId="15" borderId="3" xfId="9" applyFont="1" applyFill="1" applyBorder="1" applyAlignment="1">
      <alignment horizontal="left" vertical="center" wrapText="1"/>
    </xf>
    <xf numFmtId="0" fontId="101" fillId="15" borderId="12" xfId="9" applyFont="1" applyFill="1" applyBorder="1" applyAlignment="1">
      <alignment horizontal="center" vertical="center"/>
    </xf>
    <xf numFmtId="165" fontId="101" fillId="15" borderId="4" xfId="1" applyFont="1" applyFill="1" applyBorder="1" applyAlignment="1">
      <alignment horizontal="center" vertical="center"/>
    </xf>
    <xf numFmtId="165" fontId="116" fillId="4" borderId="7" xfId="1" applyFont="1" applyFill="1" applyBorder="1" applyAlignment="1">
      <alignment horizontal="center" vertical="center"/>
    </xf>
    <xf numFmtId="43" fontId="46" fillId="0" borderId="5" xfId="0" applyNumberFormat="1" applyFont="1" applyBorder="1" applyAlignment="1">
      <alignment vertical="center" wrapText="1"/>
    </xf>
    <xf numFmtId="43" fontId="46" fillId="0" borderId="0" xfId="0" applyNumberFormat="1" applyFont="1" applyAlignment="1">
      <alignment vertical="center" wrapText="1"/>
    </xf>
    <xf numFmtId="165" fontId="112" fillId="23" borderId="0" xfId="0" applyNumberFormat="1" applyFont="1" applyFill="1" applyAlignment="1">
      <alignment vertical="center"/>
    </xf>
    <xf numFmtId="0" fontId="112" fillId="23" borderId="0" xfId="0" applyFont="1" applyFill="1" applyAlignment="1">
      <alignment vertical="center"/>
    </xf>
    <xf numFmtId="0" fontId="107" fillId="23" borderId="0" xfId="0" applyFont="1" applyFill="1" applyAlignment="1">
      <alignment vertical="center"/>
    </xf>
    <xf numFmtId="0" fontId="72" fillId="0" borderId="0" xfId="0" applyFont="1" applyAlignment="1">
      <alignment vertical="center"/>
    </xf>
    <xf numFmtId="4" fontId="72" fillId="0" borderId="5" xfId="9" applyNumberFormat="1" applyFont="1" applyBorder="1" applyAlignment="1">
      <alignment vertical="center"/>
    </xf>
    <xf numFmtId="4" fontId="72" fillId="0" borderId="0" xfId="9" applyNumberFormat="1" applyFont="1" applyAlignment="1">
      <alignment vertical="center"/>
    </xf>
    <xf numFmtId="0" fontId="110" fillId="0" borderId="13" xfId="0" applyFont="1" applyBorder="1" applyAlignment="1">
      <alignment vertical="center" wrapText="1"/>
    </xf>
    <xf numFmtId="165" fontId="0" fillId="0" borderId="12" xfId="1" applyFont="1" applyBorder="1"/>
    <xf numFmtId="0" fontId="34" fillId="4" borderId="1" xfId="0" applyFont="1" applyFill="1" applyBorder="1" applyAlignment="1">
      <alignment vertical="center"/>
    </xf>
    <xf numFmtId="0" fontId="34" fillId="0" borderId="2" xfId="0" applyFont="1" applyBorder="1" applyAlignment="1">
      <alignment vertical="center"/>
    </xf>
    <xf numFmtId="0" fontId="34" fillId="0" borderId="10" xfId="0" applyFont="1" applyBorder="1" applyAlignment="1">
      <alignment vertical="center"/>
    </xf>
    <xf numFmtId="0" fontId="34" fillId="0" borderId="0" xfId="0" applyFont="1" applyAlignment="1">
      <alignment horizontal="center" vertical="center"/>
    </xf>
    <xf numFmtId="0" fontId="72" fillId="0" borderId="13" xfId="5" applyFont="1" applyBorder="1" applyAlignment="1">
      <alignment horizontal="center" vertical="center"/>
    </xf>
    <xf numFmtId="165" fontId="72" fillId="4" borderId="7" xfId="1" applyFont="1" applyFill="1" applyBorder="1" applyAlignment="1">
      <alignment horizontal="center" vertical="center"/>
    </xf>
    <xf numFmtId="172" fontId="46" fillId="0" borderId="0" xfId="9" applyNumberFormat="1" applyFont="1" applyAlignment="1">
      <alignment vertical="center"/>
    </xf>
    <xf numFmtId="2" fontId="46" fillId="4" borderId="5" xfId="0" applyNumberFormat="1" applyFont="1" applyFill="1" applyBorder="1" applyAlignment="1">
      <alignment vertical="center" wrapText="1"/>
    </xf>
    <xf numFmtId="2" fontId="46" fillId="0" borderId="0" xfId="0" applyNumberFormat="1" applyFont="1" applyAlignment="1">
      <alignment vertical="center" wrapText="1"/>
    </xf>
    <xf numFmtId="0" fontId="115" fillId="15" borderId="3" xfId="0" applyFont="1" applyFill="1" applyBorder="1" applyAlignment="1">
      <alignment vertical="center"/>
    </xf>
    <xf numFmtId="172" fontId="46" fillId="15" borderId="3" xfId="9" applyNumberFormat="1" applyFont="1" applyFill="1" applyBorder="1" applyAlignment="1">
      <alignment vertical="center"/>
    </xf>
    <xf numFmtId="2" fontId="34" fillId="0" borderId="5" xfId="0" applyNumberFormat="1" applyFont="1" applyBorder="1" applyAlignment="1">
      <alignment vertical="center" wrapText="1"/>
    </xf>
    <xf numFmtId="2" fontId="34" fillId="0" borderId="0" xfId="0" applyNumberFormat="1" applyFont="1" applyAlignment="1">
      <alignment vertical="center" wrapText="1"/>
    </xf>
    <xf numFmtId="0" fontId="123" fillId="15" borderId="3" xfId="0" applyFont="1" applyFill="1" applyBorder="1" applyAlignment="1">
      <alignment vertical="center"/>
    </xf>
    <xf numFmtId="172" fontId="46" fillId="15" borderId="4" xfId="9" applyNumberFormat="1" applyFont="1" applyFill="1" applyBorder="1" applyAlignment="1">
      <alignment vertical="center"/>
    </xf>
    <xf numFmtId="166" fontId="125" fillId="0" borderId="0" xfId="8" applyNumberFormat="1" applyFont="1" applyFill="1" applyAlignment="1">
      <alignment vertical="center"/>
    </xf>
    <xf numFmtId="165" fontId="34" fillId="0" borderId="0" xfId="1" applyFont="1" applyFill="1" applyAlignment="1">
      <alignment vertical="center"/>
    </xf>
    <xf numFmtId="165" fontId="46" fillId="4" borderId="7" xfId="1" applyFont="1" applyFill="1" applyBorder="1" applyAlignment="1">
      <alignment horizontal="center" vertical="center"/>
    </xf>
    <xf numFmtId="43" fontId="46" fillId="4" borderId="5" xfId="0" applyNumberFormat="1" applyFont="1" applyFill="1" applyBorder="1" applyAlignment="1">
      <alignment vertical="center" wrapText="1"/>
    </xf>
    <xf numFmtId="43" fontId="96" fillId="4" borderId="0" xfId="0" applyNumberFormat="1" applyFont="1" applyFill="1" applyAlignment="1">
      <alignment vertical="center" wrapText="1"/>
    </xf>
    <xf numFmtId="0" fontId="96" fillId="0" borderId="0" xfId="9" applyFont="1" applyAlignment="1">
      <alignment horizontal="left" vertical="center" wrapText="1"/>
    </xf>
    <xf numFmtId="165" fontId="112" fillId="4" borderId="0" xfId="0" applyNumberFormat="1" applyFont="1" applyFill="1" applyAlignment="1">
      <alignment vertical="center"/>
    </xf>
    <xf numFmtId="165" fontId="107" fillId="4" borderId="0" xfId="0" applyNumberFormat="1" applyFont="1" applyFill="1" applyAlignment="1">
      <alignment vertical="center"/>
    </xf>
    <xf numFmtId="0" fontId="72" fillId="15" borderId="3" xfId="9" applyFont="1" applyFill="1" applyBorder="1" applyAlignment="1">
      <alignment horizontal="left" vertical="center"/>
    </xf>
    <xf numFmtId="0" fontId="72" fillId="15" borderId="3" xfId="9" applyFont="1" applyFill="1" applyBorder="1" applyAlignment="1">
      <alignment horizontal="center" vertical="center"/>
    </xf>
    <xf numFmtId="165" fontId="72" fillId="15" borderId="4" xfId="1" applyFont="1" applyFill="1" applyBorder="1" applyAlignment="1">
      <alignment horizontal="center" vertical="center"/>
    </xf>
    <xf numFmtId="172" fontId="72" fillId="15" borderId="11" xfId="1" applyNumberFormat="1" applyFont="1" applyFill="1" applyBorder="1" applyAlignment="1">
      <alignment horizontal="right" vertical="center"/>
    </xf>
    <xf numFmtId="172" fontId="72" fillId="15" borderId="3" xfId="1" applyNumberFormat="1" applyFont="1" applyFill="1" applyBorder="1" applyAlignment="1">
      <alignment horizontal="right" vertical="center"/>
    </xf>
    <xf numFmtId="172" fontId="72" fillId="15" borderId="4" xfId="9" applyNumberFormat="1" applyFont="1" applyFill="1" applyBorder="1" applyAlignment="1">
      <alignment vertical="center"/>
    </xf>
    <xf numFmtId="43" fontId="72" fillId="15" borderId="11" xfId="0" applyNumberFormat="1" applyFont="1" applyFill="1" applyBorder="1" applyAlignment="1">
      <alignment vertical="center" wrapText="1"/>
    </xf>
    <xf numFmtId="43" fontId="72" fillId="15" borderId="3" xfId="0" applyNumberFormat="1" applyFont="1" applyFill="1" applyBorder="1" applyAlignment="1">
      <alignment vertical="center" wrapText="1"/>
    </xf>
    <xf numFmtId="0" fontId="46" fillId="0" borderId="13" xfId="5" applyFont="1" applyBorder="1" applyAlignment="1">
      <alignment horizontal="center" vertical="center"/>
    </xf>
    <xf numFmtId="172" fontId="34" fillId="0" borderId="0" xfId="1" applyNumberFormat="1" applyFont="1" applyFill="1" applyBorder="1" applyAlignment="1">
      <alignment horizontal="center" vertical="center"/>
    </xf>
    <xf numFmtId="165" fontId="107" fillId="23" borderId="0" xfId="0" applyNumberFormat="1" applyFont="1" applyFill="1" applyAlignment="1">
      <alignment vertical="center"/>
    </xf>
    <xf numFmtId="0" fontId="34" fillId="0" borderId="13" xfId="9" applyFont="1" applyBorder="1" applyAlignment="1">
      <alignment horizontal="center" vertical="center"/>
    </xf>
    <xf numFmtId="172" fontId="34" fillId="0" borderId="5" xfId="9" applyNumberFormat="1" applyFont="1" applyBorder="1" applyAlignment="1">
      <alignment vertical="center"/>
    </xf>
    <xf numFmtId="172" fontId="34" fillId="0" borderId="0" xfId="9" applyNumberFormat="1" applyFont="1" applyAlignment="1">
      <alignment vertical="center"/>
    </xf>
    <xf numFmtId="0" fontId="34" fillId="4" borderId="0" xfId="9" applyFont="1" applyFill="1" applyAlignment="1">
      <alignment horizontal="left" vertical="center" wrapText="1"/>
    </xf>
    <xf numFmtId="165" fontId="46" fillId="17" borderId="4" xfId="1" applyFont="1" applyFill="1" applyBorder="1" applyAlignment="1">
      <alignment horizontal="center" vertical="center"/>
    </xf>
    <xf numFmtId="165" fontId="34" fillId="4" borderId="13" xfId="1" applyFont="1" applyFill="1" applyBorder="1" applyAlignment="1">
      <alignment horizontal="center" vertical="center"/>
    </xf>
    <xf numFmtId="0" fontId="72" fillId="4" borderId="11" xfId="0" applyFont="1" applyFill="1" applyBorder="1" applyAlignment="1">
      <alignment vertical="center"/>
    </xf>
    <xf numFmtId="165" fontId="104" fillId="4" borderId="15" xfId="1" applyFont="1" applyFill="1" applyBorder="1" applyAlignment="1">
      <alignment horizontal="center" vertical="center"/>
    </xf>
    <xf numFmtId="0" fontId="104" fillId="0" borderId="5" xfId="9" applyFont="1" applyBorder="1" applyAlignment="1">
      <alignment horizontal="center" vertical="center"/>
    </xf>
    <xf numFmtId="172" fontId="104" fillId="0" borderId="0" xfId="9" applyNumberFormat="1" applyFont="1" applyAlignment="1">
      <alignment vertical="center"/>
    </xf>
    <xf numFmtId="2" fontId="96" fillId="0" borderId="0" xfId="0" applyNumberFormat="1" applyFont="1" applyAlignment="1">
      <alignment horizontal="center" vertical="center" wrapText="1"/>
    </xf>
    <xf numFmtId="166" fontId="105" fillId="0" borderId="0" xfId="8" applyNumberFormat="1" applyFont="1" applyFill="1" applyBorder="1" applyAlignment="1">
      <alignment vertical="center"/>
    </xf>
    <xf numFmtId="165" fontId="34" fillId="0" borderId="13" xfId="1" applyFont="1" applyFill="1" applyBorder="1" applyAlignment="1">
      <alignment horizontal="center" vertical="center"/>
    </xf>
    <xf numFmtId="0" fontId="115" fillId="15" borderId="3" xfId="9" applyFont="1" applyFill="1" applyBorder="1" applyAlignment="1">
      <alignment horizontal="left" vertical="center" wrapText="1"/>
    </xf>
    <xf numFmtId="165" fontId="46" fillId="15" borderId="14" xfId="1" applyFont="1" applyFill="1" applyBorder="1" applyAlignment="1">
      <alignment horizontal="center" vertical="center"/>
    </xf>
    <xf numFmtId="2" fontId="46" fillId="15" borderId="11" xfId="0" applyNumberFormat="1" applyFont="1" applyFill="1" applyBorder="1" applyAlignment="1">
      <alignment vertical="center" wrapText="1"/>
    </xf>
    <xf numFmtId="2" fontId="46" fillId="15" borderId="3" xfId="0" applyNumberFormat="1" applyFont="1" applyFill="1" applyBorder="1" applyAlignment="1">
      <alignment vertical="center" wrapText="1"/>
    </xf>
    <xf numFmtId="0" fontId="46" fillId="0" borderId="0" xfId="0" applyFont="1" applyAlignment="1">
      <alignment horizontal="center" vertical="center"/>
    </xf>
    <xf numFmtId="165" fontId="101" fillId="4" borderId="13" xfId="1" applyFont="1" applyFill="1" applyBorder="1" applyAlignment="1">
      <alignment horizontal="center" vertical="center"/>
    </xf>
    <xf numFmtId="166" fontId="105" fillId="0" borderId="5" xfId="8" applyNumberFormat="1" applyFont="1" applyFill="1" applyBorder="1" applyAlignment="1">
      <alignment vertical="center"/>
    </xf>
    <xf numFmtId="166" fontId="105" fillId="0" borderId="7" xfId="8" applyNumberFormat="1" applyFont="1" applyFill="1" applyBorder="1" applyAlignment="1">
      <alignment vertical="center"/>
    </xf>
    <xf numFmtId="0" fontId="107" fillId="15" borderId="3" xfId="0" applyFont="1" applyFill="1" applyBorder="1" applyAlignment="1">
      <alignment vertical="center"/>
    </xf>
    <xf numFmtId="0" fontId="72" fillId="4" borderId="13" xfId="0" applyFont="1" applyFill="1" applyBorder="1" applyAlignment="1">
      <alignment vertical="center"/>
    </xf>
    <xf numFmtId="0" fontId="34" fillId="15" borderId="12" xfId="9" applyFont="1" applyFill="1" applyBorder="1" applyAlignment="1">
      <alignment horizontal="center" vertical="center"/>
    </xf>
    <xf numFmtId="165" fontId="101" fillId="15" borderId="12" xfId="1" applyFont="1" applyFill="1" applyBorder="1" applyAlignment="1">
      <alignment horizontal="center" vertical="center"/>
    </xf>
    <xf numFmtId="165" fontId="34" fillId="0" borderId="0" xfId="8" applyNumberFormat="1" applyFont="1" applyFill="1" applyBorder="1" applyAlignment="1">
      <alignment vertical="center"/>
    </xf>
    <xf numFmtId="165" fontId="34" fillId="0" borderId="7" xfId="8" applyNumberFormat="1" applyFont="1" applyFill="1" applyBorder="1" applyAlignment="1">
      <alignment vertical="center"/>
    </xf>
    <xf numFmtId="0" fontId="72" fillId="4" borderId="13" xfId="0" applyFont="1" applyFill="1" applyBorder="1" applyAlignment="1">
      <alignment vertical="center" wrapText="1"/>
    </xf>
    <xf numFmtId="43" fontId="72" fillId="0" borderId="0" xfId="0" applyNumberFormat="1" applyFont="1" applyAlignment="1">
      <alignment horizontal="right" vertical="center" wrapText="1"/>
    </xf>
    <xf numFmtId="0" fontId="34" fillId="0" borderId="13" xfId="9" applyFont="1" applyBorder="1" applyAlignment="1">
      <alignment horizontal="center" vertical="center" wrapText="1"/>
    </xf>
    <xf numFmtId="0" fontId="72" fillId="0" borderId="13" xfId="9" applyFont="1" applyBorder="1" applyAlignment="1">
      <alignment horizontal="center" vertical="center"/>
    </xf>
    <xf numFmtId="172" fontId="72" fillId="0" borderId="5" xfId="1" applyNumberFormat="1" applyFont="1" applyFill="1" applyBorder="1" applyAlignment="1">
      <alignment horizontal="right" vertical="center"/>
    </xf>
    <xf numFmtId="172" fontId="72" fillId="0" borderId="0" xfId="1" applyNumberFormat="1" applyFont="1" applyFill="1" applyBorder="1" applyAlignment="1">
      <alignment horizontal="right" vertical="center"/>
    </xf>
    <xf numFmtId="165" fontId="72" fillId="0" borderId="5" xfId="1" applyFont="1" applyFill="1" applyBorder="1" applyAlignment="1">
      <alignment vertical="center"/>
    </xf>
    <xf numFmtId="165" fontId="72" fillId="0" borderId="0" xfId="1" applyFont="1" applyFill="1" applyBorder="1" applyAlignment="1">
      <alignment vertical="center"/>
    </xf>
    <xf numFmtId="165" fontId="95" fillId="0" borderId="0" xfId="0" applyNumberFormat="1" applyFont="1" applyAlignment="1">
      <alignment vertical="center"/>
    </xf>
    <xf numFmtId="0" fontId="96" fillId="6" borderId="5" xfId="0" applyFont="1" applyFill="1" applyBorder="1" applyAlignment="1">
      <alignment vertical="center"/>
    </xf>
    <xf numFmtId="0" fontId="95" fillId="0" borderId="0" xfId="0" applyFont="1" applyAlignment="1">
      <alignment horizontal="right" vertical="center"/>
    </xf>
    <xf numFmtId="0" fontId="95" fillId="0" borderId="0" xfId="0" applyFont="1" applyAlignment="1">
      <alignment vertical="center" wrapText="1"/>
    </xf>
    <xf numFmtId="173" fontId="95" fillId="0" borderId="0" xfId="0" applyNumberFormat="1" applyFont="1" applyAlignment="1">
      <alignment vertical="center"/>
    </xf>
    <xf numFmtId="173" fontId="107" fillId="0" borderId="0" xfId="0" applyNumberFormat="1" applyFont="1" applyAlignment="1">
      <alignment vertical="center"/>
    </xf>
    <xf numFmtId="0" fontId="101" fillId="0" borderId="13" xfId="9" applyFont="1" applyBorder="1" applyAlignment="1">
      <alignment horizontal="center" vertical="center" wrapText="1"/>
    </xf>
    <xf numFmtId="165" fontId="112" fillId="0" borderId="0" xfId="0" applyNumberFormat="1" applyFont="1" applyAlignment="1">
      <alignment vertical="center"/>
    </xf>
    <xf numFmtId="0" fontId="34" fillId="0" borderId="0" xfId="0" applyFont="1"/>
    <xf numFmtId="165" fontId="107" fillId="0" borderId="0" xfId="0" applyNumberFormat="1" applyFont="1" applyAlignment="1">
      <alignment vertical="center"/>
    </xf>
    <xf numFmtId="43" fontId="107" fillId="0" borderId="0" xfId="0" applyNumberFormat="1" applyFont="1" applyAlignment="1">
      <alignment vertical="center"/>
    </xf>
    <xf numFmtId="165" fontId="94" fillId="0" borderId="0" xfId="0" applyNumberFormat="1" applyFont="1" applyAlignment="1">
      <alignment vertical="center"/>
    </xf>
    <xf numFmtId="0" fontId="72" fillId="6" borderId="5" xfId="0" applyFont="1" applyFill="1" applyBorder="1" applyAlignment="1">
      <alignment vertical="center"/>
    </xf>
    <xf numFmtId="0" fontId="72" fillId="6" borderId="0" xfId="0" applyFont="1" applyFill="1" applyAlignment="1">
      <alignment vertical="center"/>
    </xf>
    <xf numFmtId="0" fontId="72" fillId="6" borderId="0" xfId="9" applyFont="1" applyFill="1" applyAlignment="1">
      <alignment horizontal="left" vertical="center"/>
    </xf>
    <xf numFmtId="0" fontId="72" fillId="6" borderId="0" xfId="9" applyFont="1" applyFill="1" applyAlignment="1">
      <alignment horizontal="left" vertical="center" wrapText="1"/>
    </xf>
    <xf numFmtId="172" fontId="72" fillId="0" borderId="0" xfId="9" applyNumberFormat="1" applyFont="1" applyAlignment="1">
      <alignment vertical="center"/>
    </xf>
    <xf numFmtId="43" fontId="46" fillId="0" borderId="0" xfId="0" applyNumberFormat="1" applyFont="1" applyAlignment="1">
      <alignment horizontal="right" vertical="center" wrapText="1"/>
    </xf>
    <xf numFmtId="173" fontId="94" fillId="0" borderId="0" xfId="0" applyNumberFormat="1" applyFont="1" applyAlignment="1">
      <alignment vertical="center"/>
    </xf>
    <xf numFmtId="172" fontId="72" fillId="15" borderId="11" xfId="9" applyNumberFormat="1" applyFont="1" applyFill="1" applyBorder="1" applyAlignment="1">
      <alignment vertical="center"/>
    </xf>
    <xf numFmtId="172" fontId="72" fillId="15" borderId="3" xfId="9" applyNumberFormat="1" applyFont="1" applyFill="1" applyBorder="1" applyAlignment="1">
      <alignment vertical="center"/>
    </xf>
    <xf numFmtId="172" fontId="34" fillId="15" borderId="3" xfId="9" applyNumberFormat="1" applyFont="1" applyFill="1" applyBorder="1" applyAlignment="1">
      <alignment vertical="center"/>
    </xf>
    <xf numFmtId="172" fontId="34" fillId="15" borderId="4" xfId="9" applyNumberFormat="1" applyFont="1" applyFill="1" applyBorder="1" applyAlignment="1">
      <alignment vertical="center"/>
    </xf>
    <xf numFmtId="0" fontId="34" fillId="15" borderId="3" xfId="0" applyFont="1" applyFill="1" applyBorder="1" applyAlignment="1">
      <alignment vertical="center"/>
    </xf>
    <xf numFmtId="172" fontId="34" fillId="15" borderId="11" xfId="9" applyNumberFormat="1" applyFont="1" applyFill="1" applyBorder="1" applyAlignment="1">
      <alignment vertical="center"/>
    </xf>
    <xf numFmtId="43" fontId="46" fillId="15" borderId="1" xfId="0" applyNumberFormat="1" applyFont="1" applyFill="1" applyBorder="1" applyAlignment="1">
      <alignment vertical="center" wrapText="1"/>
    </xf>
    <xf numFmtId="43" fontId="46" fillId="15" borderId="2" xfId="0" applyNumberFormat="1" applyFont="1" applyFill="1" applyBorder="1" applyAlignment="1">
      <alignment vertical="center" wrapText="1"/>
    </xf>
    <xf numFmtId="0" fontId="94" fillId="15" borderId="3" xfId="0" applyFont="1" applyFill="1" applyBorder="1" applyAlignment="1">
      <alignment vertical="center"/>
    </xf>
    <xf numFmtId="165" fontId="96" fillId="4" borderId="7" xfId="1" applyFont="1" applyFill="1" applyBorder="1" applyAlignment="1">
      <alignment horizontal="center" vertical="center"/>
    </xf>
    <xf numFmtId="172" fontId="96" fillId="0" borderId="5" xfId="9" applyNumberFormat="1" applyFont="1" applyBorder="1" applyAlignment="1">
      <alignment vertical="center"/>
    </xf>
    <xf numFmtId="172" fontId="96" fillId="0" borderId="0" xfId="9" applyNumberFormat="1" applyFont="1" applyAlignment="1">
      <alignment vertical="center"/>
    </xf>
    <xf numFmtId="165" fontId="34" fillId="0" borderId="5" xfId="1" applyFont="1" applyFill="1" applyBorder="1" applyAlignment="1">
      <alignment vertical="center"/>
    </xf>
    <xf numFmtId="165" fontId="34" fillId="0" borderId="0" xfId="1" applyFont="1" applyFill="1" applyBorder="1" applyAlignment="1">
      <alignment vertical="center"/>
    </xf>
    <xf numFmtId="165" fontId="46" fillId="0" borderId="0" xfId="1" applyFont="1" applyFill="1" applyBorder="1" applyAlignment="1">
      <alignment horizontal="right" vertical="center"/>
    </xf>
    <xf numFmtId="0" fontId="34" fillId="15" borderId="3" xfId="9" applyFont="1" applyFill="1" applyBorder="1" applyAlignment="1">
      <alignment horizontal="left" vertical="center"/>
    </xf>
    <xf numFmtId="0" fontId="34" fillId="0" borderId="7" xfId="9" applyFont="1" applyBorder="1" applyAlignment="1">
      <alignment horizontal="left" vertical="center"/>
    </xf>
    <xf numFmtId="43" fontId="46" fillId="0" borderId="0" xfId="0" applyNumberFormat="1" applyFont="1" applyAlignment="1">
      <alignment horizontal="left" vertical="center" wrapText="1"/>
    </xf>
    <xf numFmtId="4" fontId="105" fillId="0" borderId="0" xfId="0" applyNumberFormat="1" applyFont="1" applyAlignment="1">
      <alignment vertical="center"/>
    </xf>
    <xf numFmtId="172" fontId="34" fillId="0" borderId="5" xfId="0" applyNumberFormat="1" applyFont="1" applyBorder="1" applyAlignment="1">
      <alignment vertical="center"/>
    </xf>
    <xf numFmtId="172" fontId="34" fillId="0" borderId="0" xfId="0" applyNumberFormat="1" applyFont="1" applyAlignment="1">
      <alignment vertical="center"/>
    </xf>
    <xf numFmtId="172" fontId="34" fillId="0" borderId="7" xfId="0" applyNumberFormat="1" applyFont="1" applyBorder="1" applyAlignment="1">
      <alignment vertical="center"/>
    </xf>
    <xf numFmtId="3" fontId="46" fillId="0" borderId="5" xfId="0" applyNumberFormat="1" applyFont="1" applyBorder="1" applyAlignment="1">
      <alignment vertical="center"/>
    </xf>
    <xf numFmtId="3" fontId="46" fillId="0" borderId="0" xfId="0" applyNumberFormat="1" applyFont="1" applyAlignment="1">
      <alignment vertical="center"/>
    </xf>
    <xf numFmtId="0" fontId="103" fillId="7" borderId="16" xfId="0" applyFont="1" applyFill="1" applyBorder="1" applyAlignment="1">
      <alignment horizontal="right" vertical="center"/>
    </xf>
    <xf numFmtId="0" fontId="72" fillId="7" borderId="17" xfId="0" applyFont="1" applyFill="1" applyBorder="1" applyAlignment="1">
      <alignment horizontal="right" vertical="center"/>
    </xf>
    <xf numFmtId="0" fontId="46" fillId="7" borderId="17" xfId="0" applyFont="1" applyFill="1" applyBorder="1" applyAlignment="1">
      <alignment vertical="center"/>
    </xf>
    <xf numFmtId="0" fontId="46" fillId="7" borderId="18" xfId="0" applyFont="1" applyFill="1" applyBorder="1" applyAlignment="1">
      <alignment vertical="center"/>
    </xf>
    <xf numFmtId="165" fontId="46" fillId="4" borderId="19" xfId="1" applyFont="1" applyFill="1" applyBorder="1" applyAlignment="1">
      <alignment horizontal="center" vertical="center"/>
    </xf>
    <xf numFmtId="172" fontId="46" fillId="0" borderId="17" xfId="0" applyNumberFormat="1" applyFont="1" applyBorder="1" applyAlignment="1">
      <alignment vertical="center"/>
    </xf>
    <xf numFmtId="172" fontId="46" fillId="0" borderId="18" xfId="0" applyNumberFormat="1" applyFont="1" applyBorder="1" applyAlignment="1">
      <alignment vertical="center"/>
    </xf>
    <xf numFmtId="165" fontId="72" fillId="0" borderId="17" xfId="1" applyFont="1" applyFill="1" applyBorder="1" applyAlignment="1">
      <alignment vertical="center"/>
    </xf>
    <xf numFmtId="4" fontId="105" fillId="0" borderId="18" xfId="0" applyNumberFormat="1" applyFont="1" applyBorder="1" applyAlignment="1">
      <alignment vertical="center"/>
    </xf>
    <xf numFmtId="173" fontId="72" fillId="4" borderId="17" xfId="1" applyNumberFormat="1" applyFont="1" applyFill="1" applyBorder="1" applyAlignment="1">
      <alignment vertical="center"/>
    </xf>
    <xf numFmtId="165" fontId="72" fillId="0" borderId="18" xfId="1" applyFont="1" applyFill="1" applyBorder="1" applyAlignment="1">
      <alignment vertical="center"/>
    </xf>
    <xf numFmtId="173" fontId="72" fillId="0" borderId="18" xfId="1" applyNumberFormat="1" applyFont="1" applyFill="1" applyBorder="1" applyAlignment="1">
      <alignment vertical="center"/>
    </xf>
    <xf numFmtId="173" fontId="72" fillId="0" borderId="19" xfId="1" applyNumberFormat="1" applyFont="1" applyFill="1" applyBorder="1" applyAlignment="1">
      <alignment vertical="center"/>
    </xf>
    <xf numFmtId="165" fontId="72" fillId="5" borderId="17" xfId="1" applyFont="1" applyFill="1" applyBorder="1" applyAlignment="1">
      <alignment vertical="center"/>
    </xf>
    <xf numFmtId="165" fontId="72" fillId="0" borderId="19" xfId="1" applyFont="1" applyFill="1" applyBorder="1" applyAlignment="1">
      <alignment vertical="center"/>
    </xf>
    <xf numFmtId="0" fontId="34" fillId="0" borderId="40" xfId="0" applyFont="1" applyBorder="1" applyAlignment="1">
      <alignment horizontal="center" vertical="center"/>
    </xf>
    <xf numFmtId="0" fontId="34" fillId="0" borderId="33" xfId="0" applyFont="1" applyBorder="1" applyAlignment="1">
      <alignment horizontal="center" vertical="center"/>
    </xf>
    <xf numFmtId="0" fontId="103" fillId="4" borderId="0" xfId="0" applyFont="1" applyFill="1" applyAlignment="1">
      <alignment horizontal="right" vertical="center"/>
    </xf>
    <xf numFmtId="0" fontId="72" fillId="4" borderId="0" xfId="0" applyFont="1" applyFill="1" applyAlignment="1">
      <alignment horizontal="right" vertical="center"/>
    </xf>
    <xf numFmtId="165" fontId="46" fillId="4" borderId="0" xfId="1" applyFont="1" applyFill="1" applyAlignment="1">
      <alignment horizontal="center" vertical="center"/>
    </xf>
    <xf numFmtId="10" fontId="34" fillId="0" borderId="0" xfId="8" applyNumberFormat="1" applyFont="1" applyFill="1" applyAlignment="1">
      <alignment vertical="center"/>
    </xf>
    <xf numFmtId="0" fontId="112" fillId="0" borderId="0" xfId="0" applyFont="1" applyAlignment="1">
      <alignment horizontal="center" vertical="center"/>
    </xf>
    <xf numFmtId="0" fontId="108" fillId="0" borderId="0" xfId="0" applyFont="1" applyAlignment="1">
      <alignment vertical="center"/>
    </xf>
    <xf numFmtId="165" fontId="34" fillId="4" borderId="0" xfId="1" applyFont="1" applyFill="1" applyAlignment="1">
      <alignment horizontal="center" vertical="center"/>
    </xf>
    <xf numFmtId="165" fontId="34" fillId="4" borderId="0" xfId="1" applyFont="1" applyFill="1" applyAlignment="1">
      <alignment vertical="center"/>
    </xf>
    <xf numFmtId="0" fontId="94" fillId="0" borderId="0" xfId="0" applyFont="1" applyAlignment="1">
      <alignment horizontal="center" vertical="center"/>
    </xf>
    <xf numFmtId="0" fontId="106" fillId="0" borderId="0" xfId="0" applyFont="1" applyAlignment="1">
      <alignment vertical="center"/>
    </xf>
    <xf numFmtId="0" fontId="105" fillId="0" borderId="0" xfId="0" applyFont="1" applyAlignment="1">
      <alignment vertical="center"/>
    </xf>
    <xf numFmtId="0" fontId="130" fillId="0" borderId="0" xfId="0" applyFont="1" applyAlignment="1">
      <alignment horizontal="right" vertical="center"/>
    </xf>
    <xf numFmtId="43" fontId="105" fillId="0" borderId="0" xfId="0" applyNumberFormat="1" applyFont="1" applyAlignment="1">
      <alignment vertical="center"/>
    </xf>
    <xf numFmtId="0" fontId="131" fillId="0" borderId="0" xfId="0" applyFont="1" applyAlignment="1">
      <alignment vertical="center"/>
    </xf>
    <xf numFmtId="0" fontId="132" fillId="0" borderId="0" xfId="0" applyFont="1" applyAlignment="1">
      <alignment vertical="center"/>
    </xf>
    <xf numFmtId="0" fontId="130" fillId="4" borderId="0" xfId="0" applyFont="1" applyFill="1" applyAlignment="1">
      <alignment horizontal="right" vertical="center"/>
    </xf>
    <xf numFmtId="3" fontId="34" fillId="0" borderId="0" xfId="0" applyNumberFormat="1" applyFont="1" applyAlignment="1">
      <alignment horizontal="center"/>
    </xf>
    <xf numFmtId="165" fontId="34" fillId="0" borderId="0" xfId="1" applyFont="1" applyFill="1" applyAlignment="1">
      <alignment horizontal="center"/>
    </xf>
    <xf numFmtId="43" fontId="94" fillId="0" borderId="0" xfId="0" applyNumberFormat="1" applyFont="1" applyAlignment="1">
      <alignment vertical="center"/>
    </xf>
    <xf numFmtId="0" fontId="34" fillId="0" borderId="0" xfId="0" applyFont="1" applyAlignment="1">
      <alignment horizontal="right" vertical="center"/>
    </xf>
    <xf numFmtId="0" fontId="34" fillId="4" borderId="0" xfId="0" applyFont="1" applyFill="1" applyAlignment="1">
      <alignment horizontal="right" vertical="center"/>
    </xf>
    <xf numFmtId="165" fontId="34" fillId="0" borderId="12" xfId="1" applyFont="1" applyFill="1" applyBorder="1" applyAlignment="1">
      <alignment vertical="center"/>
    </xf>
    <xf numFmtId="43" fontId="34" fillId="0" borderId="4" xfId="1" applyNumberFormat="1" applyFont="1" applyFill="1" applyBorder="1" applyAlignment="1">
      <alignment vertical="center"/>
    </xf>
    <xf numFmtId="165" fontId="34" fillId="0" borderId="4" xfId="1" applyFont="1" applyFill="1" applyBorder="1" applyAlignment="1">
      <alignment vertical="center"/>
    </xf>
    <xf numFmtId="0" fontId="101" fillId="0" borderId="0" xfId="0" applyFont="1" applyAlignment="1">
      <alignment vertical="center"/>
    </xf>
    <xf numFmtId="0" fontId="127" fillId="0" borderId="0" xfId="0" applyFont="1" applyAlignment="1">
      <alignment vertical="center"/>
    </xf>
    <xf numFmtId="43" fontId="127" fillId="0" borderId="0" xfId="0" applyNumberFormat="1" applyFont="1" applyAlignment="1">
      <alignment vertical="center"/>
    </xf>
    <xf numFmtId="0" fontId="127" fillId="0" borderId="0" xfId="0" applyFont="1" applyAlignment="1">
      <alignment horizontal="center" vertical="center"/>
    </xf>
    <xf numFmtId="0" fontId="46" fillId="0" borderId="0" xfId="0" applyFont="1" applyAlignment="1">
      <alignment horizontal="right" vertical="center"/>
    </xf>
    <xf numFmtId="0" fontId="46" fillId="4" borderId="0" xfId="0" applyFont="1" applyFill="1" applyAlignment="1">
      <alignment horizontal="right" vertical="center"/>
    </xf>
    <xf numFmtId="165" fontId="72" fillId="0" borderId="12" xfId="1" applyFont="1" applyFill="1" applyBorder="1" applyAlignment="1">
      <alignment vertical="center"/>
    </xf>
    <xf numFmtId="0" fontId="34" fillId="4" borderId="0" xfId="0" applyFont="1" applyFill="1"/>
    <xf numFmtId="0" fontId="108" fillId="0" borderId="0" xfId="0" applyFont="1"/>
    <xf numFmtId="0" fontId="96" fillId="0" borderId="0" xfId="0" applyFont="1"/>
    <xf numFmtId="0" fontId="46" fillId="0" borderId="0" xfId="0" applyFont="1" applyAlignment="1">
      <alignment horizontal="right"/>
    </xf>
    <xf numFmtId="3" fontId="34" fillId="0" borderId="0" xfId="0" applyNumberFormat="1" applyFont="1"/>
    <xf numFmtId="0" fontId="106" fillId="0" borderId="0" xfId="0" applyFont="1"/>
    <xf numFmtId="0" fontId="105" fillId="0" borderId="0" xfId="0" applyFont="1"/>
    <xf numFmtId="0" fontId="94" fillId="0" borderId="0" xfId="0" applyFont="1"/>
    <xf numFmtId="0" fontId="46" fillId="4" borderId="0" xfId="0" applyFont="1" applyFill="1" applyAlignment="1">
      <alignment horizontal="right"/>
    </xf>
    <xf numFmtId="168" fontId="72" fillId="0" borderId="0" xfId="1" applyNumberFormat="1" applyFont="1" applyFill="1" applyAlignment="1">
      <alignment horizontal="right"/>
    </xf>
    <xf numFmtId="165" fontId="34" fillId="0" borderId="0" xfId="0" applyNumberFormat="1" applyFont="1"/>
    <xf numFmtId="0" fontId="110" fillId="0" borderId="0" xfId="0" applyFont="1" applyAlignment="1">
      <alignment horizontal="right" vertical="center"/>
    </xf>
    <xf numFmtId="0" fontId="110" fillId="0" borderId="0" xfId="0" applyFont="1" applyAlignment="1">
      <alignment vertical="center"/>
    </xf>
    <xf numFmtId="165" fontId="133" fillId="0" borderId="0" xfId="1" applyFont="1" applyFill="1" applyAlignment="1">
      <alignment vertical="center"/>
    </xf>
    <xf numFmtId="165" fontId="134" fillId="0" borderId="0" xfId="1" applyFont="1" applyFill="1" applyAlignment="1">
      <alignment vertical="center"/>
    </xf>
    <xf numFmtId="3" fontId="34" fillId="0" borderId="0" xfId="0" applyNumberFormat="1" applyFont="1" applyAlignment="1">
      <alignment horizontal="right"/>
    </xf>
    <xf numFmtId="165" fontId="34" fillId="0" borderId="12" xfId="1" applyFont="1" applyFill="1" applyBorder="1"/>
    <xf numFmtId="165" fontId="46" fillId="0" borderId="12" xfId="1" applyFont="1" applyFill="1" applyBorder="1"/>
    <xf numFmtId="165" fontId="34" fillId="0" borderId="0" xfId="1" applyFont="1" applyFill="1" applyBorder="1"/>
    <xf numFmtId="0" fontId="101" fillId="0" borderId="5" xfId="9" applyFont="1" applyBorder="1" applyAlignment="1">
      <alignment horizontal="center" vertical="center"/>
    </xf>
    <xf numFmtId="43" fontId="72" fillId="16" borderId="11" xfId="0" applyNumberFormat="1" applyFont="1" applyFill="1" applyBorder="1" applyAlignment="1">
      <alignment vertical="center" wrapText="1"/>
    </xf>
    <xf numFmtId="43" fontId="72" fillId="16" borderId="3" xfId="0" applyNumberFormat="1" applyFont="1" applyFill="1" applyBorder="1" applyAlignment="1">
      <alignment vertical="center" wrapText="1"/>
    </xf>
    <xf numFmtId="43" fontId="72" fillId="16" borderId="4" xfId="0" applyNumberFormat="1" applyFont="1" applyFill="1" applyBorder="1" applyAlignment="1">
      <alignment vertical="center" wrapText="1"/>
    </xf>
    <xf numFmtId="0" fontId="72" fillId="16" borderId="11" xfId="0" applyFont="1" applyFill="1" applyBorder="1" applyAlignment="1">
      <alignment vertical="center"/>
    </xf>
    <xf numFmtId="172" fontId="72" fillId="16" borderId="11" xfId="1" applyNumberFormat="1" applyFont="1" applyFill="1" applyBorder="1" applyAlignment="1">
      <alignment horizontal="right" vertical="center"/>
    </xf>
    <xf numFmtId="172" fontId="72" fillId="16" borderId="3" xfId="1" applyNumberFormat="1" applyFont="1" applyFill="1" applyBorder="1" applyAlignment="1">
      <alignment horizontal="right" vertical="center"/>
    </xf>
    <xf numFmtId="172" fontId="72" fillId="16" borderId="4" xfId="9" applyNumberFormat="1" applyFont="1" applyFill="1" applyBorder="1" applyAlignment="1">
      <alignment vertical="center"/>
    </xf>
    <xf numFmtId="0" fontId="95" fillId="16" borderId="30" xfId="0" applyFont="1" applyFill="1" applyBorder="1" applyAlignment="1">
      <alignment horizontal="center" vertical="center"/>
    </xf>
    <xf numFmtId="0" fontId="72" fillId="4" borderId="3" xfId="0" applyFont="1" applyFill="1" applyBorder="1" applyAlignment="1">
      <alignment vertical="center"/>
    </xf>
    <xf numFmtId="0" fontId="72" fillId="4" borderId="3" xfId="9" applyFont="1" applyFill="1" applyBorder="1" applyAlignment="1">
      <alignment horizontal="left" vertical="center"/>
    </xf>
    <xf numFmtId="0" fontId="72" fillId="4" borderId="3" xfId="9" applyFont="1" applyFill="1" applyBorder="1" applyAlignment="1">
      <alignment horizontal="left" vertical="center" wrapText="1"/>
    </xf>
    <xf numFmtId="0" fontId="72" fillId="4" borderId="12" xfId="9" applyFont="1" applyFill="1" applyBorder="1" applyAlignment="1">
      <alignment horizontal="center" vertical="center"/>
    </xf>
    <xf numFmtId="165" fontId="72" fillId="4" borderId="4" xfId="1" applyFont="1" applyFill="1" applyBorder="1" applyAlignment="1">
      <alignment horizontal="center" vertical="center"/>
    </xf>
    <xf numFmtId="172" fontId="72" fillId="4" borderId="11" xfId="1" applyNumberFormat="1" applyFont="1" applyFill="1" applyBorder="1" applyAlignment="1">
      <alignment horizontal="right" vertical="center"/>
    </xf>
    <xf numFmtId="172" fontId="72" fillId="4" borderId="3" xfId="1" applyNumberFormat="1" applyFont="1" applyFill="1" applyBorder="1" applyAlignment="1">
      <alignment horizontal="right" vertical="center"/>
    </xf>
    <xf numFmtId="172" fontId="72" fillId="4" borderId="4" xfId="9" applyNumberFormat="1" applyFont="1" applyFill="1" applyBorder="1" applyAlignment="1">
      <alignment vertical="center"/>
    </xf>
    <xf numFmtId="43" fontId="72" fillId="4" borderId="3" xfId="0" applyNumberFormat="1" applyFont="1" applyFill="1" applyBorder="1" applyAlignment="1">
      <alignment vertical="center" wrapText="1"/>
    </xf>
    <xf numFmtId="0" fontId="72" fillId="16" borderId="3" xfId="0" applyFont="1" applyFill="1" applyBorder="1" applyAlignment="1">
      <alignment vertical="center"/>
    </xf>
    <xf numFmtId="0" fontId="72" fillId="16" borderId="3" xfId="9" applyFont="1" applyFill="1" applyBorder="1" applyAlignment="1">
      <alignment horizontal="left" vertical="center"/>
    </xf>
    <xf numFmtId="0" fontId="72" fillId="16" borderId="3" xfId="9" applyFont="1" applyFill="1" applyBorder="1" applyAlignment="1">
      <alignment horizontal="left" vertical="center" wrapText="1"/>
    </xf>
    <xf numFmtId="0" fontId="72" fillId="16" borderId="12" xfId="9" applyFont="1" applyFill="1" applyBorder="1" applyAlignment="1">
      <alignment horizontal="center" vertical="center"/>
    </xf>
    <xf numFmtId="165" fontId="72" fillId="16" borderId="4" xfId="1" applyFont="1" applyFill="1" applyBorder="1" applyAlignment="1">
      <alignment horizontal="center" vertical="center"/>
    </xf>
    <xf numFmtId="3" fontId="96" fillId="16" borderId="0" xfId="0" applyNumberFormat="1" applyFont="1" applyFill="1" applyAlignment="1">
      <alignment vertical="center"/>
    </xf>
    <xf numFmtId="3" fontId="120" fillId="16" borderId="0" xfId="0" applyNumberFormat="1" applyFont="1" applyFill="1" applyAlignment="1">
      <alignment vertical="center"/>
    </xf>
    <xf numFmtId="165" fontId="72" fillId="16" borderId="0" xfId="1" applyFont="1" applyFill="1" applyAlignment="1">
      <alignment vertical="center"/>
    </xf>
    <xf numFmtId="0" fontId="96" fillId="16" borderId="30" xfId="0" applyFont="1" applyFill="1" applyBorder="1" applyAlignment="1">
      <alignment horizontal="center" vertical="center"/>
    </xf>
    <xf numFmtId="4" fontId="96" fillId="0" borderId="0" xfId="9" applyNumberFormat="1" applyFont="1" applyAlignment="1">
      <alignment horizontal="center" vertical="center"/>
    </xf>
    <xf numFmtId="0" fontId="97" fillId="4" borderId="13" xfId="9" applyFont="1" applyFill="1" applyBorder="1" applyAlignment="1">
      <alignment horizontal="center" vertical="center" wrapText="1"/>
    </xf>
    <xf numFmtId="172" fontId="94" fillId="0" borderId="0" xfId="1" applyNumberFormat="1" applyFont="1" applyFill="1" applyBorder="1" applyAlignment="1">
      <alignment horizontal="right" vertical="center"/>
    </xf>
    <xf numFmtId="172" fontId="94" fillId="0" borderId="0" xfId="9" applyNumberFormat="1" applyFont="1" applyAlignment="1">
      <alignment vertical="center"/>
    </xf>
    <xf numFmtId="2" fontId="94" fillId="0" borderId="5" xfId="0" applyNumberFormat="1" applyFont="1" applyBorder="1" applyAlignment="1">
      <alignment vertical="center" wrapText="1"/>
    </xf>
    <xf numFmtId="2" fontId="94" fillId="0" borderId="0" xfId="0" applyNumberFormat="1" applyFont="1" applyAlignment="1">
      <alignment vertical="center" wrapText="1"/>
    </xf>
    <xf numFmtId="0" fontId="46" fillId="18" borderId="0" xfId="9" applyFont="1" applyFill="1" applyAlignment="1">
      <alignment vertical="center" wrapText="1"/>
    </xf>
    <xf numFmtId="165" fontId="94" fillId="4" borderId="15" xfId="1" applyFont="1" applyFill="1" applyBorder="1" applyAlignment="1">
      <alignment horizontal="center" vertical="center"/>
    </xf>
    <xf numFmtId="2" fontId="95" fillId="0" borderId="0" xfId="0" applyNumberFormat="1" applyFont="1" applyAlignment="1">
      <alignment horizontal="center" vertical="center" wrapText="1"/>
    </xf>
    <xf numFmtId="0" fontId="34" fillId="15" borderId="11" xfId="0" applyFont="1" applyFill="1" applyBorder="1" applyAlignment="1">
      <alignment horizontal="center" vertical="center"/>
    </xf>
    <xf numFmtId="165" fontId="46" fillId="15" borderId="12" xfId="1" applyFont="1" applyFill="1" applyBorder="1" applyAlignment="1">
      <alignment horizontal="center" vertical="center"/>
    </xf>
    <xf numFmtId="0" fontId="72" fillId="0" borderId="0" xfId="0" applyFont="1" applyAlignment="1">
      <alignment horizontal="center" vertical="center"/>
    </xf>
    <xf numFmtId="0" fontId="34" fillId="4" borderId="13" xfId="9" applyFont="1" applyFill="1" applyBorder="1" applyAlignment="1">
      <alignment horizontal="center" vertical="center" wrapText="1"/>
    </xf>
    <xf numFmtId="0" fontId="46" fillId="14" borderId="3" xfId="9" applyFont="1" applyFill="1" applyBorder="1" applyAlignment="1">
      <alignment horizontal="left" vertical="center"/>
    </xf>
    <xf numFmtId="0" fontId="46" fillId="14" borderId="12" xfId="9" applyFont="1" applyFill="1" applyBorder="1" applyAlignment="1">
      <alignment horizontal="center" vertical="center"/>
    </xf>
    <xf numFmtId="165" fontId="46" fillId="14" borderId="4" xfId="1" applyFont="1" applyFill="1" applyBorder="1" applyAlignment="1">
      <alignment horizontal="center" vertical="center"/>
    </xf>
    <xf numFmtId="172" fontId="46" fillId="14" borderId="11" xfId="1" applyNumberFormat="1" applyFont="1" applyFill="1" applyBorder="1" applyAlignment="1">
      <alignment horizontal="right" vertical="center"/>
    </xf>
    <xf numFmtId="172" fontId="46" fillId="14" borderId="4" xfId="9" applyNumberFormat="1" applyFont="1" applyFill="1" applyBorder="1" applyAlignment="1">
      <alignment vertical="center"/>
    </xf>
    <xf numFmtId="165" fontId="101" fillId="15" borderId="9" xfId="1" applyFont="1" applyFill="1" applyBorder="1" applyAlignment="1">
      <alignment horizontal="center" vertical="center"/>
    </xf>
    <xf numFmtId="0" fontId="115" fillId="15" borderId="11" xfId="9" applyFont="1" applyFill="1" applyBorder="1" applyAlignment="1">
      <alignment horizontal="center" vertical="center" wrapText="1"/>
    </xf>
    <xf numFmtId="172" fontId="46" fillId="17" borderId="11" xfId="1" applyNumberFormat="1" applyFont="1" applyFill="1" applyBorder="1" applyAlignment="1">
      <alignment horizontal="right" vertical="center"/>
    </xf>
    <xf numFmtId="172" fontId="46" fillId="17" borderId="3" xfId="1" applyNumberFormat="1" applyFont="1" applyFill="1" applyBorder="1" applyAlignment="1">
      <alignment horizontal="right" vertical="center"/>
    </xf>
    <xf numFmtId="172" fontId="46" fillId="17" borderId="4" xfId="9" applyNumberFormat="1" applyFont="1" applyFill="1" applyBorder="1" applyAlignment="1">
      <alignment vertical="center"/>
    </xf>
    <xf numFmtId="2" fontId="72" fillId="15" borderId="11" xfId="0" applyNumberFormat="1" applyFont="1" applyFill="1" applyBorder="1" applyAlignment="1">
      <alignment vertical="center" wrapText="1"/>
    </xf>
    <xf numFmtId="2" fontId="72" fillId="15" borderId="3" xfId="0" applyNumberFormat="1" applyFont="1" applyFill="1" applyBorder="1" applyAlignment="1">
      <alignment vertical="center" wrapText="1"/>
    </xf>
    <xf numFmtId="0" fontId="96" fillId="4" borderId="12" xfId="9" applyFont="1" applyFill="1" applyBorder="1" applyAlignment="1">
      <alignment horizontal="center" vertical="center"/>
    </xf>
    <xf numFmtId="165" fontId="96" fillId="4" borderId="4" xfId="1" applyFont="1" applyFill="1" applyBorder="1" applyAlignment="1">
      <alignment horizontal="center" vertical="center"/>
    </xf>
    <xf numFmtId="0" fontId="72" fillId="23" borderId="11" xfId="0" applyFont="1" applyFill="1" applyBorder="1" applyAlignment="1">
      <alignment vertical="center"/>
    </xf>
    <xf numFmtId="0" fontId="72" fillId="23" borderId="3" xfId="0" applyFont="1" applyFill="1" applyBorder="1" applyAlignment="1">
      <alignment vertical="center"/>
    </xf>
    <xf numFmtId="0" fontId="46" fillId="23" borderId="3" xfId="9" applyFont="1" applyFill="1" applyBorder="1" applyAlignment="1">
      <alignment horizontal="left" vertical="center"/>
    </xf>
    <xf numFmtId="0" fontId="46" fillId="23" borderId="3" xfId="9" applyFont="1" applyFill="1" applyBorder="1" applyAlignment="1">
      <alignment horizontal="left" vertical="center" wrapText="1"/>
    </xf>
    <xf numFmtId="0" fontId="104" fillId="23" borderId="12" xfId="9" applyFont="1" applyFill="1" applyBorder="1" applyAlignment="1">
      <alignment horizontal="center" vertical="center"/>
    </xf>
    <xf numFmtId="165" fontId="104" fillId="23" borderId="4" xfId="1" applyFont="1" applyFill="1" applyBorder="1" applyAlignment="1">
      <alignment horizontal="center" vertical="center"/>
    </xf>
    <xf numFmtId="172" fontId="72" fillId="23" borderId="11" xfId="1" applyNumberFormat="1" applyFont="1" applyFill="1" applyBorder="1" applyAlignment="1">
      <alignment horizontal="right" vertical="center"/>
    </xf>
    <xf numFmtId="172" fontId="72" fillId="23" borderId="3" xfId="1" applyNumberFormat="1" applyFont="1" applyFill="1" applyBorder="1" applyAlignment="1">
      <alignment horizontal="right" vertical="center"/>
    </xf>
    <xf numFmtId="172" fontId="72" fillId="23" borderId="4" xfId="9" applyNumberFormat="1" applyFont="1" applyFill="1" applyBorder="1" applyAlignment="1">
      <alignment vertical="center"/>
    </xf>
    <xf numFmtId="43" fontId="72" fillId="23" borderId="11" xfId="0" applyNumberFormat="1" applyFont="1" applyFill="1" applyBorder="1" applyAlignment="1">
      <alignment vertical="center" wrapText="1"/>
    </xf>
    <xf numFmtId="43" fontId="72" fillId="23" borderId="3" xfId="0" applyNumberFormat="1" applyFont="1" applyFill="1" applyBorder="1" applyAlignment="1">
      <alignment vertical="center" wrapText="1"/>
    </xf>
    <xf numFmtId="0" fontId="34" fillId="23" borderId="11" xfId="0" applyFont="1" applyFill="1" applyBorder="1" applyAlignment="1">
      <alignment vertical="center"/>
    </xf>
    <xf numFmtId="0" fontId="34" fillId="23" borderId="3" xfId="9" applyFont="1" applyFill="1" applyBorder="1" applyAlignment="1">
      <alignment horizontal="left" vertical="center"/>
    </xf>
    <xf numFmtId="0" fontId="34" fillId="23" borderId="3" xfId="9" applyFont="1" applyFill="1" applyBorder="1" applyAlignment="1">
      <alignment horizontal="left" vertical="center" wrapText="1"/>
    </xf>
    <xf numFmtId="0" fontId="34" fillId="23" borderId="12" xfId="9" applyFont="1" applyFill="1" applyBorder="1" applyAlignment="1">
      <alignment horizontal="center" vertical="center"/>
    </xf>
    <xf numFmtId="165" fontId="34" fillId="23" borderId="4" xfId="1" applyFont="1" applyFill="1" applyBorder="1" applyAlignment="1">
      <alignment horizontal="center" vertical="center"/>
    </xf>
    <xf numFmtId="165" fontId="72" fillId="23" borderId="11" xfId="1" applyFont="1" applyFill="1" applyBorder="1" applyAlignment="1">
      <alignment vertical="center"/>
    </xf>
    <xf numFmtId="165" fontId="72" fillId="23" borderId="3" xfId="1" applyFont="1" applyFill="1" applyBorder="1" applyAlignment="1">
      <alignment vertical="center"/>
    </xf>
    <xf numFmtId="0" fontId="72" fillId="23" borderId="5" xfId="0" applyFont="1" applyFill="1" applyBorder="1" applyAlignment="1">
      <alignment vertical="center"/>
    </xf>
    <xf numFmtId="0" fontId="46" fillId="23" borderId="0" xfId="9" applyFont="1" applyFill="1" applyAlignment="1">
      <alignment horizontal="left" vertical="center"/>
    </xf>
    <xf numFmtId="0" fontId="46" fillId="23" borderId="0" xfId="9" applyFont="1" applyFill="1" applyAlignment="1">
      <alignment horizontal="left" vertical="center" wrapText="1"/>
    </xf>
    <xf numFmtId="0" fontId="104" fillId="23" borderId="13" xfId="9" applyFont="1" applyFill="1" applyBorder="1" applyAlignment="1">
      <alignment horizontal="center" vertical="center"/>
    </xf>
    <xf numFmtId="165" fontId="104" fillId="23" borderId="7" xfId="1" applyFont="1" applyFill="1" applyBorder="1" applyAlignment="1">
      <alignment horizontal="center" vertical="center"/>
    </xf>
    <xf numFmtId="172" fontId="72" fillId="23" borderId="5" xfId="1" applyNumberFormat="1" applyFont="1" applyFill="1" applyBorder="1" applyAlignment="1">
      <alignment horizontal="right" vertical="center"/>
    </xf>
    <xf numFmtId="172" fontId="72" fillId="23" borderId="0" xfId="1" applyNumberFormat="1" applyFont="1" applyFill="1" applyBorder="1" applyAlignment="1">
      <alignment horizontal="right" vertical="center"/>
    </xf>
    <xf numFmtId="172" fontId="72" fillId="23" borderId="7" xfId="9" applyNumberFormat="1" applyFont="1" applyFill="1" applyBorder="1" applyAlignment="1">
      <alignment vertical="center"/>
    </xf>
    <xf numFmtId="0" fontId="46" fillId="23" borderId="3" xfId="0" applyFont="1" applyFill="1" applyBorder="1" applyAlignment="1">
      <alignment vertical="center"/>
    </xf>
    <xf numFmtId="0" fontId="26" fillId="2" borderId="5" xfId="0" applyFont="1" applyFill="1" applyBorder="1" applyAlignment="1">
      <alignment horizontal="center" vertical="center"/>
    </xf>
    <xf numFmtId="0" fontId="36" fillId="0" borderId="0" xfId="0" applyFont="1" applyAlignment="1">
      <alignment horizontal="center"/>
    </xf>
    <xf numFmtId="0" fontId="53" fillId="0" borderId="0" xfId="0" applyFont="1"/>
    <xf numFmtId="0" fontId="37" fillId="7" borderId="1" xfId="0" applyFont="1" applyFill="1" applyBorder="1" applyAlignment="1">
      <alignment vertical="center"/>
    </xf>
    <xf numFmtId="0" fontId="37" fillId="7" borderId="2" xfId="0" applyFont="1" applyFill="1" applyBorder="1" applyAlignment="1">
      <alignment vertical="center"/>
    </xf>
    <xf numFmtId="0" fontId="37" fillId="7" borderId="10" xfId="0" applyFont="1" applyFill="1" applyBorder="1" applyAlignment="1">
      <alignment vertical="center"/>
    </xf>
    <xf numFmtId="0" fontId="53" fillId="7" borderId="11" xfId="0" applyFont="1" applyFill="1" applyBorder="1" applyAlignment="1">
      <alignment horizontal="centerContinuous" vertical="center"/>
    </xf>
    <xf numFmtId="0" fontId="53" fillId="7" borderId="3" xfId="0" applyFont="1" applyFill="1" applyBorder="1" applyAlignment="1">
      <alignment horizontal="centerContinuous" vertical="center"/>
    </xf>
    <xf numFmtId="0" fontId="53" fillId="7" borderId="4" xfId="0" applyFont="1" applyFill="1" applyBorder="1" applyAlignment="1">
      <alignment horizontal="centerContinuous" vertical="center"/>
    </xf>
    <xf numFmtId="0" fontId="53" fillId="9" borderId="11" xfId="0" applyFont="1" applyFill="1" applyBorder="1" applyAlignment="1">
      <alignment horizontal="centerContinuous" wrapText="1"/>
    </xf>
    <xf numFmtId="0" fontId="53" fillId="9" borderId="3" xfId="0" applyFont="1" applyFill="1" applyBorder="1" applyAlignment="1">
      <alignment horizontal="centerContinuous" wrapText="1"/>
    </xf>
    <xf numFmtId="0" fontId="53" fillId="9" borderId="4" xfId="0" applyFont="1" applyFill="1" applyBorder="1" applyAlignment="1">
      <alignment horizontal="centerContinuous" wrapText="1"/>
    </xf>
    <xf numFmtId="0" fontId="36" fillId="0" borderId="15" xfId="0" applyFont="1" applyBorder="1"/>
    <xf numFmtId="0" fontId="37" fillId="7" borderId="10" xfId="0" applyFont="1" applyFill="1" applyBorder="1" applyAlignment="1">
      <alignment vertical="center" wrapText="1"/>
    </xf>
    <xf numFmtId="0" fontId="42" fillId="9" borderId="5" xfId="0" applyFont="1" applyFill="1" applyBorder="1" applyAlignment="1">
      <alignment horizontal="centerContinuous" vertical="center"/>
    </xf>
    <xf numFmtId="0" fontId="42" fillId="9" borderId="0" xfId="0" applyFont="1" applyFill="1" applyAlignment="1">
      <alignment horizontal="centerContinuous"/>
    </xf>
    <xf numFmtId="0" fontId="42" fillId="9" borderId="7" xfId="0" applyFont="1" applyFill="1" applyBorder="1" applyAlignment="1">
      <alignment horizontal="centerContinuous"/>
    </xf>
    <xf numFmtId="0" fontId="68" fillId="0" borderId="13" xfId="0" applyFont="1" applyBorder="1" applyAlignment="1">
      <alignment horizontal="center" vertical="center"/>
    </xf>
    <xf numFmtId="0" fontId="37" fillId="7" borderId="8" xfId="0" applyFont="1" applyFill="1" applyBorder="1" applyAlignment="1">
      <alignment horizontal="right"/>
    </xf>
    <xf numFmtId="0" fontId="37" fillId="7" borderId="6" xfId="0" applyFont="1" applyFill="1" applyBorder="1" applyAlignment="1">
      <alignment horizontal="right"/>
    </xf>
    <xf numFmtId="0" fontId="37" fillId="7" borderId="9" xfId="0" applyFont="1" applyFill="1" applyBorder="1" applyAlignment="1">
      <alignment horizontal="right"/>
    </xf>
    <xf numFmtId="0" fontId="135" fillId="7" borderId="6" xfId="0" applyFont="1" applyFill="1" applyBorder="1" applyAlignment="1">
      <alignment horizontal="center"/>
    </xf>
    <xf numFmtId="0" fontId="136" fillId="7" borderId="9" xfId="0" applyFont="1" applyFill="1" applyBorder="1" applyAlignment="1">
      <alignment horizontal="center"/>
    </xf>
    <xf numFmtId="0" fontId="37" fillId="7" borderId="5" xfId="0" applyFont="1" applyFill="1" applyBorder="1" applyAlignment="1">
      <alignment horizontal="right"/>
    </xf>
    <xf numFmtId="0" fontId="37" fillId="7" borderId="7" xfId="0" applyFont="1" applyFill="1" applyBorder="1" applyAlignment="1">
      <alignment horizontal="right"/>
    </xf>
    <xf numFmtId="0" fontId="44" fillId="9" borderId="8" xfId="0" applyFont="1" applyFill="1" applyBorder="1" applyAlignment="1">
      <alignment horizontal="center"/>
    </xf>
    <xf numFmtId="0" fontId="44" fillId="9" borderId="6" xfId="0" applyFont="1" applyFill="1" applyBorder="1" applyAlignment="1">
      <alignment horizontal="center"/>
    </xf>
    <xf numFmtId="0" fontId="135" fillId="9" borderId="9" xfId="0" applyFont="1" applyFill="1" applyBorder="1" applyAlignment="1">
      <alignment horizontal="center"/>
    </xf>
    <xf numFmtId="0" fontId="55" fillId="0" borderId="14" xfId="0" applyFont="1" applyBorder="1" applyAlignment="1">
      <alignment horizontal="center" vertical="center"/>
    </xf>
    <xf numFmtId="0" fontId="70" fillId="0" borderId="13" xfId="0" applyFont="1" applyBorder="1" applyAlignment="1">
      <alignment horizontal="center" vertical="center"/>
    </xf>
    <xf numFmtId="0" fontId="49" fillId="0" borderId="5" xfId="0" applyFont="1" applyBorder="1" applyAlignment="1">
      <alignment horizontal="right" vertical="center"/>
    </xf>
    <xf numFmtId="0" fontId="53" fillId="0" borderId="5" xfId="0" applyFont="1" applyBorder="1" applyAlignment="1">
      <alignment horizontal="right" vertical="center"/>
    </xf>
    <xf numFmtId="0" fontId="34" fillId="0" borderId="15" xfId="0" applyFont="1" applyBorder="1" applyAlignment="1">
      <alignment horizontal="center" vertical="center"/>
    </xf>
    <xf numFmtId="3" fontId="34" fillId="0" borderId="13" xfId="0" applyNumberFormat="1" applyFont="1" applyBorder="1" applyAlignment="1">
      <alignment vertical="center"/>
    </xf>
    <xf numFmtId="3" fontId="46" fillId="0" borderId="10" xfId="0" applyNumberFormat="1" applyFont="1" applyBorder="1" applyAlignment="1">
      <alignment vertical="center"/>
    </xf>
    <xf numFmtId="3" fontId="47" fillId="2" borderId="1" xfId="0" applyNumberFormat="1" applyFont="1" applyFill="1" applyBorder="1" applyAlignment="1">
      <alignment vertical="center"/>
    </xf>
    <xf numFmtId="3" fontId="48" fillId="2" borderId="0" xfId="0" applyNumberFormat="1" applyFont="1" applyFill="1" applyAlignment="1">
      <alignment vertical="center"/>
    </xf>
    <xf numFmtId="3" fontId="48" fillId="2" borderId="7" xfId="0" applyNumberFormat="1" applyFont="1" applyFill="1" applyBorder="1" applyAlignment="1">
      <alignment vertical="center"/>
    </xf>
    <xf numFmtId="0" fontId="36" fillId="0" borderId="5" xfId="0" applyFont="1" applyBorder="1" applyAlignment="1">
      <alignment vertical="center"/>
    </xf>
    <xf numFmtId="0" fontId="36" fillId="0" borderId="7" xfId="0" applyFont="1" applyBorder="1" applyAlignment="1">
      <alignment vertical="center"/>
    </xf>
    <xf numFmtId="0" fontId="36" fillId="0" borderId="13" xfId="0" applyFont="1" applyBorder="1" applyAlignment="1">
      <alignment horizontal="center" vertical="center"/>
    </xf>
    <xf numFmtId="0" fontId="30" fillId="0" borderId="13" xfId="0" applyFont="1" applyBorder="1" applyAlignment="1">
      <alignment horizontal="center" vertical="center"/>
    </xf>
    <xf numFmtId="0" fontId="37" fillId="4" borderId="0" xfId="0" applyFont="1" applyFill="1" applyAlignment="1">
      <alignment horizontal="left" vertical="center"/>
    </xf>
    <xf numFmtId="0" fontId="53" fillId="0" borderId="5" xfId="0" applyFont="1" applyBorder="1" applyAlignment="1">
      <alignment horizontal="center" vertical="center"/>
    </xf>
    <xf numFmtId="0" fontId="137" fillId="13" borderId="5" xfId="0" applyFont="1" applyFill="1" applyBorder="1" applyAlignment="1">
      <alignment vertical="center"/>
    </xf>
    <xf numFmtId="0" fontId="37" fillId="13" borderId="0" xfId="0" applyFont="1" applyFill="1" applyAlignment="1">
      <alignment vertical="center"/>
    </xf>
    <xf numFmtId="0" fontId="37" fillId="13" borderId="0" xfId="9" applyFont="1" applyFill="1" applyAlignment="1">
      <alignment horizontal="left" vertical="center"/>
    </xf>
    <xf numFmtId="0" fontId="37" fillId="13" borderId="0" xfId="9" applyFont="1" applyFill="1" applyAlignment="1">
      <alignment horizontal="left" vertical="center" wrapText="1"/>
    </xf>
    <xf numFmtId="0" fontId="52" fillId="0" borderId="13" xfId="9" applyFont="1" applyBorder="1" applyAlignment="1">
      <alignment horizontal="center" vertical="center"/>
    </xf>
    <xf numFmtId="3" fontId="52" fillId="0" borderId="13" xfId="9" applyNumberFormat="1" applyFont="1" applyBorder="1" applyAlignment="1">
      <alignment vertical="center"/>
    </xf>
    <xf numFmtId="3" fontId="52" fillId="0" borderId="5" xfId="9" applyNumberFormat="1" applyFont="1" applyBorder="1" applyAlignment="1">
      <alignment vertical="center"/>
    </xf>
    <xf numFmtId="164" fontId="37" fillId="0" borderId="5" xfId="1" applyNumberFormat="1" applyFont="1" applyBorder="1" applyAlignment="1">
      <alignment horizontal="right" vertical="center"/>
    </xf>
    <xf numFmtId="164" fontId="37" fillId="0" borderId="0" xfId="1" applyNumberFormat="1" applyFont="1" applyBorder="1" applyAlignment="1">
      <alignment horizontal="right" vertical="center"/>
    </xf>
    <xf numFmtId="3" fontId="52" fillId="0" borderId="7" xfId="9" applyNumberFormat="1" applyFont="1" applyBorder="1" applyAlignment="1">
      <alignment vertical="center"/>
    </xf>
    <xf numFmtId="3" fontId="37" fillId="0" borderId="7" xfId="9" applyNumberFormat="1" applyFont="1" applyBorder="1" applyAlignment="1">
      <alignment vertical="center"/>
    </xf>
    <xf numFmtId="4" fontId="58" fillId="2" borderId="5" xfId="0" applyNumberFormat="1" applyFont="1" applyFill="1" applyBorder="1" applyAlignment="1">
      <alignment vertical="center"/>
    </xf>
    <xf numFmtId="4" fontId="58" fillId="2" borderId="0" xfId="0" applyNumberFormat="1" applyFont="1" applyFill="1" applyAlignment="1">
      <alignment vertical="center"/>
    </xf>
    <xf numFmtId="4" fontId="58" fillId="2" borderId="7" xfId="0" applyNumberFormat="1" applyFont="1" applyFill="1" applyBorder="1" applyAlignment="1">
      <alignment vertical="center"/>
    </xf>
    <xf numFmtId="0" fontId="53" fillId="0" borderId="5" xfId="0" applyFont="1" applyBorder="1" applyAlignment="1">
      <alignment vertical="center"/>
    </xf>
    <xf numFmtId="0" fontId="53" fillId="0" borderId="0" xfId="0" applyFont="1" applyAlignment="1">
      <alignment vertical="center"/>
    </xf>
    <xf numFmtId="0" fontId="53" fillId="0" borderId="7" xfId="0" applyFont="1" applyBorder="1" applyAlignment="1">
      <alignment vertical="center"/>
    </xf>
    <xf numFmtId="0" fontId="37" fillId="0" borderId="5" xfId="0" applyFont="1" applyBorder="1" applyAlignment="1">
      <alignment vertical="center"/>
    </xf>
    <xf numFmtId="0" fontId="36" fillId="4" borderId="0" xfId="0" applyFont="1" applyFill="1" applyAlignment="1">
      <alignment horizontal="left" vertical="center"/>
    </xf>
    <xf numFmtId="0" fontId="53" fillId="0" borderId="5" xfId="0" applyFont="1" applyBorder="1"/>
    <xf numFmtId="0" fontId="37" fillId="0" borderId="0" xfId="9" applyFont="1" applyAlignment="1">
      <alignment horizontal="left" vertical="center"/>
    </xf>
    <xf numFmtId="0" fontId="36" fillId="0" borderId="0" xfId="9" applyFont="1" applyAlignment="1">
      <alignment horizontal="left" vertical="center" wrapText="1"/>
    </xf>
    <xf numFmtId="3" fontId="51" fillId="0" borderId="13" xfId="9" applyNumberFormat="1" applyFont="1" applyBorder="1" applyAlignment="1">
      <alignment vertical="center"/>
    </xf>
    <xf numFmtId="164" fontId="36" fillId="0" borderId="0" xfId="1" applyNumberFormat="1" applyFont="1" applyBorder="1" applyAlignment="1">
      <alignment horizontal="right" vertical="center"/>
    </xf>
    <xf numFmtId="3" fontId="51" fillId="0" borderId="7" xfId="9" applyNumberFormat="1" applyFont="1" applyBorder="1" applyAlignment="1">
      <alignment vertical="center"/>
    </xf>
    <xf numFmtId="165" fontId="37" fillId="0" borderId="7" xfId="1" applyFont="1" applyBorder="1" applyAlignment="1">
      <alignment vertical="center"/>
    </xf>
    <xf numFmtId="4" fontId="56" fillId="2" borderId="5" xfId="0" applyNumberFormat="1" applyFont="1" applyFill="1" applyBorder="1" applyAlignment="1">
      <alignment vertical="center"/>
    </xf>
    <xf numFmtId="4" fontId="56" fillId="2" borderId="0" xfId="0" applyNumberFormat="1" applyFont="1" applyFill="1" applyAlignment="1">
      <alignment vertical="center"/>
    </xf>
    <xf numFmtId="4" fontId="56" fillId="2" borderId="7" xfId="0" applyNumberFormat="1" applyFont="1" applyFill="1" applyBorder="1" applyAlignment="1">
      <alignment vertical="center"/>
    </xf>
    <xf numFmtId="0" fontId="42" fillId="0" borderId="5" xfId="0" applyFont="1" applyBorder="1" applyAlignment="1">
      <alignment vertical="center"/>
    </xf>
    <xf numFmtId="0" fontId="42" fillId="0" borderId="7" xfId="0" applyFont="1" applyBorder="1" applyAlignment="1">
      <alignment vertical="center"/>
    </xf>
    <xf numFmtId="0" fontId="42" fillId="0" borderId="13" xfId="0" applyFont="1" applyBorder="1" applyAlignment="1">
      <alignment horizontal="center" vertical="center"/>
    </xf>
    <xf numFmtId="0" fontId="57" fillId="0" borderId="13" xfId="0" applyFont="1" applyBorder="1" applyAlignment="1">
      <alignment horizontal="center" vertical="center"/>
    </xf>
    <xf numFmtId="3" fontId="53" fillId="0" borderId="13" xfId="9" applyNumberFormat="1" applyFont="1" applyBorder="1" applyAlignment="1">
      <alignment shrinkToFit="1"/>
    </xf>
    <xf numFmtId="164" fontId="53" fillId="0" borderId="0" xfId="1" applyNumberFormat="1" applyFont="1" applyBorder="1" applyAlignment="1">
      <alignment horizontal="right" vertical="center" shrinkToFit="1"/>
    </xf>
    <xf numFmtId="165" fontId="53" fillId="0" borderId="0" xfId="1" applyFont="1" applyBorder="1" applyAlignment="1">
      <alignment horizontal="right" vertical="center" shrinkToFit="1"/>
    </xf>
    <xf numFmtId="165" fontId="53" fillId="0" borderId="7" xfId="1" applyFont="1" applyFill="1" applyBorder="1" applyAlignment="1">
      <alignment vertical="center" shrinkToFit="1"/>
    </xf>
    <xf numFmtId="43" fontId="53" fillId="0" borderId="0" xfId="0" applyNumberFormat="1" applyFont="1" applyAlignment="1">
      <alignment vertical="center" shrinkToFit="1"/>
    </xf>
    <xf numFmtId="165" fontId="53" fillId="0" borderId="7" xfId="1" applyFont="1" applyBorder="1" applyAlignment="1">
      <alignment vertical="center" shrinkToFit="1"/>
    </xf>
    <xf numFmtId="166" fontId="48" fillId="2" borderId="5" xfId="8" applyNumberFormat="1" applyFont="1" applyFill="1" applyBorder="1" applyAlignment="1">
      <alignment vertical="center" shrinkToFit="1"/>
    </xf>
    <xf numFmtId="166" fontId="48" fillId="2" borderId="0" xfId="8" applyNumberFormat="1" applyFont="1" applyFill="1" applyBorder="1" applyAlignment="1">
      <alignment vertical="center" shrinkToFit="1"/>
    </xf>
    <xf numFmtId="166" fontId="48" fillId="2" borderId="7" xfId="8" applyNumberFormat="1" applyFont="1" applyFill="1" applyBorder="1" applyAlignment="1">
      <alignment vertical="center" shrinkToFit="1"/>
    </xf>
    <xf numFmtId="43" fontId="138" fillId="0" borderId="5" xfId="0" applyNumberFormat="1" applyFont="1" applyBorder="1" applyAlignment="1">
      <alignment vertical="center" shrinkToFit="1"/>
    </xf>
    <xf numFmtId="43" fontId="138" fillId="0" borderId="0" xfId="0" applyNumberFormat="1" applyFont="1" applyAlignment="1">
      <alignment vertical="center" shrinkToFit="1"/>
    </xf>
    <xf numFmtId="43" fontId="138" fillId="0" borderId="7" xfId="0" applyNumberFormat="1" applyFont="1" applyBorder="1" applyAlignment="1">
      <alignment vertical="center" shrinkToFit="1"/>
    </xf>
    <xf numFmtId="165" fontId="138" fillId="0" borderId="0" xfId="1" applyFont="1" applyBorder="1" applyAlignment="1">
      <alignment vertical="center" shrinkToFit="1"/>
    </xf>
    <xf numFmtId="43" fontId="42" fillId="0" borderId="7" xfId="0" applyNumberFormat="1" applyFont="1" applyBorder="1" applyAlignment="1">
      <alignment vertical="center" shrinkToFit="1"/>
    </xf>
    <xf numFmtId="165" fontId="36" fillId="0" borderId="5" xfId="1" applyFont="1" applyBorder="1" applyAlignment="1">
      <alignment vertical="center" shrinkToFit="1"/>
    </xf>
    <xf numFmtId="43" fontId="36" fillId="0" borderId="0" xfId="0" applyNumberFormat="1" applyFont="1" applyAlignment="1">
      <alignment vertical="center" shrinkToFit="1"/>
    </xf>
    <xf numFmtId="43" fontId="36" fillId="0" borderId="7" xfId="0" applyNumberFormat="1" applyFont="1" applyBorder="1" applyAlignment="1">
      <alignment vertical="center" shrinkToFit="1"/>
    </xf>
    <xf numFmtId="174" fontId="36" fillId="0" borderId="13" xfId="0" applyNumberFormat="1" applyFont="1" applyBorder="1" applyAlignment="1">
      <alignment vertical="center"/>
    </xf>
    <xf numFmtId="165" fontId="51" fillId="0" borderId="7" xfId="1" applyFont="1" applyFill="1" applyBorder="1" applyAlignment="1">
      <alignment vertical="center" shrinkToFit="1"/>
    </xf>
    <xf numFmtId="165" fontId="36" fillId="0" borderId="7" xfId="1" applyFont="1" applyBorder="1" applyAlignment="1">
      <alignment vertical="center" shrinkToFit="1"/>
    </xf>
    <xf numFmtId="165" fontId="36" fillId="0" borderId="0" xfId="1" applyFont="1" applyBorder="1" applyAlignment="1">
      <alignment vertical="center" shrinkToFit="1"/>
    </xf>
    <xf numFmtId="0" fontId="41" fillId="14" borderId="5" xfId="0" applyFont="1" applyFill="1" applyBorder="1" applyAlignment="1">
      <alignment horizontal="center" vertical="center"/>
    </xf>
    <xf numFmtId="0" fontId="42" fillId="14" borderId="5" xfId="0" applyFont="1" applyFill="1" applyBorder="1" applyAlignment="1">
      <alignment horizontal="center" vertical="center"/>
    </xf>
    <xf numFmtId="0" fontId="52" fillId="14" borderId="5" xfId="0" applyFont="1" applyFill="1" applyBorder="1" applyAlignment="1">
      <alignment vertical="center"/>
    </xf>
    <xf numFmtId="0" fontId="52" fillId="14" borderId="0" xfId="0" applyFont="1" applyFill="1" applyAlignment="1">
      <alignment vertical="center"/>
    </xf>
    <xf numFmtId="0" fontId="52" fillId="14" borderId="0" xfId="0" applyFont="1" applyFill="1"/>
    <xf numFmtId="0" fontId="139" fillId="14" borderId="0" xfId="0" applyFont="1" applyFill="1" applyAlignment="1">
      <alignment vertical="center"/>
    </xf>
    <xf numFmtId="0" fontId="52" fillId="14" borderId="13" xfId="0" applyFont="1" applyFill="1" applyBorder="1" applyAlignment="1">
      <alignment vertical="center"/>
    </xf>
    <xf numFmtId="3" fontId="52" fillId="14" borderId="13" xfId="9" applyNumberFormat="1" applyFont="1" applyFill="1" applyBorder="1"/>
    <xf numFmtId="174" fontId="36" fillId="14" borderId="13" xfId="0" applyNumberFormat="1" applyFont="1" applyFill="1" applyBorder="1"/>
    <xf numFmtId="164" fontId="52" fillId="14" borderId="0" xfId="1" applyNumberFormat="1" applyFont="1" applyFill="1" applyBorder="1" applyAlignment="1">
      <alignment horizontal="right" vertical="center"/>
    </xf>
    <xf numFmtId="171" fontId="52" fillId="14" borderId="0" xfId="1" applyNumberFormat="1" applyFont="1" applyFill="1" applyBorder="1" applyAlignment="1">
      <alignment horizontal="right" vertical="center"/>
    </xf>
    <xf numFmtId="165" fontId="52" fillId="14" borderId="0" xfId="1" applyFont="1" applyFill="1" applyBorder="1" applyAlignment="1">
      <alignment horizontal="right" vertical="center"/>
    </xf>
    <xf numFmtId="165" fontId="52" fillId="14" borderId="7" xfId="1" applyFont="1" applyFill="1" applyBorder="1" applyAlignment="1">
      <alignment vertical="center"/>
    </xf>
    <xf numFmtId="43" fontId="52" fillId="14" borderId="0" xfId="0" applyNumberFormat="1" applyFont="1" applyFill="1" applyAlignment="1">
      <alignment vertical="center" shrinkToFit="1"/>
    </xf>
    <xf numFmtId="165" fontId="52" fillId="14" borderId="7" xfId="1" applyFont="1" applyFill="1" applyBorder="1" applyAlignment="1">
      <alignment vertical="center" shrinkToFit="1"/>
    </xf>
    <xf numFmtId="43" fontId="52" fillId="14" borderId="5" xfId="0" applyNumberFormat="1" applyFont="1" applyFill="1" applyBorder="1" applyAlignment="1">
      <alignment vertical="center" shrinkToFit="1"/>
    </xf>
    <xf numFmtId="43" fontId="52" fillId="14" borderId="7" xfId="0" applyNumberFormat="1" applyFont="1" applyFill="1" applyBorder="1" applyAlignment="1">
      <alignment vertical="center" shrinkToFit="1"/>
    </xf>
    <xf numFmtId="0" fontId="52" fillId="14" borderId="7" xfId="0" applyFont="1" applyFill="1" applyBorder="1" applyAlignment="1">
      <alignment vertical="center" shrinkToFit="1"/>
    </xf>
    <xf numFmtId="0" fontId="52" fillId="14" borderId="5" xfId="0" applyFont="1" applyFill="1" applyBorder="1" applyAlignment="1">
      <alignment vertical="center" shrinkToFit="1"/>
    </xf>
    <xf numFmtId="0" fontId="52" fillId="14" borderId="0" xfId="0" applyFont="1" applyFill="1" applyAlignment="1">
      <alignment vertical="center" shrinkToFit="1"/>
    </xf>
    <xf numFmtId="165" fontId="52" fillId="14" borderId="5" xfId="1" applyFont="1" applyFill="1" applyBorder="1" applyAlignment="1">
      <alignment vertical="center" shrinkToFit="1"/>
    </xf>
    <xf numFmtId="165" fontId="52" fillId="14" borderId="0" xfId="1" applyFont="1" applyFill="1" applyBorder="1" applyAlignment="1">
      <alignment vertical="center" shrinkToFit="1"/>
    </xf>
    <xf numFmtId="165" fontId="53" fillId="0" borderId="13" xfId="1" applyFont="1" applyBorder="1" applyAlignment="1">
      <alignment vertical="center"/>
    </xf>
    <xf numFmtId="3" fontId="53" fillId="0" borderId="13" xfId="0" applyNumberFormat="1" applyFont="1" applyBorder="1"/>
    <xf numFmtId="174" fontId="36" fillId="0" borderId="13" xfId="0" applyNumberFormat="1" applyFont="1" applyBorder="1"/>
    <xf numFmtId="164" fontId="53" fillId="0" borderId="5" xfId="1" applyNumberFormat="1" applyFont="1" applyBorder="1" applyAlignment="1">
      <alignment horizontal="right" vertical="center"/>
    </xf>
    <xf numFmtId="164" fontId="53" fillId="0" borderId="0" xfId="1" applyNumberFormat="1" applyFont="1" applyBorder="1" applyAlignment="1">
      <alignment horizontal="right" vertical="center"/>
    </xf>
    <xf numFmtId="165" fontId="53" fillId="0" borderId="0" xfId="1" applyFont="1" applyBorder="1" applyAlignment="1">
      <alignment horizontal="right" vertical="center"/>
    </xf>
    <xf numFmtId="165" fontId="36" fillId="0" borderId="7" xfId="1" applyFont="1" applyFill="1" applyBorder="1" applyAlignment="1">
      <alignment vertical="center"/>
    </xf>
    <xf numFmtId="165" fontId="37" fillId="0" borderId="7" xfId="1" applyFont="1" applyBorder="1" applyAlignment="1">
      <alignment vertical="center" shrinkToFit="1"/>
    </xf>
    <xf numFmtId="164" fontId="52" fillId="14" borderId="5" xfId="1" applyNumberFormat="1" applyFont="1" applyFill="1" applyBorder="1" applyAlignment="1">
      <alignment horizontal="right" vertical="center"/>
    </xf>
    <xf numFmtId="3" fontId="53" fillId="0" borderId="13" xfId="9" applyNumberFormat="1" applyFont="1" applyBorder="1"/>
    <xf numFmtId="165" fontId="140" fillId="0" borderId="0" xfId="1" applyFont="1" applyBorder="1" applyAlignment="1">
      <alignment horizontal="right" vertical="center"/>
    </xf>
    <xf numFmtId="165" fontId="140" fillId="0" borderId="7" xfId="1" applyFont="1" applyFill="1" applyBorder="1" applyAlignment="1">
      <alignment vertical="center"/>
    </xf>
    <xf numFmtId="43" fontId="53" fillId="0" borderId="0" xfId="0" applyNumberFormat="1" applyFont="1" applyAlignment="1">
      <alignment vertical="center" wrapText="1"/>
    </xf>
    <xf numFmtId="165" fontId="53" fillId="0" borderId="7" xfId="1" applyFont="1" applyBorder="1" applyAlignment="1">
      <alignment vertical="center"/>
    </xf>
    <xf numFmtId="43" fontId="138" fillId="0" borderId="5" xfId="0" applyNumberFormat="1" applyFont="1" applyBorder="1" applyAlignment="1">
      <alignment vertical="center"/>
    </xf>
    <xf numFmtId="43" fontId="138" fillId="0" borderId="0" xfId="0" applyNumberFormat="1" applyFont="1" applyAlignment="1">
      <alignment vertical="center"/>
    </xf>
    <xf numFmtId="43" fontId="138" fillId="0" borderId="7" xfId="0" applyNumberFormat="1" applyFont="1" applyBorder="1" applyAlignment="1">
      <alignment vertical="center"/>
    </xf>
    <xf numFmtId="165" fontId="138" fillId="0" borderId="0" xfId="1" applyFont="1" applyBorder="1" applyAlignment="1">
      <alignment vertical="center"/>
    </xf>
    <xf numFmtId="165" fontId="36" fillId="0" borderId="5" xfId="1" applyFont="1" applyBorder="1" applyAlignment="1">
      <alignment vertical="center"/>
    </xf>
    <xf numFmtId="43" fontId="36" fillId="0" borderId="7" xfId="0" applyNumberFormat="1" applyFont="1" applyBorder="1" applyAlignment="1">
      <alignment vertical="center"/>
    </xf>
    <xf numFmtId="0" fontId="52" fillId="14" borderId="13" xfId="0" applyFont="1" applyFill="1" applyBorder="1" applyAlignment="1">
      <alignment vertical="center" shrinkToFit="1"/>
    </xf>
    <xf numFmtId="3" fontId="52" fillId="14" borderId="13" xfId="9" applyNumberFormat="1" applyFont="1" applyFill="1" applyBorder="1" applyAlignment="1">
      <alignment shrinkToFit="1"/>
    </xf>
    <xf numFmtId="164" fontId="52" fillId="14" borderId="0" xfId="1" applyNumberFormat="1" applyFont="1" applyFill="1" applyBorder="1" applyAlignment="1">
      <alignment horizontal="right" vertical="center" shrinkToFit="1"/>
    </xf>
    <xf numFmtId="171" fontId="52" fillId="14" borderId="0" xfId="1" applyNumberFormat="1" applyFont="1" applyFill="1" applyBorder="1" applyAlignment="1">
      <alignment horizontal="right" vertical="center" shrinkToFit="1"/>
    </xf>
    <xf numFmtId="165" fontId="52" fillId="14" borderId="0" xfId="1" applyFont="1" applyFill="1" applyBorder="1" applyAlignment="1">
      <alignment horizontal="right" vertical="center" shrinkToFit="1"/>
    </xf>
    <xf numFmtId="165" fontId="52" fillId="0" borderId="13" xfId="1" applyFont="1" applyBorder="1" applyAlignment="1">
      <alignment vertical="center"/>
    </xf>
    <xf numFmtId="3" fontId="52" fillId="0" borderId="13" xfId="9" applyNumberFormat="1" applyFont="1" applyBorder="1"/>
    <xf numFmtId="164" fontId="52" fillId="0" borderId="5" xfId="1" applyNumberFormat="1" applyFont="1" applyFill="1" applyBorder="1" applyAlignment="1">
      <alignment horizontal="right" vertical="center"/>
    </xf>
    <xf numFmtId="164" fontId="52" fillId="0" borderId="0" xfId="1" applyNumberFormat="1" applyFont="1" applyFill="1" applyBorder="1" applyAlignment="1">
      <alignment horizontal="right" vertical="center"/>
    </xf>
    <xf numFmtId="171" fontId="52" fillId="0" borderId="0" xfId="1" applyNumberFormat="1" applyFont="1" applyFill="1" applyBorder="1" applyAlignment="1">
      <alignment horizontal="right" vertical="center"/>
    </xf>
    <xf numFmtId="165" fontId="52" fillId="0" borderId="0" xfId="1" applyFont="1" applyFill="1" applyBorder="1" applyAlignment="1">
      <alignment horizontal="right" vertical="center"/>
    </xf>
    <xf numFmtId="165" fontId="52" fillId="0" borderId="7" xfId="1" applyFont="1" applyFill="1" applyBorder="1" applyAlignment="1">
      <alignment vertical="center"/>
    </xf>
    <xf numFmtId="43" fontId="52" fillId="0" borderId="0" xfId="0" applyNumberFormat="1" applyFont="1" applyAlignment="1">
      <alignment vertical="center" wrapText="1"/>
    </xf>
    <xf numFmtId="43" fontId="52" fillId="0" borderId="0" xfId="0" applyNumberFormat="1" applyFont="1" applyAlignment="1">
      <alignment vertical="center" shrinkToFit="1"/>
    </xf>
    <xf numFmtId="165" fontId="52" fillId="0" borderId="7" xfId="1" applyFont="1" applyFill="1" applyBorder="1" applyAlignment="1">
      <alignment vertical="center" shrinkToFit="1"/>
    </xf>
    <xf numFmtId="43" fontId="52" fillId="0" borderId="5" xfId="0" applyNumberFormat="1" applyFont="1" applyBorder="1" applyAlignment="1">
      <alignment vertical="center" shrinkToFit="1"/>
    </xf>
    <xf numFmtId="43" fontId="52" fillId="0" borderId="7" xfId="0" applyNumberFormat="1" applyFont="1" applyBorder="1" applyAlignment="1">
      <alignment vertical="center" shrinkToFit="1"/>
    </xf>
    <xf numFmtId="0" fontId="52" fillId="0" borderId="7" xfId="0" applyFont="1" applyBorder="1" applyAlignment="1">
      <alignment vertical="center" shrinkToFit="1"/>
    </xf>
    <xf numFmtId="0" fontId="52" fillId="0" borderId="5" xfId="0" applyFont="1" applyBorder="1" applyAlignment="1">
      <alignment vertical="center" shrinkToFit="1"/>
    </xf>
    <xf numFmtId="0" fontId="52" fillId="0" borderId="0" xfId="0" applyFont="1" applyAlignment="1">
      <alignment vertical="center" shrinkToFit="1"/>
    </xf>
    <xf numFmtId="165" fontId="52" fillId="0" borderId="5" xfId="1" applyFont="1" applyFill="1" applyBorder="1" applyAlignment="1">
      <alignment vertical="center" shrinkToFit="1"/>
    </xf>
    <xf numFmtId="165" fontId="52" fillId="0" borderId="0" xfId="1" applyFont="1" applyFill="1" applyBorder="1" applyAlignment="1">
      <alignment vertical="center" shrinkToFit="1"/>
    </xf>
    <xf numFmtId="164" fontId="36" fillId="0" borderId="5" xfId="1" applyNumberFormat="1" applyFont="1" applyBorder="1" applyAlignment="1">
      <alignment horizontal="right" vertical="center"/>
    </xf>
    <xf numFmtId="165" fontId="52" fillId="0" borderId="13" xfId="1" applyFont="1" applyBorder="1" applyAlignment="1">
      <alignment vertical="center" shrinkToFit="1"/>
    </xf>
    <xf numFmtId="0" fontId="33" fillId="0" borderId="0" xfId="0" applyFont="1" applyAlignment="1">
      <alignment vertical="center"/>
    </xf>
    <xf numFmtId="0" fontId="53" fillId="0" borderId="13" xfId="0" applyFont="1" applyBorder="1" applyAlignment="1">
      <alignment vertical="center"/>
    </xf>
    <xf numFmtId="164" fontId="53" fillId="0" borderId="5" xfId="1" applyNumberFormat="1" applyFont="1" applyFill="1" applyBorder="1" applyAlignment="1">
      <alignment horizontal="right" vertical="center"/>
    </xf>
    <xf numFmtId="164" fontId="53" fillId="0" borderId="0" xfId="1" applyNumberFormat="1" applyFont="1" applyFill="1" applyBorder="1" applyAlignment="1">
      <alignment horizontal="right" vertical="center"/>
    </xf>
    <xf numFmtId="171" fontId="53" fillId="0" borderId="0" xfId="1" applyNumberFormat="1" applyFont="1" applyFill="1" applyBorder="1" applyAlignment="1">
      <alignment horizontal="right" vertical="center"/>
    </xf>
    <xf numFmtId="165" fontId="53" fillId="0" borderId="0" xfId="1" applyFont="1" applyFill="1" applyBorder="1" applyAlignment="1">
      <alignment horizontal="right" vertical="center"/>
    </xf>
    <xf numFmtId="0" fontId="41" fillId="12" borderId="5" xfId="0" applyFont="1" applyFill="1" applyBorder="1" applyAlignment="1">
      <alignment horizontal="center" vertical="center"/>
    </xf>
    <xf numFmtId="0" fontId="42" fillId="12" borderId="5" xfId="0" applyFont="1" applyFill="1" applyBorder="1" applyAlignment="1">
      <alignment horizontal="center" vertical="center"/>
    </xf>
    <xf numFmtId="0" fontId="53" fillId="12" borderId="5" xfId="0" applyFont="1" applyFill="1" applyBorder="1" applyAlignment="1">
      <alignment vertical="center"/>
    </xf>
    <xf numFmtId="0" fontId="57" fillId="12" borderId="0" xfId="0" applyFont="1" applyFill="1" applyAlignment="1">
      <alignment vertical="center"/>
    </xf>
    <xf numFmtId="0" fontId="37" fillId="12" borderId="0" xfId="9" applyFont="1" applyFill="1" applyAlignment="1">
      <alignment horizontal="left" vertical="center"/>
    </xf>
    <xf numFmtId="0" fontId="53" fillId="12" borderId="0" xfId="9" applyFont="1" applyFill="1" applyAlignment="1">
      <alignment horizontal="left" vertical="center" wrapText="1"/>
    </xf>
    <xf numFmtId="0" fontId="51" fillId="12" borderId="13" xfId="9" applyFont="1" applyFill="1" applyBorder="1" applyAlignment="1">
      <alignment horizontal="center" vertical="center"/>
    </xf>
    <xf numFmtId="3" fontId="51" fillId="12" borderId="13" xfId="9" applyNumberFormat="1" applyFont="1" applyFill="1" applyBorder="1" applyAlignment="1">
      <alignment vertical="center"/>
    </xf>
    <xf numFmtId="3" fontId="51" fillId="12" borderId="5" xfId="9" applyNumberFormat="1" applyFont="1" applyFill="1" applyBorder="1" applyAlignment="1">
      <alignment vertical="center"/>
    </xf>
    <xf numFmtId="164" fontId="36" fillId="12" borderId="5" xfId="1" applyNumberFormat="1" applyFont="1" applyFill="1" applyBorder="1" applyAlignment="1">
      <alignment horizontal="right" vertical="center"/>
    </xf>
    <xf numFmtId="164" fontId="36" fillId="12" borderId="0" xfId="1" applyNumberFormat="1" applyFont="1" applyFill="1" applyBorder="1" applyAlignment="1">
      <alignment horizontal="right" vertical="center"/>
    </xf>
    <xf numFmtId="3" fontId="51" fillId="12" borderId="7" xfId="9" applyNumberFormat="1" applyFont="1" applyFill="1" applyBorder="1" applyAlignment="1">
      <alignment vertical="center"/>
    </xf>
    <xf numFmtId="43" fontId="36" fillId="12" borderId="0" xfId="0" applyNumberFormat="1" applyFont="1" applyFill="1" applyAlignment="1">
      <alignment vertical="center" wrapText="1"/>
    </xf>
    <xf numFmtId="43" fontId="36" fillId="12" borderId="7" xfId="0" applyNumberFormat="1" applyFont="1" applyFill="1" applyBorder="1" applyAlignment="1">
      <alignment vertical="center" wrapText="1"/>
    </xf>
    <xf numFmtId="166" fontId="48" fillId="12" borderId="5" xfId="8" applyNumberFormat="1" applyFont="1" applyFill="1" applyBorder="1" applyAlignment="1">
      <alignment vertical="center"/>
    </xf>
    <xf numFmtId="166" fontId="48" fillId="12" borderId="0" xfId="8" applyNumberFormat="1" applyFont="1" applyFill="1" applyBorder="1" applyAlignment="1">
      <alignment vertical="center"/>
    </xf>
    <xf numFmtId="166" fontId="48" fillId="12" borderId="7" xfId="8" applyNumberFormat="1" applyFont="1" applyFill="1" applyBorder="1" applyAlignment="1">
      <alignment vertical="center"/>
    </xf>
    <xf numFmtId="43" fontId="36" fillId="12" borderId="5" xfId="0" applyNumberFormat="1" applyFont="1" applyFill="1" applyBorder="1" applyAlignment="1">
      <alignment vertical="center" wrapText="1"/>
    </xf>
    <xf numFmtId="0" fontId="42" fillId="12" borderId="0" xfId="0" applyFont="1" applyFill="1" applyAlignment="1">
      <alignment vertical="center"/>
    </xf>
    <xf numFmtId="43" fontId="42" fillId="12" borderId="7" xfId="0" applyNumberFormat="1" applyFont="1" applyFill="1" applyBorder="1" applyAlignment="1">
      <alignment vertical="center"/>
    </xf>
    <xf numFmtId="0" fontId="42" fillId="12" borderId="5" xfId="0" applyFont="1" applyFill="1" applyBorder="1" applyAlignment="1">
      <alignment vertical="center"/>
    </xf>
    <xf numFmtId="0" fontId="42" fillId="12" borderId="7" xfId="0" applyFont="1" applyFill="1" applyBorder="1" applyAlignment="1">
      <alignment vertical="center"/>
    </xf>
    <xf numFmtId="0" fontId="36" fillId="12" borderId="5" xfId="0" applyFont="1" applyFill="1" applyBorder="1" applyAlignment="1">
      <alignment vertical="center"/>
    </xf>
    <xf numFmtId="3" fontId="51" fillId="0" borderId="5" xfId="9" applyNumberFormat="1" applyFont="1" applyBorder="1" applyAlignment="1">
      <alignment vertical="center"/>
    </xf>
    <xf numFmtId="166" fontId="48" fillId="2" borderId="5" xfId="8" applyNumberFormat="1" applyFont="1" applyFill="1" applyBorder="1" applyAlignment="1">
      <alignment vertical="center"/>
    </xf>
    <xf numFmtId="166" fontId="48" fillId="2" borderId="0" xfId="8" applyNumberFormat="1" applyFont="1" applyFill="1" applyBorder="1" applyAlignment="1">
      <alignment vertical="center"/>
    </xf>
    <xf numFmtId="166" fontId="48" fillId="2" borderId="7" xfId="8" applyNumberFormat="1" applyFont="1" applyFill="1" applyBorder="1" applyAlignment="1">
      <alignment vertical="center"/>
    </xf>
    <xf numFmtId="43" fontId="42" fillId="0" borderId="7" xfId="0" applyNumberFormat="1" applyFont="1" applyBorder="1" applyAlignment="1">
      <alignment vertical="center"/>
    </xf>
    <xf numFmtId="0" fontId="36" fillId="0" borderId="0" xfId="9" applyFont="1" applyAlignment="1">
      <alignment horizontal="left" vertical="center"/>
    </xf>
    <xf numFmtId="165" fontId="51" fillId="0" borderId="13" xfId="1" applyFont="1" applyFill="1" applyBorder="1" applyAlignment="1">
      <alignment vertical="center"/>
    </xf>
    <xf numFmtId="165" fontId="51" fillId="0" borderId="7" xfId="1" applyFont="1" applyFill="1" applyBorder="1" applyAlignment="1">
      <alignment vertical="center"/>
    </xf>
    <xf numFmtId="165" fontId="36" fillId="0" borderId="0" xfId="1" applyFont="1" applyBorder="1" applyAlignment="1">
      <alignment vertical="center" wrapText="1"/>
    </xf>
    <xf numFmtId="165" fontId="36" fillId="0" borderId="7" xfId="1" applyFont="1" applyBorder="1" applyAlignment="1">
      <alignment vertical="center"/>
    </xf>
    <xf numFmtId="166" fontId="48" fillId="0" borderId="7" xfId="8" applyNumberFormat="1" applyFont="1" applyFill="1" applyBorder="1" applyAlignment="1">
      <alignment vertical="center"/>
    </xf>
    <xf numFmtId="165" fontId="36" fillId="0" borderId="0" xfId="1" applyFont="1" applyBorder="1" applyAlignment="1">
      <alignment vertical="center"/>
    </xf>
    <xf numFmtId="0" fontId="41" fillId="0" borderId="0" xfId="0" applyFont="1" applyAlignment="1">
      <alignment horizontal="center" vertical="center"/>
    </xf>
    <xf numFmtId="0" fontId="42" fillId="0" borderId="0" xfId="9" applyFont="1" applyAlignment="1">
      <alignment horizontal="left" vertical="center" wrapText="1"/>
    </xf>
    <xf numFmtId="3" fontId="52" fillId="14" borderId="5" xfId="9" applyNumberFormat="1" applyFont="1" applyFill="1" applyBorder="1"/>
    <xf numFmtId="43" fontId="52" fillId="14" borderId="0" xfId="0" applyNumberFormat="1" applyFont="1" applyFill="1" applyAlignment="1">
      <alignment vertical="center" wrapText="1"/>
    </xf>
    <xf numFmtId="166" fontId="48" fillId="14" borderId="5" xfId="8" applyNumberFormat="1" applyFont="1" applyFill="1" applyBorder="1" applyAlignment="1">
      <alignment vertical="center"/>
    </xf>
    <xf numFmtId="166" fontId="48" fillId="14" borderId="0" xfId="8" applyNumberFormat="1" applyFont="1" applyFill="1" applyBorder="1" applyAlignment="1">
      <alignment vertical="center"/>
    </xf>
    <xf numFmtId="166" fontId="48" fillId="14" borderId="7" xfId="8" applyNumberFormat="1" applyFont="1" applyFill="1" applyBorder="1" applyAlignment="1">
      <alignment vertical="center"/>
    </xf>
    <xf numFmtId="43" fontId="52" fillId="14" borderId="5" xfId="0" applyNumberFormat="1" applyFont="1" applyFill="1" applyBorder="1" applyAlignment="1">
      <alignment vertical="center"/>
    </xf>
    <xf numFmtId="43" fontId="52" fillId="14" borderId="0" xfId="0" applyNumberFormat="1" applyFont="1" applyFill="1" applyAlignment="1">
      <alignment vertical="center"/>
    </xf>
    <xf numFmtId="43" fontId="52" fillId="14" borderId="7" xfId="0" applyNumberFormat="1" applyFont="1" applyFill="1" applyBorder="1" applyAlignment="1">
      <alignment vertical="center"/>
    </xf>
    <xf numFmtId="165" fontId="52" fillId="14" borderId="0" xfId="1" applyFont="1" applyFill="1" applyBorder="1" applyAlignment="1">
      <alignment vertical="center"/>
    </xf>
    <xf numFmtId="0" fontId="52" fillId="14" borderId="7" xfId="0" applyFont="1" applyFill="1" applyBorder="1" applyAlignment="1">
      <alignment vertical="center"/>
    </xf>
    <xf numFmtId="165" fontId="52" fillId="14" borderId="5" xfId="1" applyFont="1" applyFill="1" applyBorder="1" applyAlignment="1">
      <alignment vertical="center"/>
    </xf>
    <xf numFmtId="0" fontId="36" fillId="0" borderId="0" xfId="5" applyFont="1" applyAlignment="1">
      <alignment horizontal="left" vertical="center"/>
    </xf>
    <xf numFmtId="43" fontId="42" fillId="0" borderId="5" xfId="0" applyNumberFormat="1" applyFont="1" applyBorder="1" applyAlignment="1">
      <alignment vertical="center"/>
    </xf>
    <xf numFmtId="43" fontId="42" fillId="0" borderId="0" xfId="0" applyNumberFormat="1" applyFont="1" applyAlignment="1">
      <alignment vertical="center"/>
    </xf>
    <xf numFmtId="0" fontId="36" fillId="4" borderId="13" xfId="0" applyFont="1" applyFill="1" applyBorder="1" applyAlignment="1">
      <alignment horizontal="center" vertical="center"/>
    </xf>
    <xf numFmtId="0" fontId="41" fillId="4" borderId="0" xfId="0" applyFont="1" applyFill="1" applyAlignment="1">
      <alignment horizontal="center" vertical="center"/>
    </xf>
    <xf numFmtId="0" fontId="42" fillId="4" borderId="5" xfId="0" applyFont="1" applyFill="1" applyBorder="1" applyAlignment="1">
      <alignment vertical="center"/>
    </xf>
    <xf numFmtId="0" fontId="36" fillId="4" borderId="0" xfId="5" applyFont="1" applyFill="1" applyAlignment="1">
      <alignment horizontal="left" vertical="center"/>
    </xf>
    <xf numFmtId="0" fontId="57" fillId="4" borderId="0" xfId="0" applyFont="1" applyFill="1" applyAlignment="1">
      <alignment vertical="center"/>
    </xf>
    <xf numFmtId="0" fontId="51" fillId="4" borderId="13" xfId="9" applyFont="1" applyFill="1" applyBorder="1" applyAlignment="1">
      <alignment horizontal="center" vertical="center"/>
    </xf>
    <xf numFmtId="174" fontId="36" fillId="4" borderId="13" xfId="0" applyNumberFormat="1" applyFont="1" applyFill="1" applyBorder="1"/>
    <xf numFmtId="164" fontId="36" fillId="0" borderId="5" xfId="1" applyNumberFormat="1" applyFont="1" applyFill="1" applyBorder="1" applyAlignment="1">
      <alignment horizontal="right" vertical="center"/>
    </xf>
    <xf numFmtId="164" fontId="36" fillId="0" borderId="0" xfId="1" applyNumberFormat="1" applyFont="1" applyFill="1" applyBorder="1" applyAlignment="1">
      <alignment horizontal="right" vertical="center"/>
    </xf>
    <xf numFmtId="165" fontId="51" fillId="4" borderId="7" xfId="1" applyFont="1" applyFill="1" applyBorder="1" applyAlignment="1">
      <alignment vertical="center"/>
    </xf>
    <xf numFmtId="43" fontId="36" fillId="4" borderId="0" xfId="0" applyNumberFormat="1" applyFont="1" applyFill="1" applyAlignment="1">
      <alignment vertical="center" wrapText="1"/>
    </xf>
    <xf numFmtId="165" fontId="36" fillId="4" borderId="7" xfId="1" applyFont="1" applyFill="1" applyBorder="1" applyAlignment="1">
      <alignment vertical="center"/>
    </xf>
    <xf numFmtId="166" fontId="48" fillId="4" borderId="0" xfId="8" applyNumberFormat="1" applyFont="1" applyFill="1" applyAlignment="1">
      <alignment vertical="center"/>
    </xf>
    <xf numFmtId="166" fontId="48" fillId="4" borderId="7" xfId="8" applyNumberFormat="1" applyFont="1" applyFill="1" applyBorder="1" applyAlignment="1">
      <alignment vertical="center"/>
    </xf>
    <xf numFmtId="43" fontId="138" fillId="4" borderId="5" xfId="0" applyNumberFormat="1" applyFont="1" applyFill="1" applyBorder="1" applyAlignment="1">
      <alignment vertical="center"/>
    </xf>
    <xf numFmtId="43" fontId="138" fillId="4" borderId="0" xfId="0" applyNumberFormat="1" applyFont="1" applyFill="1" applyAlignment="1">
      <alignment vertical="center"/>
    </xf>
    <xf numFmtId="43" fontId="138" fillId="4" borderId="7" xfId="0" applyNumberFormat="1" applyFont="1" applyFill="1" applyBorder="1" applyAlignment="1">
      <alignment vertical="center"/>
    </xf>
    <xf numFmtId="165" fontId="138" fillId="4" borderId="0" xfId="1" applyFont="1" applyFill="1" applyBorder="1" applyAlignment="1">
      <alignment vertical="center"/>
    </xf>
    <xf numFmtId="43" fontId="42" fillId="4" borderId="7" xfId="0" applyNumberFormat="1" applyFont="1" applyFill="1" applyBorder="1" applyAlignment="1">
      <alignment vertical="center"/>
    </xf>
    <xf numFmtId="165" fontId="36" fillId="4" borderId="5" xfId="1" applyFont="1" applyFill="1" applyBorder="1" applyAlignment="1">
      <alignment vertical="center"/>
    </xf>
    <xf numFmtId="165" fontId="36" fillId="4" borderId="0" xfId="1" applyFont="1" applyFill="1" applyBorder="1" applyAlignment="1">
      <alignment vertical="center"/>
    </xf>
    <xf numFmtId="0" fontId="36" fillId="0" borderId="13" xfId="9" applyFont="1" applyBorder="1" applyAlignment="1">
      <alignment horizontal="center" vertical="center"/>
    </xf>
    <xf numFmtId="165" fontId="36" fillId="0" borderId="13" xfId="1" applyFont="1" applyFill="1" applyBorder="1" applyAlignment="1">
      <alignment vertical="center"/>
    </xf>
    <xf numFmtId="0" fontId="36" fillId="5" borderId="0" xfId="0" applyFont="1" applyFill="1" applyAlignment="1">
      <alignment vertical="center"/>
    </xf>
    <xf numFmtId="0" fontId="30" fillId="5" borderId="0" xfId="0" applyFont="1" applyFill="1" applyAlignment="1">
      <alignment vertical="center"/>
    </xf>
    <xf numFmtId="0" fontId="53" fillId="0" borderId="0" xfId="5" applyFont="1" applyAlignment="1">
      <alignment vertical="center"/>
    </xf>
    <xf numFmtId="0" fontId="72" fillId="0" borderId="5" xfId="0" applyFont="1" applyBorder="1" applyAlignment="1">
      <alignment vertical="center"/>
    </xf>
    <xf numFmtId="0" fontId="53" fillId="0" borderId="0" xfId="5" applyFont="1" applyAlignment="1">
      <alignment horizontal="left" vertical="center"/>
    </xf>
    <xf numFmtId="0" fontId="53" fillId="0" borderId="13" xfId="9" applyFont="1" applyBorder="1" applyAlignment="1">
      <alignment horizontal="center" vertical="center"/>
    </xf>
    <xf numFmtId="3" fontId="53" fillId="0" borderId="13" xfId="9" applyNumberFormat="1" applyFont="1" applyBorder="1" applyAlignment="1">
      <alignment vertical="center"/>
    </xf>
    <xf numFmtId="3" fontId="53" fillId="0" borderId="5" xfId="9" applyNumberFormat="1" applyFont="1" applyBorder="1" applyAlignment="1">
      <alignment vertical="center"/>
    </xf>
    <xf numFmtId="3" fontId="53" fillId="0" borderId="7" xfId="9" applyNumberFormat="1" applyFont="1" applyBorder="1" applyAlignment="1">
      <alignment vertical="center"/>
    </xf>
    <xf numFmtId="43" fontId="53" fillId="0" borderId="7" xfId="0" applyNumberFormat="1" applyFont="1" applyBorder="1" applyAlignment="1">
      <alignment vertical="center" wrapText="1"/>
    </xf>
    <xf numFmtId="43" fontId="53" fillId="0" borderId="5" xfId="0" applyNumberFormat="1" applyFont="1" applyBorder="1" applyAlignment="1">
      <alignment vertical="center" wrapText="1"/>
    </xf>
    <xf numFmtId="0" fontId="49" fillId="7" borderId="16" xfId="0" applyFont="1" applyFill="1" applyBorder="1" applyAlignment="1">
      <alignment horizontal="right" vertical="center"/>
    </xf>
    <xf numFmtId="0" fontId="53" fillId="7" borderId="17" xfId="0" applyFont="1" applyFill="1" applyBorder="1" applyAlignment="1">
      <alignment horizontal="right" vertical="center"/>
    </xf>
    <xf numFmtId="0" fontId="37" fillId="7" borderId="17" xfId="0" applyFont="1" applyFill="1" applyBorder="1" applyAlignment="1">
      <alignment vertical="center"/>
    </xf>
    <xf numFmtId="0" fontId="37" fillId="7" borderId="18" xfId="0" applyFont="1" applyFill="1" applyBorder="1" applyAlignment="1">
      <alignment vertical="center"/>
    </xf>
    <xf numFmtId="0" fontId="37" fillId="7" borderId="41" xfId="0" applyFont="1" applyFill="1" applyBorder="1" applyAlignment="1">
      <alignment horizontal="center" vertical="center"/>
    </xf>
    <xf numFmtId="3" fontId="37" fillId="7" borderId="41" xfId="0" applyNumberFormat="1" applyFont="1" applyFill="1" applyBorder="1" applyAlignment="1">
      <alignment vertical="center"/>
    </xf>
    <xf numFmtId="3" fontId="37" fillId="7" borderId="17" xfId="0" applyNumberFormat="1" applyFont="1" applyFill="1" applyBorder="1" applyAlignment="1">
      <alignment vertical="center"/>
    </xf>
    <xf numFmtId="3" fontId="37" fillId="7" borderId="18" xfId="0" applyNumberFormat="1" applyFont="1" applyFill="1" applyBorder="1" applyAlignment="1">
      <alignment vertical="center"/>
    </xf>
    <xf numFmtId="3" fontId="37" fillId="7" borderId="19" xfId="0" applyNumberFormat="1" applyFont="1" applyFill="1" applyBorder="1" applyAlignment="1">
      <alignment vertical="center"/>
    </xf>
    <xf numFmtId="165" fontId="53" fillId="7" borderId="18" xfId="1" applyFont="1" applyFill="1" applyBorder="1" applyAlignment="1">
      <alignment vertical="center" shrinkToFit="1"/>
    </xf>
    <xf numFmtId="4" fontId="48" fillId="7" borderId="18" xfId="0" applyNumberFormat="1" applyFont="1" applyFill="1" applyBorder="1" applyAlignment="1">
      <alignment vertical="center"/>
    </xf>
    <xf numFmtId="4" fontId="48" fillId="7" borderId="19" xfId="0" applyNumberFormat="1" applyFont="1" applyFill="1" applyBorder="1" applyAlignment="1">
      <alignment vertical="center"/>
    </xf>
    <xf numFmtId="165" fontId="53" fillId="7" borderId="17" xfId="1" applyFont="1" applyFill="1" applyBorder="1" applyAlignment="1">
      <alignment vertical="center"/>
    </xf>
    <xf numFmtId="165" fontId="53" fillId="7" borderId="18" xfId="1" applyFont="1" applyFill="1" applyBorder="1" applyAlignment="1">
      <alignment vertical="center"/>
    </xf>
    <xf numFmtId="165" fontId="53" fillId="7" borderId="19" xfId="1" applyFont="1" applyFill="1" applyBorder="1" applyAlignment="1">
      <alignment vertical="center"/>
    </xf>
    <xf numFmtId="0" fontId="49" fillId="4" borderId="0" xfId="0" applyFont="1" applyFill="1" applyAlignment="1">
      <alignment horizontal="right" vertical="center"/>
    </xf>
    <xf numFmtId="0" fontId="53" fillId="4" borderId="0" xfId="0" applyFont="1" applyFill="1" applyAlignment="1">
      <alignment horizontal="right" vertical="center"/>
    </xf>
    <xf numFmtId="3" fontId="37" fillId="4" borderId="0" xfId="0" applyNumberFormat="1" applyFont="1" applyFill="1" applyAlignment="1">
      <alignment vertical="center"/>
    </xf>
    <xf numFmtId="4" fontId="47" fillId="0" borderId="0" xfId="0" applyNumberFormat="1" applyFont="1" applyAlignment="1">
      <alignment vertical="center"/>
    </xf>
    <xf numFmtId="4" fontId="48" fillId="0" borderId="0" xfId="0" applyNumberFormat="1" applyFont="1" applyAlignment="1">
      <alignment vertical="center"/>
    </xf>
    <xf numFmtId="165" fontId="37" fillId="4" borderId="0" xfId="0" applyNumberFormat="1" applyFont="1" applyFill="1" applyAlignment="1">
      <alignment vertical="center"/>
    </xf>
    <xf numFmtId="0" fontId="36" fillId="3" borderId="0" xfId="0" applyFont="1" applyFill="1" applyAlignment="1">
      <alignment horizontal="center" vertical="center"/>
    </xf>
    <xf numFmtId="0" fontId="36" fillId="3" borderId="6" xfId="0" applyFont="1" applyFill="1" applyBorder="1" applyAlignment="1">
      <alignment horizontal="center" vertical="center"/>
    </xf>
    <xf numFmtId="0" fontId="36" fillId="3" borderId="6" xfId="0" applyFont="1" applyFill="1" applyBorder="1" applyAlignment="1">
      <alignment vertical="center"/>
    </xf>
    <xf numFmtId="0" fontId="37" fillId="0" borderId="0" xfId="0" applyFont="1" applyAlignment="1">
      <alignment horizontal="center" vertical="center"/>
    </xf>
    <xf numFmtId="165" fontId="36" fillId="0" borderId="11" xfId="1" applyFont="1" applyBorder="1" applyAlignment="1">
      <alignment vertical="center" shrinkToFit="1"/>
    </xf>
    <xf numFmtId="165" fontId="36" fillId="0" borderId="12" xfId="1" applyFont="1" applyBorder="1" applyAlignment="1">
      <alignment vertical="center" shrinkToFit="1"/>
    </xf>
    <xf numFmtId="165" fontId="36" fillId="0" borderId="12" xfId="0" applyNumberFormat="1" applyFont="1" applyBorder="1" applyAlignment="1">
      <alignment vertical="center" shrinkToFit="1"/>
    </xf>
    <xf numFmtId="0" fontId="36" fillId="0" borderId="0" xfId="0" applyFont="1" applyAlignment="1">
      <alignment vertical="center" shrinkToFit="1"/>
    </xf>
    <xf numFmtId="3" fontId="36" fillId="0" borderId="12" xfId="0" applyNumberFormat="1" applyFont="1" applyBorder="1" applyAlignment="1">
      <alignment vertical="center" shrinkToFit="1"/>
    </xf>
    <xf numFmtId="165" fontId="51" fillId="0" borderId="0" xfId="0" applyNumberFormat="1" applyFont="1" applyAlignment="1">
      <alignment vertical="center"/>
    </xf>
    <xf numFmtId="3" fontId="47" fillId="0" borderId="0" xfId="0" applyNumberFormat="1" applyFont="1" applyAlignment="1">
      <alignment vertical="center"/>
    </xf>
    <xf numFmtId="165" fontId="51" fillId="0" borderId="12" xfId="0" applyNumberFormat="1" applyFont="1" applyBorder="1" applyAlignment="1">
      <alignment vertical="center" shrinkToFit="1"/>
    </xf>
    <xf numFmtId="165" fontId="51" fillId="0" borderId="11" xfId="0" applyNumberFormat="1" applyFont="1" applyBorder="1" applyAlignment="1">
      <alignment vertical="center" shrinkToFit="1"/>
    </xf>
    <xf numFmtId="0" fontId="51" fillId="0" borderId="0" xfId="0" applyFont="1" applyAlignment="1">
      <alignment vertical="center" shrinkToFit="1"/>
    </xf>
    <xf numFmtId="0" fontId="51" fillId="0" borderId="0" xfId="0" applyFont="1" applyAlignment="1">
      <alignment vertical="center"/>
    </xf>
    <xf numFmtId="166" fontId="141" fillId="0" borderId="0" xfId="33" applyNumberFormat="1" applyFont="1" applyFill="1" applyBorder="1" applyAlignment="1">
      <alignment vertical="center"/>
    </xf>
    <xf numFmtId="167" fontId="141" fillId="0" borderId="0" xfId="33" applyNumberFormat="1" applyFont="1" applyBorder="1" applyAlignment="1">
      <alignment vertical="center"/>
    </xf>
    <xf numFmtId="0" fontId="37" fillId="0" borderId="0" xfId="0" applyFont="1" applyAlignment="1">
      <alignment horizontal="right" vertical="center"/>
    </xf>
    <xf numFmtId="0" fontId="37" fillId="5" borderId="0" xfId="0" applyFont="1" applyFill="1" applyAlignment="1">
      <alignment horizontal="right" vertical="center"/>
    </xf>
    <xf numFmtId="9" fontId="141" fillId="0" borderId="0" xfId="0" applyNumberFormat="1" applyFont="1" applyAlignment="1">
      <alignment vertical="center"/>
    </xf>
    <xf numFmtId="0" fontId="48" fillId="5" borderId="0" xfId="0" applyFont="1" applyFill="1" applyAlignment="1">
      <alignment vertical="center"/>
    </xf>
    <xf numFmtId="165" fontId="53" fillId="11" borderId="0" xfId="1" applyFont="1" applyFill="1" applyAlignment="1">
      <alignment vertical="center" shrinkToFit="1"/>
    </xf>
    <xf numFmtId="165" fontId="37" fillId="0" borderId="0" xfId="1" applyFont="1" applyBorder="1" applyAlignment="1">
      <alignment vertical="center" shrinkToFit="1"/>
    </xf>
    <xf numFmtId="165" fontId="36" fillId="0" borderId="0" xfId="1" applyFont="1"/>
    <xf numFmtId="165" fontId="36" fillId="0" borderId="0" xfId="1" applyFont="1" applyAlignment="1">
      <alignment shrinkToFit="1"/>
    </xf>
    <xf numFmtId="178" fontId="141" fillId="0" borderId="0" xfId="0" applyNumberFormat="1" applyFont="1" applyAlignment="1">
      <alignment horizontal="center" vertical="center"/>
    </xf>
    <xf numFmtId="0" fontId="141" fillId="0" borderId="0" xfId="0" applyFont="1" applyAlignment="1">
      <alignment vertical="center"/>
    </xf>
    <xf numFmtId="0" fontId="44" fillId="0" borderId="0" xfId="0" applyFont="1" applyAlignment="1">
      <alignment horizontal="center" vertical="center"/>
    </xf>
    <xf numFmtId="0" fontId="141" fillId="0" borderId="0" xfId="0" applyFont="1" applyAlignment="1">
      <alignment vertical="center" wrapText="1"/>
    </xf>
    <xf numFmtId="168" fontId="47" fillId="0" borderId="0" xfId="1" applyNumberFormat="1" applyFont="1" applyBorder="1" applyAlignment="1">
      <alignment vertical="center"/>
    </xf>
    <xf numFmtId="178" fontId="141" fillId="0" borderId="0" xfId="0" applyNumberFormat="1" applyFont="1" applyAlignment="1">
      <alignment horizontal="center"/>
    </xf>
    <xf numFmtId="0" fontId="141" fillId="0" borderId="0" xfId="0" applyFont="1" applyAlignment="1">
      <alignment horizontal="center"/>
    </xf>
    <xf numFmtId="0" fontId="141" fillId="0" borderId="0" xfId="0" applyFont="1"/>
    <xf numFmtId="43" fontId="141" fillId="0" borderId="0" xfId="33" applyFont="1" applyFill="1" applyBorder="1"/>
    <xf numFmtId="168" fontId="47" fillId="0" borderId="0" xfId="1" applyNumberFormat="1" applyFont="1" applyAlignment="1">
      <alignment vertical="center"/>
    </xf>
    <xf numFmtId="0" fontId="37" fillId="0" borderId="0" xfId="0" applyFont="1" applyAlignment="1">
      <alignment vertical="center"/>
    </xf>
    <xf numFmtId="0" fontId="32" fillId="0" borderId="0" xfId="0" applyFont="1" applyAlignment="1">
      <alignment vertical="center"/>
    </xf>
    <xf numFmtId="0" fontId="0" fillId="0" borderId="7" xfId="0" applyBorder="1"/>
    <xf numFmtId="0" fontId="57" fillId="0" borderId="7" xfId="0" applyFont="1" applyBorder="1" applyAlignment="1">
      <alignment horizontal="center" vertical="center"/>
    </xf>
    <xf numFmtId="173" fontId="0" fillId="0" borderId="0" xfId="0" applyNumberFormat="1"/>
    <xf numFmtId="43" fontId="72" fillId="11" borderId="3" xfId="0" applyNumberFormat="1" applyFont="1" applyFill="1" applyBorder="1" applyAlignment="1">
      <alignment vertical="center" wrapText="1"/>
    </xf>
    <xf numFmtId="0" fontId="29" fillId="4" borderId="34" xfId="475" applyFont="1" applyFill="1" applyBorder="1" applyAlignment="1">
      <alignment vertical="center" wrapText="1"/>
    </xf>
    <xf numFmtId="0" fontId="29" fillId="20" borderId="34" xfId="475" applyFont="1" applyFill="1" applyBorder="1"/>
    <xf numFmtId="0" fontId="29" fillId="20" borderId="34" xfId="475" applyFont="1" applyFill="1" applyBorder="1" applyAlignment="1">
      <alignment horizontal="center" vertical="center"/>
    </xf>
    <xf numFmtId="0" fontId="29" fillId="20" borderId="35" xfId="475" applyFont="1" applyFill="1" applyBorder="1" applyAlignment="1">
      <alignment horizontal="center" vertical="center"/>
    </xf>
    <xf numFmtId="0" fontId="29" fillId="6" borderId="12" xfId="475" applyFont="1" applyFill="1" applyBorder="1"/>
    <xf numFmtId="0" fontId="29" fillId="4" borderId="12" xfId="475" applyFont="1" applyFill="1" applyBorder="1" applyAlignment="1">
      <alignment vertical="center" wrapText="1"/>
    </xf>
    <xf numFmtId="0" fontId="121" fillId="6" borderId="12" xfId="475" applyFont="1" applyFill="1" applyBorder="1"/>
    <xf numFmtId="0" fontId="121" fillId="6" borderId="37" xfId="475" applyFont="1" applyFill="1" applyBorder="1"/>
    <xf numFmtId="0" fontId="29" fillId="20" borderId="13" xfId="475" applyFont="1" applyFill="1" applyBorder="1"/>
    <xf numFmtId="0" fontId="29" fillId="6" borderId="13" xfId="475" applyFont="1" applyFill="1" applyBorder="1"/>
    <xf numFmtId="165" fontId="0" fillId="0" borderId="0" xfId="1" applyFont="1" applyFill="1" applyBorder="1"/>
    <xf numFmtId="0" fontId="46" fillId="15" borderId="3" xfId="0" applyFont="1" applyFill="1" applyBorder="1" applyAlignment="1">
      <alignment horizontal="center" vertical="center"/>
    </xf>
    <xf numFmtId="165" fontId="84" fillId="5" borderId="12" xfId="0" applyNumberFormat="1" applyFont="1" applyFill="1" applyBorder="1" applyAlignment="1">
      <alignment vertical="center"/>
    </xf>
    <xf numFmtId="0" fontId="3" fillId="19" borderId="0" xfId="35" applyFont="1" applyFill="1"/>
    <xf numFmtId="179" fontId="46" fillId="15" borderId="11" xfId="9" applyNumberFormat="1" applyFont="1" applyFill="1" applyBorder="1" applyAlignment="1">
      <alignment vertical="center"/>
    </xf>
    <xf numFmtId="43" fontId="34" fillId="0" borderId="0" xfId="0" applyNumberFormat="1" applyFont="1" applyAlignment="1">
      <alignment horizontal="center" vertical="center" wrapText="1"/>
    </xf>
    <xf numFmtId="180" fontId="34" fillId="0" borderId="0" xfId="1" applyNumberFormat="1" applyFont="1" applyFill="1" applyAlignment="1">
      <alignment vertical="center"/>
    </xf>
    <xf numFmtId="165" fontId="72" fillId="0" borderId="0" xfId="1" applyFont="1" applyFill="1" applyAlignment="1">
      <alignment vertical="center"/>
    </xf>
    <xf numFmtId="165" fontId="53" fillId="0" borderId="0" xfId="1" applyFont="1" applyFill="1" applyAlignment="1">
      <alignment vertical="center"/>
    </xf>
    <xf numFmtId="0" fontId="36" fillId="0" borderId="0" xfId="0" applyFont="1" applyAlignment="1">
      <alignment horizontal="left" vertical="center" indent="1"/>
    </xf>
    <xf numFmtId="0" fontId="30" fillId="0" borderId="0" xfId="0" applyFont="1" applyAlignment="1">
      <alignment horizontal="left" vertical="center" indent="1"/>
    </xf>
    <xf numFmtId="165" fontId="36" fillId="0" borderId="0" xfId="1" applyFont="1" applyFill="1" applyAlignment="1">
      <alignment vertical="center"/>
    </xf>
    <xf numFmtId="3" fontId="48" fillId="0" borderId="0" xfId="0" applyNumberFormat="1" applyFont="1" applyAlignment="1">
      <alignment vertical="center"/>
    </xf>
    <xf numFmtId="165" fontId="36" fillId="0" borderId="0" xfId="1" applyFont="1" applyFill="1" applyAlignment="1">
      <alignment horizontal="center" vertical="center"/>
    </xf>
    <xf numFmtId="165" fontId="30" fillId="0" borderId="0" xfId="1" applyFont="1" applyFill="1" applyAlignment="1">
      <alignment horizontal="center" vertical="center"/>
    </xf>
    <xf numFmtId="0" fontId="46" fillId="4" borderId="13" xfId="5" applyFont="1" applyFill="1" applyBorder="1" applyAlignment="1">
      <alignment horizontal="center" vertical="center"/>
    </xf>
    <xf numFmtId="0" fontId="101" fillId="4" borderId="13" xfId="9" applyFont="1" applyFill="1" applyBorder="1" applyAlignment="1">
      <alignment horizontal="center" vertical="center" wrapText="1"/>
    </xf>
    <xf numFmtId="165" fontId="101" fillId="0" borderId="13" xfId="1" applyFont="1" applyFill="1" applyBorder="1" applyAlignment="1">
      <alignment horizontal="center" vertical="center"/>
    </xf>
    <xf numFmtId="172" fontId="101" fillId="0" borderId="0" xfId="1" applyNumberFormat="1" applyFont="1" applyFill="1" applyBorder="1" applyAlignment="1">
      <alignment horizontal="right" vertical="center"/>
    </xf>
    <xf numFmtId="2" fontId="101" fillId="0" borderId="5" xfId="0" applyNumberFormat="1" applyFont="1" applyBorder="1" applyAlignment="1">
      <alignment vertical="center" wrapText="1"/>
    </xf>
    <xf numFmtId="2" fontId="101" fillId="0" borderId="0" xfId="0" applyNumberFormat="1" applyFont="1" applyAlignment="1">
      <alignment vertical="center" wrapText="1"/>
    </xf>
    <xf numFmtId="165" fontId="101" fillId="0" borderId="7" xfId="1" applyFont="1" applyFill="1" applyBorder="1" applyAlignment="1">
      <alignment vertical="center"/>
    </xf>
    <xf numFmtId="0" fontId="101" fillId="4" borderId="0" xfId="0" applyFont="1" applyFill="1" applyAlignment="1">
      <alignment vertical="center"/>
    </xf>
    <xf numFmtId="0" fontId="101" fillId="0" borderId="5" xfId="0" applyFont="1" applyBorder="1" applyAlignment="1">
      <alignment vertical="center"/>
    </xf>
    <xf numFmtId="165" fontId="101" fillId="0" borderId="0" xfId="8" applyNumberFormat="1" applyFont="1" applyFill="1" applyBorder="1" applyAlignment="1">
      <alignment vertical="center"/>
    </xf>
    <xf numFmtId="165" fontId="101" fillId="0" borderId="7" xfId="8" applyNumberFormat="1" applyFont="1" applyFill="1" applyBorder="1" applyAlignment="1">
      <alignment vertical="center"/>
    </xf>
    <xf numFmtId="165" fontId="101" fillId="0" borderId="0" xfId="1" applyFont="1" applyFill="1" applyAlignment="1">
      <alignment vertical="center"/>
    </xf>
    <xf numFmtId="0" fontId="101" fillId="0" borderId="30" xfId="0" applyFont="1" applyBorder="1" applyAlignment="1">
      <alignment horizontal="center" vertical="center"/>
    </xf>
    <xf numFmtId="0" fontId="104" fillId="0" borderId="0" xfId="0" applyFont="1" applyAlignment="1">
      <alignment vertical="center"/>
    </xf>
    <xf numFmtId="0" fontId="145" fillId="0" borderId="0" xfId="0" applyFont="1" applyAlignment="1">
      <alignment vertical="center"/>
    </xf>
    <xf numFmtId="0" fontId="34" fillId="4" borderId="7" xfId="9" applyFont="1" applyFill="1" applyBorder="1" applyAlignment="1">
      <alignment horizontal="center" vertical="center" wrapText="1"/>
    </xf>
    <xf numFmtId="165" fontId="101" fillId="0" borderId="7" xfId="1" applyFont="1" applyFill="1" applyBorder="1" applyAlignment="1">
      <alignment horizontal="center" vertical="center"/>
    </xf>
    <xf numFmtId="170" fontId="46" fillId="4" borderId="0" xfId="0" applyNumberFormat="1" applyFont="1" applyFill="1" applyAlignment="1">
      <alignment vertical="center" wrapText="1"/>
    </xf>
    <xf numFmtId="172" fontId="104" fillId="4" borderId="5" xfId="1" applyNumberFormat="1" applyFont="1" applyFill="1" applyBorder="1" applyAlignment="1">
      <alignment horizontal="right" vertical="center"/>
    </xf>
    <xf numFmtId="172" fontId="104" fillId="4" borderId="0" xfId="1" applyNumberFormat="1" applyFont="1" applyFill="1" applyBorder="1" applyAlignment="1">
      <alignment horizontal="right" vertical="center"/>
    </xf>
    <xf numFmtId="0" fontId="104" fillId="4" borderId="7" xfId="5" applyFont="1" applyFill="1" applyBorder="1" applyAlignment="1">
      <alignment horizontal="center" vertical="center"/>
    </xf>
    <xf numFmtId="0" fontId="148" fillId="4" borderId="0" xfId="0" applyFont="1" applyFill="1" applyAlignment="1">
      <alignment vertical="center"/>
    </xf>
    <xf numFmtId="166" fontId="151" fillId="0" borderId="0" xfId="8" applyNumberFormat="1" applyFont="1" applyFill="1" applyAlignment="1">
      <alignment vertical="center"/>
    </xf>
    <xf numFmtId="165" fontId="148" fillId="0" borderId="0" xfId="8" applyNumberFormat="1" applyFont="1" applyFill="1" applyBorder="1" applyAlignment="1">
      <alignment vertical="center"/>
    </xf>
    <xf numFmtId="165" fontId="148" fillId="0" borderId="7" xfId="8" applyNumberFormat="1" applyFont="1" applyFill="1" applyBorder="1" applyAlignment="1">
      <alignment vertical="center"/>
    </xf>
    <xf numFmtId="165" fontId="148" fillId="0" borderId="0" xfId="1" applyFont="1" applyFill="1" applyAlignment="1">
      <alignment vertical="center"/>
    </xf>
    <xf numFmtId="0" fontId="148" fillId="0" borderId="30" xfId="0" applyFont="1" applyBorder="1" applyAlignment="1">
      <alignment horizontal="center" vertical="center"/>
    </xf>
    <xf numFmtId="0" fontId="152" fillId="0" borderId="30" xfId="0" applyFont="1" applyBorder="1" applyAlignment="1">
      <alignment horizontal="center" vertical="center"/>
    </xf>
    <xf numFmtId="0" fontId="153" fillId="0" borderId="0" xfId="0" applyFont="1" applyAlignment="1">
      <alignment vertical="center"/>
    </xf>
    <xf numFmtId="166" fontId="144" fillId="0" borderId="0" xfId="8" applyNumberFormat="1" applyFont="1" applyFill="1" applyAlignment="1">
      <alignment vertical="center"/>
    </xf>
    <xf numFmtId="0" fontId="148" fillId="0" borderId="0" xfId="0" applyFont="1" applyAlignment="1">
      <alignment vertical="center"/>
    </xf>
    <xf numFmtId="0" fontId="152" fillId="0" borderId="0" xfId="0" applyFont="1" applyAlignment="1">
      <alignment vertical="center"/>
    </xf>
    <xf numFmtId="43" fontId="101" fillId="0" borderId="0" xfId="0" applyNumberFormat="1" applyFont="1" applyAlignment="1">
      <alignment vertical="center" wrapText="1"/>
    </xf>
    <xf numFmtId="0" fontId="127" fillId="0" borderId="30" xfId="0" applyFont="1" applyBorder="1" applyAlignment="1">
      <alignment horizontal="center" vertical="center"/>
    </xf>
    <xf numFmtId="0" fontId="101" fillId="0" borderId="0" xfId="9" applyFont="1" applyAlignment="1">
      <alignment horizontal="left" vertical="center" wrapText="1"/>
    </xf>
    <xf numFmtId="172" fontId="46" fillId="15" borderId="8" xfId="1" applyNumberFormat="1" applyFont="1" applyFill="1" applyBorder="1" applyAlignment="1">
      <alignment horizontal="right" vertical="center"/>
    </xf>
    <xf numFmtId="172" fontId="104" fillId="15" borderId="9" xfId="9" applyNumberFormat="1" applyFont="1" applyFill="1" applyBorder="1" applyAlignment="1">
      <alignment vertical="center"/>
    </xf>
    <xf numFmtId="172" fontId="101" fillId="4" borderId="0" xfId="12" applyNumberFormat="1" applyFont="1" applyFill="1" applyBorder="1" applyAlignment="1">
      <alignment horizontal="right" vertical="center"/>
    </xf>
    <xf numFmtId="0" fontId="115" fillId="15" borderId="6" xfId="0" applyFont="1" applyFill="1" applyBorder="1" applyAlignment="1">
      <alignment vertical="center"/>
    </xf>
    <xf numFmtId="0" fontId="46" fillId="15" borderId="14" xfId="5" applyFont="1" applyFill="1" applyBorder="1" applyAlignment="1">
      <alignment horizontal="center" vertical="center" wrapText="1"/>
    </xf>
    <xf numFmtId="165" fontId="46" fillId="15" borderId="9" xfId="1" applyFont="1" applyFill="1" applyBorder="1" applyAlignment="1">
      <alignment horizontal="center" vertical="center"/>
    </xf>
    <xf numFmtId="0" fontId="101" fillId="0" borderId="5" xfId="0" applyFont="1" applyBorder="1" applyAlignment="1">
      <alignment horizontal="center" vertical="center"/>
    </xf>
    <xf numFmtId="165" fontId="101" fillId="0" borderId="5" xfId="8" applyNumberFormat="1" applyFont="1" applyFill="1" applyBorder="1" applyAlignment="1">
      <alignment vertical="center"/>
    </xf>
    <xf numFmtId="0" fontId="101" fillId="4" borderId="15" xfId="5" applyFont="1" applyFill="1" applyBorder="1" applyAlignment="1">
      <alignment horizontal="center" vertical="center"/>
    </xf>
    <xf numFmtId="165" fontId="104" fillId="4" borderId="7" xfId="12" applyFont="1" applyFill="1" applyBorder="1" applyAlignment="1">
      <alignment horizontal="center" vertical="center"/>
    </xf>
    <xf numFmtId="172" fontId="104" fillId="4" borderId="5" xfId="12" applyNumberFormat="1" applyFont="1" applyFill="1" applyBorder="1" applyAlignment="1">
      <alignment horizontal="right" vertical="center"/>
    </xf>
    <xf numFmtId="172" fontId="104" fillId="4" borderId="0" xfId="12" applyNumberFormat="1" applyFont="1" applyFill="1" applyBorder="1" applyAlignment="1">
      <alignment horizontal="right" vertical="center"/>
    </xf>
    <xf numFmtId="165" fontId="102" fillId="4" borderId="7" xfId="12" applyFont="1" applyFill="1" applyBorder="1" applyAlignment="1">
      <alignment horizontal="center" vertical="center"/>
    </xf>
    <xf numFmtId="0" fontId="102" fillId="4" borderId="7" xfId="5" applyFont="1" applyFill="1" applyBorder="1" applyAlignment="1">
      <alignment horizontal="center" vertical="center" wrapText="1"/>
    </xf>
    <xf numFmtId="165" fontId="109" fillId="0" borderId="5" xfId="8" applyNumberFormat="1" applyFont="1" applyFill="1" applyBorder="1" applyAlignment="1">
      <alignment vertical="center"/>
    </xf>
    <xf numFmtId="0" fontId="104" fillId="15" borderId="5" xfId="5" applyFont="1" applyFill="1" applyBorder="1" applyAlignment="1">
      <alignment horizontal="center" vertical="center"/>
    </xf>
    <xf numFmtId="165" fontId="104" fillId="15" borderId="7" xfId="1" applyFont="1" applyFill="1" applyBorder="1" applyAlignment="1">
      <alignment horizontal="center" vertical="center"/>
    </xf>
    <xf numFmtId="165" fontId="104" fillId="15" borderId="0" xfId="1" applyFont="1" applyFill="1" applyBorder="1" applyAlignment="1">
      <alignment horizontal="center" vertical="center"/>
    </xf>
    <xf numFmtId="0" fontId="112" fillId="0" borderId="0" xfId="9" applyFont="1" applyAlignment="1">
      <alignment horizontal="left" vertical="center"/>
    </xf>
    <xf numFmtId="0" fontId="34" fillId="0" borderId="7" xfId="9" applyFont="1" applyBorder="1" applyAlignment="1">
      <alignment horizontal="center" vertical="center"/>
    </xf>
    <xf numFmtId="0" fontId="52" fillId="0" borderId="0" xfId="0" applyFont="1"/>
    <xf numFmtId="0" fontId="52" fillId="0" borderId="10" xfId="0" applyFont="1" applyBorder="1" applyAlignment="1">
      <alignment vertical="center"/>
    </xf>
    <xf numFmtId="3" fontId="104" fillId="0" borderId="7" xfId="0" applyNumberFormat="1" applyFont="1" applyBorder="1" applyAlignment="1">
      <alignment vertical="center"/>
    </xf>
    <xf numFmtId="165" fontId="104" fillId="15" borderId="4" xfId="1" applyFont="1" applyFill="1" applyBorder="1" applyAlignment="1">
      <alignment vertical="center"/>
    </xf>
    <xf numFmtId="43" fontId="104" fillId="15" borderId="4" xfId="0" applyNumberFormat="1" applyFont="1" applyFill="1" applyBorder="1" applyAlignment="1">
      <alignment vertical="center" wrapText="1"/>
    </xf>
    <xf numFmtId="4" fontId="104" fillId="15" borderId="4" xfId="9" applyNumberFormat="1" applyFont="1" applyFill="1" applyBorder="1" applyAlignment="1">
      <alignment vertical="center"/>
    </xf>
    <xf numFmtId="43" fontId="104" fillId="4" borderId="4" xfId="0" applyNumberFormat="1" applyFont="1" applyFill="1" applyBorder="1" applyAlignment="1">
      <alignment vertical="center" wrapText="1"/>
    </xf>
    <xf numFmtId="3" fontId="104" fillId="4" borderId="7" xfId="9" applyNumberFormat="1" applyFont="1" applyFill="1" applyBorder="1" applyAlignment="1">
      <alignment vertical="center"/>
    </xf>
    <xf numFmtId="165" fontId="101" fillId="4" borderId="7" xfId="1" applyFont="1" applyFill="1" applyBorder="1" applyAlignment="1">
      <alignment vertical="center"/>
    </xf>
    <xf numFmtId="0" fontId="139" fillId="0" borderId="0" xfId="0" applyFont="1" applyAlignment="1">
      <alignment vertical="center"/>
    </xf>
    <xf numFmtId="165" fontId="104" fillId="4" borderId="7" xfId="1" applyFont="1" applyFill="1" applyBorder="1" applyAlignment="1">
      <alignment vertical="center"/>
    </xf>
    <xf numFmtId="165" fontId="104" fillId="15" borderId="7" xfId="1" applyFont="1" applyFill="1" applyBorder="1" applyAlignment="1">
      <alignment vertical="center"/>
    </xf>
    <xf numFmtId="43" fontId="104" fillId="17" borderId="4" xfId="0" applyNumberFormat="1" applyFont="1" applyFill="1" applyBorder="1" applyAlignment="1">
      <alignment vertical="center" wrapText="1"/>
    </xf>
    <xf numFmtId="4" fontId="101" fillId="0" borderId="7" xfId="9" applyNumberFormat="1" applyFont="1" applyBorder="1" applyAlignment="1">
      <alignment vertical="center"/>
    </xf>
    <xf numFmtId="4" fontId="104" fillId="0" borderId="7" xfId="9" applyNumberFormat="1" applyFont="1" applyBorder="1" applyAlignment="1">
      <alignment vertical="center"/>
    </xf>
    <xf numFmtId="2" fontId="104" fillId="0" borderId="7" xfId="1" applyNumberFormat="1" applyFont="1" applyFill="1" applyBorder="1" applyAlignment="1">
      <alignment vertical="center"/>
    </xf>
    <xf numFmtId="2" fontId="101" fillId="0" borderId="7" xfId="1" applyNumberFormat="1" applyFont="1" applyFill="1" applyBorder="1" applyAlignment="1">
      <alignment vertical="center"/>
    </xf>
    <xf numFmtId="2" fontId="104" fillId="15" borderId="4" xfId="1" applyNumberFormat="1" applyFont="1" applyFill="1" applyBorder="1" applyAlignment="1">
      <alignment vertical="center"/>
    </xf>
    <xf numFmtId="3" fontId="104" fillId="0" borderId="7" xfId="9" applyNumberFormat="1" applyFont="1" applyBorder="1" applyAlignment="1">
      <alignment vertical="center"/>
    </xf>
    <xf numFmtId="4" fontId="52" fillId="0" borderId="7" xfId="9" applyNumberFormat="1" applyFont="1" applyBorder="1" applyAlignment="1">
      <alignment vertical="center"/>
    </xf>
    <xf numFmtId="43" fontId="101" fillId="0" borderId="7" xfId="0" applyNumberFormat="1" applyFont="1" applyBorder="1" applyAlignment="1">
      <alignment vertical="center" wrapText="1"/>
    </xf>
    <xf numFmtId="43" fontId="104" fillId="14" borderId="4" xfId="0" applyNumberFormat="1" applyFont="1" applyFill="1" applyBorder="1" applyAlignment="1">
      <alignment vertical="center" wrapText="1"/>
    </xf>
    <xf numFmtId="43" fontId="104" fillId="23" borderId="4" xfId="0" applyNumberFormat="1" applyFont="1" applyFill="1" applyBorder="1" applyAlignment="1">
      <alignment vertical="center" wrapText="1"/>
    </xf>
    <xf numFmtId="165" fontId="104" fillId="0" borderId="7" xfId="1" applyFont="1" applyFill="1" applyBorder="1" applyAlignment="1">
      <alignment vertical="center"/>
    </xf>
    <xf numFmtId="173" fontId="101" fillId="0" borderId="7" xfId="1" applyNumberFormat="1" applyFont="1" applyFill="1" applyBorder="1" applyAlignment="1">
      <alignment vertical="center"/>
    </xf>
    <xf numFmtId="43" fontId="104" fillId="15" borderId="10" xfId="0" applyNumberFormat="1" applyFont="1" applyFill="1" applyBorder="1" applyAlignment="1">
      <alignment vertical="center" wrapText="1"/>
    </xf>
    <xf numFmtId="165" fontId="104" fillId="23" borderId="4" xfId="1" applyFont="1" applyFill="1" applyBorder="1" applyAlignment="1">
      <alignment vertical="center"/>
    </xf>
    <xf numFmtId="10" fontId="104" fillId="0" borderId="0" xfId="8" applyNumberFormat="1" applyFont="1" applyFill="1" applyAlignment="1">
      <alignment vertical="center"/>
    </xf>
    <xf numFmtId="165" fontId="104" fillId="0" borderId="0" xfId="1" applyFont="1" applyFill="1" applyAlignment="1">
      <alignment vertical="center"/>
    </xf>
    <xf numFmtId="43" fontId="145" fillId="0" borderId="0" xfId="0" applyNumberFormat="1" applyFont="1" applyAlignment="1">
      <alignment vertical="center"/>
    </xf>
    <xf numFmtId="0" fontId="127" fillId="0" borderId="0" xfId="0" applyFont="1"/>
    <xf numFmtId="165" fontId="104" fillId="0" borderId="12" xfId="1" applyFont="1" applyFill="1" applyBorder="1" applyAlignment="1">
      <alignment vertical="center"/>
    </xf>
    <xf numFmtId="165" fontId="52" fillId="0" borderId="12" xfId="1" applyFont="1" applyFill="1" applyBorder="1" applyAlignment="1">
      <alignment vertical="center"/>
    </xf>
    <xf numFmtId="165" fontId="52" fillId="0" borderId="0" xfId="1" applyFont="1" applyFill="1"/>
    <xf numFmtId="165" fontId="52" fillId="5" borderId="0" xfId="1" applyFont="1" applyFill="1" applyAlignment="1">
      <alignment vertical="center"/>
    </xf>
    <xf numFmtId="3" fontId="52" fillId="0" borderId="0" xfId="0" applyNumberFormat="1" applyFont="1" applyAlignment="1">
      <alignment vertical="center"/>
    </xf>
    <xf numFmtId="4" fontId="52" fillId="0" borderId="0" xfId="0" applyNumberFormat="1" applyFont="1" applyAlignment="1">
      <alignment vertical="center"/>
    </xf>
    <xf numFmtId="4" fontId="155" fillId="5" borderId="0" xfId="0" applyNumberFormat="1" applyFont="1" applyFill="1" applyAlignment="1">
      <alignment vertical="center"/>
    </xf>
    <xf numFmtId="43" fontId="139" fillId="5" borderId="0" xfId="0" applyNumberFormat="1" applyFont="1" applyFill="1" applyAlignment="1">
      <alignment vertical="center"/>
    </xf>
    <xf numFmtId="174" fontId="52" fillId="0" borderId="0" xfId="0" applyNumberFormat="1" applyFont="1" applyAlignment="1">
      <alignment vertical="center"/>
    </xf>
    <xf numFmtId="3" fontId="51" fillId="0" borderId="0" xfId="0" applyNumberFormat="1" applyFont="1" applyAlignment="1">
      <alignment vertical="center"/>
    </xf>
    <xf numFmtId="165" fontId="51" fillId="0" borderId="0" xfId="1" applyFont="1" applyFill="1" applyAlignment="1">
      <alignment vertical="center"/>
    </xf>
    <xf numFmtId="165" fontId="52" fillId="0" borderId="0" xfId="1" applyFont="1" applyFill="1" applyAlignment="1">
      <alignment vertical="center"/>
    </xf>
    <xf numFmtId="0" fontId="52" fillId="0" borderId="0" xfId="0" applyFont="1" applyAlignment="1">
      <alignment vertical="center"/>
    </xf>
    <xf numFmtId="165" fontId="145" fillId="23" borderId="0" xfId="0" applyNumberFormat="1" applyFont="1" applyFill="1" applyAlignment="1">
      <alignment vertical="center"/>
    </xf>
    <xf numFmtId="43" fontId="46" fillId="15" borderId="6" xfId="0" applyNumberFormat="1" applyFont="1" applyFill="1" applyBorder="1" applyAlignment="1">
      <alignment vertical="center" wrapText="1"/>
    </xf>
    <xf numFmtId="43" fontId="46" fillId="15" borderId="8" xfId="0" applyNumberFormat="1" applyFont="1" applyFill="1" applyBorder="1" applyAlignment="1">
      <alignment vertical="center" wrapText="1"/>
    </xf>
    <xf numFmtId="0" fontId="93" fillId="0" borderId="0" xfId="9" applyFont="1" applyAlignment="1">
      <alignment horizontal="left" vertical="center" wrapText="1"/>
    </xf>
    <xf numFmtId="165" fontId="93" fillId="4" borderId="13" xfId="1" applyFont="1" applyFill="1" applyBorder="1" applyAlignment="1">
      <alignment horizontal="center" vertical="center"/>
    </xf>
    <xf numFmtId="0" fontId="93" fillId="0" borderId="13" xfId="5" applyFont="1" applyBorder="1" applyAlignment="1">
      <alignment horizontal="center" vertical="center" wrapText="1"/>
    </xf>
    <xf numFmtId="0" fontId="102" fillId="0" borderId="13" xfId="5" applyFont="1" applyBorder="1" applyAlignment="1">
      <alignment horizontal="center" vertical="center" wrapText="1"/>
    </xf>
    <xf numFmtId="0" fontId="104" fillId="4" borderId="0" xfId="0" applyFont="1" applyFill="1" applyAlignment="1">
      <alignment vertical="center"/>
    </xf>
    <xf numFmtId="0" fontId="145" fillId="4" borderId="0" xfId="0" applyFont="1" applyFill="1" applyAlignment="1">
      <alignment vertical="center"/>
    </xf>
    <xf numFmtId="170" fontId="104" fillId="4" borderId="0" xfId="0" applyNumberFormat="1" applyFont="1" applyFill="1" applyAlignment="1">
      <alignment vertical="center" wrapText="1"/>
    </xf>
    <xf numFmtId="0" fontId="104" fillId="15" borderId="13" xfId="5" applyFont="1" applyFill="1" applyBorder="1" applyAlignment="1">
      <alignment horizontal="center" vertical="center"/>
    </xf>
    <xf numFmtId="0" fontId="148" fillId="0" borderId="5" xfId="0" applyFont="1" applyBorder="1" applyAlignment="1">
      <alignment horizontal="center" vertical="center"/>
    </xf>
    <xf numFmtId="0" fontId="46" fillId="14" borderId="12" xfId="9" applyFont="1" applyFill="1" applyBorder="1" applyAlignment="1">
      <alignment horizontal="left" vertical="center"/>
    </xf>
    <xf numFmtId="165" fontId="148" fillId="0" borderId="7" xfId="1" applyFont="1" applyFill="1" applyBorder="1" applyAlignment="1">
      <alignment horizontal="center" vertical="center"/>
    </xf>
    <xf numFmtId="165" fontId="148" fillId="0" borderId="5" xfId="8" applyNumberFormat="1" applyFont="1" applyFill="1" applyBorder="1" applyAlignment="1">
      <alignment vertical="center"/>
    </xf>
    <xf numFmtId="0" fontId="101" fillId="0" borderId="0" xfId="9" applyFont="1" applyAlignment="1">
      <alignment horizontal="left" vertical="center"/>
    </xf>
    <xf numFmtId="43" fontId="101" fillId="4" borderId="5" xfId="0" applyNumberFormat="1" applyFont="1" applyFill="1" applyBorder="1" applyAlignment="1">
      <alignment vertical="center" wrapText="1"/>
    </xf>
    <xf numFmtId="43" fontId="101" fillId="4" borderId="0" xfId="0" applyNumberFormat="1" applyFont="1" applyFill="1" applyAlignment="1">
      <alignment vertical="center" wrapText="1"/>
    </xf>
    <xf numFmtId="179" fontId="101" fillId="0" borderId="5" xfId="1" applyNumberFormat="1" applyFont="1" applyFill="1" applyBorder="1" applyAlignment="1">
      <alignment horizontal="right" vertical="center"/>
    </xf>
    <xf numFmtId="179" fontId="101" fillId="0" borderId="0" xfId="1" applyNumberFormat="1" applyFont="1" applyFill="1" applyBorder="1" applyAlignment="1">
      <alignment horizontal="right" vertical="center"/>
    </xf>
    <xf numFmtId="179" fontId="101" fillId="0" borderId="7" xfId="9" applyNumberFormat="1" applyFont="1" applyBorder="1" applyAlignment="1">
      <alignment vertical="center"/>
    </xf>
    <xf numFmtId="179" fontId="34" fillId="0" borderId="5" xfId="1" applyNumberFormat="1" applyFont="1" applyFill="1" applyBorder="1" applyAlignment="1">
      <alignment horizontal="right" vertical="center"/>
    </xf>
    <xf numFmtId="179" fontId="34" fillId="0" borderId="0" xfId="1" applyNumberFormat="1" applyFont="1" applyFill="1" applyBorder="1" applyAlignment="1">
      <alignment horizontal="right" vertical="center"/>
    </xf>
    <xf numFmtId="179" fontId="34" fillId="0" borderId="7" xfId="9" applyNumberFormat="1" applyFont="1" applyBorder="1" applyAlignment="1">
      <alignment vertical="center"/>
    </xf>
    <xf numFmtId="179" fontId="104" fillId="0" borderId="5" xfId="9" applyNumberFormat="1" applyFont="1" applyBorder="1" applyAlignment="1">
      <alignment vertical="center"/>
    </xf>
    <xf numFmtId="179" fontId="104" fillId="0" borderId="0" xfId="9" applyNumberFormat="1" applyFont="1" applyAlignment="1">
      <alignment vertical="center"/>
    </xf>
    <xf numFmtId="179" fontId="101" fillId="0" borderId="0" xfId="9" applyNumberFormat="1" applyFont="1" applyAlignment="1">
      <alignment vertical="center"/>
    </xf>
    <xf numFmtId="179" fontId="72" fillId="0" borderId="5" xfId="9" applyNumberFormat="1" applyFont="1" applyBorder="1" applyAlignment="1">
      <alignment vertical="center"/>
    </xf>
    <xf numFmtId="179" fontId="72" fillId="0" borderId="0" xfId="9" applyNumberFormat="1" applyFont="1" applyAlignment="1">
      <alignment vertical="center"/>
    </xf>
    <xf numFmtId="179" fontId="34" fillId="0" borderId="0" xfId="9" applyNumberFormat="1" applyFont="1" applyAlignment="1">
      <alignment vertical="center"/>
    </xf>
    <xf numFmtId="179" fontId="46" fillId="15" borderId="3" xfId="9" applyNumberFormat="1" applyFont="1" applyFill="1" applyBorder="1" applyAlignment="1">
      <alignment vertical="center"/>
    </xf>
    <xf numFmtId="179" fontId="34" fillId="15" borderId="3" xfId="9" applyNumberFormat="1" applyFont="1" applyFill="1" applyBorder="1" applyAlignment="1">
      <alignment vertical="center"/>
    </xf>
    <xf numFmtId="179" fontId="34" fillId="15" borderId="4" xfId="9" applyNumberFormat="1" applyFont="1" applyFill="1" applyBorder="1" applyAlignment="1">
      <alignment vertical="center"/>
    </xf>
    <xf numFmtId="179" fontId="34" fillId="0" borderId="5" xfId="9" applyNumberFormat="1" applyFont="1" applyBorder="1" applyAlignment="1">
      <alignment vertical="center"/>
    </xf>
    <xf numFmtId="179" fontId="72" fillId="15" borderId="11" xfId="9" applyNumberFormat="1" applyFont="1" applyFill="1" applyBorder="1" applyAlignment="1">
      <alignment vertical="center"/>
    </xf>
    <xf numFmtId="179" fontId="72" fillId="15" borderId="3" xfId="9" applyNumberFormat="1" applyFont="1" applyFill="1" applyBorder="1" applyAlignment="1">
      <alignment vertical="center"/>
    </xf>
    <xf numFmtId="179" fontId="72" fillId="23" borderId="11" xfId="1" applyNumberFormat="1" applyFont="1" applyFill="1" applyBorder="1" applyAlignment="1">
      <alignment horizontal="right" vertical="center"/>
    </xf>
    <xf numFmtId="179" fontId="72" fillId="23" borderId="3" xfId="1" applyNumberFormat="1" applyFont="1" applyFill="1" applyBorder="1" applyAlignment="1">
      <alignment horizontal="right" vertical="center"/>
    </xf>
    <xf numFmtId="179" fontId="72" fillId="23" borderId="4" xfId="9" applyNumberFormat="1" applyFont="1" applyFill="1" applyBorder="1" applyAlignment="1">
      <alignment vertical="center"/>
    </xf>
    <xf numFmtId="179" fontId="129" fillId="15" borderId="3" xfId="0" applyNumberFormat="1" applyFont="1" applyFill="1" applyBorder="1"/>
    <xf numFmtId="179" fontId="129" fillId="0" borderId="0" xfId="0" applyNumberFormat="1" applyFont="1"/>
    <xf numFmtId="179" fontId="34" fillId="23" borderId="11" xfId="9" applyNumberFormat="1" applyFont="1" applyFill="1" applyBorder="1" applyAlignment="1">
      <alignment vertical="center"/>
    </xf>
    <xf numFmtId="179" fontId="34" fillId="23" borderId="3" xfId="9" applyNumberFormat="1" applyFont="1" applyFill="1" applyBorder="1" applyAlignment="1">
      <alignment vertical="center"/>
    </xf>
    <xf numFmtId="179" fontId="34" fillId="23" borderId="4" xfId="9" applyNumberFormat="1" applyFont="1" applyFill="1" applyBorder="1" applyAlignment="1">
      <alignment vertical="center"/>
    </xf>
    <xf numFmtId="179" fontId="46" fillId="15" borderId="4" xfId="9" applyNumberFormat="1" applyFont="1" applyFill="1" applyBorder="1" applyAlignment="1">
      <alignment vertical="center"/>
    </xf>
    <xf numFmtId="179" fontId="72" fillId="0" borderId="5" xfId="1" applyNumberFormat="1" applyFont="1" applyFill="1" applyBorder="1" applyAlignment="1">
      <alignment horizontal="right" vertical="center"/>
    </xf>
    <xf numFmtId="179" fontId="72" fillId="0" borderId="0" xfId="1" applyNumberFormat="1" applyFont="1" applyFill="1" applyBorder="1" applyAlignment="1">
      <alignment horizontal="right" vertical="center"/>
    </xf>
    <xf numFmtId="179" fontId="72" fillId="0" borderId="7" xfId="9" applyNumberFormat="1" applyFont="1" applyBorder="1" applyAlignment="1">
      <alignment vertical="center"/>
    </xf>
    <xf numFmtId="179" fontId="34" fillId="15" borderId="11" xfId="1" applyNumberFormat="1" applyFont="1" applyFill="1" applyBorder="1" applyAlignment="1">
      <alignment horizontal="right" vertical="center"/>
    </xf>
    <xf numFmtId="179" fontId="34" fillId="15" borderId="3" xfId="1" applyNumberFormat="1" applyFont="1" applyFill="1" applyBorder="1" applyAlignment="1">
      <alignment horizontal="right" vertical="center"/>
    </xf>
    <xf numFmtId="179" fontId="101" fillId="15" borderId="4" xfId="9" applyNumberFormat="1" applyFont="1" applyFill="1" applyBorder="1" applyAlignment="1">
      <alignment vertical="center"/>
    </xf>
    <xf numFmtId="179" fontId="34" fillId="4" borderId="5" xfId="33" applyNumberFormat="1" applyFont="1" applyFill="1" applyBorder="1" applyAlignment="1">
      <alignment horizontal="center" vertical="center"/>
    </xf>
    <xf numFmtId="179" fontId="34" fillId="4" borderId="0" xfId="33" applyNumberFormat="1" applyFont="1" applyFill="1" applyBorder="1" applyAlignment="1">
      <alignment horizontal="center" vertical="center"/>
    </xf>
    <xf numFmtId="179" fontId="34" fillId="0" borderId="5" xfId="33" applyNumberFormat="1" applyFont="1" applyFill="1" applyBorder="1" applyAlignment="1">
      <alignment horizontal="center" vertical="center"/>
    </xf>
    <xf numFmtId="179" fontId="34" fillId="0" borderId="0" xfId="33" applyNumberFormat="1" applyFont="1" applyFill="1" applyBorder="1" applyAlignment="1">
      <alignment horizontal="center" vertical="center"/>
    </xf>
    <xf numFmtId="179" fontId="34" fillId="0" borderId="7" xfId="33" applyNumberFormat="1" applyFont="1" applyFill="1" applyBorder="1" applyAlignment="1">
      <alignment horizontal="center" vertical="center"/>
    </xf>
    <xf numFmtId="179" fontId="34" fillId="15" borderId="11" xfId="9" applyNumberFormat="1" applyFont="1" applyFill="1" applyBorder="1" applyAlignment="1">
      <alignment vertical="center"/>
    </xf>
    <xf numFmtId="179" fontId="72" fillId="15" borderId="11" xfId="1" applyNumberFormat="1" applyFont="1" applyFill="1" applyBorder="1" applyAlignment="1">
      <alignment horizontal="right" vertical="center"/>
    </xf>
    <xf numFmtId="179" fontId="72" fillId="15" borderId="3" xfId="1" applyNumberFormat="1" applyFont="1" applyFill="1" applyBorder="1" applyAlignment="1">
      <alignment horizontal="right" vertical="center"/>
    </xf>
    <xf numFmtId="179" fontId="72" fillId="15" borderId="4" xfId="9" applyNumberFormat="1" applyFont="1" applyFill="1" applyBorder="1" applyAlignment="1">
      <alignment vertical="center"/>
    </xf>
    <xf numFmtId="179" fontId="46" fillId="0" borderId="5" xfId="9" applyNumberFormat="1" applyFont="1" applyBorder="1" applyAlignment="1">
      <alignment vertical="center"/>
    </xf>
    <xf numFmtId="179" fontId="46" fillId="0" borderId="0" xfId="9" applyNumberFormat="1" applyFont="1" applyAlignment="1">
      <alignment vertical="center"/>
    </xf>
    <xf numFmtId="179" fontId="101" fillId="0" borderId="5" xfId="9" applyNumberFormat="1" applyFont="1" applyBorder="1" applyAlignment="1">
      <alignment vertical="center"/>
    </xf>
    <xf numFmtId="165" fontId="34" fillId="4" borderId="7" xfId="1" applyFont="1" applyFill="1" applyBorder="1" applyAlignment="1">
      <alignment vertical="center"/>
    </xf>
    <xf numFmtId="43" fontId="104" fillId="4" borderId="5" xfId="0" applyNumberFormat="1" applyFont="1" applyFill="1" applyBorder="1" applyAlignment="1">
      <alignment vertical="center" wrapText="1"/>
    </xf>
    <xf numFmtId="43" fontId="104" fillId="4" borderId="0" xfId="0" applyNumberFormat="1" applyFont="1" applyFill="1" applyAlignment="1">
      <alignment vertical="center" wrapText="1"/>
    </xf>
    <xf numFmtId="43" fontId="46" fillId="14" borderId="6" xfId="0" applyNumberFormat="1" applyFont="1" applyFill="1" applyBorder="1" applyAlignment="1">
      <alignment vertical="center" wrapText="1"/>
    </xf>
    <xf numFmtId="43" fontId="46" fillId="14" borderId="8" xfId="0" applyNumberFormat="1" applyFont="1" applyFill="1" applyBorder="1" applyAlignment="1">
      <alignment vertical="center" wrapText="1"/>
    </xf>
    <xf numFmtId="0" fontId="46" fillId="15" borderId="4" xfId="9" applyFont="1" applyFill="1" applyBorder="1" applyAlignment="1">
      <alignment horizontal="left" vertical="center"/>
    </xf>
    <xf numFmtId="0" fontId="149" fillId="0" borderId="0" xfId="0" applyFont="1" applyAlignment="1">
      <alignment vertical="center"/>
    </xf>
    <xf numFmtId="170" fontId="148" fillId="0" borderId="0" xfId="0" applyNumberFormat="1" applyFont="1" applyAlignment="1">
      <alignment vertical="center" wrapText="1"/>
    </xf>
    <xf numFmtId="0" fontId="95" fillId="0" borderId="0" xfId="0" applyFont="1" applyAlignment="1">
      <alignment vertical="top"/>
    </xf>
    <xf numFmtId="165" fontId="36" fillId="4" borderId="2" xfId="1" applyFont="1" applyFill="1" applyBorder="1" applyAlignment="1">
      <alignment horizontal="center" vertical="center"/>
    </xf>
    <xf numFmtId="0" fontId="36" fillId="0" borderId="2" xfId="0" applyFont="1" applyBorder="1"/>
    <xf numFmtId="41" fontId="93" fillId="0" borderId="13" xfId="33" applyNumberFormat="1" applyFont="1" applyFill="1" applyBorder="1" applyAlignment="1">
      <alignment horizontal="center" vertical="center" wrapText="1"/>
    </xf>
    <xf numFmtId="0" fontId="127" fillId="0" borderId="0" xfId="0" applyFont="1" applyAlignment="1">
      <alignment horizontal="right" vertical="center"/>
    </xf>
    <xf numFmtId="165" fontId="127" fillId="0" borderId="0" xfId="0" applyNumberFormat="1" applyFont="1" applyAlignment="1">
      <alignment vertical="center"/>
    </xf>
    <xf numFmtId="43" fontId="34" fillId="0" borderId="5" xfId="0" applyNumberFormat="1" applyFont="1" applyBorder="1" applyAlignment="1">
      <alignment wrapText="1"/>
    </xf>
    <xf numFmtId="43" fontId="34" fillId="0" borderId="0" xfId="0" applyNumberFormat="1" applyFont="1" applyAlignment="1">
      <alignment wrapText="1"/>
    </xf>
    <xf numFmtId="165" fontId="101" fillId="0" borderId="7" xfId="1" applyFont="1" applyFill="1" applyBorder="1" applyAlignment="1"/>
    <xf numFmtId="166" fontId="105" fillId="0" borderId="0" xfId="8" applyNumberFormat="1" applyFont="1" applyFill="1" applyAlignment="1"/>
    <xf numFmtId="165" fontId="106" fillId="0" borderId="5" xfId="8" applyNumberFormat="1" applyFont="1" applyFill="1" applyBorder="1" applyAlignment="1"/>
    <xf numFmtId="165" fontId="106" fillId="0" borderId="0" xfId="8" applyNumberFormat="1" applyFont="1" applyFill="1" applyBorder="1" applyAlignment="1"/>
    <xf numFmtId="165" fontId="106" fillId="0" borderId="7" xfId="8" applyNumberFormat="1" applyFont="1" applyFill="1" applyBorder="1" applyAlignment="1"/>
    <xf numFmtId="165" fontId="106" fillId="0" borderId="0" xfId="1" applyFont="1" applyFill="1" applyAlignment="1"/>
    <xf numFmtId="4" fontId="36" fillId="0" borderId="13" xfId="0" applyNumberFormat="1" applyFont="1" applyBorder="1" applyAlignment="1">
      <alignment horizontal="center" vertical="center" shrinkToFit="1"/>
    </xf>
    <xf numFmtId="165" fontId="53" fillId="0" borderId="13" xfId="1" applyFont="1" applyBorder="1" applyAlignment="1">
      <alignment horizontal="right" vertical="center" shrinkToFit="1"/>
    </xf>
    <xf numFmtId="165" fontId="42" fillId="0" borderId="0" xfId="1" applyFont="1" applyFill="1" applyBorder="1" applyAlignment="1">
      <alignment horizontal="right" vertical="center" shrinkToFit="1"/>
    </xf>
    <xf numFmtId="182" fontId="48" fillId="2" borderId="5" xfId="8" applyNumberFormat="1" applyFont="1" applyFill="1" applyBorder="1" applyAlignment="1">
      <alignment vertical="center" shrinkToFit="1"/>
    </xf>
    <xf numFmtId="182" fontId="48" fillId="2" borderId="0" xfId="8" applyNumberFormat="1" applyFont="1" applyFill="1" applyBorder="1" applyAlignment="1">
      <alignment vertical="center" shrinkToFit="1"/>
    </xf>
    <xf numFmtId="10" fontId="48" fillId="2" borderId="0" xfId="8" applyNumberFormat="1" applyFont="1" applyFill="1" applyBorder="1" applyAlignment="1">
      <alignment vertical="center" shrinkToFit="1"/>
    </xf>
    <xf numFmtId="49" fontId="36" fillId="0" borderId="0" xfId="5" applyNumberFormat="1" applyFont="1" applyAlignment="1">
      <alignment vertical="center"/>
    </xf>
    <xf numFmtId="0" fontId="36" fillId="0" borderId="0" xfId="0" applyFont="1" applyAlignment="1">
      <alignment horizontal="left" vertical="center"/>
    </xf>
    <xf numFmtId="49" fontId="36" fillId="0" borderId="0" xfId="9" applyNumberFormat="1" applyFont="1" applyAlignment="1">
      <alignment horizontal="left" vertical="center"/>
    </xf>
    <xf numFmtId="172" fontId="96" fillId="0" borderId="7" xfId="9" applyNumberFormat="1" applyFont="1" applyBorder="1" applyAlignment="1">
      <alignment vertical="center"/>
    </xf>
    <xf numFmtId="165" fontId="108" fillId="0" borderId="7" xfId="1" applyFont="1" applyFill="1" applyBorder="1" applyAlignment="1">
      <alignment vertical="center"/>
    </xf>
    <xf numFmtId="166" fontId="157" fillId="0" borderId="0" xfId="8" applyNumberFormat="1" applyFont="1" applyFill="1" applyAlignment="1">
      <alignment vertical="center"/>
    </xf>
    <xf numFmtId="165" fontId="108" fillId="0" borderId="0" xfId="8" applyNumberFormat="1" applyFont="1" applyFill="1" applyBorder="1" applyAlignment="1">
      <alignment vertical="center"/>
    </xf>
    <xf numFmtId="165" fontId="108" fillId="0" borderId="7" xfId="8" applyNumberFormat="1" applyFont="1" applyFill="1" applyBorder="1" applyAlignment="1">
      <alignment vertical="center"/>
    </xf>
    <xf numFmtId="165" fontId="108" fillId="0" borderId="0" xfId="1" applyFont="1" applyFill="1" applyAlignment="1">
      <alignment vertical="center"/>
    </xf>
    <xf numFmtId="165" fontId="108" fillId="0" borderId="5" xfId="8" applyNumberFormat="1" applyFont="1" applyFill="1" applyBorder="1" applyAlignment="1">
      <alignment vertical="center"/>
    </xf>
    <xf numFmtId="0" fontId="158" fillId="0" borderId="0" xfId="0" applyFont="1" applyAlignment="1">
      <alignment vertical="center"/>
    </xf>
    <xf numFmtId="172" fontId="108" fillId="0" borderId="0" xfId="1" applyNumberFormat="1" applyFont="1" applyFill="1" applyBorder="1" applyAlignment="1">
      <alignment horizontal="right" vertical="center"/>
    </xf>
    <xf numFmtId="0" fontId="103" fillId="0" borderId="0" xfId="0" applyFont="1" applyAlignment="1">
      <alignment vertical="center"/>
    </xf>
    <xf numFmtId="0" fontId="159" fillId="0" borderId="0" xfId="0" applyFont="1" applyAlignment="1">
      <alignment vertical="center"/>
    </xf>
    <xf numFmtId="0" fontId="0" fillId="0" borderId="0" xfId="0" applyAlignment="1">
      <alignment vertical="center"/>
    </xf>
    <xf numFmtId="170" fontId="101" fillId="15" borderId="0" xfId="0" applyNumberFormat="1" applyFont="1" applyFill="1" applyAlignment="1">
      <alignment vertical="center" wrapText="1"/>
    </xf>
    <xf numFmtId="0" fontId="161" fillId="0" borderId="0" xfId="0" applyFont="1"/>
    <xf numFmtId="0" fontId="165" fillId="0" borderId="0" xfId="0" applyFont="1" applyAlignment="1">
      <alignment vertical="center"/>
    </xf>
    <xf numFmtId="0" fontId="165" fillId="0" borderId="12" xfId="0" applyFont="1" applyBorder="1" applyAlignment="1">
      <alignment vertical="center"/>
    </xf>
    <xf numFmtId="0" fontId="165" fillId="0" borderId="12" xfId="0" applyFont="1" applyBorder="1" applyAlignment="1">
      <alignment vertical="center" wrapText="1"/>
    </xf>
    <xf numFmtId="43" fontId="164" fillId="0" borderId="12" xfId="0" applyNumberFormat="1" applyFont="1" applyBorder="1" applyAlignment="1">
      <alignment vertical="center"/>
    </xf>
    <xf numFmtId="43" fontId="166" fillId="5" borderId="4" xfId="0" applyNumberFormat="1" applyFont="1" applyFill="1" applyBorder="1" applyAlignment="1">
      <alignment vertical="center"/>
    </xf>
    <xf numFmtId="43" fontId="166" fillId="5" borderId="12" xfId="0" applyNumberFormat="1" applyFont="1" applyFill="1" applyBorder="1" applyAlignment="1">
      <alignment vertical="center"/>
    </xf>
    <xf numFmtId="43" fontId="163" fillId="6" borderId="12" xfId="0" applyNumberFormat="1" applyFont="1" applyFill="1" applyBorder="1" applyAlignment="1">
      <alignment horizontal="right" vertical="center"/>
    </xf>
    <xf numFmtId="0" fontId="162" fillId="8" borderId="12" xfId="0" applyFont="1" applyFill="1" applyBorder="1" applyAlignment="1">
      <alignment horizontal="center" vertical="center"/>
    </xf>
    <xf numFmtId="0" fontId="163" fillId="8" borderId="12" xfId="0" applyFont="1" applyFill="1" applyBorder="1" applyAlignment="1">
      <alignment horizontal="center" vertical="center"/>
    </xf>
    <xf numFmtId="2" fontId="101" fillId="0" borderId="7" xfId="0" applyNumberFormat="1" applyFont="1" applyBorder="1" applyAlignment="1">
      <alignment vertical="center" wrapText="1"/>
    </xf>
    <xf numFmtId="0" fontId="169" fillId="0" borderId="0" xfId="0" applyFont="1" applyAlignment="1">
      <alignment vertical="center"/>
    </xf>
    <xf numFmtId="0" fontId="173" fillId="0" borderId="0" xfId="0" applyFont="1" applyAlignment="1">
      <alignment vertical="center"/>
    </xf>
    <xf numFmtId="0" fontId="169" fillId="4" borderId="0" xfId="0" applyFont="1" applyFill="1" applyAlignment="1">
      <alignment vertical="center"/>
    </xf>
    <xf numFmtId="0" fontId="172" fillId="0" borderId="0" xfId="0" applyFont="1" applyAlignment="1">
      <alignment vertical="center"/>
    </xf>
    <xf numFmtId="172" fontId="169" fillId="0" borderId="0" xfId="1" applyNumberFormat="1" applyFont="1" applyFill="1" applyBorder="1" applyAlignment="1">
      <alignment horizontal="right" vertical="center"/>
    </xf>
    <xf numFmtId="170" fontId="34" fillId="0" borderId="0" xfId="0" applyNumberFormat="1" applyFont="1" applyAlignment="1">
      <alignment vertical="center" wrapText="1"/>
    </xf>
    <xf numFmtId="179" fontId="148" fillId="0" borderId="5" xfId="9" applyNumberFormat="1" applyFont="1" applyBorder="1" applyAlignment="1">
      <alignment vertical="center"/>
    </xf>
    <xf numFmtId="0" fontId="34" fillId="0" borderId="0" xfId="0" applyFont="1" applyAlignment="1">
      <alignment horizontal="left" wrapText="1"/>
    </xf>
    <xf numFmtId="173" fontId="106" fillId="0" borderId="5" xfId="8" applyNumberFormat="1" applyFont="1" applyFill="1" applyBorder="1" applyAlignment="1">
      <alignment vertical="center"/>
    </xf>
    <xf numFmtId="0" fontId="30" fillId="0" borderId="1" xfId="0" applyFont="1" applyBorder="1"/>
    <xf numFmtId="0" fontId="30" fillId="0" borderId="15" xfId="0" applyFont="1" applyBorder="1"/>
    <xf numFmtId="0" fontId="37" fillId="0" borderId="13" xfId="0" applyFont="1" applyBorder="1" applyAlignment="1">
      <alignment horizontal="center" vertical="center"/>
    </xf>
    <xf numFmtId="0" fontId="44" fillId="7" borderId="0" xfId="0" applyFont="1" applyFill="1" applyAlignment="1">
      <alignment horizontal="center"/>
    </xf>
    <xf numFmtId="0" fontId="55" fillId="0" borderId="8" xfId="0" applyFont="1" applyBorder="1" applyAlignment="1">
      <alignment horizontal="center" vertical="center"/>
    </xf>
    <xf numFmtId="0" fontId="70" fillId="0" borderId="14" xfId="0" applyFont="1" applyBorder="1" applyAlignment="1">
      <alignment horizontal="center" vertical="center"/>
    </xf>
    <xf numFmtId="3" fontId="36" fillId="14" borderId="0" xfId="0" applyNumberFormat="1" applyFont="1" applyFill="1"/>
    <xf numFmtId="3" fontId="37" fillId="14" borderId="0" xfId="0" applyNumberFormat="1" applyFont="1" applyFill="1"/>
    <xf numFmtId="0" fontId="36" fillId="0" borderId="5" xfId="0" applyFont="1" applyBorder="1" applyAlignment="1">
      <alignment horizontal="center" vertical="center"/>
    </xf>
    <xf numFmtId="0" fontId="37" fillId="0" borderId="1" xfId="0" applyFont="1" applyBorder="1"/>
    <xf numFmtId="0" fontId="36" fillId="0" borderId="10" xfId="0" applyFont="1" applyBorder="1"/>
    <xf numFmtId="170" fontId="36" fillId="0" borderId="0" xfId="0" applyNumberFormat="1" applyFont="1"/>
    <xf numFmtId="3" fontId="36" fillId="4" borderId="0" xfId="0" applyNumberFormat="1" applyFont="1" applyFill="1"/>
    <xf numFmtId="0" fontId="41" fillId="2" borderId="13" xfId="0" applyFont="1" applyFill="1" applyBorder="1" applyAlignment="1">
      <alignment horizontal="center" vertical="center"/>
    </xf>
    <xf numFmtId="0" fontId="49" fillId="2" borderId="13" xfId="0" applyFont="1" applyFill="1" applyBorder="1" applyAlignment="1">
      <alignment horizontal="center" vertical="center"/>
    </xf>
    <xf numFmtId="169" fontId="37" fillId="0" borderId="5" xfId="0" applyNumberFormat="1" applyFont="1" applyBorder="1"/>
    <xf numFmtId="0" fontId="61" fillId="0" borderId="0" xfId="0" applyFont="1"/>
    <xf numFmtId="171" fontId="36" fillId="0" borderId="0" xfId="1" applyNumberFormat="1" applyFont="1" applyBorder="1"/>
    <xf numFmtId="169" fontId="43" fillId="0" borderId="0" xfId="0" applyNumberFormat="1" applyFont="1"/>
    <xf numFmtId="169" fontId="43" fillId="0" borderId="7" xfId="0" applyNumberFormat="1" applyFont="1" applyBorder="1"/>
    <xf numFmtId="0" fontId="42" fillId="4" borderId="0" xfId="0" applyFont="1" applyFill="1"/>
    <xf numFmtId="0" fontId="34" fillId="18" borderId="5" xfId="0" applyFont="1" applyFill="1" applyBorder="1" applyAlignment="1">
      <alignment vertical="center"/>
    </xf>
    <xf numFmtId="0" fontId="36" fillId="18" borderId="0" xfId="0" applyFont="1" applyFill="1"/>
    <xf numFmtId="164" fontId="36" fillId="18" borderId="13" xfId="1" applyNumberFormat="1" applyFont="1" applyFill="1" applyBorder="1" applyAlignment="1">
      <alignment horizontal="center"/>
    </xf>
    <xf numFmtId="4" fontId="36" fillId="18" borderId="5" xfId="0" applyNumberFormat="1" applyFont="1" applyFill="1" applyBorder="1"/>
    <xf numFmtId="4" fontId="36" fillId="18" borderId="0" xfId="0" applyNumberFormat="1" applyFont="1" applyFill="1"/>
    <xf numFmtId="4" fontId="36" fillId="18" borderId="7" xfId="0" applyNumberFormat="1" applyFont="1" applyFill="1" applyBorder="1"/>
    <xf numFmtId="165" fontId="36" fillId="18" borderId="5" xfId="1" applyFont="1" applyFill="1" applyBorder="1"/>
    <xf numFmtId="165" fontId="36" fillId="18" borderId="0" xfId="1" applyFont="1" applyFill="1" applyBorder="1"/>
    <xf numFmtId="166" fontId="37" fillId="18" borderId="5" xfId="8" applyNumberFormat="1" applyFont="1" applyFill="1" applyBorder="1"/>
    <xf numFmtId="166" fontId="37" fillId="18" borderId="0" xfId="8" applyNumberFormat="1" applyFont="1" applyFill="1" applyBorder="1"/>
    <xf numFmtId="166" fontId="37" fillId="18" borderId="7" xfId="8" applyNumberFormat="1" applyFont="1" applyFill="1" applyBorder="1"/>
    <xf numFmtId="4" fontId="37" fillId="18" borderId="5" xfId="0" applyNumberFormat="1" applyFont="1" applyFill="1" applyBorder="1"/>
    <xf numFmtId="0" fontId="41" fillId="0" borderId="14" xfId="0" applyFont="1" applyBorder="1" applyAlignment="1">
      <alignment horizontal="center" vertical="center"/>
    </xf>
    <xf numFmtId="0" fontId="49" fillId="0" borderId="14" xfId="0" applyFont="1" applyBorder="1" applyAlignment="1">
      <alignment horizontal="center" vertical="center"/>
    </xf>
    <xf numFmtId="0" fontId="46" fillId="0" borderId="6" xfId="0" applyFont="1" applyBorder="1" applyAlignment="1">
      <alignment vertical="center"/>
    </xf>
    <xf numFmtId="0" fontId="36" fillId="0" borderId="6" xfId="0" applyFont="1" applyBorder="1"/>
    <xf numFmtId="164" fontId="36" fillId="0" borderId="14" xfId="1" applyNumberFormat="1" applyFont="1" applyFill="1" applyBorder="1" applyAlignment="1">
      <alignment horizontal="center"/>
    </xf>
    <xf numFmtId="170" fontId="36" fillId="0" borderId="14" xfId="0" applyNumberFormat="1" applyFont="1" applyBorder="1"/>
    <xf numFmtId="4" fontId="36" fillId="0" borderId="8" xfId="0" applyNumberFormat="1" applyFont="1" applyBorder="1"/>
    <xf numFmtId="4" fontId="36" fillId="0" borderId="6" xfId="0" applyNumberFormat="1" applyFont="1" applyBorder="1"/>
    <xf numFmtId="4" fontId="36" fillId="0" borderId="9" xfId="0" applyNumberFormat="1" applyFont="1" applyBorder="1"/>
    <xf numFmtId="165" fontId="36" fillId="0" borderId="8" xfId="1" applyFont="1" applyBorder="1"/>
    <xf numFmtId="165" fontId="36" fillId="0" borderId="6" xfId="1" applyFont="1" applyBorder="1"/>
    <xf numFmtId="165" fontId="37" fillId="0" borderId="9" xfId="1" applyFont="1" applyBorder="1"/>
    <xf numFmtId="166" fontId="37" fillId="0" borderId="8" xfId="8" applyNumberFormat="1" applyFont="1" applyFill="1" applyBorder="1"/>
    <xf numFmtId="166" fontId="37" fillId="0" borderId="6" xfId="8" applyNumberFormat="1" applyFont="1" applyFill="1" applyBorder="1"/>
    <xf numFmtId="166" fontId="37" fillId="0" borderId="9" xfId="8" applyNumberFormat="1" applyFont="1" applyFill="1" applyBorder="1"/>
    <xf numFmtId="0" fontId="46" fillId="18" borderId="0" xfId="0" applyFont="1" applyFill="1" applyAlignment="1">
      <alignment vertical="center"/>
    </xf>
    <xf numFmtId="0" fontId="36" fillId="0" borderId="13" xfId="0" applyFont="1" applyBorder="1"/>
    <xf numFmtId="0" fontId="37" fillId="0" borderId="5" xfId="0" applyFont="1" applyBorder="1"/>
    <xf numFmtId="165" fontId="36" fillId="0" borderId="13" xfId="1" applyFont="1" applyBorder="1"/>
    <xf numFmtId="165" fontId="36" fillId="0" borderId="13" xfId="1" applyFont="1" applyFill="1" applyBorder="1"/>
    <xf numFmtId="170" fontId="36" fillId="0" borderId="7" xfId="0" applyNumberFormat="1" applyFont="1" applyBorder="1"/>
    <xf numFmtId="9" fontId="37" fillId="0" borderId="0" xfId="8" applyFont="1" applyFill="1" applyBorder="1"/>
    <xf numFmtId="9" fontId="37" fillId="0" borderId="7" xfId="8" applyFont="1" applyFill="1" applyBorder="1"/>
    <xf numFmtId="0" fontId="41" fillId="9" borderId="13" xfId="0" applyFont="1" applyFill="1" applyBorder="1" applyAlignment="1">
      <alignment horizontal="center" vertical="center"/>
    </xf>
    <xf numFmtId="0" fontId="49" fillId="9" borderId="13" xfId="0" applyFont="1" applyFill="1" applyBorder="1" applyAlignment="1">
      <alignment horizontal="center" vertical="center"/>
    </xf>
    <xf numFmtId="0" fontId="46" fillId="9" borderId="5" xfId="0" applyFont="1" applyFill="1" applyBorder="1" applyAlignment="1">
      <alignment vertical="center"/>
    </xf>
    <xf numFmtId="0" fontId="36" fillId="9" borderId="0" xfId="0" applyFont="1" applyFill="1"/>
    <xf numFmtId="164" fontId="36" fillId="9" borderId="13" xfId="1" applyNumberFormat="1" applyFont="1" applyFill="1" applyBorder="1" applyAlignment="1">
      <alignment horizontal="center"/>
    </xf>
    <xf numFmtId="4" fontId="36" fillId="9" borderId="5" xfId="0" applyNumberFormat="1" applyFont="1" applyFill="1" applyBorder="1"/>
    <xf numFmtId="4" fontId="36" fillId="9" borderId="0" xfId="0" applyNumberFormat="1" applyFont="1" applyFill="1"/>
    <xf numFmtId="4" fontId="36" fillId="9" borderId="7" xfId="0" applyNumberFormat="1" applyFont="1" applyFill="1" applyBorder="1"/>
    <xf numFmtId="165" fontId="37" fillId="9" borderId="5" xfId="1" applyFont="1" applyFill="1" applyBorder="1"/>
    <xf numFmtId="165" fontId="37" fillId="9" borderId="0" xfId="1" applyFont="1" applyFill="1" applyBorder="1"/>
    <xf numFmtId="166" fontId="37" fillId="9" borderId="5" xfId="8" applyNumberFormat="1" applyFont="1" applyFill="1" applyBorder="1"/>
    <xf numFmtId="166" fontId="37" fillId="9" borderId="0" xfId="8" applyNumberFormat="1" applyFont="1" applyFill="1" applyBorder="1"/>
    <xf numFmtId="166" fontId="37" fillId="9" borderId="7" xfId="8" applyNumberFormat="1" applyFont="1" applyFill="1" applyBorder="1"/>
    <xf numFmtId="165" fontId="36" fillId="0" borderId="9" xfId="1" applyFont="1" applyBorder="1"/>
    <xf numFmtId="43" fontId="36" fillId="0" borderId="0" xfId="0" applyNumberFormat="1" applyFont="1"/>
    <xf numFmtId="4" fontId="42" fillId="0" borderId="7" xfId="0" applyNumberFormat="1" applyFont="1" applyBorder="1"/>
    <xf numFmtId="0" fontId="88" fillId="0" borderId="0" xfId="0" applyFont="1"/>
    <xf numFmtId="165" fontId="37" fillId="6" borderId="0" xfId="1" applyFont="1" applyFill="1" applyBorder="1" applyAlignment="1">
      <alignment vertical="center"/>
    </xf>
    <xf numFmtId="3" fontId="36" fillId="22" borderId="0" xfId="0" applyNumberFormat="1" applyFont="1" applyFill="1" applyAlignment="1">
      <alignment vertical="center"/>
    </xf>
    <xf numFmtId="0" fontId="36" fillId="22" borderId="5" xfId="0" applyFont="1" applyFill="1" applyBorder="1" applyAlignment="1">
      <alignment horizontal="center" vertical="center"/>
    </xf>
    <xf numFmtId="0" fontId="36" fillId="22" borderId="13" xfId="0" applyFont="1" applyFill="1" applyBorder="1" applyAlignment="1">
      <alignment horizontal="center" vertical="center"/>
    </xf>
    <xf numFmtId="0" fontId="36" fillId="22" borderId="0" xfId="0" applyFont="1" applyFill="1" applyAlignment="1">
      <alignment horizontal="center" vertical="center"/>
    </xf>
    <xf numFmtId="0" fontId="36" fillId="8" borderId="13" xfId="0" applyFont="1" applyFill="1" applyBorder="1" applyAlignment="1">
      <alignment horizontal="right"/>
    </xf>
    <xf numFmtId="3" fontId="36" fillId="8" borderId="13" xfId="0" applyNumberFormat="1" applyFont="1" applyFill="1" applyBorder="1"/>
    <xf numFmtId="3" fontId="36" fillId="8" borderId="5" xfId="0" applyNumberFormat="1" applyFont="1" applyFill="1" applyBorder="1"/>
    <xf numFmtId="3" fontId="36" fillId="8" borderId="0" xfId="0" applyNumberFormat="1" applyFont="1" applyFill="1"/>
    <xf numFmtId="3" fontId="36" fillId="8" borderId="0" xfId="0" applyNumberFormat="1" applyFont="1" applyFill="1" applyAlignment="1">
      <alignment vertical="center"/>
    </xf>
    <xf numFmtId="3" fontId="37" fillId="8" borderId="7" xfId="0" applyNumberFormat="1" applyFont="1" applyFill="1" applyBorder="1"/>
    <xf numFmtId="3" fontId="36" fillId="10" borderId="0" xfId="0" applyNumberFormat="1" applyFont="1" applyFill="1" applyAlignment="1">
      <alignment vertical="center"/>
    </xf>
    <xf numFmtId="0" fontId="37" fillId="10" borderId="7" xfId="25" applyFont="1" applyFill="1" applyBorder="1" applyAlignment="1">
      <alignment horizontal="right"/>
    </xf>
    <xf numFmtId="0" fontId="37" fillId="0" borderId="7" xfId="25" applyFont="1" applyBorder="1" applyAlignment="1">
      <alignment horizontal="right"/>
    </xf>
    <xf numFmtId="9" fontId="37" fillId="0" borderId="5" xfId="8" applyFont="1" applyFill="1" applyBorder="1"/>
    <xf numFmtId="0" fontId="30" fillId="10" borderId="8" xfId="0" applyFont="1" applyFill="1" applyBorder="1"/>
    <xf numFmtId="0" fontId="30" fillId="10" borderId="14" xfId="0" applyFont="1" applyFill="1" applyBorder="1"/>
    <xf numFmtId="0" fontId="30" fillId="10" borderId="6" xfId="0" applyFont="1" applyFill="1" applyBorder="1"/>
    <xf numFmtId="0" fontId="37" fillId="6" borderId="4" xfId="25" applyFont="1" applyFill="1" applyBorder="1" applyAlignment="1">
      <alignment horizontal="right"/>
    </xf>
    <xf numFmtId="0" fontId="174" fillId="0" borderId="0" xfId="0" applyFont="1"/>
    <xf numFmtId="3" fontId="70" fillId="4" borderId="12" xfId="0" applyNumberFormat="1" applyFont="1" applyFill="1" applyBorder="1"/>
    <xf numFmtId="0" fontId="175" fillId="0" borderId="12" xfId="0" applyFont="1" applyBorder="1" applyAlignment="1">
      <alignment horizontal="right" vertical="center"/>
    </xf>
    <xf numFmtId="0" fontId="36" fillId="19" borderId="12" xfId="0" applyFont="1" applyFill="1" applyBorder="1" applyAlignment="1">
      <alignment horizontal="center" vertical="center"/>
    </xf>
    <xf numFmtId="3" fontId="32" fillId="0" borderId="0" xfId="0" applyNumberFormat="1" applyFont="1"/>
    <xf numFmtId="43" fontId="36" fillId="0" borderId="0" xfId="0" applyNumberFormat="1" applyFont="1" applyAlignment="1">
      <alignment horizontal="center" vertical="center"/>
    </xf>
    <xf numFmtId="43" fontId="40" fillId="0" borderId="0" xfId="0" applyNumberFormat="1" applyFont="1"/>
    <xf numFmtId="2" fontId="36" fillId="0" borderId="0" xfId="0" applyNumberFormat="1" applyFont="1"/>
    <xf numFmtId="3" fontId="30" fillId="4" borderId="12" xfId="0" applyNumberFormat="1" applyFont="1" applyFill="1" applyBorder="1"/>
    <xf numFmtId="0" fontId="36" fillId="0" borderId="12" xfId="0" applyFont="1" applyBorder="1" applyAlignment="1">
      <alignment horizontal="right" vertical="center"/>
    </xf>
    <xf numFmtId="3" fontId="70" fillId="0" borderId="12" xfId="0" applyNumberFormat="1" applyFont="1" applyBorder="1"/>
    <xf numFmtId="0" fontId="54" fillId="0" borderId="12" xfId="0" applyFont="1" applyBorder="1" applyAlignment="1">
      <alignment horizontal="right" vertical="center"/>
    </xf>
    <xf numFmtId="165" fontId="53" fillId="18" borderId="12" xfId="1" applyFont="1" applyFill="1" applyBorder="1" applyAlignment="1">
      <alignment vertical="center"/>
    </xf>
    <xf numFmtId="0" fontId="31" fillId="0" borderId="42" xfId="0" applyFont="1" applyBorder="1"/>
    <xf numFmtId="0" fontId="54" fillId="0" borderId="0" xfId="0" applyFont="1" applyAlignment="1">
      <alignment horizontal="center"/>
    </xf>
    <xf numFmtId="43" fontId="75" fillId="0" borderId="0" xfId="0" applyNumberFormat="1" applyFont="1"/>
    <xf numFmtId="0" fontId="32" fillId="0" borderId="12" xfId="0" applyFont="1" applyBorder="1"/>
    <xf numFmtId="3" fontId="37" fillId="8" borderId="12" xfId="0" applyNumberFormat="1" applyFont="1" applyFill="1" applyBorder="1" applyAlignment="1">
      <alignment horizontal="center"/>
    </xf>
    <xf numFmtId="0" fontId="30" fillId="0" borderId="12" xfId="0" applyFont="1" applyBorder="1"/>
    <xf numFmtId="4" fontId="30" fillId="0" borderId="12" xfId="0" applyNumberFormat="1" applyFont="1" applyBorder="1"/>
    <xf numFmtId="0" fontId="30" fillId="9" borderId="12" xfId="0" applyFont="1" applyFill="1" applyBorder="1"/>
    <xf numFmtId="4" fontId="30" fillId="9" borderId="12" xfId="0" applyNumberFormat="1" applyFont="1" applyFill="1" applyBorder="1"/>
    <xf numFmtId="0" fontId="75" fillId="0" borderId="0" xfId="0" applyFont="1"/>
    <xf numFmtId="169" fontId="75" fillId="0" borderId="0" xfId="0" applyNumberFormat="1" applyFont="1"/>
    <xf numFmtId="3" fontId="36" fillId="8" borderId="12" xfId="0" applyNumberFormat="1" applyFont="1" applyFill="1" applyBorder="1" applyAlignment="1">
      <alignment horizontal="center"/>
    </xf>
    <xf numFmtId="165" fontId="30" fillId="0" borderId="12" xfId="1" applyFont="1" applyBorder="1"/>
    <xf numFmtId="165" fontId="32" fillId="11" borderId="12" xfId="1" applyFont="1" applyFill="1" applyBorder="1" applyAlignment="1">
      <alignment vertical="center"/>
    </xf>
    <xf numFmtId="4" fontId="104" fillId="11" borderId="7" xfId="9" applyNumberFormat="1" applyFont="1" applyFill="1" applyBorder="1" applyAlignment="1">
      <alignment vertical="center"/>
    </xf>
    <xf numFmtId="4" fontId="104" fillId="11" borderId="7" xfId="9" applyNumberFormat="1" applyFont="1" applyFill="1" applyBorder="1" applyAlignment="1">
      <alignment horizontal="right" vertical="center"/>
    </xf>
    <xf numFmtId="43" fontId="110" fillId="0" borderId="0" xfId="0" applyNumberFormat="1" applyFont="1" applyAlignment="1">
      <alignment horizontal="center" vertical="center" wrapText="1"/>
    </xf>
    <xf numFmtId="0" fontId="94" fillId="23" borderId="0" xfId="0" applyFont="1" applyFill="1" applyAlignment="1">
      <alignment vertical="center"/>
    </xf>
    <xf numFmtId="0" fontId="29" fillId="4" borderId="0" xfId="475" applyFont="1" applyFill="1" applyAlignment="1">
      <alignment horizontal="right"/>
    </xf>
    <xf numFmtId="172" fontId="46" fillId="15" borderId="6" xfId="1" applyNumberFormat="1" applyFont="1" applyFill="1" applyBorder="1" applyAlignment="1">
      <alignment horizontal="right" vertical="center"/>
    </xf>
    <xf numFmtId="0" fontId="104" fillId="0" borderId="5" xfId="0" applyFont="1" applyBorder="1" applyAlignment="1">
      <alignment horizontal="center" vertical="center"/>
    </xf>
    <xf numFmtId="0" fontId="108" fillId="0" borderId="5" xfId="0" applyFont="1" applyBorder="1" applyAlignment="1">
      <alignment horizontal="right" vertical="center"/>
    </xf>
    <xf numFmtId="0" fontId="96" fillId="0" borderId="5" xfId="0" applyFont="1" applyBorder="1" applyAlignment="1">
      <alignment horizontal="right" vertical="center"/>
    </xf>
    <xf numFmtId="43" fontId="72" fillId="0" borderId="3" xfId="0" applyNumberFormat="1" applyFont="1" applyBorder="1" applyAlignment="1">
      <alignment vertical="center" wrapText="1"/>
    </xf>
    <xf numFmtId="172" fontId="46" fillId="0" borderId="5" xfId="9" applyNumberFormat="1" applyFont="1" applyBorder="1" applyAlignment="1">
      <alignment vertical="center"/>
    </xf>
    <xf numFmtId="0" fontId="34" fillId="0" borderId="0" xfId="0" applyFont="1" applyAlignment="1">
      <alignment wrapText="1"/>
    </xf>
    <xf numFmtId="165" fontId="34" fillId="0" borderId="7" xfId="1" applyFont="1" applyFill="1" applyBorder="1" applyAlignment="1">
      <alignment horizontal="center"/>
    </xf>
    <xf numFmtId="172" fontId="34" fillId="0" borderId="7" xfId="9" applyNumberFormat="1" applyFont="1" applyBorder="1"/>
    <xf numFmtId="0" fontId="34" fillId="0" borderId="7" xfId="9" applyFont="1" applyBorder="1" applyAlignment="1">
      <alignment horizontal="center" vertical="center" wrapText="1"/>
    </xf>
    <xf numFmtId="181" fontId="34" fillId="0" borderId="0" xfId="0" applyNumberFormat="1" applyFont="1" applyAlignment="1">
      <alignment vertical="center"/>
    </xf>
    <xf numFmtId="181" fontId="34" fillId="0" borderId="0" xfId="1" applyNumberFormat="1" applyFont="1" applyAlignment="1">
      <alignment vertical="center"/>
    </xf>
    <xf numFmtId="0" fontId="94" fillId="4" borderId="0" xfId="0" applyFont="1" applyFill="1" applyAlignment="1">
      <alignment vertical="center"/>
    </xf>
    <xf numFmtId="0" fontId="34" fillId="4" borderId="13" xfId="9" applyFont="1" applyFill="1" applyBorder="1" applyAlignment="1">
      <alignment horizontal="center" vertical="center"/>
    </xf>
    <xf numFmtId="172" fontId="34" fillId="4" borderId="5" xfId="9" applyNumberFormat="1" applyFont="1" applyFill="1" applyBorder="1" applyAlignment="1">
      <alignment vertical="center"/>
    </xf>
    <xf numFmtId="172" fontId="34" fillId="4" borderId="0" xfId="9" applyNumberFormat="1" applyFont="1" applyFill="1" applyAlignment="1">
      <alignment vertical="center"/>
    </xf>
    <xf numFmtId="0" fontId="34" fillId="4" borderId="7" xfId="35" applyFont="1" applyFill="1" applyBorder="1" applyAlignment="1">
      <alignment vertical="center" wrapText="1"/>
    </xf>
    <xf numFmtId="0" fontId="34" fillId="4" borderId="13" xfId="9" applyFont="1" applyFill="1" applyBorder="1" applyAlignment="1">
      <alignment horizontal="left" vertical="center" wrapText="1"/>
    </xf>
    <xf numFmtId="4" fontId="34" fillId="4" borderId="7" xfId="9" applyNumberFormat="1" applyFont="1" applyFill="1" applyBorder="1" applyAlignment="1">
      <alignment vertical="center"/>
    </xf>
    <xf numFmtId="0" fontId="93" fillId="0" borderId="7" xfId="9" applyFont="1" applyBorder="1" applyAlignment="1">
      <alignment horizontal="center" vertical="center" wrapText="1"/>
    </xf>
    <xf numFmtId="0" fontId="93" fillId="4" borderId="0" xfId="9" applyFont="1" applyFill="1" applyAlignment="1">
      <alignment horizontal="left" vertical="center" wrapText="1"/>
    </xf>
    <xf numFmtId="0" fontId="46" fillId="0" borderId="13" xfId="9" applyFont="1" applyBorder="1" applyAlignment="1">
      <alignment horizontal="center" vertical="center"/>
    </xf>
    <xf numFmtId="165" fontId="34" fillId="0" borderId="7" xfId="1" applyFont="1" applyFill="1" applyBorder="1" applyAlignment="1">
      <alignment horizontal="right" vertical="center"/>
    </xf>
    <xf numFmtId="165" fontId="93" fillId="0" borderId="13" xfId="1" applyFont="1" applyFill="1" applyBorder="1" applyAlignment="1">
      <alignment horizontal="center" vertical="center"/>
    </xf>
    <xf numFmtId="165" fontId="34" fillId="0" borderId="13" xfId="1" applyFont="1" applyFill="1" applyBorder="1" applyAlignment="1">
      <alignment vertical="center" wrapText="1"/>
    </xf>
    <xf numFmtId="165" fontId="34" fillId="0" borderId="0" xfId="1" applyFont="1" applyFill="1" applyBorder="1" applyAlignment="1">
      <alignment horizontal="center" vertical="center"/>
    </xf>
    <xf numFmtId="0" fontId="93" fillId="4" borderId="13" xfId="9" applyFont="1" applyFill="1" applyBorder="1" applyAlignment="1">
      <alignment horizontal="center" vertical="center" wrapText="1"/>
    </xf>
    <xf numFmtId="0" fontId="93" fillId="0" borderId="0" xfId="0" applyFont="1" applyAlignment="1">
      <alignment vertical="center"/>
    </xf>
    <xf numFmtId="0" fontId="93" fillId="0" borderId="0" xfId="0" applyFont="1" applyAlignment="1">
      <alignment vertical="center" wrapText="1"/>
    </xf>
    <xf numFmtId="0" fontId="90" fillId="0" borderId="0" xfId="9" applyFont="1" applyAlignment="1">
      <alignment horizontal="left" vertical="center"/>
    </xf>
    <xf numFmtId="0" fontId="93" fillId="0" borderId="7" xfId="5" applyFont="1" applyBorder="1" applyAlignment="1">
      <alignment horizontal="center" vertical="center" wrapText="1"/>
    </xf>
    <xf numFmtId="165" fontId="34" fillId="0" borderId="9" xfId="1" applyFont="1" applyFill="1" applyBorder="1" applyAlignment="1">
      <alignment horizontal="right" vertical="center"/>
    </xf>
    <xf numFmtId="0" fontId="93" fillId="4" borderId="7" xfId="9" applyFont="1" applyFill="1" applyBorder="1" applyAlignment="1">
      <alignment horizontal="left" vertical="center" wrapText="1"/>
    </xf>
    <xf numFmtId="165" fontId="34" fillId="0" borderId="7" xfId="12" applyFont="1" applyFill="1" applyBorder="1" applyAlignment="1">
      <alignment horizontal="center" vertical="center"/>
    </xf>
    <xf numFmtId="172" fontId="34" fillId="0" borderId="0" xfId="12" applyNumberFormat="1" applyFont="1" applyFill="1" applyBorder="1" applyAlignment="1">
      <alignment horizontal="right" vertical="center"/>
    </xf>
    <xf numFmtId="172" fontId="46" fillId="0" borderId="7" xfId="9" applyNumberFormat="1" applyFont="1" applyBorder="1" applyAlignment="1">
      <alignment vertical="center"/>
    </xf>
    <xf numFmtId="0" fontId="93" fillId="4" borderId="13" xfId="5" applyFont="1" applyFill="1" applyBorder="1" applyAlignment="1">
      <alignment horizontal="center" vertical="center" wrapText="1"/>
    </xf>
    <xf numFmtId="172" fontId="34" fillId="4" borderId="0" xfId="12" applyNumberFormat="1" applyFont="1" applyFill="1" applyBorder="1" applyAlignment="1">
      <alignment horizontal="right" vertical="center"/>
    </xf>
    <xf numFmtId="0" fontId="90" fillId="0" borderId="0" xfId="9" applyFont="1" applyAlignment="1">
      <alignment horizontal="left" vertical="center" wrapText="1"/>
    </xf>
    <xf numFmtId="165" fontId="93" fillId="0" borderId="7" xfId="12" applyFont="1" applyFill="1" applyBorder="1" applyAlignment="1">
      <alignment horizontal="center" vertical="center"/>
    </xf>
    <xf numFmtId="165" fontId="93" fillId="4" borderId="7" xfId="12" applyFont="1" applyFill="1" applyBorder="1" applyAlignment="1">
      <alignment horizontal="center" vertical="center"/>
    </xf>
    <xf numFmtId="165" fontId="34" fillId="4" borderId="13" xfId="1" applyFont="1" applyFill="1" applyBorder="1" applyAlignment="1">
      <alignment horizontal="right" vertical="center"/>
    </xf>
    <xf numFmtId="170" fontId="34" fillId="4" borderId="0" xfId="0" applyNumberFormat="1" applyFont="1" applyFill="1" applyAlignment="1">
      <alignment horizontal="center" vertical="center" wrapText="1"/>
    </xf>
    <xf numFmtId="0" fontId="34" fillId="4" borderId="15" xfId="9" applyFont="1" applyFill="1" applyBorder="1" applyAlignment="1">
      <alignment horizontal="center" vertical="center"/>
    </xf>
    <xf numFmtId="0" fontId="34" fillId="4" borderId="7" xfId="9" applyFont="1" applyFill="1" applyBorder="1" applyAlignment="1">
      <alignment horizontal="center" vertical="center"/>
    </xf>
    <xf numFmtId="165" fontId="34" fillId="0" borderId="5" xfId="8" applyNumberFormat="1" applyFont="1" applyFill="1" applyBorder="1" applyAlignment="1">
      <alignment vertical="center"/>
    </xf>
    <xf numFmtId="43" fontId="72" fillId="0" borderId="5" xfId="0" applyNumberFormat="1" applyFont="1" applyBorder="1" applyAlignment="1">
      <alignment vertical="center" wrapText="1"/>
    </xf>
    <xf numFmtId="43" fontId="72" fillId="0" borderId="0" xfId="0" applyNumberFormat="1" applyFont="1" applyAlignment="1">
      <alignment vertical="center" wrapText="1"/>
    </xf>
    <xf numFmtId="43" fontId="72" fillId="0" borderId="7" xfId="0" applyNumberFormat="1" applyFont="1" applyBorder="1" applyAlignment="1">
      <alignment vertical="center" wrapText="1"/>
    </xf>
    <xf numFmtId="165" fontId="96" fillId="0" borderId="0" xfId="1" applyFont="1" applyFill="1" applyAlignment="1">
      <alignment vertical="center"/>
    </xf>
    <xf numFmtId="166" fontId="156" fillId="0" borderId="0" xfId="8" applyNumberFormat="1" applyFont="1" applyFill="1" applyAlignment="1">
      <alignment vertical="center"/>
    </xf>
    <xf numFmtId="165" fontId="104" fillId="0" borderId="5" xfId="8" applyNumberFormat="1" applyFont="1" applyFill="1" applyBorder="1" applyAlignment="1">
      <alignment vertical="center"/>
    </xf>
    <xf numFmtId="165" fontId="104" fillId="0" borderId="0" xfId="8" applyNumberFormat="1" applyFont="1" applyFill="1" applyBorder="1" applyAlignment="1">
      <alignment vertical="center"/>
    </xf>
    <xf numFmtId="165" fontId="104" fillId="0" borderId="7" xfId="8" applyNumberFormat="1" applyFont="1" applyFill="1" applyBorder="1" applyAlignment="1">
      <alignment vertical="center"/>
    </xf>
    <xf numFmtId="0" fontId="104" fillId="0" borderId="30" xfId="0" applyFont="1" applyBorder="1" applyAlignment="1">
      <alignment horizontal="center" vertical="center"/>
    </xf>
    <xf numFmtId="0" fontId="145" fillId="0" borderId="30" xfId="0" applyFont="1" applyBorder="1" applyAlignment="1">
      <alignment horizontal="center" vertical="center"/>
    </xf>
    <xf numFmtId="43" fontId="72" fillId="0" borderId="11" xfId="0" applyNumberFormat="1" applyFont="1" applyBorder="1" applyAlignment="1">
      <alignment vertical="center" wrapText="1"/>
    </xf>
    <xf numFmtId="43" fontId="72" fillId="0" borderId="4" xfId="0" applyNumberFormat="1" applyFont="1" applyBorder="1" applyAlignment="1">
      <alignment vertical="center" wrapText="1"/>
    </xf>
    <xf numFmtId="165" fontId="47" fillId="0" borderId="5" xfId="8" applyNumberFormat="1" applyFont="1" applyFill="1" applyBorder="1" applyAlignment="1">
      <alignment vertical="center"/>
    </xf>
    <xf numFmtId="173" fontId="47" fillId="0" borderId="5" xfId="8" applyNumberFormat="1" applyFont="1" applyFill="1" applyBorder="1" applyAlignment="1">
      <alignment vertical="center"/>
    </xf>
    <xf numFmtId="165" fontId="96" fillId="0" borderId="5" xfId="8" applyNumberFormat="1" applyFont="1" applyFill="1" applyBorder="1" applyAlignment="1">
      <alignment vertical="center"/>
    </xf>
    <xf numFmtId="165" fontId="96" fillId="0" borderId="0" xfId="8" applyNumberFormat="1" applyFont="1" applyFill="1" applyBorder="1" applyAlignment="1">
      <alignment vertical="center"/>
    </xf>
    <xf numFmtId="165" fontId="96" fillId="0" borderId="7" xfId="8" applyNumberFormat="1" applyFont="1" applyFill="1" applyBorder="1" applyAlignment="1">
      <alignment vertical="center"/>
    </xf>
    <xf numFmtId="172" fontId="101" fillId="0" borderId="5" xfId="1" applyNumberFormat="1" applyFont="1" applyFill="1" applyBorder="1" applyAlignment="1">
      <alignment horizontal="right" vertical="center"/>
    </xf>
    <xf numFmtId="0" fontId="90" fillId="18" borderId="0" xfId="9" applyFont="1" applyFill="1" applyAlignment="1">
      <alignment horizontal="left" vertical="center"/>
    </xf>
    <xf numFmtId="0" fontId="46" fillId="8" borderId="5" xfId="0" applyFont="1" applyFill="1" applyBorder="1" applyAlignment="1">
      <alignment vertical="center"/>
    </xf>
    <xf numFmtId="0" fontId="46" fillId="18" borderId="5" xfId="0" applyFont="1" applyFill="1" applyBorder="1" applyAlignment="1">
      <alignment vertical="center"/>
    </xf>
    <xf numFmtId="0" fontId="104" fillId="18" borderId="5" xfId="0" applyFont="1" applyFill="1" applyBorder="1" applyAlignment="1">
      <alignment vertical="center"/>
    </xf>
    <xf numFmtId="0" fontId="104" fillId="18" borderId="0" xfId="9" applyFont="1" applyFill="1" applyAlignment="1">
      <alignment horizontal="left" vertical="center"/>
    </xf>
    <xf numFmtId="0" fontId="154" fillId="18" borderId="0" xfId="9" applyFont="1" applyFill="1" applyAlignment="1">
      <alignment horizontal="left" vertical="center" wrapText="1"/>
    </xf>
    <xf numFmtId="0" fontId="46" fillId="18" borderId="2" xfId="9" applyFont="1" applyFill="1" applyBorder="1" applyAlignment="1">
      <alignment vertical="center"/>
    </xf>
    <xf numFmtId="0" fontId="46" fillId="18" borderId="10" xfId="9" applyFont="1" applyFill="1" applyBorder="1" applyAlignment="1">
      <alignment vertical="center"/>
    </xf>
    <xf numFmtId="0" fontId="90" fillId="18" borderId="0" xfId="0" applyFont="1" applyFill="1" applyAlignment="1">
      <alignment vertical="center" wrapText="1"/>
    </xf>
    <xf numFmtId="0" fontId="46" fillId="18" borderId="0" xfId="9" applyFont="1" applyFill="1" applyAlignment="1">
      <alignment horizontal="left" vertical="center"/>
    </xf>
    <xf numFmtId="0" fontId="46" fillId="18" borderId="0" xfId="0" applyFont="1" applyFill="1" applyAlignment="1">
      <alignment vertical="center" wrapText="1"/>
    </xf>
    <xf numFmtId="0" fontId="90" fillId="18" borderId="7" xfId="9" applyFont="1" applyFill="1" applyBorder="1" applyAlignment="1">
      <alignment horizontal="left" vertical="center" wrapText="1"/>
    </xf>
    <xf numFmtId="0" fontId="122" fillId="18" borderId="0" xfId="0" applyFont="1" applyFill="1" applyAlignment="1">
      <alignment vertical="center" wrapText="1"/>
    </xf>
    <xf numFmtId="0" fontId="46" fillId="18" borderId="0" xfId="0" applyFont="1" applyFill="1" applyAlignment="1">
      <alignment horizontal="left" vertical="center"/>
    </xf>
    <xf numFmtId="0" fontId="122" fillId="18" borderId="0" xfId="9" applyFont="1" applyFill="1" applyAlignment="1">
      <alignment horizontal="left" vertical="center" wrapText="1"/>
    </xf>
    <xf numFmtId="0" fontId="46" fillId="18" borderId="0" xfId="9" applyFont="1" applyFill="1" applyAlignment="1">
      <alignment horizontal="left" vertical="center" wrapText="1"/>
    </xf>
    <xf numFmtId="0" fontId="112" fillId="8" borderId="2" xfId="9" applyFont="1" applyFill="1" applyBorder="1" applyAlignment="1">
      <alignment vertical="center"/>
    </xf>
    <xf numFmtId="0" fontId="122" fillId="8" borderId="10" xfId="9" applyFont="1" applyFill="1" applyBorder="1" applyAlignment="1">
      <alignment vertical="center" wrapText="1"/>
    </xf>
    <xf numFmtId="0" fontId="72" fillId="18" borderId="5" xfId="0" applyFont="1" applyFill="1" applyBorder="1" applyAlignment="1">
      <alignment vertical="center" wrapText="1"/>
    </xf>
    <xf numFmtId="0" fontId="72" fillId="18" borderId="0" xfId="0" applyFont="1" applyFill="1" applyAlignment="1">
      <alignment vertical="center" wrapText="1"/>
    </xf>
    <xf numFmtId="0" fontId="72" fillId="18" borderId="1" xfId="0" applyFont="1" applyFill="1" applyBorder="1" applyAlignment="1">
      <alignment vertical="center" wrapText="1"/>
    </xf>
    <xf numFmtId="0" fontId="72" fillId="18" borderId="2" xfId="0" applyFont="1" applyFill="1" applyBorder="1" applyAlignment="1">
      <alignment vertical="center" wrapText="1"/>
    </xf>
    <xf numFmtId="0" fontId="179" fillId="18" borderId="0" xfId="0" applyFont="1" applyFill="1" applyAlignment="1">
      <alignment horizontal="left" vertical="center" wrapText="1"/>
    </xf>
    <xf numFmtId="0" fontId="179" fillId="18" borderId="2" xfId="0" applyFont="1" applyFill="1" applyBorder="1" applyAlignment="1">
      <alignment vertical="center" wrapText="1"/>
    </xf>
    <xf numFmtId="0" fontId="46" fillId="19" borderId="5" xfId="0" applyFont="1" applyFill="1" applyBorder="1" applyAlignment="1">
      <alignment vertical="center"/>
    </xf>
    <xf numFmtId="0" fontId="46" fillId="18" borderId="2" xfId="0" applyFont="1" applyFill="1" applyBorder="1" applyAlignment="1">
      <alignment vertical="center" wrapText="1"/>
    </xf>
    <xf numFmtId="0" fontId="46" fillId="18" borderId="2" xfId="0" applyFont="1" applyFill="1" applyBorder="1" applyAlignment="1">
      <alignment vertical="center"/>
    </xf>
    <xf numFmtId="0" fontId="90" fillId="18" borderId="10" xfId="0" applyFont="1" applyFill="1" applyBorder="1" applyAlignment="1">
      <alignment horizontal="left" vertical="center" wrapText="1"/>
    </xf>
    <xf numFmtId="0" fontId="46" fillId="18" borderId="2" xfId="9" applyFont="1" applyFill="1" applyBorder="1" applyAlignment="1">
      <alignment vertical="center" wrapText="1"/>
    </xf>
    <xf numFmtId="0" fontId="90" fillId="18" borderId="10" xfId="9" applyFont="1" applyFill="1" applyBorder="1" applyAlignment="1">
      <alignment vertical="center" wrapText="1"/>
    </xf>
    <xf numFmtId="0" fontId="72" fillId="18" borderId="5" xfId="0" applyFont="1" applyFill="1" applyBorder="1" applyAlignment="1">
      <alignment vertical="center"/>
    </xf>
    <xf numFmtId="0" fontId="118" fillId="18" borderId="7" xfId="9" applyFont="1" applyFill="1" applyBorder="1" applyAlignment="1">
      <alignment horizontal="left" vertical="center" wrapText="1"/>
    </xf>
    <xf numFmtId="0" fontId="46" fillId="18" borderId="7" xfId="9" applyFont="1" applyFill="1" applyBorder="1" applyAlignment="1">
      <alignment horizontal="left" vertical="center" wrapText="1"/>
    </xf>
    <xf numFmtId="0" fontId="34" fillId="18" borderId="0" xfId="9" applyFont="1" applyFill="1" applyAlignment="1">
      <alignment horizontal="left" vertical="center"/>
    </xf>
    <xf numFmtId="0" fontId="46" fillId="18" borderId="5" xfId="0" applyFont="1" applyFill="1" applyBorder="1" applyAlignment="1">
      <alignment horizontal="left" vertical="center" wrapText="1"/>
    </xf>
    <xf numFmtId="0" fontId="110" fillId="2" borderId="5" xfId="0" applyFont="1" applyFill="1" applyBorder="1" applyAlignment="1">
      <alignment vertical="center" wrapText="1"/>
    </xf>
    <xf numFmtId="0" fontId="182" fillId="2" borderId="0" xfId="0" applyFont="1" applyFill="1" applyAlignment="1">
      <alignment vertical="center" wrapText="1"/>
    </xf>
    <xf numFmtId="0" fontId="100" fillId="2" borderId="7" xfId="0" applyFont="1" applyFill="1" applyBorder="1" applyAlignment="1">
      <alignment horizontal="left" vertical="center" wrapText="1"/>
    </xf>
    <xf numFmtId="0" fontId="100" fillId="0" borderId="10" xfId="0" applyFont="1" applyBorder="1" applyAlignment="1">
      <alignment vertical="center" wrapText="1"/>
    </xf>
    <xf numFmtId="0" fontId="100" fillId="0" borderId="15" xfId="0" applyFont="1" applyBorder="1" applyAlignment="1">
      <alignment vertical="center" wrapText="1"/>
    </xf>
    <xf numFmtId="0" fontId="90" fillId="18" borderId="0" xfId="9" applyFont="1" applyFill="1" applyAlignment="1">
      <alignment horizontal="left" vertical="center" wrapText="1"/>
    </xf>
    <xf numFmtId="0" fontId="46" fillId="8" borderId="2" xfId="9" applyFont="1" applyFill="1" applyBorder="1" applyAlignment="1">
      <alignment vertical="center" wrapText="1"/>
    </xf>
    <xf numFmtId="0" fontId="46" fillId="19" borderId="0" xfId="0" applyFont="1" applyFill="1" applyAlignment="1">
      <alignment vertical="center"/>
    </xf>
    <xf numFmtId="0" fontId="109" fillId="18" borderId="5" xfId="0" applyFont="1" applyFill="1" applyBorder="1" applyAlignment="1">
      <alignment horizontal="left" vertical="center" wrapText="1"/>
    </xf>
    <xf numFmtId="0" fontId="46" fillId="18" borderId="0" xfId="0" applyFont="1" applyFill="1" applyAlignment="1">
      <alignment horizontal="left" vertical="center" wrapText="1"/>
    </xf>
    <xf numFmtId="0" fontId="72" fillId="2" borderId="0" xfId="0" applyFont="1" applyFill="1" applyAlignment="1">
      <alignment vertical="center" wrapText="1"/>
    </xf>
    <xf numFmtId="0" fontId="104" fillId="18" borderId="0" xfId="0" applyFont="1" applyFill="1" applyAlignment="1">
      <alignment vertical="center"/>
    </xf>
    <xf numFmtId="168" fontId="61" fillId="0" borderId="0" xfId="1" applyNumberFormat="1" applyFont="1" applyFill="1" applyBorder="1" applyAlignment="1">
      <alignment vertical="center"/>
    </xf>
    <xf numFmtId="168" fontId="61" fillId="0" borderId="5" xfId="1" applyNumberFormat="1" applyFont="1" applyFill="1" applyBorder="1" applyAlignment="1">
      <alignment vertical="center"/>
    </xf>
    <xf numFmtId="168" fontId="42" fillId="0" borderId="5" xfId="1" applyNumberFormat="1" applyFont="1" applyFill="1" applyBorder="1" applyAlignment="1">
      <alignment vertical="center"/>
    </xf>
    <xf numFmtId="168" fontId="42" fillId="0" borderId="0" xfId="1" applyNumberFormat="1" applyFont="1" applyFill="1" applyBorder="1" applyAlignment="1">
      <alignment vertical="center"/>
    </xf>
    <xf numFmtId="170" fontId="42" fillId="18" borderId="13" xfId="0" applyNumberFormat="1" applyFont="1" applyFill="1" applyBorder="1"/>
    <xf numFmtId="0" fontId="85" fillId="0" borderId="0" xfId="0" applyFont="1"/>
    <xf numFmtId="170" fontId="61" fillId="0" borderId="0" xfId="1" applyNumberFormat="1" applyFont="1" applyFill="1" applyBorder="1"/>
    <xf numFmtId="170" fontId="61" fillId="0" borderId="0" xfId="0" applyNumberFormat="1" applyFont="1"/>
    <xf numFmtId="0" fontId="36" fillId="6" borderId="12" xfId="0" applyFont="1" applyFill="1" applyBorder="1" applyAlignment="1">
      <alignment horizontal="center" vertical="center"/>
    </xf>
    <xf numFmtId="0" fontId="37" fillId="6" borderId="3" xfId="0" applyFont="1" applyFill="1" applyBorder="1" applyAlignment="1">
      <alignment vertical="center"/>
    </xf>
    <xf numFmtId="0" fontId="36" fillId="6" borderId="3" xfId="0" applyFont="1" applyFill="1" applyBorder="1" applyAlignment="1">
      <alignment vertical="center"/>
    </xf>
    <xf numFmtId="0" fontId="36" fillId="6" borderId="3" xfId="0" applyFont="1" applyFill="1" applyBorder="1" applyAlignment="1">
      <alignment horizontal="right" vertical="center"/>
    </xf>
    <xf numFmtId="3" fontId="36" fillId="6" borderId="3" xfId="0" applyNumberFormat="1" applyFont="1" applyFill="1" applyBorder="1" applyAlignment="1">
      <alignment vertical="center"/>
    </xf>
    <xf numFmtId="3" fontId="37" fillId="6" borderId="3" xfId="0" applyNumberFormat="1" applyFont="1" applyFill="1" applyBorder="1" applyAlignment="1">
      <alignment vertical="center"/>
    </xf>
    <xf numFmtId="3" fontId="37" fillId="6" borderId="11" xfId="0" applyNumberFormat="1" applyFont="1" applyFill="1" applyBorder="1" applyAlignment="1">
      <alignment vertical="center"/>
    </xf>
    <xf numFmtId="3" fontId="37" fillId="6" borderId="4" xfId="0" applyNumberFormat="1" applyFont="1" applyFill="1" applyBorder="1" applyAlignment="1">
      <alignment vertical="center"/>
    </xf>
    <xf numFmtId="165" fontId="36" fillId="6" borderId="11" xfId="1" applyFont="1" applyFill="1" applyBorder="1" applyAlignment="1">
      <alignment vertical="center"/>
    </xf>
    <xf numFmtId="165" fontId="36" fillId="6" borderId="3" xfId="1" applyFont="1" applyFill="1" applyBorder="1" applyAlignment="1">
      <alignment vertical="center"/>
    </xf>
    <xf numFmtId="165" fontId="36" fillId="6" borderId="4" xfId="1" applyFont="1" applyFill="1" applyBorder="1" applyAlignment="1">
      <alignment vertical="center"/>
    </xf>
    <xf numFmtId="4" fontId="37" fillId="6" borderId="11" xfId="0" applyNumberFormat="1" applyFont="1" applyFill="1" applyBorder="1" applyAlignment="1">
      <alignment vertical="center"/>
    </xf>
    <xf numFmtId="0" fontId="37" fillId="6" borderId="4" xfId="25" applyFont="1" applyFill="1" applyBorder="1" applyAlignment="1">
      <alignment horizontal="right" vertical="center"/>
    </xf>
    <xf numFmtId="0" fontId="30" fillId="6" borderId="0" xfId="0" applyFont="1" applyFill="1" applyAlignment="1">
      <alignment vertical="center"/>
    </xf>
    <xf numFmtId="0" fontId="68" fillId="0" borderId="15" xfId="0" applyFont="1" applyBorder="1" applyAlignment="1">
      <alignment vertical="center"/>
    </xf>
    <xf numFmtId="0" fontId="99" fillId="4" borderId="13" xfId="0" applyFont="1" applyFill="1" applyBorder="1" applyAlignment="1">
      <alignment vertical="center"/>
    </xf>
    <xf numFmtId="0" fontId="34" fillId="5" borderId="30" xfId="0" applyFont="1" applyFill="1" applyBorder="1" applyAlignment="1">
      <alignment horizontal="center" vertical="center"/>
    </xf>
    <xf numFmtId="43" fontId="96" fillId="0" borderId="5" xfId="0" applyNumberFormat="1" applyFont="1" applyBorder="1" applyAlignment="1">
      <alignment vertical="center" wrapText="1"/>
    </xf>
    <xf numFmtId="0" fontId="147" fillId="4" borderId="0" xfId="0" applyFont="1" applyFill="1" applyAlignment="1">
      <alignment vertical="center"/>
    </xf>
    <xf numFmtId="0" fontId="147" fillId="0" borderId="5" xfId="0" applyFont="1" applyBorder="1" applyAlignment="1">
      <alignment horizontal="center" vertical="center"/>
    </xf>
    <xf numFmtId="0" fontId="147" fillId="18" borderId="5" xfId="0" applyFont="1" applyFill="1" applyBorder="1" applyAlignment="1">
      <alignment horizontal="left" vertical="center" wrapText="1"/>
    </xf>
    <xf numFmtId="0" fontId="147" fillId="18" borderId="0" xfId="0" applyFont="1" applyFill="1" applyAlignment="1">
      <alignment horizontal="center" vertical="center" wrapText="1"/>
    </xf>
    <xf numFmtId="0" fontId="147" fillId="4" borderId="13" xfId="9" applyFont="1" applyFill="1" applyBorder="1" applyAlignment="1">
      <alignment horizontal="center" vertical="center" wrapText="1"/>
    </xf>
    <xf numFmtId="165" fontId="147" fillId="4" borderId="7" xfId="1" applyFont="1" applyFill="1" applyBorder="1" applyAlignment="1">
      <alignment horizontal="center" vertical="center" wrapText="1"/>
    </xf>
    <xf numFmtId="172" fontId="147" fillId="4" borderId="0" xfId="1" applyNumberFormat="1" applyFont="1" applyFill="1" applyBorder="1" applyAlignment="1">
      <alignment horizontal="right" vertical="center"/>
    </xf>
    <xf numFmtId="172" fontId="147" fillId="4" borderId="7" xfId="9" applyNumberFormat="1" applyFont="1" applyFill="1" applyBorder="1" applyAlignment="1">
      <alignment vertical="center"/>
    </xf>
    <xf numFmtId="166" fontId="185" fillId="0" borderId="0" xfId="8" applyNumberFormat="1" applyFont="1" applyFill="1" applyAlignment="1">
      <alignment vertical="center"/>
    </xf>
    <xf numFmtId="165" fontId="147" fillId="0" borderId="5" xfId="8" applyNumberFormat="1" applyFont="1" applyFill="1" applyBorder="1" applyAlignment="1">
      <alignment vertical="center"/>
    </xf>
    <xf numFmtId="165" fontId="147" fillId="0" borderId="0" xfId="8" applyNumberFormat="1" applyFont="1" applyFill="1" applyBorder="1" applyAlignment="1">
      <alignment vertical="center"/>
    </xf>
    <xf numFmtId="165" fontId="147" fillId="0" borderId="7" xfId="8" applyNumberFormat="1" applyFont="1" applyFill="1" applyBorder="1" applyAlignment="1">
      <alignment vertical="center"/>
    </xf>
    <xf numFmtId="165" fontId="147" fillId="0" borderId="0" xfId="1" applyFont="1" applyFill="1" applyAlignment="1">
      <alignment vertical="center"/>
    </xf>
    <xf numFmtId="0" fontId="147" fillId="0" borderId="30" xfId="0" applyFont="1" applyBorder="1" applyAlignment="1">
      <alignment horizontal="center" vertical="center"/>
    </xf>
    <xf numFmtId="0" fontId="186" fillId="0" borderId="30" xfId="0" applyFont="1" applyBorder="1" applyAlignment="1">
      <alignment horizontal="center" vertical="center"/>
    </xf>
    <xf numFmtId="0" fontId="186" fillId="4" borderId="0" xfId="0" applyFont="1" applyFill="1" applyAlignment="1">
      <alignment vertical="center"/>
    </xf>
    <xf numFmtId="165" fontId="0" fillId="0" borderId="12" xfId="1" applyFont="1" applyBorder="1" applyAlignment="1">
      <alignment vertical="center"/>
    </xf>
    <xf numFmtId="172" fontId="46" fillId="0" borderId="0" xfId="12" applyNumberFormat="1" applyFont="1" applyFill="1" applyBorder="1" applyAlignment="1">
      <alignment horizontal="right" vertical="center"/>
    </xf>
    <xf numFmtId="172" fontId="96" fillId="0" borderId="5" xfId="1" applyNumberFormat="1" applyFont="1" applyFill="1" applyBorder="1" applyAlignment="1">
      <alignment horizontal="right" vertical="center"/>
    </xf>
    <xf numFmtId="0" fontId="177" fillId="0" borderId="13" xfId="5" applyFont="1" applyBorder="1" applyAlignment="1">
      <alignment horizontal="center" vertical="center" wrapText="1"/>
    </xf>
    <xf numFmtId="43" fontId="96" fillId="0" borderId="6" xfId="0" applyNumberFormat="1" applyFont="1" applyBorder="1" applyAlignment="1">
      <alignment vertical="center" wrapText="1"/>
    </xf>
    <xf numFmtId="0" fontId="170" fillId="0" borderId="0" xfId="0" applyFont="1" applyAlignment="1">
      <alignment vertical="center"/>
    </xf>
    <xf numFmtId="0" fontId="94" fillId="0" borderId="0" xfId="9" applyFont="1" applyAlignment="1">
      <alignment horizontal="left" vertical="center" wrapText="1"/>
    </xf>
    <xf numFmtId="0" fontId="112" fillId="4" borderId="0" xfId="0" applyFont="1" applyFill="1" applyAlignment="1">
      <alignment vertical="center"/>
    </xf>
    <xf numFmtId="0" fontId="148" fillId="0" borderId="0" xfId="0" applyFont="1" applyAlignment="1">
      <alignment horizontal="left" vertical="center"/>
    </xf>
    <xf numFmtId="0" fontId="153" fillId="0" borderId="0" xfId="0" applyFont="1" applyAlignment="1">
      <alignment horizontal="left" vertical="center"/>
    </xf>
    <xf numFmtId="0" fontId="96" fillId="4" borderId="0" xfId="0" applyFont="1" applyFill="1" applyAlignment="1">
      <alignment horizontal="left" vertical="center"/>
    </xf>
    <xf numFmtId="165" fontId="177" fillId="4" borderId="13" xfId="1" applyFont="1" applyFill="1" applyBorder="1" applyAlignment="1">
      <alignment horizontal="center" vertical="center"/>
    </xf>
    <xf numFmtId="43" fontId="101" fillId="0" borderId="5" xfId="0" applyNumberFormat="1" applyFont="1" applyBorder="1" applyAlignment="1">
      <alignment vertical="center" wrapText="1"/>
    </xf>
    <xf numFmtId="43" fontId="96" fillId="0" borderId="8" xfId="0" applyNumberFormat="1" applyFont="1" applyBorder="1" applyAlignment="1">
      <alignment vertical="center" wrapText="1"/>
    </xf>
    <xf numFmtId="172" fontId="96" fillId="4" borderId="7" xfId="9" applyNumberFormat="1" applyFont="1" applyFill="1" applyBorder="1" applyAlignment="1">
      <alignment vertical="center"/>
    </xf>
    <xf numFmtId="43" fontId="96" fillId="4" borderId="5" xfId="0" applyNumberFormat="1" applyFont="1" applyFill="1" applyBorder="1" applyAlignment="1">
      <alignment vertical="center" wrapText="1"/>
    </xf>
    <xf numFmtId="43" fontId="96" fillId="4" borderId="6" xfId="0" applyNumberFormat="1" applyFont="1" applyFill="1" applyBorder="1" applyAlignment="1">
      <alignment vertical="center" wrapText="1"/>
    </xf>
    <xf numFmtId="0" fontId="189" fillId="4" borderId="0" xfId="0" applyFont="1" applyFill="1" applyAlignment="1">
      <alignment vertical="center"/>
    </xf>
    <xf numFmtId="0" fontId="190" fillId="0" borderId="0" xfId="0" applyFont="1" applyAlignment="1">
      <alignment vertical="center"/>
    </xf>
    <xf numFmtId="0" fontId="93" fillId="0" borderId="0" xfId="0" applyFont="1" applyAlignment="1">
      <alignment vertical="top" wrapText="1"/>
    </xf>
    <xf numFmtId="165" fontId="34" fillId="0" borderId="0" xfId="1" applyFont="1" applyFill="1" applyBorder="1" applyAlignment="1">
      <alignment horizontal="right" vertical="center"/>
    </xf>
    <xf numFmtId="0" fontId="115" fillId="18" borderId="10" xfId="0" applyFont="1" applyFill="1" applyBorder="1" applyAlignment="1">
      <alignment vertical="center" wrapText="1"/>
    </xf>
    <xf numFmtId="0" fontId="149" fillId="4" borderId="0" xfId="0" applyFont="1" applyFill="1" applyAlignment="1">
      <alignment vertical="center"/>
    </xf>
    <xf numFmtId="0" fontId="150" fillId="4" borderId="13" xfId="5" applyFont="1" applyFill="1" applyBorder="1" applyAlignment="1">
      <alignment horizontal="center" vertical="center" wrapText="1"/>
    </xf>
    <xf numFmtId="172" fontId="148" fillId="4" borderId="0" xfId="12" applyNumberFormat="1" applyFont="1" applyFill="1" applyBorder="1" applyAlignment="1">
      <alignment horizontal="right" vertical="center"/>
    </xf>
    <xf numFmtId="172" fontId="149" fillId="4" borderId="7" xfId="9" applyNumberFormat="1" applyFont="1" applyFill="1" applyBorder="1" applyAlignment="1">
      <alignment vertical="center"/>
    </xf>
    <xf numFmtId="0" fontId="153" fillId="4" borderId="0" xfId="0" applyFont="1" applyFill="1" applyAlignment="1">
      <alignment vertical="center"/>
    </xf>
    <xf numFmtId="165" fontId="148" fillId="4" borderId="7" xfId="12" applyFont="1" applyFill="1" applyBorder="1" applyAlignment="1">
      <alignment horizontal="center" vertical="center"/>
    </xf>
    <xf numFmtId="172" fontId="149" fillId="4" borderId="0" xfId="12" applyNumberFormat="1" applyFont="1" applyFill="1" applyBorder="1" applyAlignment="1">
      <alignment horizontal="right" vertical="center"/>
    </xf>
    <xf numFmtId="170" fontId="148" fillId="4" borderId="0" xfId="0" applyNumberFormat="1" applyFont="1" applyFill="1" applyAlignment="1">
      <alignment vertical="center" wrapText="1"/>
    </xf>
    <xf numFmtId="0" fontId="93" fillId="4" borderId="7" xfId="9" applyFont="1" applyFill="1" applyBorder="1" applyAlignment="1">
      <alignment horizontal="center" vertical="center" wrapText="1"/>
    </xf>
    <xf numFmtId="0" fontId="191" fillId="0" borderId="7" xfId="9" applyFont="1" applyBorder="1" applyAlignment="1">
      <alignment horizontal="left" vertical="center" wrapText="1"/>
    </xf>
    <xf numFmtId="0" fontId="108" fillId="18" borderId="5" xfId="0" applyFont="1" applyFill="1" applyBorder="1" applyAlignment="1">
      <alignment vertical="center"/>
    </xf>
    <xf numFmtId="0" fontId="103" fillId="18" borderId="0" xfId="0" applyFont="1" applyFill="1" applyAlignment="1">
      <alignment vertical="center"/>
    </xf>
    <xf numFmtId="0" fontId="103" fillId="18" borderId="0" xfId="9" applyFont="1" applyFill="1" applyAlignment="1">
      <alignment horizontal="left" vertical="center"/>
    </xf>
    <xf numFmtId="0" fontId="103" fillId="18" borderId="7" xfId="9" applyFont="1" applyFill="1" applyBorder="1" applyAlignment="1">
      <alignment horizontal="left" vertical="center" wrapText="1"/>
    </xf>
    <xf numFmtId="0" fontId="103" fillId="15" borderId="11" xfId="0" applyFont="1" applyFill="1" applyBorder="1" applyAlignment="1">
      <alignment vertical="center"/>
    </xf>
    <xf numFmtId="0" fontId="103" fillId="15" borderId="3" xfId="9" applyFont="1" applyFill="1" applyBorder="1" applyAlignment="1">
      <alignment horizontal="left" vertical="center"/>
    </xf>
    <xf numFmtId="0" fontId="103" fillId="15" borderId="3" xfId="9" applyFont="1" applyFill="1" applyBorder="1" applyAlignment="1">
      <alignment horizontal="left" vertical="center" wrapText="1"/>
    </xf>
    <xf numFmtId="0" fontId="103" fillId="15" borderId="4" xfId="9" applyFont="1" applyFill="1" applyBorder="1" applyAlignment="1">
      <alignment horizontal="left" vertical="center" wrapText="1"/>
    </xf>
    <xf numFmtId="0" fontId="103" fillId="18" borderId="5" xfId="0" applyFont="1" applyFill="1" applyBorder="1" applyAlignment="1">
      <alignment vertical="center"/>
    </xf>
    <xf numFmtId="0" fontId="103" fillId="18" borderId="0" xfId="9" applyFont="1" applyFill="1" applyAlignment="1">
      <alignment horizontal="left" vertical="center" wrapText="1"/>
    </xf>
    <xf numFmtId="0" fontId="178" fillId="18" borderId="7" xfId="9" applyFont="1" applyFill="1" applyBorder="1" applyAlignment="1">
      <alignment horizontal="left" vertical="center" wrapText="1"/>
    </xf>
    <xf numFmtId="0" fontId="103" fillId="4" borderId="5" xfId="0" applyFont="1" applyFill="1" applyBorder="1" applyAlignment="1">
      <alignment vertical="center"/>
    </xf>
    <xf numFmtId="0" fontId="191" fillId="4" borderId="0" xfId="9" applyFont="1" applyFill="1" applyAlignment="1">
      <alignment horizontal="left" vertical="center"/>
    </xf>
    <xf numFmtId="0" fontId="178" fillId="4" borderId="0" xfId="9" applyFont="1" applyFill="1" applyAlignment="1">
      <alignment horizontal="left" vertical="center" wrapText="1"/>
    </xf>
    <xf numFmtId="0" fontId="191" fillId="4" borderId="7" xfId="9" applyFont="1" applyFill="1" applyBorder="1" applyAlignment="1">
      <alignment horizontal="left" vertical="center" wrapText="1"/>
    </xf>
    <xf numFmtId="0" fontId="103" fillId="0" borderId="5" xfId="0" applyFont="1" applyBorder="1" applyAlignment="1">
      <alignment vertical="center"/>
    </xf>
    <xf numFmtId="0" fontId="178" fillId="0" borderId="0" xfId="9" applyFont="1" applyAlignment="1">
      <alignment horizontal="left" vertical="center" wrapText="1"/>
    </xf>
    <xf numFmtId="0" fontId="103" fillId="18" borderId="0" xfId="9" applyFont="1" applyFill="1" applyAlignment="1">
      <alignment vertical="center" wrapText="1"/>
    </xf>
    <xf numFmtId="0" fontId="178" fillId="18" borderId="0" xfId="9" applyFont="1" applyFill="1" applyAlignment="1">
      <alignment horizontal="left" vertical="center" wrapText="1"/>
    </xf>
    <xf numFmtId="0" fontId="103" fillId="15" borderId="5" xfId="0" applyFont="1" applyFill="1" applyBorder="1" applyAlignment="1">
      <alignment vertical="center"/>
    </xf>
    <xf numFmtId="0" fontId="103" fillId="15" borderId="0" xfId="9" applyFont="1" applyFill="1" applyAlignment="1">
      <alignment horizontal="left" vertical="center"/>
    </xf>
    <xf numFmtId="0" fontId="103" fillId="15" borderId="0" xfId="9" applyFont="1" applyFill="1" applyAlignment="1">
      <alignment horizontal="left" vertical="center" wrapText="1"/>
    </xf>
    <xf numFmtId="0" fontId="178" fillId="15" borderId="0" xfId="9" applyFont="1" applyFill="1" applyAlignment="1">
      <alignment horizontal="left" vertical="center" wrapText="1"/>
    </xf>
    <xf numFmtId="0" fontId="73" fillId="18" borderId="7" xfId="0" applyFont="1" applyFill="1" applyBorder="1" applyAlignment="1">
      <alignment vertical="center" wrapText="1"/>
    </xf>
    <xf numFmtId="0" fontId="108" fillId="0" borderId="0" xfId="9" applyFont="1" applyAlignment="1">
      <alignment horizontal="left" vertical="center"/>
    </xf>
    <xf numFmtId="0" fontId="103" fillId="0" borderId="0" xfId="9" applyFont="1" applyAlignment="1">
      <alignment horizontal="left" vertical="center" wrapText="1"/>
    </xf>
    <xf numFmtId="0" fontId="195" fillId="0" borderId="12" xfId="0" applyFont="1" applyBorder="1" applyAlignment="1">
      <alignment vertical="center"/>
    </xf>
    <xf numFmtId="43" fontId="196" fillId="0" borderId="12" xfId="0" applyNumberFormat="1" applyFont="1" applyBorder="1" applyAlignment="1">
      <alignment vertical="center"/>
    </xf>
    <xf numFmtId="0" fontId="72" fillId="0" borderId="13" xfId="0" applyFont="1" applyBorder="1" applyAlignment="1">
      <alignment horizontal="right" vertical="center"/>
    </xf>
    <xf numFmtId="165" fontId="197" fillId="4" borderId="7" xfId="1" applyFont="1" applyFill="1" applyBorder="1" applyAlignment="1">
      <alignment horizontal="center" vertical="center"/>
    </xf>
    <xf numFmtId="0" fontId="146" fillId="0" borderId="0" xfId="0" applyFont="1" applyAlignment="1">
      <alignment vertical="center"/>
    </xf>
    <xf numFmtId="0" fontId="148" fillId="0" borderId="0" xfId="0" applyFont="1" applyAlignment="1">
      <alignment horizontal="center" vertical="center"/>
    </xf>
    <xf numFmtId="0" fontId="150" fillId="0" borderId="0" xfId="0" applyFont="1" applyAlignment="1">
      <alignment horizontal="left" vertical="center" wrapText="1"/>
    </xf>
    <xf numFmtId="41" fontId="150" fillId="0" borderId="13" xfId="33" applyNumberFormat="1" applyFont="1" applyFill="1" applyBorder="1" applyAlignment="1">
      <alignment horizontal="center" vertical="center" wrapText="1"/>
    </xf>
    <xf numFmtId="179" fontId="146" fillId="0" borderId="0" xfId="33" applyNumberFormat="1" applyFont="1" applyFill="1" applyBorder="1" applyAlignment="1">
      <alignment horizontal="center" vertical="center"/>
    </xf>
    <xf numFmtId="0" fontId="93" fillId="0" borderId="0" xfId="9" applyFont="1" applyAlignment="1">
      <alignment horizontal="center" vertical="center" wrapText="1"/>
    </xf>
    <xf numFmtId="0" fontId="93" fillId="0" borderId="13" xfId="9" applyFont="1" applyBorder="1" applyAlignment="1">
      <alignment horizontal="center" vertical="center" wrapText="1"/>
    </xf>
    <xf numFmtId="0" fontId="93" fillId="0" borderId="7" xfId="9" applyFont="1" applyBorder="1" applyAlignment="1">
      <alignment horizontal="left" vertical="center" wrapText="1"/>
    </xf>
    <xf numFmtId="0" fontId="149" fillId="0" borderId="0" xfId="9" applyFont="1" applyAlignment="1">
      <alignment horizontal="left" vertical="center"/>
    </xf>
    <xf numFmtId="0" fontId="93" fillId="0" borderId="13" xfId="5" applyFont="1" applyBorder="1" applyAlignment="1">
      <alignment horizontal="center" vertical="top" wrapText="1"/>
    </xf>
    <xf numFmtId="0" fontId="93" fillId="0" borderId="14" xfId="0" applyFont="1" applyBorder="1" applyAlignment="1">
      <alignment horizontal="center" vertical="center" wrapText="1"/>
    </xf>
    <xf numFmtId="0" fontId="37" fillId="7" borderId="13" xfId="0" applyFont="1" applyFill="1" applyBorder="1" applyAlignment="1">
      <alignment horizontal="center" vertical="center" wrapText="1"/>
    </xf>
    <xf numFmtId="0" fontId="37" fillId="7" borderId="24" xfId="0" applyFont="1" applyFill="1" applyBorder="1" applyAlignment="1">
      <alignment horizontal="center" vertical="center"/>
    </xf>
    <xf numFmtId="0" fontId="37" fillId="7" borderId="1" xfId="0" applyFont="1" applyFill="1" applyBorder="1" applyAlignment="1">
      <alignment horizontal="center" vertical="center" wrapText="1"/>
    </xf>
    <xf numFmtId="0" fontId="0" fillId="0" borderId="0" xfId="0" applyAlignment="1">
      <alignment horizontal="center" vertical="center" wrapText="1"/>
    </xf>
    <xf numFmtId="0" fontId="197" fillId="0" borderId="0" xfId="0" applyFont="1" applyAlignment="1">
      <alignment vertical="center"/>
    </xf>
    <xf numFmtId="0" fontId="197" fillId="0" borderId="5" xfId="0" applyFont="1" applyBorder="1" applyAlignment="1">
      <alignment vertical="center"/>
    </xf>
    <xf numFmtId="172" fontId="197" fillId="0" borderId="0" xfId="1" applyNumberFormat="1" applyFont="1" applyFill="1" applyBorder="1" applyAlignment="1">
      <alignment horizontal="right" vertical="center"/>
    </xf>
    <xf numFmtId="165" fontId="197" fillId="0" borderId="5" xfId="8" applyNumberFormat="1" applyFont="1" applyFill="1" applyBorder="1" applyAlignment="1">
      <alignment vertical="center"/>
    </xf>
    <xf numFmtId="165" fontId="197" fillId="0" borderId="0" xfId="8" applyNumberFormat="1" applyFont="1" applyFill="1" applyBorder="1" applyAlignment="1">
      <alignment vertical="center"/>
    </xf>
    <xf numFmtId="165" fontId="197" fillId="0" borderId="7" xfId="8" applyNumberFormat="1" applyFont="1" applyFill="1" applyBorder="1" applyAlignment="1">
      <alignment vertical="center"/>
    </xf>
    <xf numFmtId="165" fontId="197" fillId="0" borderId="0" xfId="1" applyFont="1" applyFill="1" applyAlignment="1">
      <alignment vertical="center"/>
    </xf>
    <xf numFmtId="0" fontId="197" fillId="0" borderId="30" xfId="0" applyFont="1" applyBorder="1" applyAlignment="1">
      <alignment horizontal="center" vertical="center"/>
    </xf>
    <xf numFmtId="0" fontId="199" fillId="0" borderId="0" xfId="0" applyFont="1" applyAlignment="1">
      <alignment vertical="center"/>
    </xf>
    <xf numFmtId="0" fontId="201" fillId="0" borderId="0" xfId="0" applyFont="1" applyAlignment="1">
      <alignment vertical="center"/>
    </xf>
    <xf numFmtId="0" fontId="197" fillId="4" borderId="0" xfId="0" applyFont="1" applyFill="1" applyAlignment="1">
      <alignment vertical="center"/>
    </xf>
    <xf numFmtId="0" fontId="104" fillId="0" borderId="0" xfId="9" applyFont="1" applyAlignment="1">
      <alignment horizontal="left" vertical="center"/>
    </xf>
    <xf numFmtId="0" fontId="197" fillId="0" borderId="0" xfId="9" applyFont="1" applyAlignment="1">
      <alignment horizontal="left" vertical="center"/>
    </xf>
    <xf numFmtId="0" fontId="198" fillId="0" borderId="0" xfId="9" applyFont="1" applyAlignment="1">
      <alignment horizontal="left" vertical="center" wrapText="1"/>
    </xf>
    <xf numFmtId="0" fontId="197" fillId="0" borderId="13" xfId="9" applyFont="1" applyBorder="1" applyAlignment="1">
      <alignment horizontal="center" vertical="center" wrapText="1"/>
    </xf>
    <xf numFmtId="165" fontId="197" fillId="0" borderId="7" xfId="1" applyFont="1" applyFill="1" applyBorder="1" applyAlignment="1">
      <alignment horizontal="center" vertical="center"/>
    </xf>
    <xf numFmtId="172" fontId="197" fillId="0" borderId="5" xfId="1" applyNumberFormat="1" applyFont="1" applyFill="1" applyBorder="1" applyAlignment="1">
      <alignment horizontal="right" vertical="center"/>
    </xf>
    <xf numFmtId="43" fontId="197" fillId="0" borderId="5" xfId="0" applyNumberFormat="1" applyFont="1" applyBorder="1" applyAlignment="1">
      <alignment vertical="center" wrapText="1"/>
    </xf>
    <xf numFmtId="43" fontId="197" fillId="0" borderId="0" xfId="0" applyNumberFormat="1" applyFont="1" applyAlignment="1">
      <alignment vertical="center" wrapText="1"/>
    </xf>
    <xf numFmtId="166" fontId="200" fillId="0" borderId="0" xfId="8" applyNumberFormat="1" applyFont="1" applyFill="1" applyAlignment="1">
      <alignment vertical="center"/>
    </xf>
    <xf numFmtId="0" fontId="202" fillId="0" borderId="0" xfId="0" applyFont="1" applyAlignment="1">
      <alignment vertical="center"/>
    </xf>
    <xf numFmtId="4" fontId="34" fillId="0" borderId="5" xfId="9" applyNumberFormat="1" applyFont="1" applyBorder="1" applyAlignment="1">
      <alignment vertical="center"/>
    </xf>
    <xf numFmtId="4" fontId="34" fillId="0" borderId="0" xfId="9" applyNumberFormat="1" applyFont="1" applyAlignment="1">
      <alignment vertical="center"/>
    </xf>
    <xf numFmtId="0" fontId="46" fillId="23" borderId="0" xfId="0" applyFont="1" applyFill="1" applyAlignment="1">
      <alignment vertical="center"/>
    </xf>
    <xf numFmtId="0" fontId="37" fillId="7" borderId="12" xfId="0" applyFont="1" applyFill="1" applyBorder="1" applyAlignment="1">
      <alignment horizontal="center" vertical="center"/>
    </xf>
    <xf numFmtId="0" fontId="44" fillId="7" borderId="1" xfId="0" applyFont="1" applyFill="1" applyBorder="1" applyAlignment="1">
      <alignment vertical="center"/>
    </xf>
    <xf numFmtId="0" fontId="44" fillId="7" borderId="6" xfId="0" applyFont="1" applyFill="1" applyBorder="1" applyAlignment="1">
      <alignment vertical="center"/>
    </xf>
    <xf numFmtId="0" fontId="44" fillId="7" borderId="9" xfId="0" applyFont="1" applyFill="1" applyBorder="1" applyAlignment="1">
      <alignment vertical="center"/>
    </xf>
    <xf numFmtId="0" fontId="44" fillId="7" borderId="12" xfId="0" applyFont="1" applyFill="1" applyBorder="1" applyAlignment="1">
      <alignment horizontal="centerContinuous" vertical="center"/>
    </xf>
    <xf numFmtId="0" fontId="37" fillId="7" borderId="12" xfId="0" applyFont="1" applyFill="1" applyBorder="1" applyAlignment="1">
      <alignment horizontal="right"/>
    </xf>
    <xf numFmtId="0" fontId="44" fillId="7" borderId="12" xfId="0" applyFont="1" applyFill="1" applyBorder="1" applyAlignment="1">
      <alignment horizontal="center"/>
    </xf>
    <xf numFmtId="4" fontId="42" fillId="0" borderId="0" xfId="0" applyNumberFormat="1" applyFont="1"/>
    <xf numFmtId="168" fontId="36" fillId="0" borderId="0" xfId="1" applyNumberFormat="1" applyFont="1" applyFill="1" applyBorder="1"/>
    <xf numFmtId="168" fontId="36" fillId="0" borderId="0" xfId="1" applyNumberFormat="1" applyFont="1" applyBorder="1"/>
    <xf numFmtId="164" fontId="42" fillId="9" borderId="13" xfId="0" applyNumberFormat="1" applyFont="1" applyFill="1" applyBorder="1"/>
    <xf numFmtId="168" fontId="37" fillId="9" borderId="0" xfId="1" applyNumberFormat="1" applyFont="1" applyFill="1" applyBorder="1"/>
    <xf numFmtId="0" fontId="41" fillId="23" borderId="13" xfId="0" applyFont="1" applyFill="1" applyBorder="1" applyAlignment="1">
      <alignment horizontal="center" vertical="center"/>
    </xf>
    <xf numFmtId="0" fontId="49" fillId="23" borderId="13" xfId="0" applyFont="1" applyFill="1" applyBorder="1" applyAlignment="1">
      <alignment horizontal="center" vertical="center"/>
    </xf>
    <xf numFmtId="0" fontId="36" fillId="23" borderId="0" xfId="0" applyFont="1" applyFill="1"/>
    <xf numFmtId="164" fontId="36" fillId="23" borderId="13" xfId="1" applyNumberFormat="1" applyFont="1" applyFill="1" applyBorder="1"/>
    <xf numFmtId="170" fontId="36" fillId="23" borderId="15" xfId="1" applyNumberFormat="1" applyFont="1" applyFill="1" applyBorder="1"/>
    <xf numFmtId="170" fontId="36" fillId="23" borderId="0" xfId="1" applyNumberFormat="1" applyFont="1" applyFill="1" applyBorder="1"/>
    <xf numFmtId="170" fontId="36" fillId="23" borderId="0" xfId="0" applyNumberFormat="1" applyFont="1" applyFill="1"/>
    <xf numFmtId="4" fontId="36" fillId="23" borderId="7" xfId="0" applyNumberFormat="1" applyFont="1" applyFill="1" applyBorder="1"/>
    <xf numFmtId="165" fontId="36" fillId="23" borderId="5" xfId="1" applyFont="1" applyFill="1" applyBorder="1"/>
    <xf numFmtId="165" fontId="36" fillId="23" borderId="0" xfId="1" applyFont="1" applyFill="1" applyBorder="1"/>
    <xf numFmtId="165" fontId="37" fillId="23" borderId="7" xfId="1" applyFont="1" applyFill="1" applyBorder="1"/>
    <xf numFmtId="3" fontId="37" fillId="23" borderId="0" xfId="0" applyNumberFormat="1" applyFont="1" applyFill="1"/>
    <xf numFmtId="166" fontId="37" fillId="23" borderId="5" xfId="8" applyNumberFormat="1" applyFont="1" applyFill="1" applyBorder="1"/>
    <xf numFmtId="166" fontId="37" fillId="23" borderId="0" xfId="8" applyNumberFormat="1" applyFont="1" applyFill="1" applyBorder="1"/>
    <xf numFmtId="9" fontId="37" fillId="23" borderId="0" xfId="8" applyFont="1" applyFill="1" applyBorder="1"/>
    <xf numFmtId="166" fontId="37" fillId="23" borderId="7" xfId="8" applyNumberFormat="1" applyFont="1" applyFill="1" applyBorder="1"/>
    <xf numFmtId="3" fontId="36" fillId="23" borderId="0" xfId="0" applyNumberFormat="1" applyFont="1" applyFill="1"/>
    <xf numFmtId="4" fontId="36" fillId="23" borderId="5" xfId="0" applyNumberFormat="1" applyFont="1" applyFill="1" applyBorder="1"/>
    <xf numFmtId="4" fontId="36" fillId="23" borderId="0" xfId="0" applyNumberFormat="1" applyFont="1" applyFill="1"/>
    <xf numFmtId="4" fontId="43" fillId="23" borderId="0" xfId="0" applyNumberFormat="1" applyFont="1" applyFill="1"/>
    <xf numFmtId="4" fontId="43" fillId="23" borderId="7" xfId="0" applyNumberFormat="1" applyFont="1" applyFill="1" applyBorder="1"/>
    <xf numFmtId="4" fontId="43" fillId="23" borderId="5" xfId="0" applyNumberFormat="1" applyFont="1" applyFill="1" applyBorder="1"/>
    <xf numFmtId="3" fontId="43" fillId="23" borderId="5" xfId="0" applyNumberFormat="1" applyFont="1" applyFill="1" applyBorder="1"/>
    <xf numFmtId="3" fontId="43" fillId="23" borderId="0" xfId="0" applyNumberFormat="1" applyFont="1" applyFill="1"/>
    <xf numFmtId="3" fontId="43" fillId="23" borderId="7" xfId="0" applyNumberFormat="1" applyFont="1" applyFill="1" applyBorder="1"/>
    <xf numFmtId="4" fontId="37" fillId="23" borderId="5" xfId="0" applyNumberFormat="1" applyFont="1" applyFill="1" applyBorder="1"/>
    <xf numFmtId="0" fontId="37" fillId="23" borderId="7" xfId="25" applyFont="1" applyFill="1" applyBorder="1" applyAlignment="1">
      <alignment horizontal="right"/>
    </xf>
    <xf numFmtId="0" fontId="36" fillId="23" borderId="5" xfId="0" applyFont="1" applyFill="1" applyBorder="1" applyAlignment="1">
      <alignment horizontal="center" vertical="center"/>
    </xf>
    <xf numFmtId="0" fontId="36" fillId="23" borderId="13" xfId="0" applyFont="1" applyFill="1" applyBorder="1" applyAlignment="1">
      <alignment horizontal="center" vertical="center"/>
    </xf>
    <xf numFmtId="0" fontId="36" fillId="23" borderId="0" xfId="0" applyFont="1" applyFill="1" applyAlignment="1">
      <alignment horizontal="center" vertical="center"/>
    </xf>
    <xf numFmtId="0" fontId="57" fillId="23" borderId="13" xfId="0" applyFont="1" applyFill="1" applyBorder="1" applyAlignment="1">
      <alignment horizontal="center" vertical="center"/>
    </xf>
    <xf numFmtId="0" fontId="30" fillId="23" borderId="0" xfId="0" applyFont="1" applyFill="1"/>
    <xf numFmtId="4" fontId="61" fillId="0" borderId="7" xfId="0" applyNumberFormat="1" applyFont="1" applyBorder="1"/>
    <xf numFmtId="165" fontId="61" fillId="0" borderId="5" xfId="1" applyFont="1" applyFill="1" applyBorder="1"/>
    <xf numFmtId="165" fontId="61" fillId="0" borderId="0" xfId="1" applyFont="1" applyFill="1" applyBorder="1"/>
    <xf numFmtId="165" fontId="36" fillId="0" borderId="7" xfId="1" applyFont="1" applyFill="1" applyBorder="1"/>
    <xf numFmtId="43" fontId="37" fillId="0" borderId="0" xfId="0" applyNumberFormat="1" applyFont="1"/>
    <xf numFmtId="164" fontId="37" fillId="0" borderId="13" xfId="1" applyNumberFormat="1" applyFont="1" applyFill="1" applyBorder="1" applyAlignment="1">
      <alignment horizontal="center"/>
    </xf>
    <xf numFmtId="4" fontId="85" fillId="0" borderId="7" xfId="0" applyNumberFormat="1" applyFont="1" applyBorder="1"/>
    <xf numFmtId="170" fontId="36" fillId="23" borderId="13" xfId="1" applyNumberFormat="1" applyFont="1" applyFill="1" applyBorder="1"/>
    <xf numFmtId="165" fontId="58" fillId="23" borderId="5" xfId="1" applyFont="1" applyFill="1" applyBorder="1"/>
    <xf numFmtId="165" fontId="58" fillId="23" borderId="0" xfId="1" applyFont="1" applyFill="1" applyBorder="1"/>
    <xf numFmtId="4" fontId="53" fillId="23" borderId="5" xfId="0" applyNumberFormat="1" applyFont="1" applyFill="1" applyBorder="1"/>
    <xf numFmtId="0" fontId="53" fillId="23" borderId="7" xfId="25" applyFont="1" applyFill="1" applyBorder="1" applyAlignment="1">
      <alignment horizontal="right"/>
    </xf>
    <xf numFmtId="4" fontId="37" fillId="6" borderId="5" xfId="0" applyNumberFormat="1" applyFont="1" applyFill="1" applyBorder="1"/>
    <xf numFmtId="3" fontId="85" fillId="0" borderId="0" xfId="0" applyNumberFormat="1" applyFont="1"/>
    <xf numFmtId="4" fontId="61" fillId="0" borderId="5" xfId="0" applyNumberFormat="1" applyFont="1" applyBorder="1"/>
    <xf numFmtId="4" fontId="61" fillId="0" borderId="0" xfId="0" applyNumberFormat="1" applyFont="1"/>
    <xf numFmtId="0" fontId="42" fillId="0" borderId="13" xfId="0" applyFont="1" applyBorder="1" applyAlignment="1">
      <alignment horizontal="right" vertical="top"/>
    </xf>
    <xf numFmtId="4" fontId="42" fillId="0" borderId="5" xfId="0" applyNumberFormat="1" applyFont="1" applyBorder="1"/>
    <xf numFmtId="9" fontId="53" fillId="0" borderId="5" xfId="8" applyFont="1" applyFill="1" applyBorder="1"/>
    <xf numFmtId="166" fontId="53" fillId="0" borderId="0" xfId="8" applyNumberFormat="1" applyFont="1" applyFill="1" applyBorder="1"/>
    <xf numFmtId="9" fontId="53" fillId="0" borderId="0" xfId="8" applyFont="1" applyFill="1" applyBorder="1"/>
    <xf numFmtId="166" fontId="53" fillId="0" borderId="7" xfId="8" applyNumberFormat="1" applyFont="1" applyFill="1" applyBorder="1"/>
    <xf numFmtId="3" fontId="42" fillId="0" borderId="0" xfId="0" applyNumberFormat="1" applyFont="1"/>
    <xf numFmtId="4" fontId="56" fillId="0" borderId="0" xfId="0" applyNumberFormat="1" applyFont="1"/>
    <xf numFmtId="4" fontId="56" fillId="0" borderId="7" xfId="0" applyNumberFormat="1" applyFont="1" applyBorder="1"/>
    <xf numFmtId="4" fontId="56" fillId="0" borderId="5" xfId="0" applyNumberFormat="1" applyFont="1" applyBorder="1"/>
    <xf numFmtId="3" fontId="56" fillId="0" borderId="5" xfId="0" applyNumberFormat="1" applyFont="1" applyBorder="1"/>
    <xf numFmtId="3" fontId="56" fillId="0" borderId="0" xfId="0" applyNumberFormat="1" applyFont="1"/>
    <xf numFmtId="3" fontId="56" fillId="0" borderId="7" xfId="0" applyNumberFormat="1" applyFont="1" applyBorder="1"/>
    <xf numFmtId="3" fontId="53" fillId="0" borderId="5" xfId="0" applyNumberFormat="1" applyFont="1" applyBorder="1"/>
    <xf numFmtId="0" fontId="53" fillId="0" borderId="7" xfId="25" applyFont="1" applyBorder="1" applyAlignment="1">
      <alignment horizontal="right"/>
    </xf>
    <xf numFmtId="0" fontId="42" fillId="0" borderId="0" xfId="0" applyFont="1" applyAlignment="1">
      <alignment horizontal="center" vertical="center"/>
    </xf>
    <xf numFmtId="171" fontId="36" fillId="6" borderId="3" xfId="1" applyNumberFormat="1" applyFont="1" applyFill="1" applyBorder="1" applyAlignment="1">
      <alignment vertical="center"/>
    </xf>
    <xf numFmtId="183" fontId="75" fillId="15" borderId="11" xfId="0" applyNumberFormat="1" applyFont="1" applyFill="1" applyBorder="1"/>
    <xf numFmtId="183" fontId="75" fillId="15" borderId="3" xfId="0" applyNumberFormat="1" applyFont="1" applyFill="1" applyBorder="1"/>
    <xf numFmtId="183" fontId="75" fillId="15" borderId="4" xfId="0" applyNumberFormat="1" applyFont="1" applyFill="1" applyBorder="1"/>
    <xf numFmtId="169" fontId="32" fillId="0" borderId="0" xfId="0" applyNumberFormat="1" applyFont="1"/>
    <xf numFmtId="173" fontId="36" fillId="0" borderId="12" xfId="1" applyNumberFormat="1" applyFont="1" applyBorder="1" applyAlignment="1">
      <alignment vertical="center"/>
    </xf>
    <xf numFmtId="10" fontId="30" fillId="0" borderId="0" xfId="8" applyNumberFormat="1" applyFont="1"/>
    <xf numFmtId="184" fontId="32" fillId="4" borderId="0" xfId="0" applyNumberFormat="1" applyFont="1" applyFill="1"/>
    <xf numFmtId="185" fontId="32" fillId="4" borderId="0" xfId="0" applyNumberFormat="1" applyFont="1" applyFill="1"/>
    <xf numFmtId="186" fontId="30" fillId="0" borderId="0" xfId="0" applyNumberFormat="1" applyFont="1"/>
    <xf numFmtId="184" fontId="30" fillId="0" borderId="12" xfId="0" applyNumberFormat="1" applyFont="1" applyBorder="1"/>
    <xf numFmtId="165" fontId="30" fillId="0" borderId="0" xfId="1" applyFont="1"/>
    <xf numFmtId="165" fontId="33" fillId="0" borderId="12" xfId="1" applyFont="1" applyBorder="1"/>
    <xf numFmtId="165" fontId="32" fillId="4" borderId="0" xfId="0" applyNumberFormat="1" applyFont="1" applyFill="1"/>
    <xf numFmtId="165" fontId="30" fillId="0" borderId="0" xfId="0" applyNumberFormat="1" applyFont="1"/>
    <xf numFmtId="187" fontId="30" fillId="0" borderId="0" xfId="0" applyNumberFormat="1" applyFont="1"/>
    <xf numFmtId="0" fontId="205" fillId="0" borderId="0" xfId="0" applyFont="1" applyAlignment="1">
      <alignment horizontal="justify" vertical="center"/>
    </xf>
    <xf numFmtId="0" fontId="205" fillId="0" borderId="0" xfId="0" applyFont="1"/>
    <xf numFmtId="0" fontId="37" fillId="5" borderId="0" xfId="0" applyFont="1" applyFill="1"/>
    <xf numFmtId="0" fontId="36" fillId="5" borderId="0" xfId="0" applyFont="1" applyFill="1"/>
    <xf numFmtId="0" fontId="30" fillId="5" borderId="0" xfId="0" applyFont="1" applyFill="1"/>
    <xf numFmtId="0" fontId="206" fillId="0" borderId="3" xfId="0" applyFont="1" applyBorder="1" applyAlignment="1">
      <alignment horizontal="left" vertical="center"/>
    </xf>
    <xf numFmtId="0" fontId="37" fillId="0" borderId="3" xfId="9" applyFont="1" applyBorder="1" applyAlignment="1">
      <alignment horizontal="left" vertical="center"/>
    </xf>
    <xf numFmtId="0" fontId="36" fillId="0" borderId="3" xfId="9" applyFont="1" applyBorder="1" applyAlignment="1">
      <alignment horizontal="left" vertical="center" wrapText="1"/>
    </xf>
    <xf numFmtId="0" fontId="51" fillId="0" borderId="3" xfId="9" applyFont="1" applyBorder="1" applyAlignment="1">
      <alignment horizontal="center" vertical="center"/>
    </xf>
    <xf numFmtId="3" fontId="51" fillId="0" borderId="3" xfId="9" applyNumberFormat="1" applyFont="1" applyBorder="1" applyAlignment="1">
      <alignment vertical="center"/>
    </xf>
    <xf numFmtId="164" fontId="36" fillId="0" borderId="3" xfId="1" applyNumberFormat="1" applyFont="1" applyBorder="1" applyAlignment="1">
      <alignment horizontal="right" vertical="center"/>
    </xf>
    <xf numFmtId="43" fontId="36" fillId="0" borderId="3" xfId="0" applyNumberFormat="1" applyFont="1" applyBorder="1" applyAlignment="1">
      <alignment vertical="center" wrapText="1"/>
    </xf>
    <xf numFmtId="165" fontId="37" fillId="0" borderId="3" xfId="1" applyFont="1" applyBorder="1" applyAlignment="1">
      <alignment vertical="center"/>
    </xf>
    <xf numFmtId="4" fontId="56" fillId="2" borderId="3" xfId="0" applyNumberFormat="1" applyFont="1" applyFill="1" applyBorder="1" applyAlignment="1">
      <alignment vertical="center"/>
    </xf>
    <xf numFmtId="0" fontId="42" fillId="0" borderId="3" xfId="0" applyFont="1" applyBorder="1" applyAlignment="1">
      <alignment vertical="center"/>
    </xf>
    <xf numFmtId="0" fontId="36" fillId="0" borderId="3" xfId="0" applyFont="1" applyBorder="1" applyAlignment="1">
      <alignment vertical="center"/>
    </xf>
    <xf numFmtId="0" fontId="53" fillId="0" borderId="3" xfId="0" applyFont="1" applyBorder="1" applyAlignment="1">
      <alignment vertical="center"/>
    </xf>
    <xf numFmtId="0" fontId="42" fillId="0" borderId="3" xfId="0" applyFont="1" applyBorder="1" applyAlignment="1">
      <alignment horizontal="center" vertical="center"/>
    </xf>
    <xf numFmtId="0" fontId="36" fillId="0" borderId="3" xfId="0" applyFont="1" applyBorder="1" applyAlignment="1">
      <alignment horizontal="center" vertical="center"/>
    </xf>
    <xf numFmtId="0" fontId="57" fillId="0" borderId="4" xfId="0" applyFont="1" applyBorder="1" applyAlignment="1">
      <alignment horizontal="center" vertical="center"/>
    </xf>
    <xf numFmtId="0" fontId="36" fillId="25" borderId="0" xfId="0" applyFont="1" applyFill="1" applyAlignment="1">
      <alignment horizontal="left" vertical="center"/>
    </xf>
    <xf numFmtId="0" fontId="41" fillId="25" borderId="5" xfId="0" applyFont="1" applyFill="1" applyBorder="1" applyAlignment="1">
      <alignment horizontal="center" vertical="center"/>
    </xf>
    <xf numFmtId="0" fontId="42" fillId="25" borderId="5" xfId="0" applyFont="1" applyFill="1" applyBorder="1" applyAlignment="1">
      <alignment horizontal="center" vertical="center"/>
    </xf>
    <xf numFmtId="0" fontId="52" fillId="25" borderId="0" xfId="0" applyFont="1" applyFill="1" applyAlignment="1">
      <alignment vertical="center"/>
    </xf>
    <xf numFmtId="0" fontId="52" fillId="25" borderId="0" xfId="0" applyFont="1" applyFill="1"/>
    <xf numFmtId="0" fontId="59" fillId="25" borderId="0" xfId="0" applyFont="1" applyFill="1" applyAlignment="1">
      <alignment vertical="center"/>
    </xf>
    <xf numFmtId="0" fontId="52" fillId="25" borderId="0" xfId="0" applyFont="1" applyFill="1" applyAlignment="1">
      <alignment vertical="center" shrinkToFit="1"/>
    </xf>
    <xf numFmtId="43" fontId="207" fillId="25" borderId="0" xfId="0" applyNumberFormat="1" applyFont="1" applyFill="1" applyAlignment="1">
      <alignment vertical="center" shrinkToFit="1"/>
    </xf>
    <xf numFmtId="174" fontId="36" fillId="25" borderId="0" xfId="0" applyNumberFormat="1" applyFont="1" applyFill="1"/>
    <xf numFmtId="164" fontId="52" fillId="25" borderId="0" xfId="1" applyNumberFormat="1" applyFont="1" applyFill="1" applyBorder="1" applyAlignment="1">
      <alignment horizontal="right" vertical="center" shrinkToFit="1"/>
    </xf>
    <xf numFmtId="171" fontId="52" fillId="25" borderId="0" xfId="1" applyNumberFormat="1" applyFont="1" applyFill="1" applyBorder="1" applyAlignment="1">
      <alignment horizontal="right" vertical="center" shrinkToFit="1"/>
    </xf>
    <xf numFmtId="165" fontId="52" fillId="25" borderId="0" xfId="1" applyFont="1" applyFill="1" applyBorder="1" applyAlignment="1">
      <alignment horizontal="right" vertical="center" shrinkToFit="1"/>
    </xf>
    <xf numFmtId="165" fontId="52" fillId="25" borderId="0" xfId="1" applyFont="1" applyFill="1" applyBorder="1" applyAlignment="1">
      <alignment vertical="center" shrinkToFit="1"/>
    </xf>
    <xf numFmtId="43" fontId="53" fillId="25" borderId="0" xfId="0" applyNumberFormat="1" applyFont="1" applyFill="1" applyAlignment="1">
      <alignment vertical="center" shrinkToFit="1"/>
    </xf>
    <xf numFmtId="166" fontId="48" fillId="25" borderId="0" xfId="8" applyNumberFormat="1" applyFont="1" applyFill="1" applyBorder="1" applyAlignment="1">
      <alignment vertical="center" shrinkToFit="1"/>
    </xf>
    <xf numFmtId="43" fontId="52" fillId="25" borderId="0" xfId="0" applyNumberFormat="1" applyFont="1" applyFill="1" applyAlignment="1">
      <alignment vertical="center" shrinkToFit="1"/>
    </xf>
    <xf numFmtId="0" fontId="42" fillId="25" borderId="0" xfId="0" applyFont="1" applyFill="1" applyAlignment="1">
      <alignment vertical="center"/>
    </xf>
    <xf numFmtId="0" fontId="36" fillId="25" borderId="0" xfId="0" applyFont="1" applyFill="1" applyAlignment="1">
      <alignment horizontal="center" vertical="center"/>
    </xf>
    <xf numFmtId="0" fontId="57" fillId="25" borderId="7" xfId="0" applyFont="1" applyFill="1" applyBorder="1" applyAlignment="1">
      <alignment horizontal="center" vertical="center"/>
    </xf>
    <xf numFmtId="0" fontId="53" fillId="25" borderId="0" xfId="0" applyFont="1" applyFill="1" applyAlignment="1">
      <alignment vertical="center"/>
    </xf>
    <xf numFmtId="0" fontId="52" fillId="4" borderId="3" xfId="0" applyFont="1" applyFill="1" applyBorder="1" applyAlignment="1">
      <alignment vertical="center"/>
    </xf>
    <xf numFmtId="0" fontId="52" fillId="4" borderId="3" xfId="0" applyFont="1" applyFill="1" applyBorder="1"/>
    <xf numFmtId="0" fontId="139" fillId="4" borderId="3" xfId="0" applyFont="1" applyFill="1" applyBorder="1" applyAlignment="1">
      <alignment vertical="center"/>
    </xf>
    <xf numFmtId="0" fontId="52" fillId="4" borderId="3" xfId="0" applyFont="1" applyFill="1" applyBorder="1" applyAlignment="1">
      <alignment vertical="center" shrinkToFit="1"/>
    </xf>
    <xf numFmtId="3" fontId="52" fillId="4" borderId="3" xfId="9" applyNumberFormat="1" applyFont="1" applyFill="1" applyBorder="1" applyAlignment="1">
      <alignment shrinkToFit="1"/>
    </xf>
    <xf numFmtId="174" fontId="36" fillId="4" borderId="3" xfId="0" applyNumberFormat="1" applyFont="1" applyFill="1" applyBorder="1"/>
    <xf numFmtId="164" fontId="52" fillId="4" borderId="3" xfId="1" applyNumberFormat="1" applyFont="1" applyFill="1" applyBorder="1" applyAlignment="1">
      <alignment horizontal="right" vertical="center" shrinkToFit="1"/>
    </xf>
    <xf numFmtId="171" fontId="52" fillId="4" borderId="3" xfId="1" applyNumberFormat="1" applyFont="1" applyFill="1" applyBorder="1" applyAlignment="1">
      <alignment horizontal="right" vertical="center" shrinkToFit="1"/>
    </xf>
    <xf numFmtId="165" fontId="52" fillId="4" borderId="3" xfId="1" applyFont="1" applyFill="1" applyBorder="1" applyAlignment="1">
      <alignment horizontal="right" vertical="center" shrinkToFit="1"/>
    </xf>
    <xf numFmtId="165" fontId="52" fillId="4" borderId="3" xfId="1" applyFont="1" applyFill="1" applyBorder="1" applyAlignment="1">
      <alignment vertical="center" shrinkToFit="1"/>
    </xf>
    <xf numFmtId="43" fontId="52" fillId="4" borderId="3" xfId="0" applyNumberFormat="1" applyFont="1" applyFill="1" applyBorder="1" applyAlignment="1">
      <alignment vertical="center" shrinkToFit="1"/>
    </xf>
    <xf numFmtId="166" fontId="48" fillId="4" borderId="3" xfId="8" applyNumberFormat="1" applyFont="1" applyFill="1" applyBorder="1" applyAlignment="1">
      <alignment vertical="center" shrinkToFit="1"/>
    </xf>
    <xf numFmtId="0" fontId="42" fillId="4" borderId="3" xfId="0" applyFont="1" applyFill="1" applyBorder="1" applyAlignment="1">
      <alignment vertical="center"/>
    </xf>
    <xf numFmtId="0" fontId="36" fillId="4" borderId="3" xfId="0" applyFont="1" applyFill="1" applyBorder="1" applyAlignment="1">
      <alignment horizontal="center" vertical="center"/>
    </xf>
    <xf numFmtId="0" fontId="57" fillId="4" borderId="4" xfId="0" applyFont="1" applyFill="1" applyBorder="1" applyAlignment="1">
      <alignment horizontal="center" vertical="center"/>
    </xf>
    <xf numFmtId="0" fontId="41" fillId="25" borderId="0" xfId="0" applyFont="1" applyFill="1" applyAlignment="1">
      <alignment horizontal="center" vertical="center"/>
    </xf>
    <xf numFmtId="0" fontId="139" fillId="25" borderId="0" xfId="0" applyFont="1" applyFill="1" applyAlignment="1">
      <alignment vertical="center"/>
    </xf>
    <xf numFmtId="164" fontId="52" fillId="25" borderId="0" xfId="1" applyNumberFormat="1" applyFont="1" applyFill="1" applyBorder="1" applyAlignment="1">
      <alignment horizontal="right" vertical="center"/>
    </xf>
    <xf numFmtId="171" fontId="52" fillId="25" borderId="0" xfId="1" applyNumberFormat="1" applyFont="1" applyFill="1" applyBorder="1" applyAlignment="1">
      <alignment horizontal="right" vertical="center"/>
    </xf>
    <xf numFmtId="165" fontId="52" fillId="25" borderId="0" xfId="1" applyFont="1" applyFill="1" applyBorder="1" applyAlignment="1">
      <alignment horizontal="right" vertical="center"/>
    </xf>
    <xf numFmtId="165" fontId="52" fillId="25" borderId="0" xfId="1" applyFont="1" applyFill="1" applyBorder="1" applyAlignment="1">
      <alignment vertical="center"/>
    </xf>
    <xf numFmtId="0" fontId="36" fillId="25" borderId="0" xfId="0" applyFont="1" applyFill="1" applyAlignment="1">
      <alignment vertical="center"/>
    </xf>
    <xf numFmtId="3" fontId="52" fillId="4" borderId="3" xfId="9" applyNumberFormat="1" applyFont="1" applyFill="1" applyBorder="1"/>
    <xf numFmtId="164" fontId="52" fillId="4" borderId="3" xfId="1" applyNumberFormat="1" applyFont="1" applyFill="1" applyBorder="1" applyAlignment="1">
      <alignment horizontal="right" vertical="center"/>
    </xf>
    <xf numFmtId="171" fontId="52" fillId="4" borderId="3" xfId="1" applyNumberFormat="1" applyFont="1" applyFill="1" applyBorder="1" applyAlignment="1">
      <alignment horizontal="right" vertical="center"/>
    </xf>
    <xf numFmtId="165" fontId="52" fillId="4" borderId="3" xfId="1" applyFont="1" applyFill="1" applyBorder="1" applyAlignment="1">
      <alignment horizontal="right" vertical="center"/>
    </xf>
    <xf numFmtId="165" fontId="52" fillId="4" borderId="3" xfId="1" applyFont="1" applyFill="1" applyBorder="1" applyAlignment="1">
      <alignment vertical="center"/>
    </xf>
    <xf numFmtId="0" fontId="36" fillId="4" borderId="3" xfId="0" applyFont="1" applyFill="1" applyBorder="1" applyAlignment="1">
      <alignment vertical="center"/>
    </xf>
    <xf numFmtId="165" fontId="53" fillId="0" borderId="13" xfId="1" applyFont="1" applyBorder="1" applyAlignment="1">
      <alignment vertical="center" shrinkToFit="1"/>
    </xf>
    <xf numFmtId="0" fontId="52" fillId="25" borderId="5" xfId="0" applyFont="1" applyFill="1" applyBorder="1" applyAlignment="1">
      <alignment vertical="center"/>
    </xf>
    <xf numFmtId="0" fontId="52" fillId="25" borderId="13" xfId="0" applyFont="1" applyFill="1" applyBorder="1" applyAlignment="1">
      <alignment vertical="center"/>
    </xf>
    <xf numFmtId="3" fontId="52" fillId="25" borderId="13" xfId="9" applyNumberFormat="1" applyFont="1" applyFill="1" applyBorder="1"/>
    <xf numFmtId="174" fontId="36" fillId="25" borderId="13" xfId="0" applyNumberFormat="1" applyFont="1" applyFill="1" applyBorder="1"/>
    <xf numFmtId="164" fontId="52" fillId="25" borderId="5" xfId="1" applyNumberFormat="1" applyFont="1" applyFill="1" applyBorder="1" applyAlignment="1">
      <alignment horizontal="right" vertical="center"/>
    </xf>
    <xf numFmtId="165" fontId="52" fillId="25" borderId="7" xfId="1" applyFont="1" applyFill="1" applyBorder="1" applyAlignment="1">
      <alignment vertical="center"/>
    </xf>
    <xf numFmtId="166" fontId="48" fillId="25" borderId="5" xfId="8" applyNumberFormat="1" applyFont="1" applyFill="1" applyBorder="1" applyAlignment="1">
      <alignment vertical="center" shrinkToFit="1"/>
    </xf>
    <xf numFmtId="166" fontId="48" fillId="25" borderId="7" xfId="8" applyNumberFormat="1" applyFont="1" applyFill="1" applyBorder="1" applyAlignment="1">
      <alignment vertical="center" shrinkToFit="1"/>
    </xf>
    <xf numFmtId="0" fontId="36" fillId="25" borderId="13" xfId="0" applyFont="1" applyFill="1" applyBorder="1" applyAlignment="1">
      <alignment horizontal="center" vertical="center"/>
    </xf>
    <xf numFmtId="0" fontId="57" fillId="25" borderId="13" xfId="0" applyFont="1" applyFill="1" applyBorder="1" applyAlignment="1">
      <alignment horizontal="center" vertical="center"/>
    </xf>
    <xf numFmtId="43" fontId="36" fillId="0" borderId="13" xfId="0" applyNumberFormat="1" applyFont="1" applyBorder="1"/>
    <xf numFmtId="175" fontId="36" fillId="0" borderId="13" xfId="0" applyNumberFormat="1" applyFont="1" applyBorder="1"/>
    <xf numFmtId="49" fontId="36" fillId="4" borderId="0" xfId="5" applyNumberFormat="1" applyFont="1" applyFill="1" applyAlignment="1">
      <alignment vertical="center"/>
    </xf>
    <xf numFmtId="49" fontId="36" fillId="4" borderId="0" xfId="9" applyNumberFormat="1" applyFont="1" applyFill="1" applyAlignment="1">
      <alignment horizontal="left" vertical="center"/>
    </xf>
    <xf numFmtId="49" fontId="42" fillId="4" borderId="0" xfId="9" applyNumberFormat="1" applyFont="1" applyFill="1" applyAlignment="1">
      <alignment horizontal="left" vertical="center"/>
    </xf>
    <xf numFmtId="0" fontId="42" fillId="4" borderId="0" xfId="0" applyFont="1" applyFill="1" applyAlignment="1">
      <alignment vertical="center"/>
    </xf>
    <xf numFmtId="0" fontId="42" fillId="5" borderId="5" xfId="0" applyFont="1" applyFill="1" applyBorder="1" applyAlignment="1">
      <alignment vertical="center"/>
    </xf>
    <xf numFmtId="0" fontId="36" fillId="5" borderId="0" xfId="5" applyFont="1" applyFill="1" applyAlignment="1">
      <alignment horizontal="left"/>
    </xf>
    <xf numFmtId="49" fontId="42" fillId="5" borderId="0" xfId="5" applyNumberFormat="1" applyFont="1" applyFill="1"/>
    <xf numFmtId="0" fontId="53" fillId="5" borderId="0" xfId="5" applyFont="1" applyFill="1" applyAlignment="1">
      <alignment vertical="center"/>
    </xf>
    <xf numFmtId="165" fontId="42" fillId="0" borderId="13" xfId="1" applyFont="1" applyFill="1" applyBorder="1" applyAlignment="1">
      <alignment vertical="center"/>
    </xf>
    <xf numFmtId="0" fontId="36" fillId="0" borderId="0" xfId="0" applyFont="1" applyAlignment="1">
      <alignment horizontal="left"/>
    </xf>
    <xf numFmtId="168" fontId="36" fillId="0" borderId="0" xfId="1" applyNumberFormat="1" applyFont="1" applyAlignment="1">
      <alignment horizontal="right" vertical="center"/>
    </xf>
    <xf numFmtId="43" fontId="37" fillId="0" borderId="0" xfId="0" applyNumberFormat="1" applyFont="1" applyAlignment="1">
      <alignment vertical="center"/>
    </xf>
    <xf numFmtId="0" fontId="101" fillId="18" borderId="5" xfId="0" applyFont="1" applyFill="1" applyBorder="1" applyAlignment="1">
      <alignment vertical="center"/>
    </xf>
    <xf numFmtId="172" fontId="34" fillId="0" borderId="5" xfId="1" applyNumberFormat="1" applyFont="1" applyFill="1" applyBorder="1" applyAlignment="1">
      <alignment horizontal="center" vertical="center"/>
    </xf>
    <xf numFmtId="0" fontId="197" fillId="0" borderId="13" xfId="9" applyFont="1" applyBorder="1" applyAlignment="1">
      <alignment horizontal="center" vertical="center"/>
    </xf>
    <xf numFmtId="179" fontId="197" fillId="0" borderId="5" xfId="1" applyNumberFormat="1" applyFont="1" applyFill="1" applyBorder="1" applyAlignment="1">
      <alignment horizontal="right" vertical="center"/>
    </xf>
    <xf numFmtId="179" fontId="197" fillId="0" borderId="0" xfId="1" applyNumberFormat="1" applyFont="1" applyFill="1" applyBorder="1" applyAlignment="1">
      <alignment horizontal="right" vertical="center"/>
    </xf>
    <xf numFmtId="179" fontId="197" fillId="0" borderId="7" xfId="9" applyNumberFormat="1" applyFont="1" applyBorder="1" applyAlignment="1">
      <alignment vertical="center"/>
    </xf>
    <xf numFmtId="43" fontId="197" fillId="4" borderId="5" xfId="0" applyNumberFormat="1" applyFont="1" applyFill="1" applyBorder="1" applyAlignment="1">
      <alignment vertical="center" wrapText="1"/>
    </xf>
    <xf numFmtId="43" fontId="197" fillId="4" borderId="0" xfId="0" applyNumberFormat="1" applyFont="1" applyFill="1" applyAlignment="1">
      <alignment vertical="center" wrapText="1"/>
    </xf>
    <xf numFmtId="43" fontId="197" fillId="0" borderId="8" xfId="0" applyNumberFormat="1" applyFont="1" applyBorder="1" applyAlignment="1">
      <alignment vertical="center" wrapText="1"/>
    </xf>
    <xf numFmtId="43" fontId="197" fillId="0" borderId="6" xfId="0" applyNumberFormat="1" applyFont="1" applyBorder="1" applyAlignment="1">
      <alignment vertical="center" wrapText="1"/>
    </xf>
    <xf numFmtId="179" fontId="197" fillId="4" borderId="5" xfId="1" applyNumberFormat="1" applyFont="1" applyFill="1" applyBorder="1" applyAlignment="1">
      <alignment horizontal="right" vertical="center"/>
    </xf>
    <xf numFmtId="172" fontId="169" fillId="0" borderId="7" xfId="9" applyNumberFormat="1" applyFont="1" applyBorder="1" applyAlignment="1">
      <alignment vertical="center"/>
    </xf>
    <xf numFmtId="172" fontId="34" fillId="0" borderId="2" xfId="1" applyNumberFormat="1" applyFont="1" applyFill="1" applyBorder="1" applyAlignment="1">
      <alignment horizontal="right" vertical="center"/>
    </xf>
    <xf numFmtId="172" fontId="109" fillId="15" borderId="3" xfId="1" applyNumberFormat="1" applyFont="1" applyFill="1" applyBorder="1" applyAlignment="1">
      <alignment horizontal="right" vertical="center"/>
    </xf>
    <xf numFmtId="172" fontId="104" fillId="15" borderId="3" xfId="1" applyNumberFormat="1" applyFont="1" applyFill="1" applyBorder="1" applyAlignment="1">
      <alignment horizontal="right" vertical="center"/>
    </xf>
    <xf numFmtId="0" fontId="197" fillId="0" borderId="5" xfId="0" applyFont="1" applyBorder="1" applyAlignment="1">
      <alignment horizontal="center" vertical="center"/>
    </xf>
    <xf numFmtId="0" fontId="108" fillId="0" borderId="5" xfId="0" applyFont="1" applyBorder="1" applyAlignment="1">
      <alignment vertical="center"/>
    </xf>
    <xf numFmtId="0" fontId="108" fillId="0" borderId="0" xfId="9" applyFont="1" applyAlignment="1">
      <alignment vertical="top" wrapText="1"/>
    </xf>
    <xf numFmtId="0" fontId="108" fillId="0" borderId="13" xfId="9" applyFont="1" applyBorder="1" applyAlignment="1">
      <alignment horizontal="center" vertical="center"/>
    </xf>
    <xf numFmtId="0" fontId="108" fillId="0" borderId="7" xfId="9" applyFont="1" applyBorder="1" applyAlignment="1">
      <alignment horizontal="left" vertical="center" wrapText="1"/>
    </xf>
    <xf numFmtId="0" fontId="93" fillId="0" borderId="0" xfId="5" applyFont="1" applyAlignment="1">
      <alignment wrapText="1"/>
    </xf>
    <xf numFmtId="0" fontId="93" fillId="0" borderId="13" xfId="9" applyFont="1" applyBorder="1" applyAlignment="1">
      <alignment horizontal="center" vertical="center"/>
    </xf>
    <xf numFmtId="0" fontId="34" fillId="0" borderId="7" xfId="5" applyFont="1" applyBorder="1" applyAlignment="1">
      <alignment horizontal="center" vertical="center"/>
    </xf>
    <xf numFmtId="0" fontId="158" fillId="0" borderId="0" xfId="0" applyFont="1" applyAlignment="1">
      <alignment vertical="top"/>
    </xf>
    <xf numFmtId="0" fontId="108" fillId="0" borderId="13" xfId="5" applyFont="1" applyBorder="1" applyAlignment="1">
      <alignment horizontal="center" vertical="center"/>
    </xf>
    <xf numFmtId="0" fontId="108" fillId="0" borderId="0" xfId="9" applyFont="1" applyAlignment="1">
      <alignment horizontal="left" vertical="top"/>
    </xf>
    <xf numFmtId="0" fontId="108" fillId="0" borderId="0" xfId="0" applyFont="1" applyAlignment="1">
      <alignment vertical="top"/>
    </xf>
    <xf numFmtId="0" fontId="108" fillId="0" borderId="5" xfId="0" applyFont="1" applyBorder="1" applyAlignment="1">
      <alignment vertical="top"/>
    </xf>
    <xf numFmtId="172" fontId="108" fillId="0" borderId="7" xfId="9" applyNumberFormat="1" applyFont="1" applyBorder="1" applyAlignment="1">
      <alignment vertical="center"/>
    </xf>
    <xf numFmtId="43" fontId="108" fillId="0" borderId="5" xfId="0" applyNumberFormat="1" applyFont="1" applyBorder="1" applyAlignment="1">
      <alignment vertical="center" wrapText="1"/>
    </xf>
    <xf numFmtId="43" fontId="108" fillId="0" borderId="0" xfId="0" applyNumberFormat="1" applyFont="1" applyAlignment="1">
      <alignment vertical="center" wrapText="1"/>
    </xf>
    <xf numFmtId="0" fontId="108" fillId="0" borderId="30" xfId="0" applyFont="1" applyBorder="1" applyAlignment="1">
      <alignment horizontal="center" vertical="center"/>
    </xf>
    <xf numFmtId="0" fontId="158" fillId="0" borderId="30" xfId="0" applyFont="1" applyBorder="1" applyAlignment="1">
      <alignment horizontal="center" vertical="center"/>
    </xf>
    <xf numFmtId="0" fontId="159" fillId="0" borderId="0" xfId="0" applyFont="1" applyAlignment="1">
      <alignment vertical="top"/>
    </xf>
    <xf numFmtId="0" fontId="197" fillId="0" borderId="0" xfId="9" applyFont="1" applyAlignment="1">
      <alignment horizontal="left" vertical="center" wrapText="1"/>
    </xf>
    <xf numFmtId="0" fontId="197" fillId="4" borderId="5" xfId="0" applyFont="1" applyFill="1" applyBorder="1" applyAlignment="1">
      <alignment vertical="center"/>
    </xf>
    <xf numFmtId="0" fontId="197" fillId="4" borderId="0" xfId="9" applyFont="1" applyFill="1" applyAlignment="1">
      <alignment horizontal="left" vertical="center"/>
    </xf>
    <xf numFmtId="0" fontId="197" fillId="4" borderId="0" xfId="9" applyFont="1" applyFill="1" applyAlignment="1">
      <alignment horizontal="left" vertical="center" wrapText="1"/>
    </xf>
    <xf numFmtId="179" fontId="197" fillId="4" borderId="0" xfId="1" applyNumberFormat="1" applyFont="1" applyFill="1" applyBorder="1" applyAlignment="1">
      <alignment horizontal="right" vertical="center"/>
    </xf>
    <xf numFmtId="179" fontId="197" fillId="4" borderId="7" xfId="9" applyNumberFormat="1" applyFont="1" applyFill="1" applyBorder="1" applyAlignment="1">
      <alignment vertical="center"/>
    </xf>
    <xf numFmtId="43" fontId="34" fillId="0" borderId="13" xfId="1" applyNumberFormat="1" applyFont="1" applyFill="1" applyBorder="1" applyAlignment="1">
      <alignment horizontal="center" vertical="center"/>
    </xf>
    <xf numFmtId="165" fontId="34" fillId="15" borderId="12" xfId="1" applyFont="1" applyFill="1" applyBorder="1" applyAlignment="1">
      <alignment horizontal="center" vertical="center"/>
    </xf>
    <xf numFmtId="0" fontId="46" fillId="0" borderId="41" xfId="0" applyFont="1" applyBorder="1" applyAlignment="1">
      <alignment horizontal="center" vertical="center"/>
    </xf>
    <xf numFmtId="165" fontId="37" fillId="0" borderId="6" xfId="1" applyFont="1" applyFill="1" applyBorder="1"/>
    <xf numFmtId="0" fontId="1" fillId="0" borderId="0" xfId="35" applyFont="1"/>
    <xf numFmtId="0" fontId="1" fillId="5" borderId="0" xfId="35" applyFont="1" applyFill="1"/>
    <xf numFmtId="0" fontId="34" fillId="18" borderId="1" xfId="0" applyFont="1" applyFill="1" applyBorder="1" applyAlignment="1">
      <alignment vertical="center"/>
    </xf>
    <xf numFmtId="0" fontId="90" fillId="18" borderId="10" xfId="0" applyFont="1" applyFill="1" applyBorder="1" applyAlignment="1">
      <alignment vertical="center" wrapText="1"/>
    </xf>
    <xf numFmtId="0" fontId="34" fillId="0" borderId="15" xfId="9" applyFont="1" applyBorder="1" applyAlignment="1">
      <alignment horizontal="center" vertical="center"/>
    </xf>
    <xf numFmtId="165" fontId="34" fillId="0" borderId="15" xfId="1" applyFont="1" applyFill="1" applyBorder="1" applyAlignment="1">
      <alignment horizontal="center" vertical="center"/>
    </xf>
    <xf numFmtId="172" fontId="46" fillId="0" borderId="1" xfId="1" applyNumberFormat="1" applyFont="1" applyFill="1" applyBorder="1" applyAlignment="1">
      <alignment horizontal="right" vertical="center"/>
    </xf>
    <xf numFmtId="172" fontId="46" fillId="0" borderId="2" xfId="1" applyNumberFormat="1" applyFont="1" applyFill="1" applyBorder="1" applyAlignment="1">
      <alignment horizontal="right" vertical="center"/>
    </xf>
    <xf numFmtId="172" fontId="46" fillId="0" borderId="10" xfId="9" applyNumberFormat="1" applyFont="1" applyBorder="1" applyAlignment="1">
      <alignment vertical="center"/>
    </xf>
    <xf numFmtId="43" fontId="104" fillId="0" borderId="7" xfId="0" applyNumberFormat="1" applyFont="1" applyBorder="1" applyAlignment="1">
      <alignment vertical="center" wrapText="1"/>
    </xf>
    <xf numFmtId="0" fontId="46" fillId="0" borderId="0" xfId="0" applyFont="1" applyAlignment="1">
      <alignment vertical="center" wrapText="1"/>
    </xf>
    <xf numFmtId="0" fontId="34" fillId="0" borderId="0" xfId="0" applyFont="1" applyAlignment="1">
      <alignment vertical="center" wrapText="1"/>
    </xf>
    <xf numFmtId="0" fontId="93" fillId="0" borderId="7" xfId="0" applyFont="1" applyBorder="1" applyAlignment="1">
      <alignment vertical="center" wrapText="1"/>
    </xf>
    <xf numFmtId="0" fontId="0" fillId="0" borderId="11" xfId="0" applyBorder="1"/>
    <xf numFmtId="0" fontId="208" fillId="4" borderId="12" xfId="475" applyFont="1" applyFill="1" applyBorder="1" applyAlignment="1">
      <alignment vertical="center"/>
    </xf>
    <xf numFmtId="0" fontId="208" fillId="6" borderId="12" xfId="475" applyFont="1" applyFill="1" applyBorder="1" applyAlignment="1">
      <alignment vertical="center"/>
    </xf>
    <xf numFmtId="0" fontId="209" fillId="11" borderId="0" xfId="0" applyFont="1" applyFill="1"/>
    <xf numFmtId="43" fontId="163" fillId="11" borderId="12" xfId="0" applyNumberFormat="1" applyFont="1" applyFill="1" applyBorder="1" applyAlignment="1">
      <alignment horizontal="right" vertical="center"/>
    </xf>
    <xf numFmtId="165" fontId="26" fillId="15" borderId="12" xfId="1" applyFont="1" applyFill="1" applyBorder="1" applyAlignment="1">
      <alignment vertical="center"/>
    </xf>
    <xf numFmtId="165" fontId="26" fillId="15" borderId="36" xfId="1" applyFont="1" applyFill="1" applyBorder="1" applyAlignment="1">
      <alignment vertical="center"/>
    </xf>
    <xf numFmtId="173" fontId="0" fillId="0" borderId="12" xfId="1" applyNumberFormat="1" applyFont="1" applyBorder="1" applyAlignment="1">
      <alignment vertical="center"/>
    </xf>
    <xf numFmtId="165" fontId="0" fillId="0" borderId="36" xfId="0" applyNumberFormat="1" applyBorder="1" applyAlignment="1">
      <alignment vertical="center"/>
    </xf>
    <xf numFmtId="0" fontId="46" fillId="5" borderId="3" xfId="0" applyFont="1" applyFill="1" applyBorder="1" applyAlignment="1">
      <alignment horizontal="center" vertical="center"/>
    </xf>
    <xf numFmtId="0" fontId="46" fillId="6" borderId="3" xfId="0" applyFont="1" applyFill="1" applyBorder="1" applyAlignment="1">
      <alignment horizontal="center" vertical="center"/>
    </xf>
    <xf numFmtId="165" fontId="26" fillId="6" borderId="37" xfId="1" applyFont="1" applyFill="1" applyBorder="1" applyAlignment="1">
      <alignment vertical="center"/>
    </xf>
    <xf numFmtId="165" fontId="26" fillId="6" borderId="38" xfId="1" applyFont="1" applyFill="1" applyBorder="1" applyAlignment="1">
      <alignment vertical="center"/>
    </xf>
    <xf numFmtId="0" fontId="29" fillId="0" borderId="13" xfId="475" applyFont="1" applyBorder="1"/>
    <xf numFmtId="0" fontId="121" fillId="4" borderId="12" xfId="475" applyFont="1" applyFill="1" applyBorder="1"/>
    <xf numFmtId="165" fontId="0" fillId="0" borderId="12" xfId="0" applyNumberFormat="1" applyBorder="1"/>
    <xf numFmtId="0" fontId="46" fillId="0" borderId="0" xfId="0" applyFont="1" applyAlignment="1">
      <alignment horizontal="left" vertical="center" wrapText="1"/>
    </xf>
    <xf numFmtId="0" fontId="34" fillId="0" borderId="5" xfId="0" applyFont="1" applyBorder="1" applyAlignment="1">
      <alignment vertical="top"/>
    </xf>
    <xf numFmtId="0" fontId="169" fillId="0" borderId="0" xfId="9" applyFont="1" applyAlignment="1">
      <alignment horizontal="left" vertical="center"/>
    </xf>
    <xf numFmtId="0" fontId="169" fillId="0" borderId="7" xfId="9" applyFont="1" applyBorder="1" applyAlignment="1">
      <alignment horizontal="left" vertical="center" wrapText="1"/>
    </xf>
    <xf numFmtId="0" fontId="169" fillId="0" borderId="13" xfId="9" applyFont="1" applyBorder="1" applyAlignment="1">
      <alignment horizontal="center" vertical="center"/>
    </xf>
    <xf numFmtId="172" fontId="169" fillId="0" borderId="0" xfId="9" applyNumberFormat="1" applyFont="1" applyAlignment="1">
      <alignment vertical="center"/>
    </xf>
    <xf numFmtId="0" fontId="188" fillId="0" borderId="0" xfId="9" applyFont="1" applyAlignment="1">
      <alignment horizontal="left" vertical="center" wrapText="1"/>
    </xf>
    <xf numFmtId="0" fontId="113" fillId="0" borderId="5" xfId="0" applyFont="1" applyBorder="1" applyAlignment="1">
      <alignment vertical="center" wrapText="1"/>
    </xf>
    <xf numFmtId="0" fontId="187" fillId="0" borderId="0" xfId="0" applyFont="1" applyAlignment="1">
      <alignment vertical="center" wrapText="1"/>
    </xf>
    <xf numFmtId="0" fontId="122" fillId="0" borderId="0" xfId="0" applyFont="1" applyAlignment="1">
      <alignment horizontal="left" vertical="center" wrapText="1"/>
    </xf>
    <xf numFmtId="0" fontId="34" fillId="0" borderId="0" xfId="5" applyFont="1" applyAlignment="1">
      <alignment horizontal="left" vertical="center"/>
    </xf>
    <xf numFmtId="0" fontId="34" fillId="0" borderId="0" xfId="5" applyFont="1" applyAlignment="1">
      <alignment vertical="center"/>
    </xf>
    <xf numFmtId="0" fontId="93" fillId="0" borderId="7" xfId="0" applyFont="1" applyBorder="1" applyAlignment="1">
      <alignment horizontal="center" vertical="center" wrapText="1"/>
    </xf>
    <xf numFmtId="0" fontId="169" fillId="0" borderId="0" xfId="5" applyFont="1" applyAlignment="1">
      <alignment horizontal="left" vertical="center"/>
    </xf>
    <xf numFmtId="0" fontId="169" fillId="0" borderId="0" xfId="5" applyFont="1" applyAlignment="1">
      <alignment vertical="center"/>
    </xf>
    <xf numFmtId="0" fontId="171" fillId="0" borderId="7" xfId="0" applyFont="1" applyBorder="1" applyAlignment="1">
      <alignment vertical="center" wrapText="1"/>
    </xf>
    <xf numFmtId="0" fontId="169" fillId="0" borderId="5" xfId="0" applyFont="1" applyBorder="1" applyAlignment="1">
      <alignment vertical="center"/>
    </xf>
    <xf numFmtId="0" fontId="171" fillId="0" borderId="7" xfId="0" applyFont="1" applyBorder="1" applyAlignment="1">
      <alignment horizontal="center" vertical="center" wrapText="1"/>
    </xf>
    <xf numFmtId="0" fontId="169" fillId="0" borderId="0" xfId="0" applyFont="1" applyAlignment="1">
      <alignment horizontal="center" vertical="center"/>
    </xf>
    <xf numFmtId="0" fontId="93" fillId="0" borderId="0" xfId="5" applyFont="1" applyAlignment="1">
      <alignment horizontal="center" vertical="center" wrapText="1"/>
    </xf>
    <xf numFmtId="0" fontId="108" fillId="0" borderId="7" xfId="0" applyFont="1" applyBorder="1" applyAlignment="1">
      <alignment horizontal="left" vertical="center" wrapText="1"/>
    </xf>
    <xf numFmtId="0" fontId="191" fillId="0" borderId="0" xfId="9" applyFont="1" applyAlignment="1">
      <alignment horizontal="left" vertical="center" wrapText="1"/>
    </xf>
    <xf numFmtId="0" fontId="191" fillId="0" borderId="13" xfId="5" applyFont="1" applyBorder="1" applyAlignment="1">
      <alignment horizontal="center" vertical="center" wrapText="1"/>
    </xf>
    <xf numFmtId="0" fontId="192" fillId="0" borderId="0" xfId="0" applyFont="1" applyAlignment="1">
      <alignment vertical="center" wrapText="1"/>
    </xf>
    <xf numFmtId="0" fontId="150" fillId="0" borderId="13" xfId="5" applyFont="1" applyBorder="1" applyAlignment="1">
      <alignment horizontal="center" vertical="center" wrapText="1"/>
    </xf>
    <xf numFmtId="0" fontId="34" fillId="0" borderId="7" xfId="9" applyFont="1" applyBorder="1" applyAlignment="1">
      <alignment horizontal="left" vertical="center" wrapText="1"/>
    </xf>
    <xf numFmtId="0" fontId="114" fillId="0" borderId="13" xfId="5" applyFont="1" applyBorder="1" applyAlignment="1">
      <alignment horizontal="center" vertical="center"/>
    </xf>
    <xf numFmtId="0" fontId="160" fillId="0" borderId="7" xfId="9" applyFont="1" applyBorder="1" applyAlignment="1">
      <alignment horizontal="left" vertical="center" wrapText="1"/>
    </xf>
    <xf numFmtId="0" fontId="103" fillId="0" borderId="0" xfId="9" applyFont="1" applyAlignment="1">
      <alignment horizontal="left" vertical="center"/>
    </xf>
    <xf numFmtId="43" fontId="34" fillId="0" borderId="5" xfId="0" applyNumberFormat="1" applyFont="1" applyBorder="1" applyAlignment="1">
      <alignment horizontal="center" vertical="center" wrapText="1"/>
    </xf>
    <xf numFmtId="0" fontId="93" fillId="0" borderId="0" xfId="9" applyFont="1" applyAlignment="1">
      <alignment vertical="center" wrapText="1"/>
    </xf>
    <xf numFmtId="165" fontId="93" fillId="0" borderId="7" xfId="1" applyFont="1" applyFill="1" applyBorder="1" applyAlignment="1">
      <alignment horizontal="center" vertical="center"/>
    </xf>
    <xf numFmtId="0" fontId="34" fillId="0" borderId="0" xfId="9" applyFont="1" applyAlignment="1">
      <alignment horizontal="center" vertical="center" wrapText="1"/>
    </xf>
    <xf numFmtId="0" fontId="34" fillId="0" borderId="7" xfId="5" applyFont="1" applyBorder="1" applyAlignment="1">
      <alignment horizontal="center" vertical="center" wrapText="1"/>
    </xf>
    <xf numFmtId="0" fontId="93" fillId="0" borderId="14" xfId="5" applyFont="1" applyBorder="1" applyAlignment="1">
      <alignment horizontal="center" vertical="center" wrapText="1"/>
    </xf>
    <xf numFmtId="0" fontId="34" fillId="0" borderId="11" xfId="0" applyFont="1" applyBorder="1" applyAlignment="1">
      <alignment vertical="center"/>
    </xf>
    <xf numFmtId="0" fontId="46" fillId="0" borderId="3" xfId="0" applyFont="1" applyBorder="1" applyAlignment="1">
      <alignment vertical="center"/>
    </xf>
    <xf numFmtId="0" fontId="46" fillId="0" borderId="3" xfId="9" applyFont="1" applyBorder="1" applyAlignment="1">
      <alignment horizontal="left" vertical="center"/>
    </xf>
    <xf numFmtId="0" fontId="34" fillId="0" borderId="3" xfId="9" applyFont="1" applyBorder="1" applyAlignment="1">
      <alignment horizontal="left" vertical="center" wrapText="1"/>
    </xf>
    <xf numFmtId="0" fontId="34" fillId="0" borderId="12" xfId="9" applyFont="1" applyBorder="1" applyAlignment="1">
      <alignment horizontal="center" vertical="center"/>
    </xf>
    <xf numFmtId="172" fontId="46" fillId="0" borderId="11" xfId="1" applyNumberFormat="1" applyFont="1" applyFill="1" applyBorder="1" applyAlignment="1">
      <alignment horizontal="right" vertical="center"/>
    </xf>
    <xf numFmtId="172" fontId="46" fillId="0" borderId="3" xfId="1" applyNumberFormat="1" applyFont="1" applyFill="1" applyBorder="1" applyAlignment="1">
      <alignment horizontal="right" vertical="center"/>
    </xf>
    <xf numFmtId="172" fontId="104" fillId="0" borderId="4" xfId="9" applyNumberFormat="1" applyFont="1" applyBorder="1" applyAlignment="1">
      <alignment vertical="center"/>
    </xf>
    <xf numFmtId="43" fontId="46" fillId="0" borderId="8" xfId="0" applyNumberFormat="1" applyFont="1" applyBorder="1" applyAlignment="1">
      <alignment vertical="center" wrapText="1"/>
    </xf>
    <xf numFmtId="43" fontId="46" fillId="0" borderId="6" xfId="0" applyNumberFormat="1" applyFont="1" applyBorder="1" applyAlignment="1">
      <alignment vertical="center" wrapText="1"/>
    </xf>
    <xf numFmtId="165" fontId="104" fillId="0" borderId="9" xfId="1" applyFont="1" applyFill="1" applyBorder="1" applyAlignment="1">
      <alignment vertical="center"/>
    </xf>
    <xf numFmtId="0" fontId="46" fillId="0" borderId="10" xfId="9" applyFont="1" applyBorder="1" applyAlignment="1">
      <alignment horizontal="left" vertical="center" wrapText="1"/>
    </xf>
    <xf numFmtId="0" fontId="46" fillId="0" borderId="7" xfId="9" applyFont="1" applyBorder="1" applyAlignment="1">
      <alignment horizontal="left" vertical="center" wrapText="1"/>
    </xf>
    <xf numFmtId="172" fontId="34" fillId="0" borderId="11" xfId="1" applyNumberFormat="1" applyFont="1" applyFill="1" applyBorder="1" applyAlignment="1">
      <alignment horizontal="right" vertical="center"/>
    </xf>
    <xf numFmtId="172" fontId="34" fillId="0" borderId="3" xfId="1" applyNumberFormat="1" applyFont="1" applyFill="1" applyBorder="1" applyAlignment="1">
      <alignment horizontal="right" vertical="center"/>
    </xf>
    <xf numFmtId="172" fontId="101" fillId="0" borderId="4" xfId="9" applyNumberFormat="1" applyFont="1" applyBorder="1" applyAlignment="1">
      <alignment vertical="center"/>
    </xf>
    <xf numFmtId="43" fontId="46" fillId="0" borderId="11" xfId="0" applyNumberFormat="1" applyFont="1" applyBorder="1" applyAlignment="1">
      <alignment vertical="center" wrapText="1"/>
    </xf>
    <xf numFmtId="43" fontId="46" fillId="0" borderId="3" xfId="0" applyNumberFormat="1" applyFont="1" applyBorder="1" applyAlignment="1">
      <alignment vertical="center" wrapText="1"/>
    </xf>
    <xf numFmtId="165" fontId="104" fillId="0" borderId="4" xfId="1" applyFont="1" applyFill="1" applyBorder="1" applyAlignment="1">
      <alignment vertical="center"/>
    </xf>
    <xf numFmtId="43" fontId="34" fillId="0" borderId="8" xfId="0" applyNumberFormat="1" applyFont="1" applyBorder="1" applyAlignment="1">
      <alignment vertical="center" wrapText="1"/>
    </xf>
    <xf numFmtId="43" fontId="34" fillId="0" borderId="6" xfId="0" applyNumberFormat="1" applyFont="1" applyBorder="1" applyAlignment="1">
      <alignment vertical="center" wrapText="1"/>
    </xf>
    <xf numFmtId="179" fontId="34" fillId="0" borderId="3" xfId="1" applyNumberFormat="1" applyFont="1" applyFill="1" applyBorder="1" applyAlignment="1">
      <alignment horizontal="right" vertical="center"/>
    </xf>
    <xf numFmtId="0" fontId="104" fillId="0" borderId="12" xfId="9" applyFont="1" applyBorder="1" applyAlignment="1">
      <alignment horizontal="center" vertical="center"/>
    </xf>
    <xf numFmtId="165" fontId="104" fillId="0" borderId="4" xfId="1" applyFont="1" applyFill="1" applyBorder="1" applyAlignment="1">
      <alignment horizontal="center" vertical="center"/>
    </xf>
    <xf numFmtId="172" fontId="72" fillId="0" borderId="11" xfId="1" applyNumberFormat="1" applyFont="1" applyFill="1" applyBorder="1" applyAlignment="1">
      <alignment horizontal="right" vertical="center"/>
    </xf>
    <xf numFmtId="172" fontId="72" fillId="0" borderId="3" xfId="1" applyNumberFormat="1" applyFont="1" applyFill="1" applyBorder="1" applyAlignment="1">
      <alignment horizontal="right" vertical="center"/>
    </xf>
    <xf numFmtId="172" fontId="72" fillId="0" borderId="4" xfId="9" applyNumberFormat="1" applyFont="1" applyBorder="1" applyAlignment="1">
      <alignment vertical="center"/>
    </xf>
    <xf numFmtId="0" fontId="34" fillId="0" borderId="0" xfId="0" applyFont="1" applyAlignment="1">
      <alignment horizontal="center" vertical="center" wrapText="1"/>
    </xf>
    <xf numFmtId="0" fontId="34" fillId="0" borderId="0" xfId="0" applyFont="1" applyAlignment="1">
      <alignment horizontal="left"/>
    </xf>
    <xf numFmtId="0" fontId="197" fillId="0" borderId="0" xfId="0" applyFont="1" applyAlignment="1">
      <alignment horizontal="left" vertical="center" wrapText="1"/>
    </xf>
    <xf numFmtId="0" fontId="34" fillId="0" borderId="0" xfId="0" applyFont="1" applyAlignment="1">
      <alignment horizontal="left" vertical="center" wrapText="1"/>
    </xf>
    <xf numFmtId="165" fontId="46" fillId="0" borderId="7" xfId="1" applyFont="1" applyFill="1" applyBorder="1" applyAlignment="1">
      <alignment horizontal="center" vertical="center"/>
    </xf>
    <xf numFmtId="170" fontId="34" fillId="0" borderId="5" xfId="9" applyNumberFormat="1" applyFont="1" applyBorder="1" applyAlignment="1">
      <alignment vertical="center"/>
    </xf>
    <xf numFmtId="170" fontId="34" fillId="0" borderId="0" xfId="9" applyNumberFormat="1" applyFont="1" applyAlignment="1">
      <alignment vertical="center"/>
    </xf>
    <xf numFmtId="165" fontId="72" fillId="0" borderId="4" xfId="1" applyFont="1" applyFill="1" applyBorder="1" applyAlignment="1">
      <alignment horizontal="center" vertical="center"/>
    </xf>
    <xf numFmtId="179" fontId="72" fillId="0" borderId="11" xfId="9" applyNumberFormat="1" applyFont="1" applyBorder="1" applyAlignment="1">
      <alignment vertical="center"/>
    </xf>
    <xf numFmtId="179" fontId="72" fillId="0" borderId="3" xfId="9" applyNumberFormat="1" applyFont="1" applyBorder="1" applyAlignment="1">
      <alignment vertical="center"/>
    </xf>
    <xf numFmtId="179" fontId="34" fillId="0" borderId="3" xfId="9" applyNumberFormat="1" applyFont="1" applyBorder="1" applyAlignment="1">
      <alignment vertical="center"/>
    </xf>
    <xf numFmtId="179" fontId="34" fillId="0" borderId="4" xfId="9" applyNumberFormat="1" applyFont="1" applyBorder="1" applyAlignment="1">
      <alignment vertical="center"/>
    </xf>
    <xf numFmtId="165" fontId="72" fillId="0" borderId="7" xfId="1" applyFont="1" applyFill="1" applyBorder="1" applyAlignment="1">
      <alignment horizontal="center" vertical="center"/>
    </xf>
    <xf numFmtId="181" fontId="34" fillId="0" borderId="0" xfId="1" applyNumberFormat="1" applyFont="1" applyFill="1" applyAlignment="1">
      <alignment vertical="center"/>
    </xf>
    <xf numFmtId="0" fontId="34" fillId="0" borderId="13" xfId="9" applyFont="1" applyBorder="1" applyAlignment="1">
      <alignment horizontal="center"/>
    </xf>
    <xf numFmtId="0" fontId="34" fillId="0" borderId="5" xfId="0" applyFont="1" applyBorder="1"/>
    <xf numFmtId="0" fontId="46" fillId="0" borderId="0" xfId="0" applyFont="1"/>
    <xf numFmtId="0" fontId="34" fillId="0" borderId="0" xfId="9" applyFont="1" applyAlignment="1">
      <alignment horizontal="left"/>
    </xf>
    <xf numFmtId="0" fontId="34" fillId="0" borderId="13" xfId="9" applyFont="1" applyBorder="1" applyAlignment="1">
      <alignment horizontal="center" wrapText="1"/>
    </xf>
    <xf numFmtId="0" fontId="34" fillId="0" borderId="30" xfId="0" applyFont="1" applyBorder="1" applyAlignment="1">
      <alignment horizontal="center"/>
    </xf>
    <xf numFmtId="0" fontId="34" fillId="0" borderId="7" xfId="0" applyFont="1" applyBorder="1" applyAlignment="1">
      <alignment wrapText="1"/>
    </xf>
    <xf numFmtId="4" fontId="34" fillId="0" borderId="7" xfId="9" applyNumberFormat="1" applyFont="1" applyBorder="1" applyAlignment="1">
      <alignment vertical="center"/>
    </xf>
    <xf numFmtId="0" fontId="93" fillId="0" borderId="13" xfId="5" applyFont="1" applyBorder="1" applyAlignment="1">
      <alignment horizontal="center" vertical="center"/>
    </xf>
    <xf numFmtId="0" fontId="114" fillId="0" borderId="13" xfId="5" applyFont="1" applyBorder="1" applyAlignment="1">
      <alignment horizontal="center" vertical="center" wrapText="1"/>
    </xf>
    <xf numFmtId="0" fontId="34" fillId="0" borderId="5" xfId="0" applyFont="1" applyBorder="1" applyAlignment="1">
      <alignment horizontal="left" vertical="center"/>
    </xf>
    <xf numFmtId="165" fontId="34" fillId="0" borderId="7" xfId="1" applyFont="1" applyFill="1" applyBorder="1" applyAlignment="1">
      <alignment horizontal="left" vertical="center"/>
    </xf>
    <xf numFmtId="172" fontId="34" fillId="0" borderId="5" xfId="1" applyNumberFormat="1" applyFont="1" applyFill="1" applyBorder="1" applyAlignment="1">
      <alignment horizontal="left" vertical="center"/>
    </xf>
    <xf numFmtId="172" fontId="34" fillId="0" borderId="0" xfId="1" applyNumberFormat="1" applyFont="1" applyFill="1" applyBorder="1" applyAlignment="1">
      <alignment horizontal="left" vertical="center"/>
    </xf>
    <xf numFmtId="172" fontId="34" fillId="0" borderId="7" xfId="9" applyNumberFormat="1" applyFont="1" applyBorder="1" applyAlignment="1">
      <alignment horizontal="left" vertical="center"/>
    </xf>
    <xf numFmtId="43" fontId="34" fillId="0" borderId="5" xfId="0" applyNumberFormat="1" applyFont="1" applyBorder="1" applyAlignment="1">
      <alignment horizontal="left" vertical="center" wrapText="1"/>
    </xf>
    <xf numFmtId="43" fontId="34" fillId="0" borderId="0" xfId="0" applyNumberFormat="1" applyFont="1" applyAlignment="1">
      <alignment horizontal="left" vertical="center" wrapText="1"/>
    </xf>
    <xf numFmtId="166" fontId="125" fillId="0" borderId="0" xfId="8" applyNumberFormat="1" applyFont="1" applyFill="1" applyAlignment="1">
      <alignment horizontal="right" vertical="center"/>
    </xf>
    <xf numFmtId="165" fontId="34" fillId="0" borderId="5" xfId="8" applyNumberFormat="1" applyFont="1" applyFill="1" applyBorder="1" applyAlignment="1">
      <alignment horizontal="left" vertical="center"/>
    </xf>
    <xf numFmtId="165" fontId="34" fillId="0" borderId="0" xfId="8" applyNumberFormat="1" applyFont="1" applyFill="1" applyBorder="1" applyAlignment="1">
      <alignment horizontal="left" vertical="center"/>
    </xf>
    <xf numFmtId="165" fontId="34" fillId="0" borderId="7" xfId="8" applyNumberFormat="1" applyFont="1" applyFill="1" applyBorder="1" applyAlignment="1">
      <alignment horizontal="left" vertical="center"/>
    </xf>
    <xf numFmtId="165" fontId="34" fillId="0" borderId="0" xfId="1" applyFont="1" applyFill="1" applyAlignment="1">
      <alignment horizontal="left" vertical="center"/>
    </xf>
    <xf numFmtId="0" fontId="34" fillId="0" borderId="30" xfId="0" applyFont="1" applyBorder="1" applyAlignment="1">
      <alignment horizontal="left" vertical="center"/>
    </xf>
    <xf numFmtId="0" fontId="34" fillId="4" borderId="7" xfId="9" applyFont="1" applyFill="1" applyBorder="1" applyAlignment="1">
      <alignment horizontal="left" vertical="center" wrapText="1"/>
    </xf>
    <xf numFmtId="165" fontId="34" fillId="0" borderId="13" xfId="1" applyFont="1" applyFill="1" applyBorder="1" applyAlignment="1">
      <alignment horizontal="right" vertical="center"/>
    </xf>
    <xf numFmtId="0" fontId="114" fillId="0" borderId="0" xfId="9" applyFont="1" applyAlignment="1">
      <alignment horizontal="left" vertical="center" wrapText="1"/>
    </xf>
    <xf numFmtId="166" fontId="125" fillId="0" borderId="0" xfId="8" applyNumberFormat="1" applyFont="1" applyFill="1" applyBorder="1" applyAlignment="1">
      <alignment vertical="center"/>
    </xf>
    <xf numFmtId="168" fontId="34" fillId="0" borderId="0" xfId="1" applyNumberFormat="1" applyFont="1" applyFill="1" applyBorder="1" applyAlignment="1">
      <alignment horizontal="right" vertical="center"/>
    </xf>
    <xf numFmtId="172" fontId="34" fillId="0" borderId="13" xfId="1" applyNumberFormat="1" applyFont="1" applyFill="1" applyBorder="1" applyAlignment="1">
      <alignment horizontal="right" vertical="center"/>
    </xf>
    <xf numFmtId="0" fontId="46" fillId="4" borderId="0" xfId="9" applyFont="1" applyFill="1" applyAlignment="1">
      <alignment vertical="center" wrapText="1"/>
    </xf>
    <xf numFmtId="0" fontId="94" fillId="4" borderId="0" xfId="9" applyFont="1" applyFill="1" applyAlignment="1">
      <alignment horizontal="left" vertical="center" wrapText="1"/>
    </xf>
    <xf numFmtId="0" fontId="114" fillId="4" borderId="0" xfId="9" applyFont="1" applyFill="1" applyAlignment="1">
      <alignment horizontal="left" vertical="center" wrapText="1"/>
    </xf>
    <xf numFmtId="0" fontId="34" fillId="0" borderId="0" xfId="5" applyFont="1"/>
    <xf numFmtId="0" fontId="34" fillId="4" borderId="5" xfId="9" applyFont="1" applyFill="1" applyBorder="1" applyAlignment="1">
      <alignment horizontal="center" vertical="center" wrapText="1"/>
    </xf>
    <xf numFmtId="0" fontId="34" fillId="0" borderId="5" xfId="9" applyFont="1" applyBorder="1" applyAlignment="1">
      <alignment horizontal="center" vertical="center" wrapText="1"/>
    </xf>
    <xf numFmtId="165" fontId="34" fillId="0" borderId="14" xfId="1" applyFont="1" applyFill="1" applyBorder="1" applyAlignment="1">
      <alignment horizontal="center" vertical="center"/>
    </xf>
    <xf numFmtId="166" fontId="125" fillId="0" borderId="5" xfId="8" applyNumberFormat="1" applyFont="1" applyFill="1" applyBorder="1" applyAlignment="1">
      <alignment vertical="center"/>
    </xf>
    <xf numFmtId="166" fontId="125" fillId="0" borderId="7" xfId="8" applyNumberFormat="1" applyFont="1" applyFill="1" applyBorder="1" applyAlignment="1">
      <alignment vertical="center"/>
    </xf>
    <xf numFmtId="0" fontId="34" fillId="0" borderId="0" xfId="9" applyFont="1" applyAlignment="1">
      <alignment horizontal="left" vertical="top" wrapText="1"/>
    </xf>
    <xf numFmtId="0" fontId="98" fillId="0" borderId="0" xfId="9" applyFont="1" applyAlignment="1">
      <alignment horizontal="left" vertical="top" wrapText="1"/>
    </xf>
    <xf numFmtId="43" fontId="34" fillId="0" borderId="14" xfId="1" applyNumberFormat="1" applyFont="1" applyFill="1" applyBorder="1" applyAlignment="1">
      <alignment horizontal="center" vertical="center"/>
    </xf>
    <xf numFmtId="0" fontId="93" fillId="0" borderId="0" xfId="0" applyFont="1" applyAlignment="1">
      <alignment horizontal="left" vertical="center" wrapText="1"/>
    </xf>
    <xf numFmtId="0" fontId="93" fillId="0" borderId="7" xfId="0" applyFont="1" applyBorder="1" applyAlignment="1">
      <alignment horizontal="left" vertical="center" wrapText="1"/>
    </xf>
    <xf numFmtId="0" fontId="94" fillId="0" borderId="30" xfId="0" applyFont="1" applyBorder="1" applyAlignment="1">
      <alignment horizontal="center"/>
    </xf>
    <xf numFmtId="0" fontId="94" fillId="0" borderId="33" xfId="0" applyFont="1" applyBorder="1" applyAlignment="1">
      <alignment horizontal="center" vertical="center"/>
    </xf>
    <xf numFmtId="0" fontId="34" fillId="16" borderId="30" xfId="0" applyFont="1" applyFill="1" applyBorder="1" applyAlignment="1">
      <alignment horizontal="center" vertical="center"/>
    </xf>
    <xf numFmtId="169" fontId="34" fillId="0" borderId="0" xfId="9" applyNumberFormat="1" applyFont="1" applyAlignment="1">
      <alignment vertical="center"/>
    </xf>
    <xf numFmtId="171" fontId="34" fillId="0" borderId="7" xfId="9" applyNumberFormat="1" applyFont="1" applyBorder="1" applyAlignment="1">
      <alignment vertical="center"/>
    </xf>
    <xf numFmtId="0" fontId="93" fillId="0" borderId="7" xfId="35" applyFont="1" applyBorder="1" applyAlignment="1">
      <alignment vertical="center" wrapText="1"/>
    </xf>
    <xf numFmtId="0" fontId="214" fillId="0" borderId="9" xfId="0" applyFont="1" applyBorder="1" applyAlignment="1">
      <alignment horizontal="right"/>
    </xf>
    <xf numFmtId="165" fontId="101" fillId="0" borderId="7" xfId="1" applyFont="1" applyFill="1" applyBorder="1" applyAlignment="1">
      <alignment horizontal="left" vertical="center"/>
    </xf>
    <xf numFmtId="0" fontId="113" fillId="0" borderId="12" xfId="0" applyFont="1" applyBorder="1" applyAlignment="1">
      <alignment horizontal="center"/>
    </xf>
    <xf numFmtId="3" fontId="101" fillId="0" borderId="12" xfId="0" applyNumberFormat="1" applyFont="1" applyBorder="1" applyAlignment="1">
      <alignment horizontal="center"/>
    </xf>
    <xf numFmtId="0" fontId="105" fillId="0" borderId="0" xfId="0" applyFont="1" applyAlignment="1">
      <alignment horizontal="center" vertical="center"/>
    </xf>
    <xf numFmtId="3" fontId="34" fillId="0" borderId="0" xfId="0" applyNumberFormat="1" applyFont="1" applyAlignment="1">
      <alignment horizontal="center" vertical="center"/>
    </xf>
    <xf numFmtId="0" fontId="105" fillId="0" borderId="0" xfId="0" applyFont="1" applyAlignment="1">
      <alignment horizontal="right" vertical="center"/>
    </xf>
    <xf numFmtId="3" fontId="34" fillId="0" borderId="0" xfId="0" applyNumberFormat="1" applyFont="1" applyAlignment="1">
      <alignment horizontal="right" vertical="center"/>
    </xf>
    <xf numFmtId="175" fontId="167" fillId="5" borderId="4" xfId="0" applyNumberFormat="1" applyFont="1" applyFill="1" applyBorder="1" applyAlignment="1">
      <alignment vertical="center" wrapText="1"/>
    </xf>
    <xf numFmtId="175" fontId="74" fillId="0" borderId="12" xfId="0" applyNumberFormat="1" applyFont="1" applyBorder="1" applyAlignment="1">
      <alignment vertical="center"/>
    </xf>
    <xf numFmtId="175" fontId="196" fillId="0" borderId="12" xfId="0" applyNumberFormat="1" applyFont="1" applyBorder="1" applyAlignment="1">
      <alignment vertical="center"/>
    </xf>
    <xf numFmtId="175" fontId="74" fillId="0" borderId="12" xfId="1" applyNumberFormat="1" applyFont="1" applyFill="1" applyBorder="1" applyAlignment="1">
      <alignment vertical="center"/>
    </xf>
    <xf numFmtId="175" fontId="166" fillId="5" borderId="4" xfId="0" applyNumberFormat="1" applyFont="1" applyFill="1" applyBorder="1" applyAlignment="1">
      <alignment vertical="center" wrapText="1"/>
    </xf>
    <xf numFmtId="175" fontId="168" fillId="6" borderId="12" xfId="0" applyNumberFormat="1" applyFont="1" applyFill="1" applyBorder="1" applyAlignment="1">
      <alignment horizontal="right" vertical="center"/>
    </xf>
    <xf numFmtId="175" fontId="26" fillId="0" borderId="0" xfId="0" applyNumberFormat="1" applyFont="1"/>
    <xf numFmtId="175" fontId="168" fillId="11" borderId="12" xfId="0" applyNumberFormat="1" applyFont="1" applyFill="1" applyBorder="1" applyAlignment="1">
      <alignment horizontal="right" vertical="center"/>
    </xf>
    <xf numFmtId="0" fontId="215" fillId="0" borderId="0" xfId="0" applyFont="1"/>
    <xf numFmtId="0" fontId="217" fillId="0" borderId="0" xfId="0" applyFont="1"/>
    <xf numFmtId="0" fontId="218" fillId="0" borderId="0" xfId="0" applyFont="1"/>
    <xf numFmtId="0" fontId="121" fillId="6" borderId="11" xfId="475" applyFont="1" applyFill="1" applyBorder="1"/>
    <xf numFmtId="0" fontId="121" fillId="6" borderId="0" xfId="475" applyFont="1" applyFill="1"/>
    <xf numFmtId="165" fontId="26" fillId="6" borderId="12" xfId="1" applyFont="1" applyFill="1" applyBorder="1"/>
    <xf numFmtId="179" fontId="34" fillId="5" borderId="0" xfId="1" applyNumberFormat="1" applyFont="1" applyFill="1" applyBorder="1" applyAlignment="1">
      <alignment horizontal="right" vertical="center"/>
    </xf>
    <xf numFmtId="188" fontId="34" fillId="5" borderId="0" xfId="1" applyNumberFormat="1" applyFont="1" applyFill="1" applyBorder="1" applyAlignment="1">
      <alignment horizontal="right" vertical="center"/>
    </xf>
    <xf numFmtId="172" fontId="34" fillId="5" borderId="0" xfId="1" applyNumberFormat="1" applyFont="1" applyFill="1" applyBorder="1" applyAlignment="1">
      <alignment horizontal="right" vertical="center"/>
    </xf>
    <xf numFmtId="0" fontId="34" fillId="5" borderId="0" xfId="0" applyFont="1" applyFill="1" applyAlignment="1">
      <alignment horizontal="center" vertical="center"/>
    </xf>
    <xf numFmtId="0" fontId="34" fillId="5" borderId="0" xfId="0" applyFont="1" applyFill="1" applyAlignment="1">
      <alignment horizontal="left" wrapText="1"/>
    </xf>
    <xf numFmtId="41" fontId="93" fillId="5" borderId="13" xfId="33" applyNumberFormat="1" applyFont="1" applyFill="1" applyBorder="1" applyAlignment="1">
      <alignment horizontal="center" vertical="center" wrapText="1"/>
    </xf>
    <xf numFmtId="165" fontId="34" fillId="5" borderId="7" xfId="1" applyFont="1" applyFill="1" applyBorder="1" applyAlignment="1">
      <alignment horizontal="center" vertical="center"/>
    </xf>
    <xf numFmtId="179" fontId="34" fillId="5" borderId="5" xfId="33" applyNumberFormat="1" applyFont="1" applyFill="1" applyBorder="1" applyAlignment="1">
      <alignment horizontal="center" vertical="center"/>
    </xf>
    <xf numFmtId="179" fontId="34" fillId="5" borderId="0" xfId="33" applyNumberFormat="1" applyFont="1" applyFill="1" applyBorder="1" applyAlignment="1">
      <alignment horizontal="center" vertical="center"/>
    </xf>
    <xf numFmtId="179" fontId="34" fillId="5" borderId="7" xfId="33" applyNumberFormat="1" applyFont="1" applyFill="1" applyBorder="1" applyAlignment="1">
      <alignment horizontal="center" vertical="center"/>
    </xf>
    <xf numFmtId="0" fontId="34" fillId="5" borderId="5" xfId="0" applyFont="1" applyFill="1" applyBorder="1" applyAlignment="1">
      <alignment horizontal="center" vertical="center"/>
    </xf>
    <xf numFmtId="0" fontId="34" fillId="5" borderId="0" xfId="0" applyFont="1" applyFill="1" applyAlignment="1">
      <alignment vertical="center"/>
    </xf>
    <xf numFmtId="43" fontId="34" fillId="5" borderId="5" xfId="0" applyNumberFormat="1" applyFont="1" applyFill="1" applyBorder="1" applyAlignment="1">
      <alignment vertical="center" wrapText="1"/>
    </xf>
    <xf numFmtId="43" fontId="34" fillId="5" borderId="0" xfId="0" applyNumberFormat="1" applyFont="1" applyFill="1" applyAlignment="1">
      <alignment vertical="center" wrapText="1"/>
    </xf>
    <xf numFmtId="173" fontId="101" fillId="5" borderId="7" xfId="1" applyNumberFormat="1" applyFont="1" applyFill="1" applyBorder="1" applyAlignment="1">
      <alignment vertical="center"/>
    </xf>
    <xf numFmtId="166" fontId="105" fillId="5" borderId="0" xfId="8" applyNumberFormat="1" applyFont="1" applyFill="1" applyAlignment="1">
      <alignment vertical="center"/>
    </xf>
    <xf numFmtId="173" fontId="106" fillId="5" borderId="5" xfId="8" applyNumberFormat="1" applyFont="1" applyFill="1" applyBorder="1" applyAlignment="1">
      <alignment vertical="center"/>
    </xf>
    <xf numFmtId="165" fontId="106" fillId="5" borderId="0" xfId="8" applyNumberFormat="1" applyFont="1" applyFill="1" applyBorder="1" applyAlignment="1">
      <alignment vertical="center"/>
    </xf>
    <xf numFmtId="165" fontId="106" fillId="5" borderId="7" xfId="8" applyNumberFormat="1" applyFont="1" applyFill="1" applyBorder="1" applyAlignment="1">
      <alignment vertical="center"/>
    </xf>
    <xf numFmtId="165" fontId="106" fillId="5" borderId="0" xfId="1" applyFont="1" applyFill="1" applyAlignment="1">
      <alignment vertical="center"/>
    </xf>
    <xf numFmtId="0" fontId="94" fillId="5" borderId="30" xfId="0" applyFont="1" applyFill="1" applyBorder="1" applyAlignment="1">
      <alignment horizontal="center" vertical="center"/>
    </xf>
    <xf numFmtId="0" fontId="95" fillId="5" borderId="0" xfId="0" applyFont="1" applyFill="1" applyAlignment="1">
      <alignment vertical="center"/>
    </xf>
    <xf numFmtId="165" fontId="0" fillId="5" borderId="12" xfId="1" applyFont="1" applyFill="1" applyBorder="1"/>
    <xf numFmtId="165" fontId="0" fillId="5" borderId="12" xfId="0" applyNumberFormat="1" applyFill="1" applyBorder="1"/>
    <xf numFmtId="0" fontId="34" fillId="5" borderId="5" xfId="0" applyFont="1" applyFill="1" applyBorder="1" applyAlignment="1">
      <alignment vertical="center"/>
    </xf>
    <xf numFmtId="0" fontId="46" fillId="5" borderId="0" xfId="9" applyFont="1" applyFill="1" applyAlignment="1">
      <alignment horizontal="left" vertical="center"/>
    </xf>
    <xf numFmtId="0" fontId="34" fillId="5" borderId="0" xfId="9" applyFont="1" applyFill="1" applyAlignment="1">
      <alignment horizontal="left" vertical="center" wrapText="1"/>
    </xf>
    <xf numFmtId="0" fontId="34" fillId="5" borderId="13" xfId="9" applyFont="1" applyFill="1" applyBorder="1" applyAlignment="1">
      <alignment horizontal="center" vertical="center" wrapText="1"/>
    </xf>
    <xf numFmtId="179" fontId="34" fillId="5" borderId="5" xfId="1" applyNumberFormat="1" applyFont="1" applyFill="1" applyBorder="1" applyAlignment="1">
      <alignment horizontal="right" vertical="center"/>
    </xf>
    <xf numFmtId="179" fontId="34" fillId="5" borderId="7" xfId="9" applyNumberFormat="1" applyFont="1" applyFill="1" applyBorder="1" applyAlignment="1">
      <alignment vertical="center"/>
    </xf>
    <xf numFmtId="165" fontId="101" fillId="5" borderId="7" xfId="1" applyFont="1" applyFill="1" applyBorder="1" applyAlignment="1">
      <alignment vertical="center"/>
    </xf>
    <xf numFmtId="0" fontId="34" fillId="5" borderId="0" xfId="0" applyFont="1" applyFill="1" applyAlignment="1">
      <alignment horizontal="left" vertical="center" wrapText="1"/>
    </xf>
    <xf numFmtId="0" fontId="34" fillId="5" borderId="13" xfId="0" applyFont="1" applyFill="1" applyBorder="1" applyAlignment="1">
      <alignment horizontal="center" vertical="center"/>
    </xf>
    <xf numFmtId="0" fontId="34" fillId="5" borderId="0" xfId="35" applyFont="1" applyFill="1" applyAlignment="1">
      <alignment horizontal="center" vertical="center"/>
    </xf>
    <xf numFmtId="0" fontId="34" fillId="5" borderId="13" xfId="5" applyFont="1" applyFill="1" applyBorder="1" applyAlignment="1">
      <alignment horizontal="center" vertical="center" wrapText="1"/>
    </xf>
    <xf numFmtId="165" fontId="34" fillId="5" borderId="13" xfId="1" applyFont="1" applyFill="1" applyBorder="1" applyAlignment="1">
      <alignment horizontal="center" vertical="center"/>
    </xf>
    <xf numFmtId="172" fontId="34" fillId="5" borderId="7" xfId="9" applyNumberFormat="1" applyFont="1" applyFill="1" applyBorder="1" applyAlignment="1">
      <alignment vertical="center"/>
    </xf>
    <xf numFmtId="2" fontId="34" fillId="5" borderId="0" xfId="0" applyNumberFormat="1" applyFont="1" applyFill="1" applyAlignment="1">
      <alignment vertical="center" wrapText="1"/>
    </xf>
    <xf numFmtId="0" fontId="108" fillId="5" borderId="0" xfId="9" applyFont="1" applyFill="1" applyAlignment="1">
      <alignment horizontal="left" vertical="top" wrapText="1"/>
    </xf>
    <xf numFmtId="0" fontId="108" fillId="5" borderId="0" xfId="9" applyFont="1" applyFill="1" applyAlignment="1">
      <alignment horizontal="left" vertical="center" wrapText="1"/>
    </xf>
    <xf numFmtId="166" fontId="157" fillId="5" borderId="0" xfId="8" applyNumberFormat="1" applyFont="1" applyFill="1" applyAlignment="1">
      <alignment vertical="center"/>
    </xf>
    <xf numFmtId="0" fontId="26" fillId="0" borderId="0" xfId="0" applyFont="1" applyAlignment="1">
      <alignment horizontal="center"/>
    </xf>
    <xf numFmtId="0" fontId="219" fillId="0" borderId="0" xfId="0" applyFont="1" applyAlignment="1">
      <alignment horizontal="center" vertical="center"/>
    </xf>
    <xf numFmtId="165" fontId="219" fillId="0" borderId="0" xfId="1" applyFont="1" applyAlignment="1">
      <alignment horizontal="center" vertical="center"/>
    </xf>
    <xf numFmtId="165" fontId="220" fillId="0" borderId="0" xfId="1" applyFont="1"/>
    <xf numFmtId="43" fontId="84" fillId="5" borderId="0" xfId="0" applyNumberFormat="1" applyFont="1" applyFill="1" applyAlignment="1">
      <alignment horizontal="center" vertical="center"/>
    </xf>
    <xf numFmtId="189" fontId="34" fillId="0" borderId="7" xfId="1" applyNumberFormat="1" applyFont="1" applyFill="1" applyBorder="1" applyAlignment="1">
      <alignment horizontal="right" vertical="center"/>
    </xf>
    <xf numFmtId="189" fontId="34" fillId="0" borderId="0" xfId="0" applyNumberFormat="1" applyFont="1" applyAlignment="1">
      <alignment vertical="center"/>
    </xf>
    <xf numFmtId="189" fontId="104" fillId="0" borderId="7" xfId="0" applyNumberFormat="1" applyFont="1" applyBorder="1" applyAlignment="1">
      <alignment vertical="center"/>
    </xf>
    <xf numFmtId="190" fontId="72" fillId="16" borderId="3" xfId="0" applyNumberFormat="1" applyFont="1" applyFill="1" applyBorder="1" applyAlignment="1">
      <alignment vertical="center" wrapText="1"/>
    </xf>
    <xf numFmtId="190" fontId="104" fillId="16" borderId="4" xfId="0" applyNumberFormat="1" applyFont="1" applyFill="1" applyBorder="1" applyAlignment="1">
      <alignment vertical="center" wrapText="1"/>
    </xf>
    <xf numFmtId="180" fontId="169" fillId="0" borderId="13" xfId="1" applyNumberFormat="1" applyFont="1" applyFill="1" applyBorder="1" applyAlignment="1">
      <alignment horizontal="right" vertical="center"/>
    </xf>
    <xf numFmtId="180" fontId="169" fillId="0" borderId="5" xfId="1" applyNumberFormat="1" applyFont="1" applyFill="1" applyBorder="1" applyAlignment="1">
      <alignment horizontal="right" vertical="center"/>
    </xf>
    <xf numFmtId="180" fontId="46" fillId="15" borderId="11" xfId="1" applyNumberFormat="1" applyFont="1" applyFill="1" applyBorder="1" applyAlignment="1">
      <alignment horizontal="right" vertical="center"/>
    </xf>
    <xf numFmtId="190" fontId="34" fillId="0" borderId="5" xfId="0" applyNumberFormat="1" applyFont="1" applyBorder="1" applyAlignment="1">
      <alignment vertical="center" wrapText="1"/>
    </xf>
    <xf numFmtId="190" fontId="34" fillId="0" borderId="0" xfId="0" applyNumberFormat="1" applyFont="1" applyAlignment="1">
      <alignment vertical="center" wrapText="1"/>
    </xf>
    <xf numFmtId="190" fontId="101" fillId="0" borderId="7" xfId="1" applyNumberFormat="1" applyFont="1" applyFill="1" applyBorder="1" applyAlignment="1">
      <alignment vertical="center"/>
    </xf>
    <xf numFmtId="190" fontId="46" fillId="15" borderId="11" xfId="0" applyNumberFormat="1" applyFont="1" applyFill="1" applyBorder="1" applyAlignment="1">
      <alignment vertical="center" wrapText="1"/>
    </xf>
    <xf numFmtId="190" fontId="46" fillId="15" borderId="3" xfId="0" applyNumberFormat="1" applyFont="1" applyFill="1" applyBorder="1" applyAlignment="1">
      <alignment vertical="center" wrapText="1"/>
    </xf>
    <xf numFmtId="190" fontId="104" fillId="15" borderId="4" xfId="0" applyNumberFormat="1" applyFont="1" applyFill="1" applyBorder="1" applyAlignment="1">
      <alignment vertical="center" wrapText="1"/>
    </xf>
    <xf numFmtId="190" fontId="46" fillId="4" borderId="5" xfId="9" applyNumberFormat="1" applyFont="1" applyFill="1" applyBorder="1" applyAlignment="1">
      <alignment vertical="center"/>
    </xf>
    <xf numFmtId="190" fontId="46" fillId="4" borderId="0" xfId="9" applyNumberFormat="1" applyFont="1" applyFill="1" applyAlignment="1">
      <alignment vertical="center"/>
    </xf>
    <xf numFmtId="190" fontId="104" fillId="11" borderId="7" xfId="9" applyNumberFormat="1" applyFont="1" applyFill="1" applyBorder="1" applyAlignment="1">
      <alignment vertical="center"/>
    </xf>
    <xf numFmtId="180" fontId="34" fillId="0" borderId="13" xfId="1" applyNumberFormat="1" applyFont="1" applyFill="1" applyBorder="1" applyAlignment="1">
      <alignment vertical="center"/>
    </xf>
    <xf numFmtId="180" fontId="34" fillId="0" borderId="7" xfId="1" applyNumberFormat="1" applyFont="1" applyFill="1" applyBorder="1" applyAlignment="1">
      <alignment vertical="center"/>
    </xf>
    <xf numFmtId="191" fontId="34" fillId="4" borderId="5" xfId="9" applyNumberFormat="1" applyFont="1" applyFill="1" applyBorder="1" applyAlignment="1">
      <alignment vertical="center"/>
    </xf>
    <xf numFmtId="191" fontId="34" fillId="4" borderId="0" xfId="9" applyNumberFormat="1" applyFont="1" applyFill="1" applyAlignment="1">
      <alignment vertical="center"/>
    </xf>
    <xf numFmtId="191" fontId="101" fillId="4" borderId="7" xfId="9" applyNumberFormat="1" applyFont="1" applyFill="1" applyBorder="1" applyAlignment="1">
      <alignment vertical="center"/>
    </xf>
    <xf numFmtId="191" fontId="34" fillId="0" borderId="5" xfId="9" applyNumberFormat="1" applyFont="1" applyBorder="1" applyAlignment="1">
      <alignment vertical="center"/>
    </xf>
    <xf numFmtId="191" fontId="34" fillId="0" borderId="0" xfId="9" applyNumberFormat="1" applyFont="1" applyAlignment="1">
      <alignment vertical="center"/>
    </xf>
    <xf numFmtId="191" fontId="46" fillId="15" borderId="11" xfId="9" applyNumberFormat="1" applyFont="1" applyFill="1" applyBorder="1" applyAlignment="1">
      <alignment vertical="center"/>
    </xf>
    <xf numFmtId="191" fontId="72" fillId="4" borderId="11" xfId="0" applyNumberFormat="1" applyFont="1" applyFill="1" applyBorder="1" applyAlignment="1">
      <alignment vertical="center" wrapText="1"/>
    </xf>
    <xf numFmtId="191" fontId="72" fillId="4" borderId="3" xfId="0" applyNumberFormat="1" applyFont="1" applyFill="1" applyBorder="1" applyAlignment="1">
      <alignment vertical="center" wrapText="1"/>
    </xf>
    <xf numFmtId="191" fontId="104" fillId="4" borderId="4" xfId="0" applyNumberFormat="1" applyFont="1" applyFill="1" applyBorder="1" applyAlignment="1">
      <alignment vertical="center" wrapText="1"/>
    </xf>
    <xf numFmtId="191" fontId="34" fillId="0" borderId="5" xfId="0" applyNumberFormat="1" applyFont="1" applyBorder="1" applyAlignment="1">
      <alignment vertical="center" wrapText="1"/>
    </xf>
    <xf numFmtId="191" fontId="34" fillId="0" borderId="0" xfId="0" applyNumberFormat="1" applyFont="1" applyAlignment="1">
      <alignment vertical="center" wrapText="1"/>
    </xf>
    <xf numFmtId="191" fontId="104" fillId="11" borderId="7" xfId="9" applyNumberFormat="1" applyFont="1" applyFill="1" applyBorder="1" applyAlignment="1">
      <alignment vertical="center"/>
    </xf>
    <xf numFmtId="191" fontId="34" fillId="5" borderId="0" xfId="9" applyNumberFormat="1" applyFont="1" applyFill="1" applyAlignment="1">
      <alignment vertical="center"/>
    </xf>
    <xf numFmtId="191" fontId="101" fillId="5" borderId="7" xfId="9" applyNumberFormat="1" applyFont="1" applyFill="1" applyBorder="1" applyAlignment="1">
      <alignment vertical="center"/>
    </xf>
    <xf numFmtId="191" fontId="46" fillId="5" borderId="3" xfId="9" applyNumberFormat="1" applyFont="1" applyFill="1" applyBorder="1" applyAlignment="1">
      <alignment vertical="center"/>
    </xf>
    <xf numFmtId="191" fontId="104" fillId="5" borderId="4" xfId="9" applyNumberFormat="1" applyFont="1" applyFill="1" applyBorder="1" applyAlignment="1">
      <alignment vertical="center"/>
    </xf>
    <xf numFmtId="189" fontId="93" fillId="0" borderId="7" xfId="0" applyNumberFormat="1" applyFont="1" applyBorder="1" applyAlignment="1">
      <alignment vertical="center" wrapText="1"/>
    </xf>
    <xf numFmtId="189" fontId="171" fillId="0" borderId="7" xfId="0" applyNumberFormat="1" applyFont="1" applyBorder="1" applyAlignment="1">
      <alignment vertical="center" wrapText="1"/>
    </xf>
    <xf numFmtId="192" fontId="34" fillId="0" borderId="0" xfId="0" applyNumberFormat="1" applyFont="1" applyAlignment="1">
      <alignment vertical="center" wrapText="1"/>
    </xf>
    <xf numFmtId="192" fontId="101" fillId="0" borderId="7" xfId="1" applyNumberFormat="1" applyFont="1" applyFill="1" applyBorder="1" applyAlignment="1">
      <alignment vertical="center"/>
    </xf>
    <xf numFmtId="192" fontId="169" fillId="0" borderId="0" xfId="0" applyNumberFormat="1" applyFont="1" applyAlignment="1">
      <alignment vertical="center" wrapText="1"/>
    </xf>
    <xf numFmtId="192" fontId="46" fillId="14" borderId="3" xfId="0" applyNumberFormat="1" applyFont="1" applyFill="1" applyBorder="1" applyAlignment="1">
      <alignment vertical="center" wrapText="1"/>
    </xf>
    <xf numFmtId="192" fontId="104" fillId="14" borderId="4" xfId="9" applyNumberFormat="1" applyFont="1" applyFill="1" applyBorder="1" applyAlignment="1">
      <alignment vertical="center"/>
    </xf>
    <xf numFmtId="192" fontId="147" fillId="4" borderId="0" xfId="0" applyNumberFormat="1" applyFont="1" applyFill="1" applyAlignment="1">
      <alignment vertical="center" wrapText="1"/>
    </xf>
    <xf numFmtId="192" fontId="104" fillId="11" borderId="7" xfId="9" applyNumberFormat="1" applyFont="1" applyFill="1" applyBorder="1" applyAlignment="1">
      <alignment vertical="center"/>
    </xf>
    <xf numFmtId="189" fontId="93" fillId="5" borderId="7" xfId="0" applyNumberFormat="1" applyFont="1" applyFill="1" applyBorder="1" applyAlignment="1">
      <alignment vertical="center" wrapText="1"/>
    </xf>
    <xf numFmtId="180" fontId="34" fillId="0" borderId="13" xfId="12" applyNumberFormat="1" applyFont="1" applyFill="1" applyBorder="1" applyAlignment="1">
      <alignment horizontal="center" vertical="center"/>
    </xf>
    <xf numFmtId="180" fontId="34" fillId="0" borderId="7" xfId="12" applyNumberFormat="1" applyFont="1" applyFill="1" applyBorder="1" applyAlignment="1">
      <alignment horizontal="center" vertical="center"/>
    </xf>
    <xf numFmtId="180" fontId="148" fillId="0" borderId="13" xfId="12" applyNumberFormat="1" applyFont="1" applyFill="1" applyBorder="1" applyAlignment="1">
      <alignment horizontal="center" vertical="center"/>
    </xf>
    <xf numFmtId="180" fontId="115" fillId="14" borderId="12" xfId="1" applyNumberFormat="1" applyFont="1" applyFill="1" applyBorder="1" applyAlignment="1">
      <alignment horizontal="center" vertical="center"/>
    </xf>
    <xf numFmtId="192" fontId="101" fillId="0" borderId="0" xfId="0" applyNumberFormat="1" applyFont="1" applyAlignment="1">
      <alignment vertical="center" wrapText="1"/>
    </xf>
    <xf numFmtId="192" fontId="46" fillId="14" borderId="3" xfId="1" applyNumberFormat="1" applyFont="1" applyFill="1" applyBorder="1" applyAlignment="1">
      <alignment horizontal="right" vertical="center"/>
    </xf>
    <xf numFmtId="192" fontId="34" fillId="4" borderId="0" xfId="0" applyNumberFormat="1" applyFont="1" applyFill="1" applyAlignment="1">
      <alignment vertical="center" wrapText="1"/>
    </xf>
    <xf numFmtId="173" fontId="34" fillId="0" borderId="7" xfId="1" applyNumberFormat="1" applyFont="1" applyFill="1" applyBorder="1" applyAlignment="1">
      <alignment horizontal="center" vertical="center"/>
    </xf>
    <xf numFmtId="180" fontId="34" fillId="0" borderId="7" xfId="1" applyNumberFormat="1" applyFont="1" applyFill="1" applyBorder="1" applyAlignment="1">
      <alignment horizontal="center" vertical="center"/>
    </xf>
    <xf numFmtId="192" fontId="46" fillId="15" borderId="3" xfId="0" applyNumberFormat="1" applyFont="1" applyFill="1" applyBorder="1" applyAlignment="1">
      <alignment vertical="center" wrapText="1"/>
    </xf>
    <xf numFmtId="192" fontId="104" fillId="15" borderId="4" xfId="1" applyNumberFormat="1" applyFont="1" applyFill="1" applyBorder="1" applyAlignment="1">
      <alignment vertical="center"/>
    </xf>
    <xf numFmtId="170" fontId="34" fillId="5" borderId="0" xfId="0" applyNumberFormat="1" applyFont="1" applyFill="1" applyAlignment="1">
      <alignment vertical="center" wrapText="1"/>
    </xf>
    <xf numFmtId="165" fontId="104" fillId="5" borderId="4" xfId="1" applyFont="1" applyFill="1" applyBorder="1" applyAlignment="1">
      <alignment vertical="center"/>
    </xf>
    <xf numFmtId="0" fontId="191" fillId="5" borderId="0" xfId="9" applyFont="1" applyFill="1" applyAlignment="1">
      <alignment horizontal="left" vertical="center"/>
    </xf>
    <xf numFmtId="193" fontId="104" fillId="17" borderId="3" xfId="1" applyNumberFormat="1" applyFont="1" applyFill="1" applyBorder="1" applyAlignment="1">
      <alignment horizontal="right" vertical="center"/>
    </xf>
    <xf numFmtId="2" fontId="101" fillId="5" borderId="7" xfId="1" applyNumberFormat="1" applyFont="1" applyFill="1" applyBorder="1" applyAlignment="1">
      <alignment vertical="center"/>
    </xf>
    <xf numFmtId="43" fontId="46" fillId="5" borderId="11" xfId="0" applyNumberFormat="1" applyFont="1" applyFill="1" applyBorder="1" applyAlignment="1">
      <alignment vertical="center" wrapText="1"/>
    </xf>
    <xf numFmtId="43" fontId="46" fillId="5" borderId="3" xfId="0" applyNumberFormat="1" applyFont="1" applyFill="1" applyBorder="1" applyAlignment="1">
      <alignment vertical="center" wrapText="1"/>
    </xf>
    <xf numFmtId="2" fontId="104" fillId="5" borderId="4" xfId="1" applyNumberFormat="1" applyFont="1" applyFill="1" applyBorder="1" applyAlignment="1">
      <alignment vertical="center"/>
    </xf>
    <xf numFmtId="176" fontId="108" fillId="0" borderId="13" xfId="1" applyNumberFormat="1" applyFont="1" applyFill="1" applyBorder="1" applyAlignment="1">
      <alignment horizontal="right" vertical="center"/>
    </xf>
    <xf numFmtId="180" fontId="104" fillId="15" borderId="4" xfId="1" applyNumberFormat="1" applyFont="1" applyFill="1" applyBorder="1" applyAlignment="1">
      <alignment vertical="center"/>
    </xf>
    <xf numFmtId="176" fontId="104" fillId="15" borderId="4" xfId="1" applyNumberFormat="1" applyFont="1" applyFill="1" applyBorder="1" applyAlignment="1">
      <alignment vertical="center"/>
    </xf>
    <xf numFmtId="176" fontId="104" fillId="17" borderId="4" xfId="0" applyNumberFormat="1" applyFont="1" applyFill="1" applyBorder="1" applyAlignment="1">
      <alignment vertical="center" wrapText="1"/>
    </xf>
    <xf numFmtId="176" fontId="52" fillId="11" borderId="7" xfId="1" applyNumberFormat="1" applyFont="1" applyFill="1" applyBorder="1" applyAlignment="1">
      <alignment vertical="center"/>
    </xf>
    <xf numFmtId="194" fontId="104" fillId="15" borderId="10" xfId="0" applyNumberFormat="1" applyFont="1" applyFill="1" applyBorder="1" applyAlignment="1">
      <alignment vertical="center" wrapText="1"/>
    </xf>
    <xf numFmtId="194" fontId="104" fillId="17" borderId="4" xfId="0" applyNumberFormat="1" applyFont="1" applyFill="1" applyBorder="1" applyAlignment="1">
      <alignment vertical="center" wrapText="1"/>
    </xf>
    <xf numFmtId="194" fontId="104" fillId="11" borderId="7" xfId="0" applyNumberFormat="1" applyFont="1" applyFill="1" applyBorder="1" applyAlignment="1">
      <alignment vertical="center" wrapText="1"/>
    </xf>
    <xf numFmtId="176" fontId="101" fillId="0" borderId="7" xfId="1" applyNumberFormat="1" applyFont="1" applyFill="1" applyBorder="1" applyAlignment="1">
      <alignment vertical="center"/>
    </xf>
    <xf numFmtId="176" fontId="104" fillId="0" borderId="4" xfId="1" applyNumberFormat="1" applyFont="1" applyFill="1" applyBorder="1" applyAlignment="1">
      <alignment vertical="center"/>
    </xf>
    <xf numFmtId="195" fontId="101" fillId="0" borderId="7" xfId="1" applyNumberFormat="1" applyFont="1" applyFill="1" applyBorder="1" applyAlignment="1">
      <alignment vertical="center"/>
    </xf>
    <xf numFmtId="195" fontId="101" fillId="0" borderId="7" xfId="1" applyNumberFormat="1" applyFont="1" applyFill="1" applyBorder="1" applyAlignment="1">
      <alignment horizontal="center" vertical="center"/>
    </xf>
    <xf numFmtId="194" fontId="104" fillId="0" borderId="4" xfId="0" applyNumberFormat="1" applyFont="1" applyBorder="1" applyAlignment="1">
      <alignment vertical="center" wrapText="1"/>
    </xf>
    <xf numFmtId="184" fontId="104" fillId="11" borderId="7" xfId="9" applyNumberFormat="1" applyFont="1" applyFill="1" applyBorder="1" applyAlignment="1">
      <alignment vertical="center"/>
    </xf>
    <xf numFmtId="179" fontId="148" fillId="5" borderId="5" xfId="33" applyNumberFormat="1" applyFont="1" applyFill="1" applyBorder="1" applyAlignment="1">
      <alignment horizontal="center" vertical="center"/>
    </xf>
    <xf numFmtId="179" fontId="148" fillId="5" borderId="0" xfId="33" applyNumberFormat="1" applyFont="1" applyFill="1" applyBorder="1" applyAlignment="1">
      <alignment horizontal="center" vertical="center"/>
    </xf>
    <xf numFmtId="190" fontId="104" fillId="23" borderId="4" xfId="0" applyNumberFormat="1" applyFont="1" applyFill="1" applyBorder="1" applyAlignment="1">
      <alignment vertical="center" wrapText="1"/>
    </xf>
    <xf numFmtId="176" fontId="46" fillId="0" borderId="11" xfId="1" applyNumberFormat="1" applyFont="1" applyFill="1" applyBorder="1" applyAlignment="1">
      <alignment vertical="center"/>
    </xf>
    <xf numFmtId="176" fontId="46" fillId="0" borderId="3" xfId="1" applyNumberFormat="1" applyFont="1" applyFill="1" applyBorder="1" applyAlignment="1">
      <alignment vertical="center"/>
    </xf>
    <xf numFmtId="176" fontId="104" fillId="0" borderId="4" xfId="0" applyNumberFormat="1" applyFont="1" applyBorder="1" applyAlignment="1">
      <alignment vertical="center" wrapText="1"/>
    </xf>
    <xf numFmtId="176" fontId="34" fillId="0" borderId="5" xfId="0" applyNumberFormat="1" applyFont="1" applyBorder="1" applyAlignment="1">
      <alignment vertical="center" wrapText="1"/>
    </xf>
    <xf numFmtId="176" fontId="34" fillId="0" borderId="0" xfId="0" applyNumberFormat="1" applyFont="1" applyAlignment="1">
      <alignment vertical="center" wrapText="1"/>
    </xf>
    <xf numFmtId="194" fontId="104" fillId="15" borderId="4" xfId="0" applyNumberFormat="1" applyFont="1" applyFill="1" applyBorder="1" applyAlignment="1">
      <alignment vertical="center" wrapText="1"/>
    </xf>
    <xf numFmtId="196" fontId="104" fillId="15" borderId="10" xfId="0" applyNumberFormat="1" applyFont="1" applyFill="1" applyBorder="1" applyAlignment="1">
      <alignment vertical="center" wrapText="1"/>
    </xf>
    <xf numFmtId="196" fontId="104" fillId="15" borderId="4" xfId="0" applyNumberFormat="1" applyFont="1" applyFill="1" applyBorder="1" applyAlignment="1">
      <alignment vertical="center" wrapText="1"/>
    </xf>
    <xf numFmtId="180" fontId="104" fillId="0" borderId="7" xfId="1" applyNumberFormat="1" applyFont="1" applyFill="1" applyBorder="1" applyAlignment="1">
      <alignment vertical="center"/>
    </xf>
    <xf numFmtId="194" fontId="104" fillId="23" borderId="4" xfId="0" applyNumberFormat="1" applyFont="1" applyFill="1" applyBorder="1" applyAlignment="1">
      <alignment vertical="center" wrapText="1"/>
    </xf>
    <xf numFmtId="194" fontId="104" fillId="11" borderId="7" xfId="9" applyNumberFormat="1" applyFont="1" applyFill="1" applyBorder="1" applyAlignment="1">
      <alignment vertical="center"/>
    </xf>
    <xf numFmtId="180" fontId="104" fillId="23" borderId="4" xfId="0" applyNumberFormat="1" applyFont="1" applyFill="1" applyBorder="1" applyAlignment="1">
      <alignment vertical="center" wrapText="1"/>
    </xf>
    <xf numFmtId="180" fontId="104" fillId="0" borderId="7" xfId="1" applyNumberFormat="1" applyFont="1" applyFill="1" applyBorder="1" applyAlignment="1">
      <alignment horizontal="left" vertical="center"/>
    </xf>
    <xf numFmtId="180" fontId="104" fillId="15" borderId="3" xfId="1" applyNumberFormat="1" applyFont="1" applyFill="1" applyBorder="1" applyAlignment="1">
      <alignment vertical="center"/>
    </xf>
    <xf numFmtId="180" fontId="104" fillId="0" borderId="19" xfId="1" applyNumberFormat="1" applyFont="1" applyFill="1" applyBorder="1" applyAlignment="1">
      <alignment vertical="center"/>
    </xf>
    <xf numFmtId="180" fontId="104" fillId="0" borderId="0" xfId="1" applyNumberFormat="1" applyFont="1" applyFill="1" applyAlignment="1">
      <alignment vertical="center"/>
    </xf>
    <xf numFmtId="195" fontId="104" fillId="17" borderId="4" xfId="0" applyNumberFormat="1" applyFont="1" applyFill="1" applyBorder="1" applyAlignment="1">
      <alignment vertical="center" wrapText="1"/>
    </xf>
    <xf numFmtId="195" fontId="104" fillId="11" borderId="7" xfId="0" applyNumberFormat="1" applyFont="1" applyFill="1" applyBorder="1" applyAlignment="1">
      <alignment vertical="center"/>
    </xf>
    <xf numFmtId="180" fontId="0" fillId="0" borderId="13" xfId="1" applyNumberFormat="1" applyFont="1" applyBorder="1"/>
    <xf numFmtId="180" fontId="26" fillId="2" borderId="14" xfId="1" applyNumberFormat="1" applyFont="1" applyFill="1" applyBorder="1"/>
    <xf numFmtId="180" fontId="25" fillId="0" borderId="13" xfId="1" applyNumberFormat="1" applyFont="1" applyFill="1" applyBorder="1"/>
    <xf numFmtId="180" fontId="25" fillId="2" borderId="13" xfId="1" applyNumberFormat="1" applyFont="1" applyFill="1" applyBorder="1"/>
    <xf numFmtId="180" fontId="26" fillId="2" borderId="13" xfId="1" applyNumberFormat="1" applyFont="1" applyFill="1" applyBorder="1"/>
    <xf numFmtId="180" fontId="26" fillId="2" borderId="12" xfId="1" applyNumberFormat="1" applyFont="1" applyFill="1" applyBorder="1" applyAlignment="1">
      <alignment vertical="center"/>
    </xf>
    <xf numFmtId="0" fontId="108" fillId="5" borderId="5" xfId="0" applyFont="1" applyFill="1" applyBorder="1" applyAlignment="1">
      <alignment horizontal="center" vertical="center"/>
    </xf>
    <xf numFmtId="0" fontId="96" fillId="5" borderId="5" xfId="0" applyFont="1" applyFill="1" applyBorder="1" applyAlignment="1">
      <alignment vertical="center"/>
    </xf>
    <xf numFmtId="0" fontId="34" fillId="5" borderId="0" xfId="0" applyFont="1" applyFill="1" applyAlignment="1">
      <alignment vertical="center" wrapText="1"/>
    </xf>
    <xf numFmtId="0" fontId="96" fillId="5" borderId="0" xfId="0" applyFont="1" applyFill="1" applyAlignment="1">
      <alignment vertical="center"/>
    </xf>
    <xf numFmtId="188" fontId="34" fillId="0" borderId="0" xfId="1" applyNumberFormat="1" applyFont="1" applyFill="1" applyBorder="1" applyAlignment="1">
      <alignment horizontal="right" vertical="center"/>
    </xf>
    <xf numFmtId="171" fontId="101" fillId="0" borderId="7" xfId="1" applyNumberFormat="1" applyFont="1" applyFill="1" applyBorder="1" applyAlignment="1">
      <alignment horizontal="center" vertical="center"/>
    </xf>
    <xf numFmtId="179" fontId="108" fillId="0" borderId="5" xfId="1" applyNumberFormat="1" applyFont="1" applyFill="1" applyBorder="1" applyAlignment="1">
      <alignment horizontal="right" vertical="center"/>
    </xf>
    <xf numFmtId="179" fontId="108" fillId="0" borderId="0" xfId="1" applyNumberFormat="1" applyFont="1" applyFill="1" applyBorder="1" applyAlignment="1">
      <alignment horizontal="right" vertical="center"/>
    </xf>
    <xf numFmtId="172" fontId="108" fillId="0" borderId="5" xfId="1" applyNumberFormat="1" applyFont="1" applyFill="1" applyBorder="1" applyAlignment="1">
      <alignment horizontal="right" vertical="center"/>
    </xf>
    <xf numFmtId="165" fontId="108" fillId="5" borderId="13" xfId="1" applyFont="1" applyFill="1" applyBorder="1" applyAlignment="1">
      <alignment horizontal="right" vertical="center"/>
    </xf>
    <xf numFmtId="172" fontId="169" fillId="0" borderId="5" xfId="1" applyNumberFormat="1" applyFont="1" applyFill="1" applyBorder="1" applyAlignment="1">
      <alignment horizontal="right" vertical="center"/>
    </xf>
    <xf numFmtId="172" fontId="169" fillId="0" borderId="6" xfId="1" applyNumberFormat="1" applyFont="1" applyFill="1" applyBorder="1" applyAlignment="1">
      <alignment horizontal="right" vertical="center"/>
    </xf>
    <xf numFmtId="190" fontId="53" fillId="0" borderId="7" xfId="0" applyNumberFormat="1" applyFont="1" applyBorder="1" applyAlignment="1">
      <alignment vertical="center" wrapText="1"/>
    </xf>
    <xf numFmtId="180" fontId="52" fillId="14" borderId="7" xfId="1" applyNumberFormat="1" applyFont="1" applyFill="1" applyBorder="1" applyAlignment="1">
      <alignment vertical="center"/>
    </xf>
    <xf numFmtId="190" fontId="53" fillId="0" borderId="0" xfId="0" applyNumberFormat="1" applyFont="1" applyAlignment="1">
      <alignment vertical="center" shrinkToFit="1"/>
    </xf>
    <xf numFmtId="194" fontId="52" fillId="14" borderId="0" xfId="0" applyNumberFormat="1" applyFont="1" applyFill="1" applyAlignment="1">
      <alignment vertical="center" shrinkToFit="1"/>
    </xf>
    <xf numFmtId="194" fontId="53" fillId="25" borderId="0" xfId="0" applyNumberFormat="1" applyFont="1" applyFill="1" applyAlignment="1">
      <alignment vertical="center" shrinkToFit="1"/>
    </xf>
    <xf numFmtId="176" fontId="52" fillId="14" borderId="7" xfId="1" applyNumberFormat="1" applyFont="1" applyFill="1" applyBorder="1" applyAlignment="1">
      <alignment vertical="center" shrinkToFit="1"/>
    </xf>
    <xf numFmtId="176" fontId="53" fillId="25" borderId="0" xfId="1" applyNumberFormat="1" applyFont="1" applyFill="1" applyBorder="1" applyAlignment="1">
      <alignment vertical="center" shrinkToFit="1"/>
    </xf>
    <xf numFmtId="176" fontId="53" fillId="7" borderId="18" xfId="1" applyNumberFormat="1" applyFont="1" applyFill="1" applyBorder="1" applyAlignment="1">
      <alignment vertical="center" shrinkToFit="1"/>
    </xf>
    <xf numFmtId="173" fontId="62" fillId="4" borderId="13" xfId="1" applyNumberFormat="1" applyFont="1" applyFill="1" applyBorder="1" applyAlignment="1">
      <alignment horizontal="center"/>
    </xf>
    <xf numFmtId="173" fontId="62" fillId="0" borderId="13" xfId="1" applyNumberFormat="1" applyFont="1" applyFill="1" applyBorder="1" applyAlignment="1">
      <alignment horizontal="center"/>
    </xf>
    <xf numFmtId="173" fontId="62" fillId="0" borderId="7" xfId="1" applyNumberFormat="1" applyFont="1" applyFill="1" applyBorder="1" applyAlignment="1">
      <alignment horizontal="center"/>
    </xf>
    <xf numFmtId="173" fontId="28" fillId="12" borderId="12" xfId="1" applyNumberFormat="1" applyFont="1" applyFill="1" applyBorder="1" applyAlignment="1">
      <alignment horizontal="center"/>
    </xf>
    <xf numFmtId="194" fontId="75" fillId="15" borderId="11" xfId="0" applyNumberFormat="1" applyFont="1" applyFill="1" applyBorder="1"/>
    <xf numFmtId="176" fontId="58" fillId="23" borderId="7" xfId="1" applyNumberFormat="1" applyFont="1" applyFill="1" applyBorder="1"/>
    <xf numFmtId="176" fontId="37" fillId="6" borderId="6" xfId="1" applyNumberFormat="1" applyFont="1" applyFill="1" applyBorder="1" applyAlignment="1">
      <alignment vertical="center"/>
    </xf>
    <xf numFmtId="176" fontId="37" fillId="9" borderId="7" xfId="1" applyNumberFormat="1" applyFont="1" applyFill="1" applyBorder="1"/>
    <xf numFmtId="176" fontId="37" fillId="18" borderId="7" xfId="1" applyNumberFormat="1" applyFont="1" applyFill="1" applyBorder="1"/>
    <xf numFmtId="165" fontId="36" fillId="5" borderId="0" xfId="1" applyFont="1" applyFill="1" applyBorder="1" applyAlignment="1">
      <alignment vertical="center"/>
    </xf>
    <xf numFmtId="3" fontId="37" fillId="5" borderId="0" xfId="0" applyNumberFormat="1" applyFont="1" applyFill="1" applyAlignment="1">
      <alignment vertical="center"/>
    </xf>
    <xf numFmtId="170" fontId="61" fillId="5" borderId="13" xfId="0" applyNumberFormat="1" applyFont="1" applyFill="1" applyBorder="1"/>
    <xf numFmtId="43" fontId="29" fillId="5" borderId="13" xfId="0" applyNumberFormat="1" applyFont="1" applyFill="1" applyBorder="1"/>
    <xf numFmtId="43" fontId="31" fillId="5" borderId="13" xfId="0" applyNumberFormat="1" applyFont="1" applyFill="1" applyBorder="1"/>
    <xf numFmtId="43" fontId="183" fillId="5" borderId="13" xfId="0" applyNumberFormat="1" applyFont="1" applyFill="1" applyBorder="1"/>
    <xf numFmtId="165" fontId="61" fillId="5" borderId="5" xfId="1" applyFont="1" applyFill="1" applyBorder="1"/>
    <xf numFmtId="165" fontId="61" fillId="5" borderId="0" xfId="1" applyFont="1" applyFill="1" applyBorder="1"/>
    <xf numFmtId="165" fontId="36" fillId="5" borderId="7" xfId="1" applyFont="1" applyFill="1" applyBorder="1"/>
    <xf numFmtId="165" fontId="85" fillId="5" borderId="5" xfId="1" applyFont="1" applyFill="1" applyBorder="1"/>
    <xf numFmtId="165" fontId="85" fillId="5" borderId="0" xfId="1" applyFont="1" applyFill="1" applyBorder="1"/>
    <xf numFmtId="165" fontId="37" fillId="5" borderId="7" xfId="1" applyFont="1" applyFill="1" applyBorder="1"/>
    <xf numFmtId="165" fontId="204" fillId="5" borderId="5" xfId="1" applyFont="1" applyFill="1" applyBorder="1"/>
    <xf numFmtId="165" fontId="204" fillId="5" borderId="0" xfId="1" applyFont="1" applyFill="1" applyBorder="1"/>
    <xf numFmtId="4" fontId="42" fillId="5" borderId="13" xfId="0" applyNumberFormat="1" applyFont="1" applyFill="1" applyBorder="1" applyAlignment="1">
      <alignment horizontal="right"/>
    </xf>
    <xf numFmtId="4" fontId="42" fillId="5" borderId="5" xfId="0" applyNumberFormat="1" applyFont="1" applyFill="1" applyBorder="1"/>
    <xf numFmtId="4" fontId="42" fillId="5" borderId="0" xfId="0" applyNumberFormat="1" applyFont="1" applyFill="1"/>
    <xf numFmtId="4" fontId="53" fillId="5" borderId="7" xfId="0" applyNumberFormat="1" applyFont="1" applyFill="1" applyBorder="1"/>
    <xf numFmtId="4" fontId="36" fillId="5" borderId="11" xfId="1" applyNumberFormat="1" applyFont="1" applyFill="1" applyBorder="1" applyAlignment="1">
      <alignment vertical="center"/>
    </xf>
    <xf numFmtId="4" fontId="36" fillId="5" borderId="3" xfId="1" applyNumberFormat="1" applyFont="1" applyFill="1" applyBorder="1" applyAlignment="1">
      <alignment vertical="center"/>
    </xf>
    <xf numFmtId="184" fontId="36" fillId="5" borderId="4" xfId="1" applyNumberFormat="1" applyFont="1" applyFill="1" applyBorder="1" applyAlignment="1">
      <alignment vertical="center"/>
    </xf>
    <xf numFmtId="173" fontId="28" fillId="0" borderId="13" xfId="1" applyNumberFormat="1" applyFont="1" applyBorder="1" applyAlignment="1">
      <alignment horizontal="center"/>
    </xf>
    <xf numFmtId="173" fontId="28" fillId="0" borderId="14" xfId="1" applyNumberFormat="1" applyFont="1" applyBorder="1" applyAlignment="1">
      <alignment horizontal="center"/>
    </xf>
    <xf numFmtId="173" fontId="62" fillId="6" borderId="13" xfId="1" applyNumberFormat="1" applyFont="1" applyFill="1" applyBorder="1" applyAlignment="1">
      <alignment horizontal="center"/>
    </xf>
    <xf numFmtId="43" fontId="37" fillId="9" borderId="2" xfId="33" applyFont="1" applyFill="1" applyBorder="1" applyAlignment="1">
      <alignment horizontal="center" vertical="center"/>
    </xf>
    <xf numFmtId="0" fontId="36" fillId="0" borderId="10" xfId="23" applyBorder="1" applyAlignment="1">
      <alignment horizontal="center" vertical="center"/>
    </xf>
    <xf numFmtId="0" fontId="36" fillId="0" borderId="6" xfId="23" applyBorder="1" applyAlignment="1">
      <alignment horizontal="center" vertical="center"/>
    </xf>
    <xf numFmtId="0" fontId="36" fillId="0" borderId="9" xfId="23" applyBorder="1" applyAlignment="1">
      <alignment horizontal="center" vertical="center"/>
    </xf>
    <xf numFmtId="0" fontId="37" fillId="9" borderId="3" xfId="23" applyFont="1" applyFill="1" applyBorder="1" applyAlignment="1">
      <alignment horizontal="center" vertical="center"/>
    </xf>
    <xf numFmtId="0" fontId="36" fillId="9" borderId="3" xfId="23" applyFill="1" applyBorder="1" applyAlignment="1">
      <alignment horizontal="center" vertical="center"/>
    </xf>
    <xf numFmtId="0" fontId="36" fillId="9" borderId="4" xfId="23" applyFill="1" applyBorder="1" applyAlignment="1">
      <alignment horizontal="center" vertical="center"/>
    </xf>
    <xf numFmtId="0" fontId="63" fillId="0" borderId="0" xfId="23" applyFont="1" applyAlignment="1">
      <alignment horizontal="left" vertical="center"/>
    </xf>
    <xf numFmtId="0" fontId="36" fillId="9" borderId="15" xfId="23" applyFill="1" applyBorder="1" applyAlignment="1">
      <alignment horizontal="center" vertical="center" wrapText="1"/>
    </xf>
    <xf numFmtId="0" fontId="36" fillId="9" borderId="13" xfId="23" applyFill="1" applyBorder="1" applyAlignment="1">
      <alignment horizontal="center" vertical="center" wrapText="1"/>
    </xf>
    <xf numFmtId="0" fontId="36" fillId="9" borderId="14" xfId="23" applyFill="1" applyBorder="1" applyAlignment="1">
      <alignment horizontal="center" vertical="center" wrapText="1"/>
    </xf>
    <xf numFmtId="0" fontId="36" fillId="9" borderId="1" xfId="23" applyFill="1" applyBorder="1" applyAlignment="1">
      <alignment horizontal="center" vertical="center" wrapText="1"/>
    </xf>
    <xf numFmtId="0" fontId="36" fillId="0" borderId="2" xfId="23" applyBorder="1" applyAlignment="1">
      <alignment horizontal="center" vertical="center" wrapText="1"/>
    </xf>
    <xf numFmtId="0" fontId="36" fillId="0" borderId="5" xfId="23" applyBorder="1" applyAlignment="1">
      <alignment horizontal="center" vertical="center" wrapText="1"/>
    </xf>
    <xf numFmtId="0" fontId="36" fillId="0" borderId="0" xfId="23" applyAlignment="1">
      <alignment horizontal="center" vertical="center" wrapText="1"/>
    </xf>
    <xf numFmtId="0" fontId="36" fillId="0" borderId="8" xfId="23" applyBorder="1" applyAlignment="1">
      <alignment horizontal="center" vertical="center" wrapText="1"/>
    </xf>
    <xf numFmtId="0" fontId="36" fillId="0" borderId="6" xfId="23" applyBorder="1" applyAlignment="1">
      <alignment horizontal="center" vertical="center" wrapText="1"/>
    </xf>
    <xf numFmtId="0" fontId="36" fillId="9" borderId="10" xfId="23" applyFill="1" applyBorder="1" applyAlignment="1">
      <alignment horizontal="center" vertical="center" wrapText="1"/>
    </xf>
    <xf numFmtId="0" fontId="36" fillId="9" borderId="7" xfId="23" applyFill="1" applyBorder="1" applyAlignment="1">
      <alignment horizontal="center" vertical="center" wrapText="1"/>
    </xf>
    <xf numFmtId="43" fontId="37" fillId="9" borderId="2" xfId="33" applyFont="1" applyFill="1" applyBorder="1" applyAlignment="1">
      <alignment horizontal="right" vertical="center" wrapText="1"/>
    </xf>
    <xf numFmtId="43" fontId="37" fillId="9" borderId="0" xfId="33" applyFont="1" applyFill="1" applyBorder="1" applyAlignment="1">
      <alignment horizontal="right" vertical="center" wrapText="1"/>
    </xf>
    <xf numFmtId="0" fontId="36" fillId="9" borderId="0" xfId="23" applyFill="1" applyAlignment="1">
      <alignment horizontal="right" vertical="center" wrapText="1"/>
    </xf>
    <xf numFmtId="167" fontId="37" fillId="9" borderId="2" xfId="33" applyNumberFormat="1" applyFont="1" applyFill="1" applyBorder="1" applyAlignment="1">
      <alignment horizontal="center" vertical="center"/>
    </xf>
    <xf numFmtId="0" fontId="28" fillId="7" borderId="1"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28" fillId="7" borderId="11" xfId="0" applyFont="1" applyFill="1" applyBorder="1" applyAlignment="1">
      <alignment horizontal="center" vertical="center"/>
    </xf>
    <xf numFmtId="0" fontId="28" fillId="7" borderId="3" xfId="0" applyFont="1" applyFill="1" applyBorder="1" applyAlignment="1">
      <alignment horizontal="center" vertical="center"/>
    </xf>
    <xf numFmtId="0" fontId="28" fillId="7" borderId="4" xfId="0" applyFont="1" applyFill="1" applyBorder="1" applyAlignment="1">
      <alignment horizontal="center" vertical="center"/>
    </xf>
    <xf numFmtId="0" fontId="81" fillId="16" borderId="0" xfId="35" applyFont="1" applyFill="1" applyAlignment="1">
      <alignment horizontal="center"/>
    </xf>
    <xf numFmtId="0" fontId="72" fillId="4" borderId="5" xfId="0" applyFont="1" applyFill="1" applyBorder="1" applyAlignment="1">
      <alignment horizontal="left" vertical="center" wrapText="1"/>
    </xf>
    <xf numFmtId="0" fontId="72" fillId="4" borderId="0" xfId="0" applyFont="1" applyFill="1" applyAlignment="1">
      <alignment horizontal="left" vertical="center" wrapText="1"/>
    </xf>
    <xf numFmtId="0" fontId="72" fillId="4" borderId="7" xfId="0" applyFont="1" applyFill="1" applyBorder="1" applyAlignment="1">
      <alignment horizontal="left" vertical="center" wrapText="1"/>
    </xf>
    <xf numFmtId="0" fontId="126" fillId="19" borderId="2" xfId="0" applyFont="1" applyFill="1" applyBorder="1" applyAlignment="1">
      <alignment horizontal="left" vertical="center" wrapText="1"/>
    </xf>
    <xf numFmtId="0" fontId="126" fillId="19" borderId="10" xfId="0" applyFont="1" applyFill="1" applyBorder="1" applyAlignment="1">
      <alignment horizontal="left" vertical="center" wrapText="1"/>
    </xf>
    <xf numFmtId="0" fontId="72" fillId="13" borderId="13" xfId="0" applyFont="1" applyFill="1" applyBorder="1" applyAlignment="1">
      <alignment horizontal="left" vertical="center" wrapText="1"/>
    </xf>
    <xf numFmtId="0" fontId="34" fillId="0" borderId="5" xfId="0" applyFont="1" applyBorder="1" applyAlignment="1">
      <alignment horizontal="right" vertical="center"/>
    </xf>
    <xf numFmtId="0" fontId="34" fillId="0" borderId="0" xfId="0" applyFont="1" applyAlignment="1">
      <alignment horizontal="right" vertical="center"/>
    </xf>
    <xf numFmtId="0" fontId="99" fillId="17" borderId="11" xfId="0" applyFont="1" applyFill="1" applyBorder="1" applyAlignment="1">
      <alignment horizontal="left" vertical="center" wrapText="1"/>
    </xf>
    <xf numFmtId="0" fontId="99" fillId="17" borderId="3" xfId="0" applyFont="1" applyFill="1" applyBorder="1" applyAlignment="1">
      <alignment horizontal="left" vertical="center"/>
    </xf>
    <xf numFmtId="0" fontId="99" fillId="17" borderId="4" xfId="0" applyFont="1" applyFill="1" applyBorder="1" applyAlignment="1">
      <alignment horizontal="left" vertical="center"/>
    </xf>
    <xf numFmtId="0" fontId="154" fillId="18" borderId="2" xfId="9" applyFont="1" applyFill="1" applyBorder="1" applyAlignment="1">
      <alignment horizontal="left" vertical="center" wrapText="1"/>
    </xf>
    <xf numFmtId="0" fontId="154" fillId="18" borderId="10" xfId="9" applyFont="1" applyFill="1" applyBorder="1" applyAlignment="1">
      <alignment horizontal="left" vertical="center" wrapText="1"/>
    </xf>
    <xf numFmtId="0" fontId="110" fillId="6" borderId="11" xfId="0" applyFont="1" applyFill="1" applyBorder="1" applyAlignment="1">
      <alignment horizontal="left" vertical="center" wrapText="1"/>
    </xf>
    <xf numFmtId="0" fontId="110" fillId="6" borderId="3" xfId="0" applyFont="1" applyFill="1" applyBorder="1" applyAlignment="1">
      <alignment horizontal="left" vertical="center" wrapText="1"/>
    </xf>
    <xf numFmtId="0" fontId="154" fillId="18" borderId="0" xfId="9" applyFont="1" applyFill="1" applyAlignment="1">
      <alignment horizontal="left" vertical="center" wrapText="1"/>
    </xf>
    <xf numFmtId="0" fontId="154" fillId="18" borderId="7" xfId="9" applyFont="1" applyFill="1" applyBorder="1" applyAlignment="1">
      <alignment horizontal="left" vertical="center"/>
    </xf>
    <xf numFmtId="0" fontId="34" fillId="0" borderId="0" xfId="9" applyFont="1" applyAlignment="1">
      <alignment horizontal="left" vertical="center" wrapText="1"/>
    </xf>
    <xf numFmtId="0" fontId="197" fillId="0" borderId="6" xfId="9" applyFont="1" applyBorder="1" applyAlignment="1">
      <alignment horizontal="left" vertical="center" wrapText="1"/>
    </xf>
    <xf numFmtId="0" fontId="46" fillId="0" borderId="2" xfId="0" applyFont="1" applyBorder="1" applyAlignment="1">
      <alignment horizontal="left" vertical="center" wrapText="1"/>
    </xf>
    <xf numFmtId="0" fontId="46" fillId="0" borderId="0" xfId="0" applyFont="1" applyAlignment="1">
      <alignment horizontal="left" vertical="center" wrapText="1"/>
    </xf>
    <xf numFmtId="0" fontId="99" fillId="4" borderId="11" xfId="0" applyFont="1" applyFill="1" applyBorder="1" applyAlignment="1">
      <alignment horizontal="left" vertical="center" wrapText="1"/>
    </xf>
    <xf numFmtId="0" fontId="99" fillId="4" borderId="3" xfId="0" applyFont="1" applyFill="1" applyBorder="1" applyAlignment="1">
      <alignment horizontal="left" vertical="center" wrapText="1"/>
    </xf>
    <xf numFmtId="0" fontId="99" fillId="4" borderId="4" xfId="0" applyFont="1" applyFill="1" applyBorder="1" applyAlignment="1">
      <alignment horizontal="left" vertical="center" wrapText="1"/>
    </xf>
    <xf numFmtId="0" fontId="68" fillId="0" borderId="11" xfId="0" applyFont="1" applyBorder="1" applyAlignment="1">
      <alignment horizontal="left" vertical="center" wrapText="1"/>
    </xf>
    <xf numFmtId="0" fontId="68" fillId="0" borderId="3" xfId="0" applyFont="1" applyBorder="1" applyAlignment="1">
      <alignment horizontal="left" vertical="center" wrapText="1"/>
    </xf>
    <xf numFmtId="0" fontId="68" fillId="0" borderId="4" xfId="0" applyFont="1" applyBorder="1" applyAlignment="1">
      <alignment horizontal="left" vertical="center" wrapText="1"/>
    </xf>
    <xf numFmtId="0" fontId="72" fillId="4" borderId="1" xfId="0" applyFont="1" applyFill="1" applyBorder="1" applyAlignment="1">
      <alignment horizontal="left" vertical="center" wrapText="1"/>
    </xf>
    <xf numFmtId="0" fontId="72" fillId="4" borderId="2" xfId="0" applyFont="1" applyFill="1" applyBorder="1" applyAlignment="1">
      <alignment horizontal="left" vertical="center" wrapText="1"/>
    </xf>
    <xf numFmtId="0" fontId="46" fillId="0" borderId="0" xfId="9" applyFont="1" applyAlignment="1">
      <alignment horizontal="left" vertical="center" wrapText="1"/>
    </xf>
    <xf numFmtId="0" fontId="72" fillId="6" borderId="0" xfId="0" applyFont="1" applyFill="1" applyAlignment="1">
      <alignment horizontal="left" vertical="center" wrapText="1"/>
    </xf>
    <xf numFmtId="0" fontId="197" fillId="0" borderId="0" xfId="9" applyFont="1" applyAlignment="1">
      <alignment horizontal="left" vertical="center" wrapText="1"/>
    </xf>
    <xf numFmtId="0" fontId="72" fillId="17" borderId="11" xfId="0" applyFont="1" applyFill="1" applyBorder="1" applyAlignment="1">
      <alignment horizontal="left" vertical="center" wrapText="1"/>
    </xf>
    <xf numFmtId="0" fontId="72" fillId="17" borderId="3" xfId="0" applyFont="1" applyFill="1" applyBorder="1" applyAlignment="1">
      <alignment horizontal="left" vertical="center" wrapText="1"/>
    </xf>
    <xf numFmtId="0" fontId="72" fillId="17" borderId="4" xfId="0" applyFont="1" applyFill="1" applyBorder="1" applyAlignment="1">
      <alignment horizontal="left" vertical="center" wrapText="1"/>
    </xf>
    <xf numFmtId="0" fontId="109" fillId="0" borderId="0" xfId="9" applyFont="1" applyAlignment="1">
      <alignment horizontal="left" vertical="center" wrapText="1"/>
    </xf>
    <xf numFmtId="0" fontId="34" fillId="0" borderId="6" xfId="9" applyFont="1" applyBorder="1" applyAlignment="1">
      <alignment horizontal="left" vertical="center" wrapText="1"/>
    </xf>
    <xf numFmtId="0" fontId="109" fillId="4" borderId="0" xfId="0" applyFont="1" applyFill="1" applyAlignment="1">
      <alignment horizontal="left" vertical="center" wrapText="1"/>
    </xf>
    <xf numFmtId="0" fontId="92" fillId="0" borderId="6" xfId="0" applyFont="1" applyBorder="1" applyAlignment="1">
      <alignment horizontal="left"/>
    </xf>
    <xf numFmtId="0" fontId="46" fillId="15" borderId="3" xfId="0" applyFont="1" applyFill="1" applyBorder="1" applyAlignment="1">
      <alignment horizontal="left" vertical="center"/>
    </xf>
    <xf numFmtId="0" fontId="110" fillId="6" borderId="5" xfId="0" applyFont="1" applyFill="1" applyBorder="1" applyAlignment="1">
      <alignment horizontal="left" vertical="center" wrapText="1"/>
    </xf>
    <xf numFmtId="0" fontId="110" fillId="6" borderId="0" xfId="0" applyFont="1" applyFill="1" applyAlignment="1">
      <alignment horizontal="left" vertical="center" wrapText="1"/>
    </xf>
    <xf numFmtId="0" fontId="110" fillId="6" borderId="7" xfId="0" applyFont="1" applyFill="1" applyBorder="1" applyAlignment="1">
      <alignment horizontal="left" vertical="center" wrapText="1"/>
    </xf>
    <xf numFmtId="0" fontId="156" fillId="2" borderId="5" xfId="0" applyFont="1" applyFill="1" applyBorder="1" applyAlignment="1">
      <alignment horizontal="left" vertical="center" wrapText="1"/>
    </xf>
    <xf numFmtId="0" fontId="156" fillId="2" borderId="0" xfId="0" applyFont="1" applyFill="1" applyAlignment="1">
      <alignment horizontal="left" vertical="center" wrapText="1"/>
    </xf>
    <xf numFmtId="0" fontId="37" fillId="4" borderId="10" xfId="0" applyFont="1" applyFill="1" applyBorder="1" applyAlignment="1">
      <alignment horizontal="center" vertical="center" wrapText="1"/>
    </xf>
    <xf numFmtId="0" fontId="37" fillId="4" borderId="9" xfId="0" applyFont="1" applyFill="1" applyBorder="1" applyAlignment="1">
      <alignment horizontal="center" vertical="center" wrapText="1"/>
    </xf>
    <xf numFmtId="0" fontId="37" fillId="0" borderId="15" xfId="0" applyFont="1" applyBorder="1" applyAlignment="1">
      <alignment horizontal="center" vertical="center" wrapText="1"/>
    </xf>
    <xf numFmtId="0" fontId="37" fillId="0" borderId="14" xfId="0" applyFont="1" applyBorder="1" applyAlignment="1">
      <alignment horizontal="center" vertical="center" wrapText="1"/>
    </xf>
    <xf numFmtId="0" fontId="180" fillId="6" borderId="1" xfId="0" applyFont="1" applyFill="1" applyBorder="1" applyAlignment="1">
      <alignment horizontal="left" vertical="center" wrapText="1"/>
    </xf>
    <xf numFmtId="0" fontId="180" fillId="6" borderId="2" xfId="0" applyFont="1" applyFill="1" applyBorder="1" applyAlignment="1">
      <alignment horizontal="left" vertical="center" wrapText="1"/>
    </xf>
    <xf numFmtId="0" fontId="180" fillId="6" borderId="10" xfId="0" applyFont="1" applyFill="1" applyBorder="1" applyAlignment="1">
      <alignment horizontal="left" vertical="center" wrapText="1"/>
    </xf>
    <xf numFmtId="0" fontId="37" fillId="7" borderId="15" xfId="0" applyFont="1" applyFill="1" applyBorder="1" applyAlignment="1">
      <alignment horizontal="center" vertical="center" wrapText="1"/>
    </xf>
    <xf numFmtId="0" fontId="37" fillId="7" borderId="14" xfId="0" applyFont="1" applyFill="1" applyBorder="1" applyAlignment="1">
      <alignment horizontal="center" vertical="center" wrapText="1"/>
    </xf>
    <xf numFmtId="0" fontId="147" fillId="18" borderId="2" xfId="0" applyFont="1" applyFill="1" applyBorder="1" applyAlignment="1">
      <alignment horizontal="left" vertical="center" wrapText="1"/>
    </xf>
    <xf numFmtId="0" fontId="147" fillId="18" borderId="10" xfId="0" applyFont="1" applyFill="1" applyBorder="1" applyAlignment="1">
      <alignment horizontal="left" vertical="center" wrapText="1"/>
    </xf>
    <xf numFmtId="0" fontId="54" fillId="7" borderId="15" xfId="0" applyFont="1" applyFill="1" applyBorder="1" applyAlignment="1">
      <alignment horizontal="center" vertical="center" wrapText="1"/>
    </xf>
    <xf numFmtId="0" fontId="54" fillId="7" borderId="14" xfId="0" applyFont="1" applyFill="1" applyBorder="1" applyAlignment="1">
      <alignment horizontal="center" vertical="center" wrapText="1"/>
    </xf>
    <xf numFmtId="0" fontId="90" fillId="18" borderId="0" xfId="5" applyFont="1" applyFill="1" applyAlignment="1">
      <alignment horizontal="left" vertical="center" wrapText="1"/>
    </xf>
    <xf numFmtId="0" fontId="90" fillId="18" borderId="7" xfId="5" applyFont="1" applyFill="1" applyBorder="1" applyAlignment="1">
      <alignment horizontal="left" vertical="center"/>
    </xf>
    <xf numFmtId="0" fontId="46" fillId="2" borderId="0" xfId="0" applyFont="1" applyFill="1" applyAlignment="1">
      <alignment horizontal="left" vertical="center" wrapText="1"/>
    </xf>
    <xf numFmtId="0" fontId="46" fillId="2" borderId="0" xfId="0" applyFont="1" applyFill="1" applyAlignment="1">
      <alignment horizontal="left" vertical="center"/>
    </xf>
    <xf numFmtId="0" fontId="46" fillId="2" borderId="7" xfId="0" applyFont="1" applyFill="1" applyBorder="1" applyAlignment="1">
      <alignment horizontal="left" vertical="center"/>
    </xf>
    <xf numFmtId="165" fontId="30" fillId="0" borderId="0" xfId="1" applyFont="1" applyBorder="1" applyAlignment="1">
      <alignment horizontal="center"/>
    </xf>
    <xf numFmtId="165" fontId="30" fillId="0" borderId="0" xfId="0" applyNumberFormat="1" applyFont="1"/>
    <xf numFmtId="43" fontId="30" fillId="0" borderId="0" xfId="0" applyNumberFormat="1" applyFont="1" applyAlignment="1">
      <alignment horizontal="center"/>
    </xf>
    <xf numFmtId="165" fontId="30" fillId="0" borderId="0" xfId="1" applyFont="1" applyAlignment="1">
      <alignment horizontal="center"/>
    </xf>
    <xf numFmtId="0" fontId="36" fillId="0" borderId="11" xfId="0" applyFont="1" applyBorder="1" applyAlignment="1">
      <alignment horizontal="center" vertical="center"/>
    </xf>
    <xf numFmtId="0" fontId="36" fillId="0" borderId="4" xfId="0" applyFont="1" applyBorder="1" applyAlignment="1">
      <alignment horizontal="center" vertical="center"/>
    </xf>
    <xf numFmtId="0" fontId="37" fillId="7" borderId="11" xfId="0" applyFont="1" applyFill="1" applyBorder="1" applyAlignment="1">
      <alignment horizontal="center" vertical="center"/>
    </xf>
    <xf numFmtId="0" fontId="37" fillId="7" borderId="3" xfId="0" applyFont="1" applyFill="1" applyBorder="1" applyAlignment="1">
      <alignment horizontal="center" vertical="center"/>
    </xf>
    <xf numFmtId="0" fontId="37" fillId="7" borderId="4" xfId="0" applyFont="1" applyFill="1" applyBorder="1" applyAlignment="1">
      <alignment horizontal="center" vertical="center"/>
    </xf>
    <xf numFmtId="0" fontId="37" fillId="7" borderId="1" xfId="0" applyFont="1" applyFill="1" applyBorder="1" applyAlignment="1">
      <alignment horizontal="center" vertical="center"/>
    </xf>
    <xf numFmtId="0" fontId="37" fillId="7" borderId="10" xfId="0" applyFont="1" applyFill="1" applyBorder="1" applyAlignment="1">
      <alignment horizontal="center" vertical="center"/>
    </xf>
    <xf numFmtId="0" fontId="37" fillId="7" borderId="8" xfId="0" applyFont="1" applyFill="1" applyBorder="1" applyAlignment="1">
      <alignment horizontal="center" vertical="center"/>
    </xf>
    <xf numFmtId="0" fontId="37" fillId="7" borderId="9" xfId="0" applyFont="1" applyFill="1" applyBorder="1" applyAlignment="1">
      <alignment horizontal="center" vertical="center"/>
    </xf>
    <xf numFmtId="0" fontId="37" fillId="7" borderId="5" xfId="0" applyFont="1" applyFill="1" applyBorder="1" applyAlignment="1">
      <alignment horizontal="center" vertical="center" wrapText="1"/>
    </xf>
    <xf numFmtId="0" fontId="37" fillId="7" borderId="0" xfId="0" applyFont="1" applyFill="1" applyAlignment="1">
      <alignment horizontal="center" vertical="center" wrapText="1"/>
    </xf>
    <xf numFmtId="0" fontId="37" fillId="7" borderId="29" xfId="0" applyFont="1" applyFill="1" applyBorder="1" applyAlignment="1">
      <alignment horizontal="center" vertical="center" wrapText="1"/>
    </xf>
    <xf numFmtId="0" fontId="37" fillId="7" borderId="13" xfId="0" applyFont="1" applyFill="1" applyBorder="1" applyAlignment="1">
      <alignment horizontal="center" vertical="center" wrapText="1"/>
    </xf>
    <xf numFmtId="0" fontId="37" fillId="7" borderId="29" xfId="0" applyFont="1" applyFill="1" applyBorder="1" applyAlignment="1">
      <alignment horizontal="center" vertical="center"/>
    </xf>
    <xf numFmtId="0" fontId="37" fillId="7" borderId="13" xfId="0" applyFont="1" applyFill="1" applyBorder="1" applyAlignment="1">
      <alignment horizontal="center" vertical="center"/>
    </xf>
    <xf numFmtId="0" fontId="37" fillId="7" borderId="39" xfId="0" applyFont="1" applyFill="1" applyBorder="1" applyAlignment="1">
      <alignment horizontal="center" vertical="center"/>
    </xf>
    <xf numFmtId="0" fontId="37" fillId="7" borderId="23" xfId="0" applyFont="1" applyFill="1" applyBorder="1" applyAlignment="1">
      <alignment horizontal="center" vertical="center"/>
    </xf>
    <xf numFmtId="0" fontId="37" fillId="7" borderId="24" xfId="0" applyFont="1" applyFill="1" applyBorder="1" applyAlignment="1">
      <alignment horizontal="center" vertical="center"/>
    </xf>
    <xf numFmtId="49" fontId="36" fillId="0" borderId="0" xfId="9" applyNumberFormat="1" applyFont="1" applyAlignment="1">
      <alignment horizontal="left" vertical="center" wrapText="1"/>
    </xf>
    <xf numFmtId="49" fontId="36" fillId="0" borderId="7" xfId="9" applyNumberFormat="1" applyFont="1" applyBorder="1" applyAlignment="1">
      <alignment horizontal="left" vertical="center" wrapText="1"/>
    </xf>
    <xf numFmtId="0" fontId="36" fillId="0" borderId="0" xfId="0" applyFont="1" applyAlignment="1">
      <alignment horizontal="left" vertical="center" wrapText="1"/>
    </xf>
    <xf numFmtId="0" fontId="0" fillId="0" borderId="0" xfId="0" applyAlignment="1">
      <alignment horizontal="center" vertical="center" wrapText="1"/>
    </xf>
    <xf numFmtId="0" fontId="36" fillId="5" borderId="5" xfId="0" applyFont="1" applyFill="1" applyBorder="1" applyAlignment="1">
      <alignment horizontal="left"/>
    </xf>
    <xf numFmtId="0" fontId="36" fillId="5" borderId="0" xfId="0" applyFont="1" applyFill="1" applyAlignment="1">
      <alignment horizontal="left"/>
    </xf>
    <xf numFmtId="0" fontId="36" fillId="5" borderId="7" xfId="0" applyFont="1" applyFill="1" applyBorder="1" applyAlignment="1">
      <alignment horizontal="left"/>
    </xf>
    <xf numFmtId="0" fontId="35" fillId="23" borderId="5" xfId="0" applyFont="1" applyFill="1" applyBorder="1" applyAlignment="1">
      <alignment horizontal="right" vertical="center" wrapText="1"/>
    </xf>
    <xf numFmtId="0" fontId="35" fillId="23" borderId="0" xfId="0" applyFont="1" applyFill="1" applyAlignment="1">
      <alignment horizontal="right" vertical="center" wrapText="1"/>
    </xf>
    <xf numFmtId="0" fontId="35" fillId="23" borderId="7" xfId="0" applyFont="1" applyFill="1" applyBorder="1" applyAlignment="1">
      <alignment horizontal="right" vertical="center" wrapText="1"/>
    </xf>
    <xf numFmtId="0" fontId="36" fillId="5" borderId="5" xfId="0" applyFont="1" applyFill="1" applyBorder="1" applyAlignment="1">
      <alignment horizontal="left" wrapText="1"/>
    </xf>
    <xf numFmtId="0" fontId="36" fillId="5" borderId="0" xfId="0" applyFont="1" applyFill="1" applyAlignment="1">
      <alignment horizontal="left" wrapText="1"/>
    </xf>
    <xf numFmtId="0" fontId="36" fillId="5" borderId="7" xfId="0" applyFont="1" applyFill="1" applyBorder="1" applyAlignment="1">
      <alignment horizontal="left" wrapText="1"/>
    </xf>
    <xf numFmtId="49" fontId="36" fillId="4" borderId="0" xfId="9" applyNumberFormat="1" applyFont="1" applyFill="1" applyAlignment="1">
      <alignment horizontal="left" vertical="center" wrapText="1"/>
    </xf>
    <xf numFmtId="49" fontId="36" fillId="4" borderId="7" xfId="9" applyNumberFormat="1" applyFont="1" applyFill="1" applyBorder="1" applyAlignment="1">
      <alignment horizontal="left" vertical="center" wrapText="1"/>
    </xf>
    <xf numFmtId="0" fontId="0" fillId="23" borderId="5" xfId="0" applyFill="1" applyBorder="1" applyAlignment="1">
      <alignment horizontal="right" vertical="center" wrapText="1"/>
    </xf>
    <xf numFmtId="0" fontId="0" fillId="23" borderId="0" xfId="0" applyFill="1" applyAlignment="1">
      <alignment horizontal="right" vertical="center" wrapText="1"/>
    </xf>
    <xf numFmtId="0" fontId="0" fillId="23" borderId="7" xfId="0" applyFill="1" applyBorder="1" applyAlignment="1">
      <alignment horizontal="right" vertical="center" wrapText="1"/>
    </xf>
    <xf numFmtId="0" fontId="68" fillId="4" borderId="11" xfId="0" applyFont="1" applyFill="1" applyBorder="1" applyAlignment="1">
      <alignment horizontal="center" vertical="center"/>
    </xf>
    <xf numFmtId="0" fontId="68" fillId="4" borderId="3" xfId="0" applyFont="1" applyFill="1" applyBorder="1" applyAlignment="1">
      <alignment horizontal="center" vertical="center"/>
    </xf>
    <xf numFmtId="0" fontId="0" fillId="23" borderId="5" xfId="0" applyFill="1" applyBorder="1" applyAlignment="1">
      <alignment horizontal="right" vertical="center"/>
    </xf>
    <xf numFmtId="0" fontId="0" fillId="23" borderId="0" xfId="0" applyFill="1" applyAlignment="1">
      <alignment horizontal="right" vertical="center"/>
    </xf>
    <xf numFmtId="0" fontId="0" fillId="23" borderId="7" xfId="0" applyFill="1" applyBorder="1" applyAlignment="1">
      <alignment horizontal="right" vertical="center"/>
    </xf>
    <xf numFmtId="0" fontId="68" fillId="9" borderId="8" xfId="0" applyFont="1" applyFill="1" applyBorder="1" applyAlignment="1">
      <alignment horizontal="center" wrapText="1"/>
    </xf>
    <xf numFmtId="0" fontId="68" fillId="9" borderId="6" xfId="0" applyFont="1" applyFill="1" applyBorder="1" applyAlignment="1">
      <alignment horizontal="center" wrapText="1"/>
    </xf>
    <xf numFmtId="0" fontId="68" fillId="9" borderId="9" xfId="0" applyFont="1" applyFill="1" applyBorder="1" applyAlignment="1">
      <alignment horizontal="center" wrapText="1"/>
    </xf>
    <xf numFmtId="0" fontId="37" fillId="9" borderId="1" xfId="0" applyFont="1" applyFill="1" applyBorder="1" applyAlignment="1">
      <alignment horizontal="center"/>
    </xf>
    <xf numFmtId="0" fontId="37" fillId="9" borderId="2" xfId="0" applyFont="1" applyFill="1" applyBorder="1" applyAlignment="1">
      <alignment horizontal="center"/>
    </xf>
    <xf numFmtId="0" fontId="37" fillId="9" borderId="10" xfId="0" applyFont="1" applyFill="1" applyBorder="1" applyAlignment="1">
      <alignment horizontal="center"/>
    </xf>
    <xf numFmtId="0" fontId="37" fillId="9" borderId="0" xfId="0" applyFont="1" applyFill="1" applyAlignment="1">
      <alignment horizontal="center"/>
    </xf>
    <xf numFmtId="0" fontId="37" fillId="9" borderId="7" xfId="0" applyFont="1" applyFill="1" applyBorder="1" applyAlignment="1">
      <alignment horizontal="center"/>
    </xf>
    <xf numFmtId="0" fontId="68" fillId="0" borderId="11" xfId="0" applyFont="1" applyBorder="1" applyAlignment="1">
      <alignment horizontal="center" vertical="center"/>
    </xf>
    <xf numFmtId="0" fontId="68" fillId="0" borderId="3" xfId="0" applyFont="1" applyBorder="1" applyAlignment="1">
      <alignment horizontal="center" vertical="center"/>
    </xf>
    <xf numFmtId="0" fontId="37" fillId="7" borderId="1" xfId="0" applyFont="1" applyFill="1" applyBorder="1" applyAlignment="1">
      <alignment horizontal="center" vertical="center" wrapText="1"/>
    </xf>
    <xf numFmtId="0" fontId="37" fillId="7" borderId="2" xfId="0" applyFont="1" applyFill="1" applyBorder="1" applyAlignment="1">
      <alignment horizontal="center" vertical="center" wrapText="1"/>
    </xf>
    <xf numFmtId="0" fontId="37" fillId="7" borderId="8" xfId="0" applyFont="1" applyFill="1" applyBorder="1" applyAlignment="1">
      <alignment horizontal="center" vertical="center" wrapText="1"/>
    </xf>
    <xf numFmtId="0" fontId="37" fillId="7" borderId="6" xfId="0" applyFont="1" applyFill="1" applyBorder="1" applyAlignment="1">
      <alignment horizontal="center" vertical="center" wrapText="1"/>
    </xf>
    <xf numFmtId="0" fontId="37" fillId="7" borderId="15" xfId="0" applyFont="1" applyFill="1" applyBorder="1" applyAlignment="1">
      <alignment horizontal="center" vertical="center"/>
    </xf>
    <xf numFmtId="0" fontId="37" fillId="7" borderId="14" xfId="0" applyFont="1" applyFill="1" applyBorder="1" applyAlignment="1">
      <alignment horizontal="center" vertical="center"/>
    </xf>
    <xf numFmtId="0" fontId="26" fillId="2" borderId="5" xfId="0" applyFont="1" applyFill="1" applyBorder="1" applyAlignment="1">
      <alignment horizontal="center" vertical="center" wrapText="1"/>
    </xf>
    <xf numFmtId="0" fontId="26" fillId="2" borderId="5" xfId="0" applyFont="1" applyFill="1" applyBorder="1" applyAlignment="1">
      <alignment horizontal="center" vertical="center"/>
    </xf>
    <xf numFmtId="0" fontId="26" fillId="7" borderId="1"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11" xfId="0" applyFont="1" applyFill="1" applyBorder="1" applyAlignment="1">
      <alignment horizontal="center" vertical="center"/>
    </xf>
    <xf numFmtId="0" fontId="26" fillId="7" borderId="3" xfId="0" applyFont="1" applyFill="1" applyBorder="1" applyAlignment="1">
      <alignment horizontal="center" vertical="center"/>
    </xf>
    <xf numFmtId="0" fontId="26" fillId="7" borderId="4" xfId="0" applyFont="1" applyFill="1" applyBorder="1" applyAlignment="1">
      <alignment horizontal="center" vertical="center"/>
    </xf>
    <xf numFmtId="0" fontId="26" fillId="2" borderId="8" xfId="0" applyFont="1" applyFill="1" applyBorder="1" applyAlignment="1">
      <alignment horizontal="center" vertical="center"/>
    </xf>
    <xf numFmtId="0" fontId="210" fillId="0" borderId="43" xfId="475" applyFont="1" applyBorder="1" applyAlignment="1">
      <alignment horizontal="center"/>
    </xf>
    <xf numFmtId="0" fontId="162" fillId="24" borderId="0" xfId="0" applyFont="1" applyFill="1" applyAlignment="1">
      <alignment horizontal="center" vertical="center"/>
    </xf>
    <xf numFmtId="0" fontId="162" fillId="6" borderId="11" xfId="0" applyFont="1" applyFill="1" applyBorder="1" applyAlignment="1">
      <alignment horizontal="right" vertical="center"/>
    </xf>
    <xf numFmtId="0" fontId="162" fillId="6" borderId="4" xfId="0" applyFont="1" applyFill="1" applyBorder="1" applyAlignment="1">
      <alignment horizontal="right" vertical="center"/>
    </xf>
    <xf numFmtId="0" fontId="166" fillId="5" borderId="11" xfId="0" applyFont="1" applyFill="1" applyBorder="1" applyAlignment="1">
      <alignment horizontal="center" vertical="center" wrapText="1"/>
    </xf>
    <xf numFmtId="0" fontId="166" fillId="5" borderId="4" xfId="0" applyFont="1" applyFill="1" applyBorder="1" applyAlignment="1">
      <alignment horizontal="center" vertical="center" wrapText="1"/>
    </xf>
    <xf numFmtId="0" fontId="166" fillId="5" borderId="12" xfId="0" applyFont="1" applyFill="1" applyBorder="1" applyAlignment="1">
      <alignment horizontal="center" vertical="center" wrapText="1"/>
    </xf>
  </cellXfs>
  <cellStyles count="479">
    <cellStyle name="Comma" xfId="1" builtinId="3"/>
    <cellStyle name="Comma 2" xfId="2" xr:uid="{00000000-0005-0000-0000-000001000000}"/>
    <cellStyle name="Comma 2 2" xfId="3" xr:uid="{00000000-0005-0000-0000-000002000000}"/>
    <cellStyle name="Comma 2 2 2" xfId="21" xr:uid="{00000000-0005-0000-0000-000003000000}"/>
    <cellStyle name="Comma 2 3" xfId="12" xr:uid="{00000000-0005-0000-0000-000004000000}"/>
    <cellStyle name="Comma 2 3 2" xfId="27" xr:uid="{00000000-0005-0000-0000-000005000000}"/>
    <cellStyle name="Comma 2 4" xfId="20" xr:uid="{00000000-0005-0000-0000-000006000000}"/>
    <cellStyle name="Comma 3" xfId="4" xr:uid="{00000000-0005-0000-0000-000007000000}"/>
    <cellStyle name="Comma 3 2" xfId="22" xr:uid="{00000000-0005-0000-0000-000008000000}"/>
    <cellStyle name="Comma 4" xfId="11" xr:uid="{00000000-0005-0000-0000-000009000000}"/>
    <cellStyle name="Comma 4 2" xfId="26" xr:uid="{00000000-0005-0000-0000-00000A000000}"/>
    <cellStyle name="Comma 5" xfId="19" xr:uid="{00000000-0005-0000-0000-00000B000000}"/>
    <cellStyle name="Comma 6" xfId="24" xr:uid="{00000000-0005-0000-0000-00000C000000}"/>
    <cellStyle name="Comma 6 2" xfId="43" xr:uid="{00000000-0005-0000-0000-00000D000000}"/>
    <cellStyle name="Comma 6 2 2" xfId="73" xr:uid="{00000000-0005-0000-0000-00000E000000}"/>
    <cellStyle name="Comma 6 2 2 2" xfId="174" xr:uid="{00000000-0005-0000-0000-00000F000000}"/>
    <cellStyle name="Comma 6 2 2 3" xfId="324" xr:uid="{00000000-0005-0000-0000-000010000000}"/>
    <cellStyle name="Comma 6 2 3" xfId="103" xr:uid="{00000000-0005-0000-0000-000011000000}"/>
    <cellStyle name="Comma 6 2 3 2" xfId="175" xr:uid="{00000000-0005-0000-0000-000012000000}"/>
    <cellStyle name="Comma 6 2 3 3" xfId="325" xr:uid="{00000000-0005-0000-0000-000013000000}"/>
    <cellStyle name="Comma 6 2 4" xfId="133" xr:uid="{00000000-0005-0000-0000-000014000000}"/>
    <cellStyle name="Comma 6 2 4 2" xfId="176" xr:uid="{00000000-0005-0000-0000-000015000000}"/>
    <cellStyle name="Comma 6 2 4 3" xfId="326" xr:uid="{00000000-0005-0000-0000-000016000000}"/>
    <cellStyle name="Comma 6 2 5" xfId="163" xr:uid="{00000000-0005-0000-0000-000017000000}"/>
    <cellStyle name="Comma 6 2 5 2" xfId="177" xr:uid="{00000000-0005-0000-0000-000018000000}"/>
    <cellStyle name="Comma 6 2 5 3" xfId="327" xr:uid="{00000000-0005-0000-0000-000019000000}"/>
    <cellStyle name="Comma 6 2 6" xfId="173" xr:uid="{00000000-0005-0000-0000-00001A000000}"/>
    <cellStyle name="Comma 6 2 7" xfId="323" xr:uid="{00000000-0005-0000-0000-00001B000000}"/>
    <cellStyle name="Comma 6 3" xfId="58" xr:uid="{00000000-0005-0000-0000-00001C000000}"/>
    <cellStyle name="Comma 6 3 2" xfId="178" xr:uid="{00000000-0005-0000-0000-00001D000000}"/>
    <cellStyle name="Comma 6 3 3" xfId="328" xr:uid="{00000000-0005-0000-0000-00001E000000}"/>
    <cellStyle name="Comma 6 4" xfId="88" xr:uid="{00000000-0005-0000-0000-00001F000000}"/>
    <cellStyle name="Comma 6 4 2" xfId="179" xr:uid="{00000000-0005-0000-0000-000020000000}"/>
    <cellStyle name="Comma 6 4 3" xfId="329" xr:uid="{00000000-0005-0000-0000-000021000000}"/>
    <cellStyle name="Comma 6 5" xfId="118" xr:uid="{00000000-0005-0000-0000-000022000000}"/>
    <cellStyle name="Comma 6 5 2" xfId="180" xr:uid="{00000000-0005-0000-0000-000023000000}"/>
    <cellStyle name="Comma 6 5 3" xfId="330" xr:uid="{00000000-0005-0000-0000-000024000000}"/>
    <cellStyle name="Comma 6 6" xfId="148" xr:uid="{00000000-0005-0000-0000-000025000000}"/>
    <cellStyle name="Comma 6 6 2" xfId="181" xr:uid="{00000000-0005-0000-0000-000026000000}"/>
    <cellStyle name="Comma 6 6 3" xfId="331" xr:uid="{00000000-0005-0000-0000-000027000000}"/>
    <cellStyle name="Comma 6 7" xfId="172" xr:uid="{00000000-0005-0000-0000-000028000000}"/>
    <cellStyle name="Comma 6 8" xfId="322" xr:uid="{00000000-0005-0000-0000-000029000000}"/>
    <cellStyle name="Comma 7" xfId="33" xr:uid="{00000000-0005-0000-0000-00002A000000}"/>
    <cellStyle name="Comma 8" xfId="477" xr:uid="{00000000-0005-0000-0000-00002B000000}"/>
    <cellStyle name="Currency 2" xfId="478" xr:uid="{00000000-0005-0000-0000-00002C000000}"/>
    <cellStyle name="Normal" xfId="0" builtinId="0"/>
    <cellStyle name="Normal 10" xfId="23" xr:uid="{00000000-0005-0000-0000-00002E000000}"/>
    <cellStyle name="Normal 12 2 3" xfId="15" xr:uid="{00000000-0005-0000-0000-00002F000000}"/>
    <cellStyle name="Normal 12 2 3 10" xfId="182" xr:uid="{00000000-0005-0000-0000-000030000000}"/>
    <cellStyle name="Normal 12 2 3 11" xfId="332" xr:uid="{00000000-0005-0000-0000-000031000000}"/>
    <cellStyle name="Normal 12 2 3 2" xfId="16" xr:uid="{00000000-0005-0000-0000-000032000000}"/>
    <cellStyle name="Normal 12 2 3 2 2" xfId="31" xr:uid="{00000000-0005-0000-0000-000033000000}"/>
    <cellStyle name="Normal 12 2 3 2 2 2" xfId="47" xr:uid="{00000000-0005-0000-0000-000034000000}"/>
    <cellStyle name="Normal 12 2 3 2 2 2 2" xfId="77" xr:uid="{00000000-0005-0000-0000-000035000000}"/>
    <cellStyle name="Normal 12 2 3 2 2 2 2 2" xfId="186" xr:uid="{00000000-0005-0000-0000-000036000000}"/>
    <cellStyle name="Normal 12 2 3 2 2 2 2 3" xfId="336" xr:uid="{00000000-0005-0000-0000-000037000000}"/>
    <cellStyle name="Normal 12 2 3 2 2 2 3" xfId="107" xr:uid="{00000000-0005-0000-0000-000038000000}"/>
    <cellStyle name="Normal 12 2 3 2 2 2 3 2" xfId="187" xr:uid="{00000000-0005-0000-0000-000039000000}"/>
    <cellStyle name="Normal 12 2 3 2 2 2 3 3" xfId="337" xr:uid="{00000000-0005-0000-0000-00003A000000}"/>
    <cellStyle name="Normal 12 2 3 2 2 2 4" xfId="137" xr:uid="{00000000-0005-0000-0000-00003B000000}"/>
    <cellStyle name="Normal 12 2 3 2 2 2 4 2" xfId="188" xr:uid="{00000000-0005-0000-0000-00003C000000}"/>
    <cellStyle name="Normal 12 2 3 2 2 2 4 3" xfId="338" xr:uid="{00000000-0005-0000-0000-00003D000000}"/>
    <cellStyle name="Normal 12 2 3 2 2 2 5" xfId="167" xr:uid="{00000000-0005-0000-0000-00003E000000}"/>
    <cellStyle name="Normal 12 2 3 2 2 2 5 2" xfId="189" xr:uid="{00000000-0005-0000-0000-00003F000000}"/>
    <cellStyle name="Normal 12 2 3 2 2 2 5 3" xfId="339" xr:uid="{00000000-0005-0000-0000-000040000000}"/>
    <cellStyle name="Normal 12 2 3 2 2 2 6" xfId="185" xr:uid="{00000000-0005-0000-0000-000041000000}"/>
    <cellStyle name="Normal 12 2 3 2 2 2 7" xfId="335" xr:uid="{00000000-0005-0000-0000-000042000000}"/>
    <cellStyle name="Normal 12 2 3 2 2 3" xfId="62" xr:uid="{00000000-0005-0000-0000-000043000000}"/>
    <cellStyle name="Normal 12 2 3 2 2 3 2" xfId="190" xr:uid="{00000000-0005-0000-0000-000044000000}"/>
    <cellStyle name="Normal 12 2 3 2 2 3 3" xfId="340" xr:uid="{00000000-0005-0000-0000-000045000000}"/>
    <cellStyle name="Normal 12 2 3 2 2 4" xfId="92" xr:uid="{00000000-0005-0000-0000-000046000000}"/>
    <cellStyle name="Normal 12 2 3 2 2 4 2" xfId="191" xr:uid="{00000000-0005-0000-0000-000047000000}"/>
    <cellStyle name="Normal 12 2 3 2 2 4 3" xfId="341" xr:uid="{00000000-0005-0000-0000-000048000000}"/>
    <cellStyle name="Normal 12 2 3 2 2 5" xfId="122" xr:uid="{00000000-0005-0000-0000-000049000000}"/>
    <cellStyle name="Normal 12 2 3 2 2 5 2" xfId="192" xr:uid="{00000000-0005-0000-0000-00004A000000}"/>
    <cellStyle name="Normal 12 2 3 2 2 5 3" xfId="342" xr:uid="{00000000-0005-0000-0000-00004B000000}"/>
    <cellStyle name="Normal 12 2 3 2 2 6" xfId="152" xr:uid="{00000000-0005-0000-0000-00004C000000}"/>
    <cellStyle name="Normal 12 2 3 2 2 6 2" xfId="193" xr:uid="{00000000-0005-0000-0000-00004D000000}"/>
    <cellStyle name="Normal 12 2 3 2 2 6 3" xfId="343" xr:uid="{00000000-0005-0000-0000-00004E000000}"/>
    <cellStyle name="Normal 12 2 3 2 2 7" xfId="184" xr:uid="{00000000-0005-0000-0000-00004F000000}"/>
    <cellStyle name="Normal 12 2 3 2 2 8" xfId="334" xr:uid="{00000000-0005-0000-0000-000050000000}"/>
    <cellStyle name="Normal 12 2 3 2 3" xfId="40" xr:uid="{00000000-0005-0000-0000-000051000000}"/>
    <cellStyle name="Normal 12 2 3 2 3 2" xfId="70" xr:uid="{00000000-0005-0000-0000-000052000000}"/>
    <cellStyle name="Normal 12 2 3 2 3 2 2" xfId="195" xr:uid="{00000000-0005-0000-0000-000053000000}"/>
    <cellStyle name="Normal 12 2 3 2 3 2 3" xfId="345" xr:uid="{00000000-0005-0000-0000-000054000000}"/>
    <cellStyle name="Normal 12 2 3 2 3 3" xfId="100" xr:uid="{00000000-0005-0000-0000-000055000000}"/>
    <cellStyle name="Normal 12 2 3 2 3 3 2" xfId="196" xr:uid="{00000000-0005-0000-0000-000056000000}"/>
    <cellStyle name="Normal 12 2 3 2 3 3 3" xfId="346" xr:uid="{00000000-0005-0000-0000-000057000000}"/>
    <cellStyle name="Normal 12 2 3 2 3 4" xfId="130" xr:uid="{00000000-0005-0000-0000-000058000000}"/>
    <cellStyle name="Normal 12 2 3 2 3 4 2" xfId="197" xr:uid="{00000000-0005-0000-0000-000059000000}"/>
    <cellStyle name="Normal 12 2 3 2 3 4 3" xfId="347" xr:uid="{00000000-0005-0000-0000-00005A000000}"/>
    <cellStyle name="Normal 12 2 3 2 3 5" xfId="160" xr:uid="{00000000-0005-0000-0000-00005B000000}"/>
    <cellStyle name="Normal 12 2 3 2 3 5 2" xfId="198" xr:uid="{00000000-0005-0000-0000-00005C000000}"/>
    <cellStyle name="Normal 12 2 3 2 3 5 3" xfId="348" xr:uid="{00000000-0005-0000-0000-00005D000000}"/>
    <cellStyle name="Normal 12 2 3 2 3 6" xfId="194" xr:uid="{00000000-0005-0000-0000-00005E000000}"/>
    <cellStyle name="Normal 12 2 3 2 3 7" xfId="344" xr:uid="{00000000-0005-0000-0000-00005F000000}"/>
    <cellStyle name="Normal 12 2 3 2 4" xfId="55" xr:uid="{00000000-0005-0000-0000-000060000000}"/>
    <cellStyle name="Normal 12 2 3 2 4 2" xfId="199" xr:uid="{00000000-0005-0000-0000-000061000000}"/>
    <cellStyle name="Normal 12 2 3 2 4 3" xfId="349" xr:uid="{00000000-0005-0000-0000-000062000000}"/>
    <cellStyle name="Normal 12 2 3 2 5" xfId="85" xr:uid="{00000000-0005-0000-0000-000063000000}"/>
    <cellStyle name="Normal 12 2 3 2 5 2" xfId="200" xr:uid="{00000000-0005-0000-0000-000064000000}"/>
    <cellStyle name="Normal 12 2 3 2 5 3" xfId="350" xr:uid="{00000000-0005-0000-0000-000065000000}"/>
    <cellStyle name="Normal 12 2 3 2 6" xfId="115" xr:uid="{00000000-0005-0000-0000-000066000000}"/>
    <cellStyle name="Normal 12 2 3 2 6 2" xfId="201" xr:uid="{00000000-0005-0000-0000-000067000000}"/>
    <cellStyle name="Normal 12 2 3 2 6 3" xfId="351" xr:uid="{00000000-0005-0000-0000-000068000000}"/>
    <cellStyle name="Normal 12 2 3 2 7" xfId="145" xr:uid="{00000000-0005-0000-0000-000069000000}"/>
    <cellStyle name="Normal 12 2 3 2 7 2" xfId="202" xr:uid="{00000000-0005-0000-0000-00006A000000}"/>
    <cellStyle name="Normal 12 2 3 2 7 3" xfId="352" xr:uid="{00000000-0005-0000-0000-00006B000000}"/>
    <cellStyle name="Normal 12 2 3 2 8" xfId="183" xr:uid="{00000000-0005-0000-0000-00006C000000}"/>
    <cellStyle name="Normal 12 2 3 2 9" xfId="333" xr:uid="{00000000-0005-0000-0000-00006D000000}"/>
    <cellStyle name="Normal 12 2 3 3" xfId="17" xr:uid="{00000000-0005-0000-0000-00006E000000}"/>
    <cellStyle name="Normal 12 2 3 3 2" xfId="32" xr:uid="{00000000-0005-0000-0000-00006F000000}"/>
    <cellStyle name="Normal 12 2 3 3 2 2" xfId="48" xr:uid="{00000000-0005-0000-0000-000070000000}"/>
    <cellStyle name="Normal 12 2 3 3 2 2 2" xfId="78" xr:uid="{00000000-0005-0000-0000-000071000000}"/>
    <cellStyle name="Normal 12 2 3 3 2 2 2 2" xfId="206" xr:uid="{00000000-0005-0000-0000-000072000000}"/>
    <cellStyle name="Normal 12 2 3 3 2 2 2 3" xfId="356" xr:uid="{00000000-0005-0000-0000-000073000000}"/>
    <cellStyle name="Normal 12 2 3 3 2 2 3" xfId="108" xr:uid="{00000000-0005-0000-0000-000074000000}"/>
    <cellStyle name="Normal 12 2 3 3 2 2 3 2" xfId="207" xr:uid="{00000000-0005-0000-0000-000075000000}"/>
    <cellStyle name="Normal 12 2 3 3 2 2 3 3" xfId="357" xr:uid="{00000000-0005-0000-0000-000076000000}"/>
    <cellStyle name="Normal 12 2 3 3 2 2 4" xfId="138" xr:uid="{00000000-0005-0000-0000-000077000000}"/>
    <cellStyle name="Normal 12 2 3 3 2 2 4 2" xfId="208" xr:uid="{00000000-0005-0000-0000-000078000000}"/>
    <cellStyle name="Normal 12 2 3 3 2 2 4 3" xfId="358" xr:uid="{00000000-0005-0000-0000-000079000000}"/>
    <cellStyle name="Normal 12 2 3 3 2 2 5" xfId="168" xr:uid="{00000000-0005-0000-0000-00007A000000}"/>
    <cellStyle name="Normal 12 2 3 3 2 2 5 2" xfId="209" xr:uid="{00000000-0005-0000-0000-00007B000000}"/>
    <cellStyle name="Normal 12 2 3 3 2 2 5 3" xfId="359" xr:uid="{00000000-0005-0000-0000-00007C000000}"/>
    <cellStyle name="Normal 12 2 3 3 2 2 6" xfId="205" xr:uid="{00000000-0005-0000-0000-00007D000000}"/>
    <cellStyle name="Normal 12 2 3 3 2 2 7" xfId="355" xr:uid="{00000000-0005-0000-0000-00007E000000}"/>
    <cellStyle name="Normal 12 2 3 3 2 3" xfId="63" xr:uid="{00000000-0005-0000-0000-00007F000000}"/>
    <cellStyle name="Normal 12 2 3 3 2 3 2" xfId="210" xr:uid="{00000000-0005-0000-0000-000080000000}"/>
    <cellStyle name="Normal 12 2 3 3 2 3 3" xfId="360" xr:uid="{00000000-0005-0000-0000-000081000000}"/>
    <cellStyle name="Normal 12 2 3 3 2 4" xfId="93" xr:uid="{00000000-0005-0000-0000-000082000000}"/>
    <cellStyle name="Normal 12 2 3 3 2 4 2" xfId="211" xr:uid="{00000000-0005-0000-0000-000083000000}"/>
    <cellStyle name="Normal 12 2 3 3 2 4 3" xfId="361" xr:uid="{00000000-0005-0000-0000-000084000000}"/>
    <cellStyle name="Normal 12 2 3 3 2 5" xfId="123" xr:uid="{00000000-0005-0000-0000-000085000000}"/>
    <cellStyle name="Normal 12 2 3 3 2 5 2" xfId="212" xr:uid="{00000000-0005-0000-0000-000086000000}"/>
    <cellStyle name="Normal 12 2 3 3 2 5 3" xfId="362" xr:uid="{00000000-0005-0000-0000-000087000000}"/>
    <cellStyle name="Normal 12 2 3 3 2 6" xfId="153" xr:uid="{00000000-0005-0000-0000-000088000000}"/>
    <cellStyle name="Normal 12 2 3 3 2 6 2" xfId="213" xr:uid="{00000000-0005-0000-0000-000089000000}"/>
    <cellStyle name="Normal 12 2 3 3 2 6 3" xfId="363" xr:uid="{00000000-0005-0000-0000-00008A000000}"/>
    <cellStyle name="Normal 12 2 3 3 2 7" xfId="204" xr:uid="{00000000-0005-0000-0000-00008B000000}"/>
    <cellStyle name="Normal 12 2 3 3 2 8" xfId="354" xr:uid="{00000000-0005-0000-0000-00008C000000}"/>
    <cellStyle name="Normal 12 2 3 3 3" xfId="41" xr:uid="{00000000-0005-0000-0000-00008D000000}"/>
    <cellStyle name="Normal 12 2 3 3 3 2" xfId="71" xr:uid="{00000000-0005-0000-0000-00008E000000}"/>
    <cellStyle name="Normal 12 2 3 3 3 2 2" xfId="215" xr:uid="{00000000-0005-0000-0000-00008F000000}"/>
    <cellStyle name="Normal 12 2 3 3 3 2 3" xfId="365" xr:uid="{00000000-0005-0000-0000-000090000000}"/>
    <cellStyle name="Normal 12 2 3 3 3 3" xfId="101" xr:uid="{00000000-0005-0000-0000-000091000000}"/>
    <cellStyle name="Normal 12 2 3 3 3 3 2" xfId="216" xr:uid="{00000000-0005-0000-0000-000092000000}"/>
    <cellStyle name="Normal 12 2 3 3 3 3 3" xfId="366" xr:uid="{00000000-0005-0000-0000-000093000000}"/>
    <cellStyle name="Normal 12 2 3 3 3 4" xfId="131" xr:uid="{00000000-0005-0000-0000-000094000000}"/>
    <cellStyle name="Normal 12 2 3 3 3 4 2" xfId="217" xr:uid="{00000000-0005-0000-0000-000095000000}"/>
    <cellStyle name="Normal 12 2 3 3 3 4 3" xfId="367" xr:uid="{00000000-0005-0000-0000-000096000000}"/>
    <cellStyle name="Normal 12 2 3 3 3 5" xfId="161" xr:uid="{00000000-0005-0000-0000-000097000000}"/>
    <cellStyle name="Normal 12 2 3 3 3 5 2" xfId="218" xr:uid="{00000000-0005-0000-0000-000098000000}"/>
    <cellStyle name="Normal 12 2 3 3 3 5 3" xfId="368" xr:uid="{00000000-0005-0000-0000-000099000000}"/>
    <cellStyle name="Normal 12 2 3 3 3 6" xfId="214" xr:uid="{00000000-0005-0000-0000-00009A000000}"/>
    <cellStyle name="Normal 12 2 3 3 3 7" xfId="364" xr:uid="{00000000-0005-0000-0000-00009B000000}"/>
    <cellStyle name="Normal 12 2 3 3 4" xfId="56" xr:uid="{00000000-0005-0000-0000-00009C000000}"/>
    <cellStyle name="Normal 12 2 3 3 4 2" xfId="219" xr:uid="{00000000-0005-0000-0000-00009D000000}"/>
    <cellStyle name="Normal 12 2 3 3 4 3" xfId="369" xr:uid="{00000000-0005-0000-0000-00009E000000}"/>
    <cellStyle name="Normal 12 2 3 3 5" xfId="86" xr:uid="{00000000-0005-0000-0000-00009F000000}"/>
    <cellStyle name="Normal 12 2 3 3 5 2" xfId="220" xr:uid="{00000000-0005-0000-0000-0000A0000000}"/>
    <cellStyle name="Normal 12 2 3 3 5 3" xfId="370" xr:uid="{00000000-0005-0000-0000-0000A1000000}"/>
    <cellStyle name="Normal 12 2 3 3 6" xfId="116" xr:uid="{00000000-0005-0000-0000-0000A2000000}"/>
    <cellStyle name="Normal 12 2 3 3 6 2" xfId="221" xr:uid="{00000000-0005-0000-0000-0000A3000000}"/>
    <cellStyle name="Normal 12 2 3 3 6 3" xfId="371" xr:uid="{00000000-0005-0000-0000-0000A4000000}"/>
    <cellStyle name="Normal 12 2 3 3 7" xfId="146" xr:uid="{00000000-0005-0000-0000-0000A5000000}"/>
    <cellStyle name="Normal 12 2 3 3 7 2" xfId="222" xr:uid="{00000000-0005-0000-0000-0000A6000000}"/>
    <cellStyle name="Normal 12 2 3 3 7 3" xfId="372" xr:uid="{00000000-0005-0000-0000-0000A7000000}"/>
    <cellStyle name="Normal 12 2 3 3 8" xfId="203" xr:uid="{00000000-0005-0000-0000-0000A8000000}"/>
    <cellStyle name="Normal 12 2 3 3 9" xfId="353" xr:uid="{00000000-0005-0000-0000-0000A9000000}"/>
    <cellStyle name="Normal 12 2 3 4" xfId="30" xr:uid="{00000000-0005-0000-0000-0000AA000000}"/>
    <cellStyle name="Normal 12 2 3 4 2" xfId="46" xr:uid="{00000000-0005-0000-0000-0000AB000000}"/>
    <cellStyle name="Normal 12 2 3 4 2 2" xfId="76" xr:uid="{00000000-0005-0000-0000-0000AC000000}"/>
    <cellStyle name="Normal 12 2 3 4 2 2 2" xfId="225" xr:uid="{00000000-0005-0000-0000-0000AD000000}"/>
    <cellStyle name="Normal 12 2 3 4 2 2 3" xfId="375" xr:uid="{00000000-0005-0000-0000-0000AE000000}"/>
    <cellStyle name="Normal 12 2 3 4 2 3" xfId="106" xr:uid="{00000000-0005-0000-0000-0000AF000000}"/>
    <cellStyle name="Normal 12 2 3 4 2 3 2" xfId="226" xr:uid="{00000000-0005-0000-0000-0000B0000000}"/>
    <cellStyle name="Normal 12 2 3 4 2 3 3" xfId="376" xr:uid="{00000000-0005-0000-0000-0000B1000000}"/>
    <cellStyle name="Normal 12 2 3 4 2 4" xfId="136" xr:uid="{00000000-0005-0000-0000-0000B2000000}"/>
    <cellStyle name="Normal 12 2 3 4 2 4 2" xfId="227" xr:uid="{00000000-0005-0000-0000-0000B3000000}"/>
    <cellStyle name="Normal 12 2 3 4 2 4 3" xfId="377" xr:uid="{00000000-0005-0000-0000-0000B4000000}"/>
    <cellStyle name="Normal 12 2 3 4 2 5" xfId="166" xr:uid="{00000000-0005-0000-0000-0000B5000000}"/>
    <cellStyle name="Normal 12 2 3 4 2 5 2" xfId="228" xr:uid="{00000000-0005-0000-0000-0000B6000000}"/>
    <cellStyle name="Normal 12 2 3 4 2 5 3" xfId="378" xr:uid="{00000000-0005-0000-0000-0000B7000000}"/>
    <cellStyle name="Normal 12 2 3 4 2 6" xfId="224" xr:uid="{00000000-0005-0000-0000-0000B8000000}"/>
    <cellStyle name="Normal 12 2 3 4 2 7" xfId="374" xr:uid="{00000000-0005-0000-0000-0000B9000000}"/>
    <cellStyle name="Normal 12 2 3 4 3" xfId="61" xr:uid="{00000000-0005-0000-0000-0000BA000000}"/>
    <cellStyle name="Normal 12 2 3 4 3 2" xfId="229" xr:uid="{00000000-0005-0000-0000-0000BB000000}"/>
    <cellStyle name="Normal 12 2 3 4 3 3" xfId="379" xr:uid="{00000000-0005-0000-0000-0000BC000000}"/>
    <cellStyle name="Normal 12 2 3 4 4" xfId="91" xr:uid="{00000000-0005-0000-0000-0000BD000000}"/>
    <cellStyle name="Normal 12 2 3 4 4 2" xfId="230" xr:uid="{00000000-0005-0000-0000-0000BE000000}"/>
    <cellStyle name="Normal 12 2 3 4 4 3" xfId="380" xr:uid="{00000000-0005-0000-0000-0000BF000000}"/>
    <cellStyle name="Normal 12 2 3 4 5" xfId="121" xr:uid="{00000000-0005-0000-0000-0000C0000000}"/>
    <cellStyle name="Normal 12 2 3 4 5 2" xfId="231" xr:uid="{00000000-0005-0000-0000-0000C1000000}"/>
    <cellStyle name="Normal 12 2 3 4 5 3" xfId="381" xr:uid="{00000000-0005-0000-0000-0000C2000000}"/>
    <cellStyle name="Normal 12 2 3 4 6" xfId="151" xr:uid="{00000000-0005-0000-0000-0000C3000000}"/>
    <cellStyle name="Normal 12 2 3 4 6 2" xfId="232" xr:uid="{00000000-0005-0000-0000-0000C4000000}"/>
    <cellStyle name="Normal 12 2 3 4 6 3" xfId="382" xr:uid="{00000000-0005-0000-0000-0000C5000000}"/>
    <cellStyle name="Normal 12 2 3 4 7" xfId="223" xr:uid="{00000000-0005-0000-0000-0000C6000000}"/>
    <cellStyle name="Normal 12 2 3 4 8" xfId="373" xr:uid="{00000000-0005-0000-0000-0000C7000000}"/>
    <cellStyle name="Normal 12 2 3 5" xfId="39" xr:uid="{00000000-0005-0000-0000-0000C8000000}"/>
    <cellStyle name="Normal 12 2 3 5 2" xfId="69" xr:uid="{00000000-0005-0000-0000-0000C9000000}"/>
    <cellStyle name="Normal 12 2 3 5 2 2" xfId="234" xr:uid="{00000000-0005-0000-0000-0000CA000000}"/>
    <cellStyle name="Normal 12 2 3 5 2 3" xfId="384" xr:uid="{00000000-0005-0000-0000-0000CB000000}"/>
    <cellStyle name="Normal 12 2 3 5 3" xfId="99" xr:uid="{00000000-0005-0000-0000-0000CC000000}"/>
    <cellStyle name="Normal 12 2 3 5 3 2" xfId="235" xr:uid="{00000000-0005-0000-0000-0000CD000000}"/>
    <cellStyle name="Normal 12 2 3 5 3 3" xfId="385" xr:uid="{00000000-0005-0000-0000-0000CE000000}"/>
    <cellStyle name="Normal 12 2 3 5 4" xfId="129" xr:uid="{00000000-0005-0000-0000-0000CF000000}"/>
    <cellStyle name="Normal 12 2 3 5 4 2" xfId="236" xr:uid="{00000000-0005-0000-0000-0000D0000000}"/>
    <cellStyle name="Normal 12 2 3 5 4 3" xfId="386" xr:uid="{00000000-0005-0000-0000-0000D1000000}"/>
    <cellStyle name="Normal 12 2 3 5 5" xfId="159" xr:uid="{00000000-0005-0000-0000-0000D2000000}"/>
    <cellStyle name="Normal 12 2 3 5 5 2" xfId="237" xr:uid="{00000000-0005-0000-0000-0000D3000000}"/>
    <cellStyle name="Normal 12 2 3 5 5 3" xfId="387" xr:uid="{00000000-0005-0000-0000-0000D4000000}"/>
    <cellStyle name="Normal 12 2 3 5 6" xfId="233" xr:uid="{00000000-0005-0000-0000-0000D5000000}"/>
    <cellStyle name="Normal 12 2 3 5 7" xfId="383" xr:uid="{00000000-0005-0000-0000-0000D6000000}"/>
    <cellStyle name="Normal 12 2 3 6" xfId="54" xr:uid="{00000000-0005-0000-0000-0000D7000000}"/>
    <cellStyle name="Normal 12 2 3 6 2" xfId="238" xr:uid="{00000000-0005-0000-0000-0000D8000000}"/>
    <cellStyle name="Normal 12 2 3 6 3" xfId="388" xr:uid="{00000000-0005-0000-0000-0000D9000000}"/>
    <cellStyle name="Normal 12 2 3 7" xfId="84" xr:uid="{00000000-0005-0000-0000-0000DA000000}"/>
    <cellStyle name="Normal 12 2 3 7 2" xfId="239" xr:uid="{00000000-0005-0000-0000-0000DB000000}"/>
    <cellStyle name="Normal 12 2 3 7 3" xfId="389" xr:uid="{00000000-0005-0000-0000-0000DC000000}"/>
    <cellStyle name="Normal 12 2 3 8" xfId="114" xr:uid="{00000000-0005-0000-0000-0000DD000000}"/>
    <cellStyle name="Normal 12 2 3 8 2" xfId="240" xr:uid="{00000000-0005-0000-0000-0000DE000000}"/>
    <cellStyle name="Normal 12 2 3 8 3" xfId="390" xr:uid="{00000000-0005-0000-0000-0000DF000000}"/>
    <cellStyle name="Normal 12 2 3 9" xfId="144" xr:uid="{00000000-0005-0000-0000-0000E0000000}"/>
    <cellStyle name="Normal 12 2 3 9 2" xfId="241" xr:uid="{00000000-0005-0000-0000-0000E1000000}"/>
    <cellStyle name="Normal 12 2 3 9 3" xfId="391" xr:uid="{00000000-0005-0000-0000-0000E2000000}"/>
    <cellStyle name="Normal 2" xfId="5" xr:uid="{00000000-0005-0000-0000-0000E3000000}"/>
    <cellStyle name="Normal 2 2" xfId="6" xr:uid="{00000000-0005-0000-0000-0000E4000000}"/>
    <cellStyle name="Normal 2 2 2" xfId="25" xr:uid="{00000000-0005-0000-0000-0000E5000000}"/>
    <cellStyle name="Normal 2 3" xfId="9" xr:uid="{00000000-0005-0000-0000-0000E6000000}"/>
    <cellStyle name="Normal 3" xfId="7" xr:uid="{00000000-0005-0000-0000-0000E7000000}"/>
    <cellStyle name="Normal 4" xfId="13" xr:uid="{00000000-0005-0000-0000-0000E8000000}"/>
    <cellStyle name="Normal 4 10" xfId="392" xr:uid="{00000000-0005-0000-0000-0000E9000000}"/>
    <cellStyle name="Normal 4 2" xfId="14" xr:uid="{00000000-0005-0000-0000-0000EA000000}"/>
    <cellStyle name="Normal 4 2 2" xfId="29" xr:uid="{00000000-0005-0000-0000-0000EB000000}"/>
    <cellStyle name="Normal 4 2 2 2" xfId="45" xr:uid="{00000000-0005-0000-0000-0000EC000000}"/>
    <cellStyle name="Normal 4 2 2 2 2" xfId="75" xr:uid="{00000000-0005-0000-0000-0000ED000000}"/>
    <cellStyle name="Normal 4 2 2 2 2 2" xfId="246" xr:uid="{00000000-0005-0000-0000-0000EE000000}"/>
    <cellStyle name="Normal 4 2 2 2 2 3" xfId="396" xr:uid="{00000000-0005-0000-0000-0000EF000000}"/>
    <cellStyle name="Normal 4 2 2 2 3" xfId="105" xr:uid="{00000000-0005-0000-0000-0000F0000000}"/>
    <cellStyle name="Normal 4 2 2 2 3 2" xfId="247" xr:uid="{00000000-0005-0000-0000-0000F1000000}"/>
    <cellStyle name="Normal 4 2 2 2 3 3" xfId="397" xr:uid="{00000000-0005-0000-0000-0000F2000000}"/>
    <cellStyle name="Normal 4 2 2 2 4" xfId="135" xr:uid="{00000000-0005-0000-0000-0000F3000000}"/>
    <cellStyle name="Normal 4 2 2 2 4 2" xfId="248" xr:uid="{00000000-0005-0000-0000-0000F4000000}"/>
    <cellStyle name="Normal 4 2 2 2 4 3" xfId="398" xr:uid="{00000000-0005-0000-0000-0000F5000000}"/>
    <cellStyle name="Normal 4 2 2 2 5" xfId="165" xr:uid="{00000000-0005-0000-0000-0000F6000000}"/>
    <cellStyle name="Normal 4 2 2 2 5 2" xfId="249" xr:uid="{00000000-0005-0000-0000-0000F7000000}"/>
    <cellStyle name="Normal 4 2 2 2 5 3" xfId="399" xr:uid="{00000000-0005-0000-0000-0000F8000000}"/>
    <cellStyle name="Normal 4 2 2 2 6" xfId="245" xr:uid="{00000000-0005-0000-0000-0000F9000000}"/>
    <cellStyle name="Normal 4 2 2 2 7" xfId="395" xr:uid="{00000000-0005-0000-0000-0000FA000000}"/>
    <cellStyle name="Normal 4 2 2 3" xfId="60" xr:uid="{00000000-0005-0000-0000-0000FB000000}"/>
    <cellStyle name="Normal 4 2 2 3 2" xfId="250" xr:uid="{00000000-0005-0000-0000-0000FC000000}"/>
    <cellStyle name="Normal 4 2 2 3 3" xfId="400" xr:uid="{00000000-0005-0000-0000-0000FD000000}"/>
    <cellStyle name="Normal 4 2 2 4" xfId="90" xr:uid="{00000000-0005-0000-0000-0000FE000000}"/>
    <cellStyle name="Normal 4 2 2 4 2" xfId="251" xr:uid="{00000000-0005-0000-0000-0000FF000000}"/>
    <cellStyle name="Normal 4 2 2 4 3" xfId="401" xr:uid="{00000000-0005-0000-0000-000000010000}"/>
    <cellStyle name="Normal 4 2 2 5" xfId="120" xr:uid="{00000000-0005-0000-0000-000001010000}"/>
    <cellStyle name="Normal 4 2 2 5 2" xfId="252" xr:uid="{00000000-0005-0000-0000-000002010000}"/>
    <cellStyle name="Normal 4 2 2 5 3" xfId="402" xr:uid="{00000000-0005-0000-0000-000003010000}"/>
    <cellStyle name="Normal 4 2 2 6" xfId="150" xr:uid="{00000000-0005-0000-0000-000004010000}"/>
    <cellStyle name="Normal 4 2 2 6 2" xfId="253" xr:uid="{00000000-0005-0000-0000-000005010000}"/>
    <cellStyle name="Normal 4 2 2 6 3" xfId="403" xr:uid="{00000000-0005-0000-0000-000006010000}"/>
    <cellStyle name="Normal 4 2 2 7" xfId="244" xr:uid="{00000000-0005-0000-0000-000007010000}"/>
    <cellStyle name="Normal 4 2 2 8" xfId="394" xr:uid="{00000000-0005-0000-0000-000008010000}"/>
    <cellStyle name="Normal 4 2 3" xfId="38" xr:uid="{00000000-0005-0000-0000-000009010000}"/>
    <cellStyle name="Normal 4 2 3 2" xfId="68" xr:uid="{00000000-0005-0000-0000-00000A010000}"/>
    <cellStyle name="Normal 4 2 3 2 2" xfId="255" xr:uid="{00000000-0005-0000-0000-00000B010000}"/>
    <cellStyle name="Normal 4 2 3 2 3" xfId="405" xr:uid="{00000000-0005-0000-0000-00000C010000}"/>
    <cellStyle name="Normal 4 2 3 3" xfId="98" xr:uid="{00000000-0005-0000-0000-00000D010000}"/>
    <cellStyle name="Normal 4 2 3 3 2" xfId="256" xr:uid="{00000000-0005-0000-0000-00000E010000}"/>
    <cellStyle name="Normal 4 2 3 3 3" xfId="406" xr:uid="{00000000-0005-0000-0000-00000F010000}"/>
    <cellStyle name="Normal 4 2 3 4" xfId="128" xr:uid="{00000000-0005-0000-0000-000010010000}"/>
    <cellStyle name="Normal 4 2 3 4 2" xfId="257" xr:uid="{00000000-0005-0000-0000-000011010000}"/>
    <cellStyle name="Normal 4 2 3 4 3" xfId="407" xr:uid="{00000000-0005-0000-0000-000012010000}"/>
    <cellStyle name="Normal 4 2 3 5" xfId="158" xr:uid="{00000000-0005-0000-0000-000013010000}"/>
    <cellStyle name="Normal 4 2 3 5 2" xfId="258" xr:uid="{00000000-0005-0000-0000-000014010000}"/>
    <cellStyle name="Normal 4 2 3 5 3" xfId="408" xr:uid="{00000000-0005-0000-0000-000015010000}"/>
    <cellStyle name="Normal 4 2 3 6" xfId="254" xr:uid="{00000000-0005-0000-0000-000016010000}"/>
    <cellStyle name="Normal 4 2 3 7" xfId="404" xr:uid="{00000000-0005-0000-0000-000017010000}"/>
    <cellStyle name="Normal 4 2 4" xfId="53" xr:uid="{00000000-0005-0000-0000-000018010000}"/>
    <cellStyle name="Normal 4 2 4 2" xfId="259" xr:uid="{00000000-0005-0000-0000-000019010000}"/>
    <cellStyle name="Normal 4 2 4 3" xfId="409" xr:uid="{00000000-0005-0000-0000-00001A010000}"/>
    <cellStyle name="Normal 4 2 5" xfId="83" xr:uid="{00000000-0005-0000-0000-00001B010000}"/>
    <cellStyle name="Normal 4 2 5 2" xfId="260" xr:uid="{00000000-0005-0000-0000-00001C010000}"/>
    <cellStyle name="Normal 4 2 5 3" xfId="410" xr:uid="{00000000-0005-0000-0000-00001D010000}"/>
    <cellStyle name="Normal 4 2 6" xfId="113" xr:uid="{00000000-0005-0000-0000-00001E010000}"/>
    <cellStyle name="Normal 4 2 6 2" xfId="261" xr:uid="{00000000-0005-0000-0000-00001F010000}"/>
    <cellStyle name="Normal 4 2 6 3" xfId="411" xr:uid="{00000000-0005-0000-0000-000020010000}"/>
    <cellStyle name="Normal 4 2 7" xfId="143" xr:uid="{00000000-0005-0000-0000-000021010000}"/>
    <cellStyle name="Normal 4 2 7 2" xfId="262" xr:uid="{00000000-0005-0000-0000-000022010000}"/>
    <cellStyle name="Normal 4 2 7 3" xfId="412" xr:uid="{00000000-0005-0000-0000-000023010000}"/>
    <cellStyle name="Normal 4 2 8" xfId="243" xr:uid="{00000000-0005-0000-0000-000024010000}"/>
    <cellStyle name="Normal 4 2 9" xfId="393" xr:uid="{00000000-0005-0000-0000-000025010000}"/>
    <cellStyle name="Normal 4 3" xfId="28" xr:uid="{00000000-0005-0000-0000-000026010000}"/>
    <cellStyle name="Normal 4 3 2" xfId="44" xr:uid="{00000000-0005-0000-0000-000027010000}"/>
    <cellStyle name="Normal 4 3 2 2" xfId="74" xr:uid="{00000000-0005-0000-0000-000028010000}"/>
    <cellStyle name="Normal 4 3 2 2 2" xfId="265" xr:uid="{00000000-0005-0000-0000-000029010000}"/>
    <cellStyle name="Normal 4 3 2 2 3" xfId="415" xr:uid="{00000000-0005-0000-0000-00002A010000}"/>
    <cellStyle name="Normal 4 3 2 3" xfId="104" xr:uid="{00000000-0005-0000-0000-00002B010000}"/>
    <cellStyle name="Normal 4 3 2 3 2" xfId="266" xr:uid="{00000000-0005-0000-0000-00002C010000}"/>
    <cellStyle name="Normal 4 3 2 3 3" xfId="416" xr:uid="{00000000-0005-0000-0000-00002D010000}"/>
    <cellStyle name="Normal 4 3 2 4" xfId="134" xr:uid="{00000000-0005-0000-0000-00002E010000}"/>
    <cellStyle name="Normal 4 3 2 4 2" xfId="267" xr:uid="{00000000-0005-0000-0000-00002F010000}"/>
    <cellStyle name="Normal 4 3 2 4 3" xfId="417" xr:uid="{00000000-0005-0000-0000-000030010000}"/>
    <cellStyle name="Normal 4 3 2 5" xfId="164" xr:uid="{00000000-0005-0000-0000-000031010000}"/>
    <cellStyle name="Normal 4 3 2 5 2" xfId="268" xr:uid="{00000000-0005-0000-0000-000032010000}"/>
    <cellStyle name="Normal 4 3 2 5 3" xfId="418" xr:uid="{00000000-0005-0000-0000-000033010000}"/>
    <cellStyle name="Normal 4 3 2 6" xfId="264" xr:uid="{00000000-0005-0000-0000-000034010000}"/>
    <cellStyle name="Normal 4 3 2 7" xfId="414" xr:uid="{00000000-0005-0000-0000-000035010000}"/>
    <cellStyle name="Normal 4 3 3" xfId="59" xr:uid="{00000000-0005-0000-0000-000036010000}"/>
    <cellStyle name="Normal 4 3 3 2" xfId="269" xr:uid="{00000000-0005-0000-0000-000037010000}"/>
    <cellStyle name="Normal 4 3 3 3" xfId="419" xr:uid="{00000000-0005-0000-0000-000038010000}"/>
    <cellStyle name="Normal 4 3 4" xfId="89" xr:uid="{00000000-0005-0000-0000-000039010000}"/>
    <cellStyle name="Normal 4 3 4 2" xfId="270" xr:uid="{00000000-0005-0000-0000-00003A010000}"/>
    <cellStyle name="Normal 4 3 4 3" xfId="420" xr:uid="{00000000-0005-0000-0000-00003B010000}"/>
    <cellStyle name="Normal 4 3 5" xfId="119" xr:uid="{00000000-0005-0000-0000-00003C010000}"/>
    <cellStyle name="Normal 4 3 5 2" xfId="271" xr:uid="{00000000-0005-0000-0000-00003D010000}"/>
    <cellStyle name="Normal 4 3 5 3" xfId="421" xr:uid="{00000000-0005-0000-0000-00003E010000}"/>
    <cellStyle name="Normal 4 3 6" xfId="149" xr:uid="{00000000-0005-0000-0000-00003F010000}"/>
    <cellStyle name="Normal 4 3 6 2" xfId="272" xr:uid="{00000000-0005-0000-0000-000040010000}"/>
    <cellStyle name="Normal 4 3 6 3" xfId="422" xr:uid="{00000000-0005-0000-0000-000041010000}"/>
    <cellStyle name="Normal 4 3 7" xfId="263" xr:uid="{00000000-0005-0000-0000-000042010000}"/>
    <cellStyle name="Normal 4 3 8" xfId="413" xr:uid="{00000000-0005-0000-0000-000043010000}"/>
    <cellStyle name="Normal 4 4" xfId="37" xr:uid="{00000000-0005-0000-0000-000044010000}"/>
    <cellStyle name="Normal 4 4 2" xfId="67" xr:uid="{00000000-0005-0000-0000-000045010000}"/>
    <cellStyle name="Normal 4 4 2 2" xfId="274" xr:uid="{00000000-0005-0000-0000-000046010000}"/>
    <cellStyle name="Normal 4 4 2 3" xfId="424" xr:uid="{00000000-0005-0000-0000-000047010000}"/>
    <cellStyle name="Normal 4 4 3" xfId="97" xr:uid="{00000000-0005-0000-0000-000048010000}"/>
    <cellStyle name="Normal 4 4 3 2" xfId="275" xr:uid="{00000000-0005-0000-0000-000049010000}"/>
    <cellStyle name="Normal 4 4 3 3" xfId="425" xr:uid="{00000000-0005-0000-0000-00004A010000}"/>
    <cellStyle name="Normal 4 4 4" xfId="127" xr:uid="{00000000-0005-0000-0000-00004B010000}"/>
    <cellStyle name="Normal 4 4 4 2" xfId="276" xr:uid="{00000000-0005-0000-0000-00004C010000}"/>
    <cellStyle name="Normal 4 4 4 3" xfId="426" xr:uid="{00000000-0005-0000-0000-00004D010000}"/>
    <cellStyle name="Normal 4 4 5" xfId="157" xr:uid="{00000000-0005-0000-0000-00004E010000}"/>
    <cellStyle name="Normal 4 4 5 2" xfId="277" xr:uid="{00000000-0005-0000-0000-00004F010000}"/>
    <cellStyle name="Normal 4 4 5 3" xfId="427" xr:uid="{00000000-0005-0000-0000-000050010000}"/>
    <cellStyle name="Normal 4 4 6" xfId="273" xr:uid="{00000000-0005-0000-0000-000051010000}"/>
    <cellStyle name="Normal 4 4 7" xfId="423" xr:uid="{00000000-0005-0000-0000-000052010000}"/>
    <cellStyle name="Normal 4 5" xfId="52" xr:uid="{00000000-0005-0000-0000-000053010000}"/>
    <cellStyle name="Normal 4 5 2" xfId="278" xr:uid="{00000000-0005-0000-0000-000054010000}"/>
    <cellStyle name="Normal 4 5 3" xfId="428" xr:uid="{00000000-0005-0000-0000-000055010000}"/>
    <cellStyle name="Normal 4 6" xfId="82" xr:uid="{00000000-0005-0000-0000-000056010000}"/>
    <cellStyle name="Normal 4 6 2" xfId="279" xr:uid="{00000000-0005-0000-0000-000057010000}"/>
    <cellStyle name="Normal 4 6 3" xfId="429" xr:uid="{00000000-0005-0000-0000-000058010000}"/>
    <cellStyle name="Normal 4 7" xfId="112" xr:uid="{00000000-0005-0000-0000-000059010000}"/>
    <cellStyle name="Normal 4 7 2" xfId="280" xr:uid="{00000000-0005-0000-0000-00005A010000}"/>
    <cellStyle name="Normal 4 7 3" xfId="430" xr:uid="{00000000-0005-0000-0000-00005B010000}"/>
    <cellStyle name="Normal 4 8" xfId="142" xr:uid="{00000000-0005-0000-0000-00005C010000}"/>
    <cellStyle name="Normal 4 8 2" xfId="281" xr:uid="{00000000-0005-0000-0000-00005D010000}"/>
    <cellStyle name="Normal 4 8 3" xfId="431" xr:uid="{00000000-0005-0000-0000-00005E010000}"/>
    <cellStyle name="Normal 4 9" xfId="242" xr:uid="{00000000-0005-0000-0000-00005F010000}"/>
    <cellStyle name="Normal 5" xfId="18" xr:uid="{00000000-0005-0000-0000-000060010000}"/>
    <cellStyle name="Normal 5 2" xfId="42" xr:uid="{00000000-0005-0000-0000-000061010000}"/>
    <cellStyle name="Normal 5 2 2" xfId="72" xr:uid="{00000000-0005-0000-0000-000062010000}"/>
    <cellStyle name="Normal 5 2 2 2" xfId="284" xr:uid="{00000000-0005-0000-0000-000063010000}"/>
    <cellStyle name="Normal 5 2 2 3" xfId="434" xr:uid="{00000000-0005-0000-0000-000064010000}"/>
    <cellStyle name="Normal 5 2 3" xfId="102" xr:uid="{00000000-0005-0000-0000-000065010000}"/>
    <cellStyle name="Normal 5 2 3 2" xfId="285" xr:uid="{00000000-0005-0000-0000-000066010000}"/>
    <cellStyle name="Normal 5 2 3 3" xfId="435" xr:uid="{00000000-0005-0000-0000-000067010000}"/>
    <cellStyle name="Normal 5 2 4" xfId="132" xr:uid="{00000000-0005-0000-0000-000068010000}"/>
    <cellStyle name="Normal 5 2 4 2" xfId="286" xr:uid="{00000000-0005-0000-0000-000069010000}"/>
    <cellStyle name="Normal 5 2 4 3" xfId="436" xr:uid="{00000000-0005-0000-0000-00006A010000}"/>
    <cellStyle name="Normal 5 2 5" xfId="162" xr:uid="{00000000-0005-0000-0000-00006B010000}"/>
    <cellStyle name="Normal 5 2 5 2" xfId="287" xr:uid="{00000000-0005-0000-0000-00006C010000}"/>
    <cellStyle name="Normal 5 2 5 3" xfId="437" xr:uid="{00000000-0005-0000-0000-00006D010000}"/>
    <cellStyle name="Normal 5 2 6" xfId="283" xr:uid="{00000000-0005-0000-0000-00006E010000}"/>
    <cellStyle name="Normal 5 2 7" xfId="433" xr:uid="{00000000-0005-0000-0000-00006F010000}"/>
    <cellStyle name="Normal 5 3" xfId="57" xr:uid="{00000000-0005-0000-0000-000070010000}"/>
    <cellStyle name="Normal 5 3 2" xfId="288" xr:uid="{00000000-0005-0000-0000-000071010000}"/>
    <cellStyle name="Normal 5 3 3" xfId="438" xr:uid="{00000000-0005-0000-0000-000072010000}"/>
    <cellStyle name="Normal 5 4" xfId="87" xr:uid="{00000000-0005-0000-0000-000073010000}"/>
    <cellStyle name="Normal 5 4 2" xfId="289" xr:uid="{00000000-0005-0000-0000-000074010000}"/>
    <cellStyle name="Normal 5 4 3" xfId="439" xr:uid="{00000000-0005-0000-0000-000075010000}"/>
    <cellStyle name="Normal 5 5" xfId="117" xr:uid="{00000000-0005-0000-0000-000076010000}"/>
    <cellStyle name="Normal 5 5 2" xfId="290" xr:uid="{00000000-0005-0000-0000-000077010000}"/>
    <cellStyle name="Normal 5 5 3" xfId="440" xr:uid="{00000000-0005-0000-0000-000078010000}"/>
    <cellStyle name="Normal 5 6" xfId="147" xr:uid="{00000000-0005-0000-0000-000079010000}"/>
    <cellStyle name="Normal 5 6 2" xfId="291" xr:uid="{00000000-0005-0000-0000-00007A010000}"/>
    <cellStyle name="Normal 5 6 3" xfId="441" xr:uid="{00000000-0005-0000-0000-00007B010000}"/>
    <cellStyle name="Normal 5 7" xfId="282" xr:uid="{00000000-0005-0000-0000-00007C010000}"/>
    <cellStyle name="Normal 5 8" xfId="432" xr:uid="{00000000-0005-0000-0000-00007D010000}"/>
    <cellStyle name="Normal 6" xfId="34" xr:uid="{00000000-0005-0000-0000-00007E010000}"/>
    <cellStyle name="Normal 6 2" xfId="49" xr:uid="{00000000-0005-0000-0000-00007F010000}"/>
    <cellStyle name="Normal 6 2 2" xfId="79" xr:uid="{00000000-0005-0000-0000-000080010000}"/>
    <cellStyle name="Normal 6 2 2 2" xfId="294" xr:uid="{00000000-0005-0000-0000-000081010000}"/>
    <cellStyle name="Normal 6 2 2 3" xfId="444" xr:uid="{00000000-0005-0000-0000-000082010000}"/>
    <cellStyle name="Normal 6 2 3" xfId="109" xr:uid="{00000000-0005-0000-0000-000083010000}"/>
    <cellStyle name="Normal 6 2 3 2" xfId="295" xr:uid="{00000000-0005-0000-0000-000084010000}"/>
    <cellStyle name="Normal 6 2 3 3" xfId="445" xr:uid="{00000000-0005-0000-0000-000085010000}"/>
    <cellStyle name="Normal 6 2 4" xfId="139" xr:uid="{00000000-0005-0000-0000-000086010000}"/>
    <cellStyle name="Normal 6 2 4 2" xfId="296" xr:uid="{00000000-0005-0000-0000-000087010000}"/>
    <cellStyle name="Normal 6 2 4 3" xfId="446" xr:uid="{00000000-0005-0000-0000-000088010000}"/>
    <cellStyle name="Normal 6 2 5" xfId="169" xr:uid="{00000000-0005-0000-0000-000089010000}"/>
    <cellStyle name="Normal 6 2 5 2" xfId="297" xr:uid="{00000000-0005-0000-0000-00008A010000}"/>
    <cellStyle name="Normal 6 2 5 3" xfId="447" xr:uid="{00000000-0005-0000-0000-00008B010000}"/>
    <cellStyle name="Normal 6 2 6" xfId="293" xr:uid="{00000000-0005-0000-0000-00008C010000}"/>
    <cellStyle name="Normal 6 2 7" xfId="443" xr:uid="{00000000-0005-0000-0000-00008D010000}"/>
    <cellStyle name="Normal 6 3" xfId="64" xr:uid="{00000000-0005-0000-0000-00008E010000}"/>
    <cellStyle name="Normal 6 3 2" xfId="298" xr:uid="{00000000-0005-0000-0000-00008F010000}"/>
    <cellStyle name="Normal 6 3 3" xfId="448" xr:uid="{00000000-0005-0000-0000-000090010000}"/>
    <cellStyle name="Normal 6 4" xfId="94" xr:uid="{00000000-0005-0000-0000-000091010000}"/>
    <cellStyle name="Normal 6 4 2" xfId="299" xr:uid="{00000000-0005-0000-0000-000092010000}"/>
    <cellStyle name="Normal 6 4 3" xfId="449" xr:uid="{00000000-0005-0000-0000-000093010000}"/>
    <cellStyle name="Normal 6 5" xfId="124" xr:uid="{00000000-0005-0000-0000-000094010000}"/>
    <cellStyle name="Normal 6 5 2" xfId="300" xr:uid="{00000000-0005-0000-0000-000095010000}"/>
    <cellStyle name="Normal 6 5 3" xfId="450" xr:uid="{00000000-0005-0000-0000-000096010000}"/>
    <cellStyle name="Normal 6 6" xfId="154" xr:uid="{00000000-0005-0000-0000-000097010000}"/>
    <cellStyle name="Normal 6 6 2" xfId="301" xr:uid="{00000000-0005-0000-0000-000098010000}"/>
    <cellStyle name="Normal 6 6 3" xfId="451" xr:uid="{00000000-0005-0000-0000-000099010000}"/>
    <cellStyle name="Normal 6 7" xfId="292" xr:uid="{00000000-0005-0000-0000-00009A010000}"/>
    <cellStyle name="Normal 6 8" xfId="442" xr:uid="{00000000-0005-0000-0000-00009B010000}"/>
    <cellStyle name="Normal 7" xfId="35" xr:uid="{00000000-0005-0000-0000-00009C010000}"/>
    <cellStyle name="Normal 7 10" xfId="473" xr:uid="{00000000-0005-0000-0000-00009D010000}"/>
    <cellStyle name="Normal 7 11" xfId="474" xr:uid="{00000000-0005-0000-0000-00009E010000}"/>
    <cellStyle name="Normal 7 12" xfId="475" xr:uid="{00000000-0005-0000-0000-00009F010000}"/>
    <cellStyle name="Normal 7 2" xfId="50" xr:uid="{00000000-0005-0000-0000-0000A0010000}"/>
    <cellStyle name="Normal 7 2 2" xfId="80" xr:uid="{00000000-0005-0000-0000-0000A1010000}"/>
    <cellStyle name="Normal 7 2 2 2" xfId="304" xr:uid="{00000000-0005-0000-0000-0000A2010000}"/>
    <cellStyle name="Normal 7 2 2 3" xfId="454" xr:uid="{00000000-0005-0000-0000-0000A3010000}"/>
    <cellStyle name="Normal 7 2 3" xfId="110" xr:uid="{00000000-0005-0000-0000-0000A4010000}"/>
    <cellStyle name="Normal 7 2 3 2" xfId="305" xr:uid="{00000000-0005-0000-0000-0000A5010000}"/>
    <cellStyle name="Normal 7 2 3 3" xfId="455" xr:uid="{00000000-0005-0000-0000-0000A6010000}"/>
    <cellStyle name="Normal 7 2 4" xfId="140" xr:uid="{00000000-0005-0000-0000-0000A7010000}"/>
    <cellStyle name="Normal 7 2 4 2" xfId="306" xr:uid="{00000000-0005-0000-0000-0000A8010000}"/>
    <cellStyle name="Normal 7 2 4 3" xfId="456" xr:uid="{00000000-0005-0000-0000-0000A9010000}"/>
    <cellStyle name="Normal 7 2 5" xfId="170" xr:uid="{00000000-0005-0000-0000-0000AA010000}"/>
    <cellStyle name="Normal 7 2 5 2" xfId="307" xr:uid="{00000000-0005-0000-0000-0000AB010000}"/>
    <cellStyle name="Normal 7 2 5 3" xfId="457" xr:uid="{00000000-0005-0000-0000-0000AC010000}"/>
    <cellStyle name="Normal 7 2 6" xfId="303" xr:uid="{00000000-0005-0000-0000-0000AD010000}"/>
    <cellStyle name="Normal 7 2 7" xfId="453" xr:uid="{00000000-0005-0000-0000-0000AE010000}"/>
    <cellStyle name="Normal 7 3" xfId="65" xr:uid="{00000000-0005-0000-0000-0000AF010000}"/>
    <cellStyle name="Normal 7 3 2" xfId="308" xr:uid="{00000000-0005-0000-0000-0000B0010000}"/>
    <cellStyle name="Normal 7 3 3" xfId="458" xr:uid="{00000000-0005-0000-0000-0000B1010000}"/>
    <cellStyle name="Normal 7 4" xfId="95" xr:uid="{00000000-0005-0000-0000-0000B2010000}"/>
    <cellStyle name="Normal 7 4 2" xfId="309" xr:uid="{00000000-0005-0000-0000-0000B3010000}"/>
    <cellStyle name="Normal 7 4 3" xfId="459" xr:uid="{00000000-0005-0000-0000-0000B4010000}"/>
    <cellStyle name="Normal 7 5" xfId="125" xr:uid="{00000000-0005-0000-0000-0000B5010000}"/>
    <cellStyle name="Normal 7 5 2" xfId="310" xr:uid="{00000000-0005-0000-0000-0000B6010000}"/>
    <cellStyle name="Normal 7 5 3" xfId="460" xr:uid="{00000000-0005-0000-0000-0000B7010000}"/>
    <cellStyle name="Normal 7 6" xfId="155" xr:uid="{00000000-0005-0000-0000-0000B8010000}"/>
    <cellStyle name="Normal 7 6 2" xfId="311" xr:uid="{00000000-0005-0000-0000-0000B9010000}"/>
    <cellStyle name="Normal 7 6 3" xfId="461" xr:uid="{00000000-0005-0000-0000-0000BA010000}"/>
    <cellStyle name="Normal 7 7" xfId="302" xr:uid="{00000000-0005-0000-0000-0000BB010000}"/>
    <cellStyle name="Normal 7 8" xfId="452" xr:uid="{00000000-0005-0000-0000-0000BC010000}"/>
    <cellStyle name="Normal 7 9" xfId="472" xr:uid="{00000000-0005-0000-0000-0000BD010000}"/>
    <cellStyle name="Normal 7 9 2" xfId="476" xr:uid="{00000000-0005-0000-0000-0000BE010000}"/>
    <cellStyle name="Percent" xfId="8" builtinId="5"/>
    <cellStyle name="Percent 2" xfId="10" xr:uid="{00000000-0005-0000-0000-0000C0010000}"/>
    <cellStyle name="Percent 3" xfId="36" xr:uid="{00000000-0005-0000-0000-0000C1010000}"/>
    <cellStyle name="Percent 3 2" xfId="51" xr:uid="{00000000-0005-0000-0000-0000C2010000}"/>
    <cellStyle name="Percent 3 2 2" xfId="81" xr:uid="{00000000-0005-0000-0000-0000C3010000}"/>
    <cellStyle name="Percent 3 2 2 2" xfId="314" xr:uid="{00000000-0005-0000-0000-0000C4010000}"/>
    <cellStyle name="Percent 3 2 2 3" xfId="464" xr:uid="{00000000-0005-0000-0000-0000C5010000}"/>
    <cellStyle name="Percent 3 2 3" xfId="111" xr:uid="{00000000-0005-0000-0000-0000C6010000}"/>
    <cellStyle name="Percent 3 2 3 2" xfId="315" xr:uid="{00000000-0005-0000-0000-0000C7010000}"/>
    <cellStyle name="Percent 3 2 3 3" xfId="465" xr:uid="{00000000-0005-0000-0000-0000C8010000}"/>
    <cellStyle name="Percent 3 2 4" xfId="141" xr:uid="{00000000-0005-0000-0000-0000C9010000}"/>
    <cellStyle name="Percent 3 2 4 2" xfId="316" xr:uid="{00000000-0005-0000-0000-0000CA010000}"/>
    <cellStyle name="Percent 3 2 4 3" xfId="466" xr:uid="{00000000-0005-0000-0000-0000CB010000}"/>
    <cellStyle name="Percent 3 2 5" xfId="171" xr:uid="{00000000-0005-0000-0000-0000CC010000}"/>
    <cellStyle name="Percent 3 2 5 2" xfId="317" xr:uid="{00000000-0005-0000-0000-0000CD010000}"/>
    <cellStyle name="Percent 3 2 5 3" xfId="467" xr:uid="{00000000-0005-0000-0000-0000CE010000}"/>
    <cellStyle name="Percent 3 2 6" xfId="313" xr:uid="{00000000-0005-0000-0000-0000CF010000}"/>
    <cellStyle name="Percent 3 2 7" xfId="463" xr:uid="{00000000-0005-0000-0000-0000D0010000}"/>
    <cellStyle name="Percent 3 3" xfId="66" xr:uid="{00000000-0005-0000-0000-0000D1010000}"/>
    <cellStyle name="Percent 3 3 2" xfId="318" xr:uid="{00000000-0005-0000-0000-0000D2010000}"/>
    <cellStyle name="Percent 3 3 3" xfId="468" xr:uid="{00000000-0005-0000-0000-0000D3010000}"/>
    <cellStyle name="Percent 3 4" xfId="96" xr:uid="{00000000-0005-0000-0000-0000D4010000}"/>
    <cellStyle name="Percent 3 4 2" xfId="319" xr:uid="{00000000-0005-0000-0000-0000D5010000}"/>
    <cellStyle name="Percent 3 4 3" xfId="469" xr:uid="{00000000-0005-0000-0000-0000D6010000}"/>
    <cellStyle name="Percent 3 5" xfId="126" xr:uid="{00000000-0005-0000-0000-0000D7010000}"/>
    <cellStyle name="Percent 3 5 2" xfId="320" xr:uid="{00000000-0005-0000-0000-0000D8010000}"/>
    <cellStyle name="Percent 3 5 3" xfId="470" xr:uid="{00000000-0005-0000-0000-0000D9010000}"/>
    <cellStyle name="Percent 3 6" xfId="156" xr:uid="{00000000-0005-0000-0000-0000DA010000}"/>
    <cellStyle name="Percent 3 6 2" xfId="321" xr:uid="{00000000-0005-0000-0000-0000DB010000}"/>
    <cellStyle name="Percent 3 6 3" xfId="471" xr:uid="{00000000-0005-0000-0000-0000DC010000}"/>
    <cellStyle name="Percent 3 7" xfId="312" xr:uid="{00000000-0005-0000-0000-0000DD010000}"/>
    <cellStyle name="Percent 3 8" xfId="462" xr:uid="{00000000-0005-0000-0000-0000DE010000}"/>
  </cellStyles>
  <dxfs count="0"/>
  <tableStyles count="0" defaultTableStyle="TableStyleMedium2" defaultPivotStyle="PivotStyleLight16"/>
  <colors>
    <mruColors>
      <color rgb="FF0000FF"/>
      <color rgb="FF000099"/>
      <color rgb="FF003300"/>
      <color rgb="FF006600"/>
      <color rgb="FF660033"/>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NGSECHEA/Desktop/2.ADB-MAFF/1.TSSD-AF-Working(W)%20and%20Clean(C)/7.TSSD-AF%20Docs-Clean/1.TSSD%20AF%20Costing_24_Jul_MEF_clea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SBK-CFAVC\DARA-2023\AWPB-2024\Final%20Consolidation\From%20PD\First%20DRAFT%20CFACV%20AWPB2024%20MAFF%20SCS%2007%20Dec%202023%20PD_Reth%20Updated%20Gende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SBK-CFAVC\DARA-2023\AWPB-2024\CS1-Team\27_Oct_24_CFAVC_AWPB2024_FWUC_Updated.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AFF/Agribusiness/AWPB%202021/MOWRAM/Final_CFAVC_AWPB2021_Accepted_format_by_MEF_MOWRAM_V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sers\DELL\Downloads\Telegram%20Desktop\MRD%20Budget%20Projection%202021-2023-%20Revised%20on%2007-09-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FAVCSP%20CS5/AWBP/AWBP%202023/DRAFT_CFACV_AWPB2023_MRD_27_September_202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MAFF/Agribusiness/AWPB2022/10252021_Draft_CFAFV_AWPB2022_MRD_25_Oct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MENGSECHEA\Desktop\2.ADB-MAFF\1.TSSD-AF-Working(W)%20and%20Clean(C)\7.TSSD-AF%20Docs-Clean\1.TSSD%20AF%20Costing_24_Jul_MEF_clea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SUS/Downloads/Telegram%20Desktop/CFAVC_COSTSTAB_05JAN2020.wjvd3.PB.22JAN20.F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ASUS\Downloads\Telegram%20Desktop\CFAVC_COSTSTAB_05JAN2020.wjvd3.PB.22JAN20.F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AFF\Agribusiness\AWPB%202021\3_Final_Draft_CFAFV_AWPB2021_Accepted_format_by_MEF_3_Sept_2020%20(HH)_09.1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ROJECT\CFAVC\2021\AWP\AWPB\Draft-CFAFV_AWPB2021_24.Aug.2020-V.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MAFF/Agribusiness/AWPB%202021/10052020_Second_Draft_CFAFV_AWPB2021_Accepted_format_by_MEF_Nea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MAFF/Agribusiness/AWPB%202021/3_Final_Draft_CFAFV_AWPB2021_Accepted_format_by_MEF_3_Sept_2020%20(HH)_09.10.20.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Final_DRAFT_CFACV_AWPB2023_MAFF_MOWRAM_MRD_By_Dr_Edit_28_01_23_l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s"/>
      <sheetName val="Lists"/>
      <sheetName val="FCDI"/>
      <sheetName val="Inflation"/>
      <sheetName val="Investment plan"/>
      <sheetName val="Financing plan"/>
      <sheetName val="Expend category new"/>
      <sheetName val="ADB allocation new"/>
      <sheetName val="DCEF new"/>
      <sheetName val="Output summary new"/>
      <sheetName val="Year summary new"/>
      <sheetName val="Activity summary"/>
      <sheetName val="Financier activity summary"/>
      <sheetName val="18 month budget"/>
      <sheetName val="DCEF old"/>
      <sheetName val="ADB allocation old"/>
      <sheetName val="Expend category old"/>
      <sheetName val="Output summary old"/>
      <sheetName val="Year summary old"/>
      <sheetName val="Funder year"/>
    </sheetNames>
    <sheetDataSet>
      <sheetData sheetId="0">
        <row r="5">
          <cell r="B5" t="str">
            <v>1</v>
          </cell>
        </row>
      </sheetData>
      <sheetData sheetId="1">
        <row r="5">
          <cell r="B5" t="str">
            <v>1</v>
          </cell>
        </row>
        <row r="6">
          <cell r="B6" t="str">
            <v>2</v>
          </cell>
        </row>
        <row r="7">
          <cell r="B7" t="str">
            <v>3</v>
          </cell>
        </row>
        <row r="11">
          <cell r="B11" t="str">
            <v>1.1</v>
          </cell>
        </row>
        <row r="12">
          <cell r="B12" t="str">
            <v>1.2</v>
          </cell>
        </row>
        <row r="13">
          <cell r="B13" t="str">
            <v>1.3</v>
          </cell>
        </row>
        <row r="14">
          <cell r="B14" t="str">
            <v>1.4</v>
          </cell>
        </row>
        <row r="15">
          <cell r="B15" t="str">
            <v>1.5</v>
          </cell>
        </row>
        <row r="16">
          <cell r="B16" t="str">
            <v>1.6</v>
          </cell>
        </row>
        <row r="17">
          <cell r="B17" t="str">
            <v>1.7</v>
          </cell>
        </row>
        <row r="18">
          <cell r="B18" t="str">
            <v>2.1</v>
          </cell>
        </row>
        <row r="19">
          <cell r="B19" t="str">
            <v>2.2</v>
          </cell>
        </row>
        <row r="20">
          <cell r="B20" t="str">
            <v>2.3</v>
          </cell>
        </row>
        <row r="21">
          <cell r="B21" t="str">
            <v>2.4</v>
          </cell>
        </row>
        <row r="22">
          <cell r="B22" t="str">
            <v>2.5</v>
          </cell>
        </row>
        <row r="23">
          <cell r="B23" t="str">
            <v>2.6</v>
          </cell>
        </row>
        <row r="24">
          <cell r="B24" t="str">
            <v>3.1</v>
          </cell>
        </row>
        <row r="25">
          <cell r="B25" t="str">
            <v>3.2</v>
          </cell>
        </row>
        <row r="29">
          <cell r="B29" t="str">
            <v>1A</v>
          </cell>
        </row>
        <row r="30">
          <cell r="B30" t="str">
            <v>1AA</v>
          </cell>
        </row>
        <row r="31">
          <cell r="B31" t="str">
            <v>1AB</v>
          </cell>
        </row>
        <row r="32">
          <cell r="B32" t="str">
            <v>1BA</v>
          </cell>
        </row>
        <row r="33">
          <cell r="B33" t="str">
            <v>1BC</v>
          </cell>
        </row>
        <row r="34">
          <cell r="B34" t="str">
            <v>1CA</v>
          </cell>
        </row>
        <row r="35">
          <cell r="B35" t="str">
            <v>1CB</v>
          </cell>
        </row>
        <row r="36">
          <cell r="B36" t="str">
            <v>1DB</v>
          </cell>
        </row>
        <row r="37">
          <cell r="B37" t="str">
            <v>1E</v>
          </cell>
        </row>
        <row r="38">
          <cell r="B38" t="str">
            <v>2A</v>
          </cell>
        </row>
        <row r="39">
          <cell r="B39" t="str">
            <v>2B</v>
          </cell>
        </row>
        <row r="40">
          <cell r="B40" t="str">
            <v>2C</v>
          </cell>
        </row>
        <row r="41">
          <cell r="B41" t="str">
            <v>3A</v>
          </cell>
        </row>
        <row r="49">
          <cell r="B49" t="str">
            <v>A1</v>
          </cell>
        </row>
        <row r="50">
          <cell r="B50" t="str">
            <v>A2</v>
          </cell>
        </row>
        <row r="51">
          <cell r="B51" t="str">
            <v>A3</v>
          </cell>
        </row>
        <row r="52">
          <cell r="B52" t="str">
            <v>I1</v>
          </cell>
        </row>
        <row r="53">
          <cell r="B53" t="str">
            <v>I2</v>
          </cell>
        </row>
        <row r="54">
          <cell r="B54" t="str">
            <v>R1</v>
          </cell>
        </row>
        <row r="58">
          <cell r="B58" t="str">
            <v>MAFF</v>
          </cell>
        </row>
        <row r="59">
          <cell r="B59" t="str">
            <v>NCDDS</v>
          </cell>
        </row>
        <row r="63">
          <cell r="B63" t="str">
            <v>MAFF-DCU</v>
          </cell>
        </row>
        <row r="64">
          <cell r="B64" t="str">
            <v>NCDDS</v>
          </cell>
        </row>
        <row r="68">
          <cell r="B68" t="str">
            <v>D</v>
          </cell>
        </row>
        <row r="69">
          <cell r="B69" t="str">
            <v>F</v>
          </cell>
        </row>
      </sheetData>
      <sheetData sheetId="2">
        <row r="14">
          <cell r="V14">
            <v>0</v>
          </cell>
        </row>
      </sheetData>
      <sheetData sheetId="3">
        <row r="17">
          <cell r="C17">
            <v>1.4999999999999998E-2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IOC-MAFF"/>
      <sheetName val="Annex 1_Summary"/>
      <sheetName val="Annex 2_Code"/>
      <sheetName val="Annex 3_MAFF"/>
      <sheetName val="Annex 4_MoWRAM"/>
      <sheetName val="Annex 5_MRD"/>
      <sheetName val="Summary by EA, Source &amp; Qtr "/>
      <sheetName val="Output"/>
      <sheetName val="Total Inputs_MAFF"/>
      <sheetName val="Staffing Schedule_MRD"/>
      <sheetName val="Sheet1"/>
      <sheetName val="Sheet2"/>
      <sheetName val="Output (2)"/>
      <sheetName val="Sheet2 (2)"/>
      <sheetName val="Annex 2_Code (2)"/>
      <sheetName val="AC Drying Bed"/>
      <sheetName val="Annex 3_MAFF (2)"/>
      <sheetName val="Output3 (for Minister)"/>
      <sheetName val="Annex 2_Code (3)"/>
      <sheetName val="Sheet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IOC-MAFF"/>
      <sheetName val="Annex 1_Summary"/>
      <sheetName val="Annex 2_Code"/>
      <sheetName val="Chart1"/>
      <sheetName val="Annex 4_MoWRAM"/>
      <sheetName val="Sheet1"/>
      <sheetName val="24-25"/>
    </sheetNames>
    <sheetDataSet>
      <sheetData sheetId="0"/>
      <sheetData sheetId="1"/>
      <sheetData sheetId="2">
        <row r="8">
          <cell r="G8" t="str">
            <v>IRRIGATION</v>
          </cell>
          <cell r="I8">
            <v>0.76827006604510995</v>
          </cell>
          <cell r="J8">
            <v>0.12645069473218948</v>
          </cell>
          <cell r="K8">
            <v>0.10527923922270058</v>
          </cell>
          <cell r="L8">
            <v>0</v>
          </cell>
          <cell r="M8">
            <v>0</v>
          </cell>
        </row>
        <row r="9">
          <cell r="G9" t="str">
            <v>ROADS</v>
          </cell>
          <cell r="I9">
            <v>0.76827006604510995</v>
          </cell>
          <cell r="J9">
            <v>0.12645069473218948</v>
          </cell>
          <cell r="K9">
            <v>0.10527923922270058</v>
          </cell>
          <cell r="L9">
            <v>0</v>
          </cell>
          <cell r="M9">
            <v>0</v>
          </cell>
        </row>
        <row r="10">
          <cell r="G10" t="str">
            <v>WAREHOUSES</v>
          </cell>
          <cell r="I10">
            <v>1</v>
          </cell>
          <cell r="J10">
            <v>0</v>
          </cell>
          <cell r="K10">
            <v>0</v>
          </cell>
          <cell r="L10">
            <v>0</v>
          </cell>
          <cell r="M10">
            <v>0</v>
          </cell>
        </row>
        <row r="11">
          <cell r="G11" t="str">
            <v>OTHER_INFRA</v>
          </cell>
          <cell r="I11">
            <v>1</v>
          </cell>
          <cell r="J11">
            <v>0</v>
          </cell>
          <cell r="K11">
            <v>0</v>
          </cell>
          <cell r="L11">
            <v>0</v>
          </cell>
          <cell r="M11">
            <v>0</v>
          </cell>
        </row>
        <row r="12">
          <cell r="G12" t="str">
            <v>BIOGAS</v>
          </cell>
          <cell r="I12">
            <v>0</v>
          </cell>
          <cell r="J12">
            <v>0</v>
          </cell>
          <cell r="K12">
            <v>0.27272727272727271</v>
          </cell>
          <cell r="L12">
            <v>0.30585398202814701</v>
          </cell>
          <cell r="M12">
            <v>0.42141874524458028</v>
          </cell>
        </row>
        <row r="13">
          <cell r="G13" t="str">
            <v>Compost Huts</v>
          </cell>
          <cell r="I13">
            <v>0</v>
          </cell>
          <cell r="J13">
            <v>0</v>
          </cell>
          <cell r="K13">
            <v>0.5</v>
          </cell>
          <cell r="L13">
            <v>0.25</v>
          </cell>
          <cell r="M13">
            <v>0.25</v>
          </cell>
        </row>
        <row r="14">
          <cell r="G14" t="str">
            <v>EQUIPMENT-ADB</v>
          </cell>
          <cell r="I14">
            <v>1</v>
          </cell>
          <cell r="J14">
            <v>0</v>
          </cell>
          <cell r="K14">
            <v>0</v>
          </cell>
          <cell r="L14">
            <v>0</v>
          </cell>
          <cell r="M14">
            <v>0</v>
          </cell>
        </row>
        <row r="15">
          <cell r="G15" t="str">
            <v>EQUIPMENT-ICT</v>
          </cell>
          <cell r="I15">
            <v>0</v>
          </cell>
          <cell r="J15">
            <v>0</v>
          </cell>
          <cell r="K15">
            <v>1</v>
          </cell>
          <cell r="L15">
            <v>0</v>
          </cell>
          <cell r="M15">
            <v>0</v>
          </cell>
        </row>
        <row r="16">
          <cell r="G16" t="str">
            <v>VEHICLES</v>
          </cell>
          <cell r="I16">
            <v>1</v>
          </cell>
          <cell r="J16">
            <v>0</v>
          </cell>
          <cell r="K16">
            <v>0</v>
          </cell>
          <cell r="L16">
            <v>0</v>
          </cell>
          <cell r="M16">
            <v>0</v>
          </cell>
        </row>
        <row r="17">
          <cell r="G17" t="str">
            <v>MATERIALS-ADB</v>
          </cell>
          <cell r="I17">
            <v>1</v>
          </cell>
          <cell r="J17">
            <v>0</v>
          </cell>
          <cell r="K17">
            <v>0</v>
          </cell>
          <cell r="L17">
            <v>0</v>
          </cell>
          <cell r="M17">
            <v>0</v>
          </cell>
        </row>
        <row r="18">
          <cell r="G18" t="str">
            <v>STUDIES</v>
          </cell>
          <cell r="I18">
            <v>0</v>
          </cell>
          <cell r="J18">
            <v>0</v>
          </cell>
          <cell r="K18">
            <v>1</v>
          </cell>
          <cell r="L18">
            <v>0</v>
          </cell>
          <cell r="M18">
            <v>0</v>
          </cell>
        </row>
        <row r="19">
          <cell r="G19" t="str">
            <v>TRAINING</v>
          </cell>
          <cell r="I19">
            <v>0</v>
          </cell>
          <cell r="J19">
            <v>0</v>
          </cell>
          <cell r="K19">
            <v>1</v>
          </cell>
          <cell r="L19">
            <v>0</v>
          </cell>
          <cell r="M19">
            <v>0</v>
          </cell>
        </row>
        <row r="20">
          <cell r="G20" t="str">
            <v>POLICIES_STANDARDS</v>
          </cell>
          <cell r="I20">
            <v>0</v>
          </cell>
          <cell r="J20">
            <v>0</v>
          </cell>
          <cell r="K20">
            <v>1</v>
          </cell>
          <cell r="L20">
            <v>0</v>
          </cell>
          <cell r="M20">
            <v>0</v>
          </cell>
        </row>
        <row r="21">
          <cell r="G21" t="str">
            <v>M&amp;E</v>
          </cell>
          <cell r="I21">
            <v>0</v>
          </cell>
          <cell r="J21">
            <v>0</v>
          </cell>
          <cell r="K21">
            <v>1</v>
          </cell>
          <cell r="L21">
            <v>0</v>
          </cell>
          <cell r="M21">
            <v>0</v>
          </cell>
        </row>
        <row r="22">
          <cell r="G22" t="str">
            <v>PIC-DED</v>
          </cell>
          <cell r="I22">
            <v>1</v>
          </cell>
          <cell r="J22">
            <v>0</v>
          </cell>
          <cell r="K22">
            <v>0</v>
          </cell>
          <cell r="L22">
            <v>0</v>
          </cell>
          <cell r="M22">
            <v>0</v>
          </cell>
        </row>
        <row r="23">
          <cell r="G23" t="str">
            <v>PIC-Tech-Intl</v>
          </cell>
          <cell r="I23">
            <v>1</v>
          </cell>
          <cell r="J23">
            <v>0</v>
          </cell>
          <cell r="K23">
            <v>0</v>
          </cell>
          <cell r="L23">
            <v>0</v>
          </cell>
          <cell r="M23">
            <v>0</v>
          </cell>
        </row>
        <row r="24">
          <cell r="G24" t="str">
            <v>PIC-Tech-Natl</v>
          </cell>
          <cell r="I24">
            <v>1</v>
          </cell>
          <cell r="J24">
            <v>0</v>
          </cell>
          <cell r="K24">
            <v>0</v>
          </cell>
          <cell r="L24">
            <v>0</v>
          </cell>
          <cell r="M24">
            <v>0</v>
          </cell>
        </row>
        <row r="25">
          <cell r="G25" t="str">
            <v>PIC-PM-Intl</v>
          </cell>
          <cell r="I25">
            <v>1</v>
          </cell>
          <cell r="J25">
            <v>0</v>
          </cell>
          <cell r="K25">
            <v>0</v>
          </cell>
          <cell r="L25">
            <v>0</v>
          </cell>
          <cell r="M25">
            <v>0</v>
          </cell>
        </row>
        <row r="26">
          <cell r="G26" t="str">
            <v>PIC-PM-Natl</v>
          </cell>
          <cell r="I26">
            <v>1</v>
          </cell>
          <cell r="J26">
            <v>0</v>
          </cell>
          <cell r="K26">
            <v>0</v>
          </cell>
          <cell r="L26">
            <v>0</v>
          </cell>
          <cell r="M26">
            <v>0</v>
          </cell>
        </row>
        <row r="27">
          <cell r="G27" t="str">
            <v>PIC-Variety</v>
          </cell>
          <cell r="I27">
            <v>0</v>
          </cell>
          <cell r="J27">
            <v>0</v>
          </cell>
          <cell r="K27">
            <v>1</v>
          </cell>
          <cell r="L27">
            <v>0</v>
          </cell>
          <cell r="M27">
            <v>0</v>
          </cell>
        </row>
        <row r="28">
          <cell r="G28" t="str">
            <v>PIC-ICT</v>
          </cell>
          <cell r="I28">
            <v>0</v>
          </cell>
          <cell r="J28">
            <v>0</v>
          </cell>
          <cell r="K28">
            <v>1</v>
          </cell>
          <cell r="L28">
            <v>0</v>
          </cell>
          <cell r="M28">
            <v>0</v>
          </cell>
        </row>
        <row r="29">
          <cell r="G29" t="str">
            <v>SUPPORT_STAFF</v>
          </cell>
          <cell r="I29">
            <v>1</v>
          </cell>
          <cell r="J29">
            <v>0</v>
          </cell>
          <cell r="K29">
            <v>0</v>
          </cell>
          <cell r="L29">
            <v>0</v>
          </cell>
          <cell r="M29">
            <v>0</v>
          </cell>
        </row>
        <row r="30">
          <cell r="G30" t="str">
            <v>CRM_SUPPORT</v>
          </cell>
          <cell r="I30">
            <v>0</v>
          </cell>
          <cell r="J30">
            <v>0</v>
          </cell>
          <cell r="K30">
            <v>1</v>
          </cell>
          <cell r="L30">
            <v>0</v>
          </cell>
          <cell r="M30">
            <v>0</v>
          </cell>
        </row>
        <row r="31">
          <cell r="G31" t="str">
            <v>RESETTLEMENT</v>
          </cell>
          <cell r="I31">
            <v>0</v>
          </cell>
          <cell r="J31">
            <v>0</v>
          </cell>
          <cell r="K31">
            <v>0</v>
          </cell>
          <cell r="L31">
            <v>1</v>
          </cell>
          <cell r="M31">
            <v>0</v>
          </cell>
        </row>
        <row r="32">
          <cell r="G32" t="str">
            <v>OFFICE_SUPPORT</v>
          </cell>
          <cell r="I32">
            <v>1</v>
          </cell>
          <cell r="J32">
            <v>0</v>
          </cell>
          <cell r="K32">
            <v>0</v>
          </cell>
          <cell r="L32">
            <v>0</v>
          </cell>
          <cell r="M32">
            <v>0</v>
          </cell>
        </row>
        <row r="33">
          <cell r="G33" t="str">
            <v>GOVT_CONTRIBUTION</v>
          </cell>
          <cell r="I33">
            <v>0</v>
          </cell>
          <cell r="J33">
            <v>0</v>
          </cell>
          <cell r="K33">
            <v>0</v>
          </cell>
          <cell r="L33">
            <v>1</v>
          </cell>
          <cell r="M33">
            <v>0</v>
          </cell>
        </row>
        <row r="122">
          <cell r="G122" t="str">
            <v>WATER_RESOURCES</v>
          </cell>
          <cell r="J122" t="str">
            <v>MOWRAM</v>
          </cell>
        </row>
        <row r="123">
          <cell r="G123" t="str">
            <v>COOPERATIVES</v>
          </cell>
          <cell r="J123" t="str">
            <v>MAFF</v>
          </cell>
        </row>
        <row r="124">
          <cell r="G124" t="str">
            <v>ROADS</v>
          </cell>
          <cell r="J124" t="str">
            <v>MRD</v>
          </cell>
        </row>
        <row r="125">
          <cell r="G125" t="str">
            <v>TESTING_INFRASTRUCTURE</v>
          </cell>
          <cell r="J125" t="str">
            <v>MAFF-GDA</v>
          </cell>
        </row>
        <row r="126">
          <cell r="G126" t="str">
            <v>BIOGAS</v>
          </cell>
          <cell r="J126" t="str">
            <v>MAFF-GDAHP</v>
          </cell>
        </row>
        <row r="127">
          <cell r="G127">
            <v>0</v>
          </cell>
          <cell r="J127">
            <v>0</v>
          </cell>
        </row>
        <row r="128">
          <cell r="G128" t="str">
            <v>RESILIENT_VARIETIES</v>
          </cell>
          <cell r="J128" t="str">
            <v>MAFF-CARDI</v>
          </cell>
        </row>
        <row r="129">
          <cell r="G129" t="str">
            <v>CAPACITY_STRENGTHENING</v>
          </cell>
          <cell r="J129" t="str">
            <v>MAFF-GDA</v>
          </cell>
        </row>
        <row r="130">
          <cell r="G130" t="str">
            <v>MECHANICAL_WORKSHOP</v>
          </cell>
          <cell r="J130" t="str">
            <v>MAFF-GDA</v>
          </cell>
        </row>
        <row r="131">
          <cell r="G131">
            <v>0</v>
          </cell>
          <cell r="J131">
            <v>0</v>
          </cell>
        </row>
        <row r="132">
          <cell r="G132" t="str">
            <v>POLICY_STANDARDS</v>
          </cell>
          <cell r="J132" t="str">
            <v>MAFF-GDA</v>
          </cell>
        </row>
        <row r="133">
          <cell r="G133" t="str">
            <v>GREEN_FINANCING</v>
          </cell>
          <cell r="J133" t="str">
            <v>MAFF-GDA</v>
          </cell>
        </row>
        <row r="134">
          <cell r="G134" t="str">
            <v>ICT</v>
          </cell>
          <cell r="J134" t="str">
            <v>MAFF-GDA</v>
          </cell>
        </row>
        <row r="135">
          <cell r="G135">
            <v>0</v>
          </cell>
          <cell r="J135">
            <v>0</v>
          </cell>
        </row>
        <row r="136">
          <cell r="G136" t="str">
            <v>PM_MAFF</v>
          </cell>
          <cell r="J136" t="str">
            <v>MAFF</v>
          </cell>
        </row>
        <row r="137">
          <cell r="G137" t="str">
            <v>PM_MOWRAM</v>
          </cell>
          <cell r="J137" t="str">
            <v>MOWRAM</v>
          </cell>
        </row>
        <row r="138">
          <cell r="G138" t="str">
            <v>PM_MRD</v>
          </cell>
          <cell r="J138" t="str">
            <v>MRD</v>
          </cell>
        </row>
        <row r="139">
          <cell r="G139" t="str">
            <v>UNASSIGNED</v>
          </cell>
          <cell r="J139" t="str">
            <v>UNASSIGNED</v>
          </cell>
        </row>
      </sheetData>
      <sheetData sheetId="3" refreshError="1"/>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 2"/>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IOC-MAFF"/>
      <sheetName val="$ MAFF"/>
      <sheetName val="$MOWRAM"/>
      <sheetName val="$MRD-Annex"/>
      <sheetName val="UNASSIGNED"/>
      <sheetName val="2021 Overall $"/>
      <sheetName val="Summary by EA, Source &amp; Qtr"/>
      <sheetName val="Output"/>
      <sheetName val="Budget Projection 2021"/>
      <sheetName val="Budget projection 2021-2023-0ld"/>
      <sheetName val="Budget projection 2021-2023"/>
      <sheetName val="CW break down 2022"/>
      <sheetName val="CW break down 2020"/>
      <sheetName val="CW break down 2020 (2)"/>
      <sheetName val="CW break down 2021"/>
      <sheetName val="Break down 2021"/>
      <sheetName val="Code"/>
    </sheetNames>
    <sheetDataSet>
      <sheetData sheetId="0"/>
      <sheetData sheetId="1"/>
      <sheetData sheetId="2"/>
      <sheetData sheetId="3">
        <row r="13">
          <cell r="BG13" t="str">
            <v>ROADS</v>
          </cell>
        </row>
        <row r="14">
          <cell r="BG14" t="str">
            <v>ROADS</v>
          </cell>
        </row>
        <row r="15">
          <cell r="BG15" t="str">
            <v>ROADS</v>
          </cell>
        </row>
        <row r="16">
          <cell r="BG16" t="str">
            <v>ROADS</v>
          </cell>
        </row>
        <row r="17">
          <cell r="BG17" t="str">
            <v>ROADS</v>
          </cell>
        </row>
        <row r="18">
          <cell r="BG18" t="str">
            <v>ROADS</v>
          </cell>
        </row>
        <row r="19">
          <cell r="BG19" t="str">
            <v>ROADS</v>
          </cell>
        </row>
        <row r="20">
          <cell r="BG20" t="str">
            <v>ROADS</v>
          </cell>
        </row>
        <row r="21">
          <cell r="BG21" t="str">
            <v>ROADS</v>
          </cell>
        </row>
        <row r="22">
          <cell r="BG22" t="str">
            <v>ROADS</v>
          </cell>
        </row>
        <row r="23">
          <cell r="BG23" t="str">
            <v>ROADS</v>
          </cell>
        </row>
        <row r="24">
          <cell r="BG24">
            <v>0</v>
          </cell>
        </row>
        <row r="25">
          <cell r="BG25" t="str">
            <v>ROADS</v>
          </cell>
        </row>
        <row r="26">
          <cell r="BG26" t="str">
            <v>ROADS</v>
          </cell>
        </row>
        <row r="27">
          <cell r="BG27" t="str">
            <v>ROADS</v>
          </cell>
        </row>
        <row r="28">
          <cell r="BG28" t="str">
            <v>ROADS</v>
          </cell>
        </row>
        <row r="29">
          <cell r="BG29" t="str">
            <v>ROADS</v>
          </cell>
        </row>
        <row r="33">
          <cell r="BG33" t="str">
            <v>ROADS</v>
          </cell>
        </row>
        <row r="34">
          <cell r="BG34" t="str">
            <v>ROADS</v>
          </cell>
        </row>
        <row r="35">
          <cell r="BG35" t="str">
            <v>ROADS</v>
          </cell>
        </row>
        <row r="118">
          <cell r="BG118">
            <v>0</v>
          </cell>
        </row>
        <row r="119">
          <cell r="BG119" t="str">
            <v>GOVT_CONTRIBUTION</v>
          </cell>
        </row>
        <row r="120">
          <cell r="BG120" t="str">
            <v>GOVT_CONTRIBUTION</v>
          </cell>
        </row>
        <row r="128">
          <cell r="BG128">
            <v>0</v>
          </cell>
        </row>
        <row r="148">
          <cell r="BG148">
            <v>0</v>
          </cell>
        </row>
        <row r="153">
          <cell r="BG153">
            <v>0</v>
          </cell>
        </row>
        <row r="154">
          <cell r="BG154">
            <v>0</v>
          </cell>
        </row>
      </sheetData>
      <sheetData sheetId="4"/>
      <sheetData sheetId="5"/>
      <sheetData sheetId="6"/>
      <sheetData sheetId="7"/>
      <sheetData sheetId="8"/>
      <sheetData sheetId="9"/>
      <sheetData sheetId="10"/>
      <sheetData sheetId="11"/>
      <sheetData sheetId="12"/>
      <sheetData sheetId="13"/>
      <sheetData sheetId="14"/>
      <sheetData sheetId="15"/>
      <sheetData sheetId="16">
        <row r="8">
          <cell r="G8" t="str">
            <v>IRRIGATION</v>
          </cell>
          <cell r="I8">
            <v>0.76827006604510995</v>
          </cell>
          <cell r="J8">
            <v>0.12645069473218948</v>
          </cell>
          <cell r="K8">
            <v>0.10527923922270058</v>
          </cell>
          <cell r="L8">
            <v>0</v>
          </cell>
          <cell r="M8">
            <v>0</v>
          </cell>
        </row>
        <row r="9">
          <cell r="G9" t="str">
            <v>ROADS</v>
          </cell>
          <cell r="I9">
            <v>0.76827006604510995</v>
          </cell>
          <cell r="J9">
            <v>0.12645069473218948</v>
          </cell>
          <cell r="K9">
            <v>0.10527923922270058</v>
          </cell>
          <cell r="L9">
            <v>0</v>
          </cell>
          <cell r="M9">
            <v>0</v>
          </cell>
        </row>
        <row r="10">
          <cell r="G10" t="str">
            <v>WAREHOUSES</v>
          </cell>
          <cell r="I10">
            <v>1</v>
          </cell>
          <cell r="J10">
            <v>0</v>
          </cell>
          <cell r="K10">
            <v>0</v>
          </cell>
          <cell r="L10">
            <v>0</v>
          </cell>
          <cell r="M10">
            <v>0</v>
          </cell>
        </row>
        <row r="11">
          <cell r="G11" t="str">
            <v>OTHER_INFRA</v>
          </cell>
          <cell r="I11">
            <v>1</v>
          </cell>
          <cell r="J11">
            <v>0</v>
          </cell>
          <cell r="K11">
            <v>0</v>
          </cell>
          <cell r="L11">
            <v>0</v>
          </cell>
          <cell r="M11">
            <v>0</v>
          </cell>
        </row>
        <row r="12">
          <cell r="G12" t="str">
            <v>BIOGAS</v>
          </cell>
          <cell r="I12">
            <v>0</v>
          </cell>
          <cell r="J12">
            <v>0</v>
          </cell>
          <cell r="K12">
            <v>0.27272727272727271</v>
          </cell>
          <cell r="L12">
            <v>0.30585398202814701</v>
          </cell>
          <cell r="M12">
            <v>0.42141874524458028</v>
          </cell>
        </row>
        <row r="13">
          <cell r="G13" t="str">
            <v>Compost Huts</v>
          </cell>
          <cell r="I13">
            <v>0</v>
          </cell>
          <cell r="J13">
            <v>0</v>
          </cell>
          <cell r="K13">
            <v>0.5</v>
          </cell>
          <cell r="L13">
            <v>0.25</v>
          </cell>
          <cell r="M13">
            <v>0.25</v>
          </cell>
        </row>
        <row r="14">
          <cell r="G14" t="str">
            <v>EQUIPMENT-ADB</v>
          </cell>
          <cell r="I14">
            <v>1</v>
          </cell>
          <cell r="J14">
            <v>0</v>
          </cell>
          <cell r="K14">
            <v>0</v>
          </cell>
          <cell r="L14">
            <v>0</v>
          </cell>
          <cell r="M14">
            <v>0</v>
          </cell>
        </row>
        <row r="15">
          <cell r="G15" t="str">
            <v>EQUIPMENT-ICT</v>
          </cell>
          <cell r="I15">
            <v>0</v>
          </cell>
          <cell r="J15">
            <v>0</v>
          </cell>
          <cell r="K15">
            <v>1</v>
          </cell>
          <cell r="L15">
            <v>0</v>
          </cell>
          <cell r="M15">
            <v>0</v>
          </cell>
        </row>
        <row r="16">
          <cell r="G16" t="str">
            <v>VEHICLES</v>
          </cell>
          <cell r="I16">
            <v>1</v>
          </cell>
          <cell r="J16">
            <v>0</v>
          </cell>
          <cell r="K16">
            <v>0</v>
          </cell>
          <cell r="L16">
            <v>0</v>
          </cell>
          <cell r="M16">
            <v>0</v>
          </cell>
        </row>
        <row r="17">
          <cell r="G17" t="str">
            <v>MATERIALS-ADB</v>
          </cell>
          <cell r="I17">
            <v>1</v>
          </cell>
          <cell r="J17">
            <v>0</v>
          </cell>
          <cell r="K17">
            <v>0</v>
          </cell>
          <cell r="L17">
            <v>0</v>
          </cell>
          <cell r="M17">
            <v>0</v>
          </cell>
        </row>
        <row r="18">
          <cell r="G18" t="str">
            <v>STUDIES</v>
          </cell>
          <cell r="I18">
            <v>0</v>
          </cell>
          <cell r="J18">
            <v>0</v>
          </cell>
          <cell r="K18">
            <v>1</v>
          </cell>
          <cell r="L18">
            <v>0</v>
          </cell>
          <cell r="M18">
            <v>0</v>
          </cell>
        </row>
        <row r="19">
          <cell r="G19" t="str">
            <v>TRAINING</v>
          </cell>
          <cell r="I19">
            <v>0</v>
          </cell>
          <cell r="J19">
            <v>0</v>
          </cell>
          <cell r="K19">
            <v>1</v>
          </cell>
          <cell r="L19">
            <v>0</v>
          </cell>
          <cell r="M19">
            <v>0</v>
          </cell>
        </row>
        <row r="20">
          <cell r="G20" t="str">
            <v>POLICIES_STANDARDS</v>
          </cell>
          <cell r="I20">
            <v>0</v>
          </cell>
          <cell r="J20">
            <v>0</v>
          </cell>
          <cell r="K20">
            <v>1</v>
          </cell>
          <cell r="L20">
            <v>0</v>
          </cell>
          <cell r="M20">
            <v>0</v>
          </cell>
        </row>
        <row r="21">
          <cell r="G21" t="str">
            <v>M&amp;E</v>
          </cell>
          <cell r="I21">
            <v>0</v>
          </cell>
          <cell r="J21">
            <v>0</v>
          </cell>
          <cell r="K21">
            <v>1</v>
          </cell>
          <cell r="L21">
            <v>0</v>
          </cell>
          <cell r="M21">
            <v>0</v>
          </cell>
        </row>
        <row r="22">
          <cell r="G22" t="str">
            <v>PIC-DED</v>
          </cell>
          <cell r="I22">
            <v>1</v>
          </cell>
          <cell r="J22">
            <v>0</v>
          </cell>
          <cell r="K22">
            <v>0</v>
          </cell>
          <cell r="L22">
            <v>0</v>
          </cell>
          <cell r="M22">
            <v>0</v>
          </cell>
        </row>
        <row r="23">
          <cell r="G23" t="str">
            <v>PIC-Tech-Intl</v>
          </cell>
          <cell r="I23">
            <v>1</v>
          </cell>
          <cell r="J23">
            <v>0</v>
          </cell>
          <cell r="K23">
            <v>0</v>
          </cell>
          <cell r="L23">
            <v>0</v>
          </cell>
          <cell r="M23">
            <v>0</v>
          </cell>
        </row>
        <row r="24">
          <cell r="G24" t="str">
            <v>PIC-Tech-Natl</v>
          </cell>
          <cell r="I24">
            <v>1</v>
          </cell>
          <cell r="J24">
            <v>0</v>
          </cell>
          <cell r="K24">
            <v>0</v>
          </cell>
          <cell r="L24">
            <v>0</v>
          </cell>
          <cell r="M24">
            <v>0</v>
          </cell>
        </row>
        <row r="25">
          <cell r="G25" t="str">
            <v>PIC-PM-Intl</v>
          </cell>
          <cell r="I25">
            <v>1</v>
          </cell>
          <cell r="J25">
            <v>0</v>
          </cell>
          <cell r="K25">
            <v>0</v>
          </cell>
          <cell r="L25">
            <v>0</v>
          </cell>
          <cell r="M25">
            <v>0</v>
          </cell>
        </row>
        <row r="26">
          <cell r="G26" t="str">
            <v>PIC-PM-Natl</v>
          </cell>
          <cell r="I26">
            <v>1</v>
          </cell>
          <cell r="J26">
            <v>0</v>
          </cell>
          <cell r="K26">
            <v>0</v>
          </cell>
          <cell r="L26">
            <v>0</v>
          </cell>
          <cell r="M26">
            <v>0</v>
          </cell>
        </row>
        <row r="27">
          <cell r="G27" t="str">
            <v>PIC-Variety</v>
          </cell>
          <cell r="I27">
            <v>0</v>
          </cell>
          <cell r="J27">
            <v>0</v>
          </cell>
          <cell r="K27">
            <v>1</v>
          </cell>
          <cell r="L27">
            <v>0</v>
          </cell>
          <cell r="M27">
            <v>0</v>
          </cell>
        </row>
        <row r="28">
          <cell r="G28" t="str">
            <v>PIC-ICT</v>
          </cell>
          <cell r="I28">
            <v>0</v>
          </cell>
          <cell r="J28">
            <v>0</v>
          </cell>
          <cell r="K28">
            <v>1</v>
          </cell>
          <cell r="L28">
            <v>0</v>
          </cell>
          <cell r="M28">
            <v>0</v>
          </cell>
        </row>
        <row r="29">
          <cell r="G29" t="str">
            <v>SUPPORT_STAFF</v>
          </cell>
          <cell r="I29">
            <v>1</v>
          </cell>
          <cell r="J29">
            <v>0</v>
          </cell>
          <cell r="K29">
            <v>0</v>
          </cell>
          <cell r="L29">
            <v>0</v>
          </cell>
          <cell r="M29">
            <v>0</v>
          </cell>
        </row>
        <row r="30">
          <cell r="G30" t="str">
            <v>CRM_SUPPORT</v>
          </cell>
          <cell r="I30">
            <v>0</v>
          </cell>
          <cell r="J30">
            <v>0</v>
          </cell>
          <cell r="K30">
            <v>1</v>
          </cell>
          <cell r="L30">
            <v>0</v>
          </cell>
          <cell r="M30">
            <v>0</v>
          </cell>
        </row>
        <row r="31">
          <cell r="G31" t="str">
            <v>RESETTLEMENT</v>
          </cell>
          <cell r="I31">
            <v>0</v>
          </cell>
          <cell r="J31">
            <v>0</v>
          </cell>
          <cell r="K31">
            <v>0</v>
          </cell>
          <cell r="L31">
            <v>1</v>
          </cell>
          <cell r="M31">
            <v>0</v>
          </cell>
        </row>
        <row r="32">
          <cell r="G32" t="str">
            <v>OFFICE_SUPPORT</v>
          </cell>
          <cell r="I32">
            <v>1</v>
          </cell>
          <cell r="J32">
            <v>0</v>
          </cell>
          <cell r="K32">
            <v>0</v>
          </cell>
          <cell r="L32">
            <v>0</v>
          </cell>
          <cell r="M32">
            <v>0</v>
          </cell>
        </row>
        <row r="33">
          <cell r="G33" t="str">
            <v>GOVT_CONTRIBUTION</v>
          </cell>
          <cell r="I33">
            <v>0</v>
          </cell>
          <cell r="J33">
            <v>0</v>
          </cell>
          <cell r="K33">
            <v>0</v>
          </cell>
          <cell r="L33">
            <v>1</v>
          </cell>
          <cell r="M33">
            <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IOC-MAFF"/>
      <sheetName val="Annex 1_Summary"/>
      <sheetName val="Annex 2_Code"/>
      <sheetName val="Annex 3_MAFF"/>
      <sheetName val="Annex 4_MoWRAM"/>
      <sheetName val="Annex 5_MRD"/>
      <sheetName val="Summary by EA, Source &amp; Qtr"/>
      <sheetName val="Output"/>
    </sheetNames>
    <sheetDataSet>
      <sheetData sheetId="0"/>
      <sheetData sheetId="1"/>
      <sheetData sheetId="2">
        <row r="8">
          <cell r="G8" t="str">
            <v>IRRIGATION</v>
          </cell>
          <cell r="I8">
            <v>0.76827006604510995</v>
          </cell>
          <cell r="J8">
            <v>0.12645069473218948</v>
          </cell>
          <cell r="K8">
            <v>0.10527923922270058</v>
          </cell>
          <cell r="L8">
            <v>0</v>
          </cell>
          <cell r="M8">
            <v>0</v>
          </cell>
        </row>
        <row r="9">
          <cell r="G9" t="str">
            <v>ROADS</v>
          </cell>
          <cell r="I9">
            <v>0.76827006604510995</v>
          </cell>
          <cell r="J9">
            <v>0.12645069473218948</v>
          </cell>
          <cell r="K9">
            <v>0.10527923922270058</v>
          </cell>
          <cell r="L9">
            <v>0</v>
          </cell>
          <cell r="M9">
            <v>0</v>
          </cell>
        </row>
        <row r="10">
          <cell r="G10" t="str">
            <v>WAREHOUSES</v>
          </cell>
          <cell r="I10">
            <v>1</v>
          </cell>
          <cell r="J10">
            <v>0</v>
          </cell>
          <cell r="K10">
            <v>0</v>
          </cell>
          <cell r="L10">
            <v>0</v>
          </cell>
          <cell r="M10">
            <v>0</v>
          </cell>
        </row>
        <row r="11">
          <cell r="G11" t="str">
            <v>OTHER_INFRA</v>
          </cell>
          <cell r="I11">
            <v>1</v>
          </cell>
          <cell r="J11">
            <v>0</v>
          </cell>
          <cell r="K11">
            <v>0</v>
          </cell>
          <cell r="L11">
            <v>0</v>
          </cell>
          <cell r="M11">
            <v>0</v>
          </cell>
        </row>
        <row r="12">
          <cell r="G12" t="str">
            <v>BIOGAS</v>
          </cell>
          <cell r="I12">
            <v>0</v>
          </cell>
          <cell r="J12">
            <v>0</v>
          </cell>
          <cell r="K12">
            <v>0.27272727272727271</v>
          </cell>
          <cell r="L12">
            <v>0.30585398202814701</v>
          </cell>
          <cell r="M12">
            <v>0.42141874524458028</v>
          </cell>
        </row>
        <row r="13">
          <cell r="G13" t="str">
            <v>Compost Huts</v>
          </cell>
          <cell r="I13">
            <v>0</v>
          </cell>
          <cell r="J13">
            <v>0</v>
          </cell>
          <cell r="K13">
            <v>0.5</v>
          </cell>
          <cell r="L13">
            <v>0.25</v>
          </cell>
          <cell r="M13">
            <v>0.25</v>
          </cell>
        </row>
        <row r="14">
          <cell r="G14" t="str">
            <v>EQUIPMENT-ADB</v>
          </cell>
          <cell r="I14">
            <v>1</v>
          </cell>
          <cell r="J14">
            <v>0</v>
          </cell>
          <cell r="K14">
            <v>0</v>
          </cell>
          <cell r="L14">
            <v>0</v>
          </cell>
          <cell r="M14">
            <v>0</v>
          </cell>
        </row>
        <row r="15">
          <cell r="G15" t="str">
            <v>EQUIPMENT-ICT</v>
          </cell>
          <cell r="I15">
            <v>0</v>
          </cell>
          <cell r="J15">
            <v>0</v>
          </cell>
          <cell r="K15">
            <v>1</v>
          </cell>
          <cell r="L15">
            <v>0</v>
          </cell>
          <cell r="M15">
            <v>0</v>
          </cell>
        </row>
        <row r="16">
          <cell r="G16" t="str">
            <v>VEHICLES</v>
          </cell>
          <cell r="I16">
            <v>1</v>
          </cell>
          <cell r="J16">
            <v>0</v>
          </cell>
          <cell r="K16">
            <v>0</v>
          </cell>
          <cell r="L16">
            <v>0</v>
          </cell>
          <cell r="M16">
            <v>0</v>
          </cell>
        </row>
        <row r="17">
          <cell r="G17" t="str">
            <v>MATERIALS-ADB</v>
          </cell>
          <cell r="I17">
            <v>1</v>
          </cell>
          <cell r="J17">
            <v>0</v>
          </cell>
          <cell r="K17">
            <v>0</v>
          </cell>
          <cell r="L17">
            <v>0</v>
          </cell>
          <cell r="M17">
            <v>0</v>
          </cell>
        </row>
        <row r="18">
          <cell r="G18" t="str">
            <v>STUDIES</v>
          </cell>
          <cell r="I18">
            <v>0</v>
          </cell>
          <cell r="J18">
            <v>0</v>
          </cell>
          <cell r="K18">
            <v>1</v>
          </cell>
          <cell r="L18">
            <v>0</v>
          </cell>
          <cell r="M18">
            <v>0</v>
          </cell>
        </row>
        <row r="19">
          <cell r="G19" t="str">
            <v>TRAINING</v>
          </cell>
          <cell r="I19">
            <v>0</v>
          </cell>
          <cell r="J19">
            <v>0</v>
          </cell>
          <cell r="K19">
            <v>1</v>
          </cell>
          <cell r="L19">
            <v>0</v>
          </cell>
          <cell r="M19">
            <v>0</v>
          </cell>
        </row>
        <row r="20">
          <cell r="G20" t="str">
            <v>POLICIES_STANDARDS</v>
          </cell>
          <cell r="I20">
            <v>0</v>
          </cell>
          <cell r="J20">
            <v>0</v>
          </cell>
          <cell r="K20">
            <v>1</v>
          </cell>
          <cell r="L20">
            <v>0</v>
          </cell>
          <cell r="M20">
            <v>0</v>
          </cell>
        </row>
        <row r="21">
          <cell r="G21" t="str">
            <v>M&amp;E</v>
          </cell>
          <cell r="I21">
            <v>0</v>
          </cell>
          <cell r="J21">
            <v>0</v>
          </cell>
          <cell r="K21">
            <v>1</v>
          </cell>
          <cell r="L21">
            <v>0</v>
          </cell>
          <cell r="M21">
            <v>0</v>
          </cell>
        </row>
        <row r="22">
          <cell r="G22" t="str">
            <v>PIC-DED</v>
          </cell>
          <cell r="I22">
            <v>1</v>
          </cell>
          <cell r="J22">
            <v>0</v>
          </cell>
          <cell r="K22">
            <v>0</v>
          </cell>
          <cell r="L22">
            <v>0</v>
          </cell>
          <cell r="M22">
            <v>0</v>
          </cell>
        </row>
        <row r="23">
          <cell r="G23" t="str">
            <v>PIC-Tech-Intl</v>
          </cell>
          <cell r="I23">
            <v>1</v>
          </cell>
          <cell r="J23">
            <v>0</v>
          </cell>
          <cell r="K23">
            <v>0</v>
          </cell>
          <cell r="L23">
            <v>0</v>
          </cell>
          <cell r="M23">
            <v>0</v>
          </cell>
        </row>
        <row r="24">
          <cell r="G24" t="str">
            <v>PIC-Tech-Natl</v>
          </cell>
          <cell r="I24">
            <v>1</v>
          </cell>
          <cell r="J24">
            <v>0</v>
          </cell>
          <cell r="K24">
            <v>0</v>
          </cell>
          <cell r="L24">
            <v>0</v>
          </cell>
          <cell r="M24">
            <v>0</v>
          </cell>
        </row>
        <row r="25">
          <cell r="G25" t="str">
            <v>PIC-PM-Intl</v>
          </cell>
          <cell r="I25">
            <v>1</v>
          </cell>
          <cell r="J25">
            <v>0</v>
          </cell>
          <cell r="K25">
            <v>0</v>
          </cell>
          <cell r="L25">
            <v>0</v>
          </cell>
          <cell r="M25">
            <v>0</v>
          </cell>
        </row>
        <row r="26">
          <cell r="G26" t="str">
            <v>PIC-PM-Natl</v>
          </cell>
          <cell r="I26">
            <v>1</v>
          </cell>
          <cell r="J26">
            <v>0</v>
          </cell>
          <cell r="K26">
            <v>0</v>
          </cell>
          <cell r="L26">
            <v>0</v>
          </cell>
          <cell r="M26">
            <v>0</v>
          </cell>
        </row>
        <row r="27">
          <cell r="G27" t="str">
            <v>PIC-Variety</v>
          </cell>
          <cell r="I27">
            <v>0</v>
          </cell>
          <cell r="J27">
            <v>0</v>
          </cell>
          <cell r="K27">
            <v>1</v>
          </cell>
          <cell r="L27">
            <v>0</v>
          </cell>
          <cell r="M27">
            <v>0</v>
          </cell>
        </row>
        <row r="28">
          <cell r="G28" t="str">
            <v>PIC-ICT</v>
          </cell>
          <cell r="I28">
            <v>0</v>
          </cell>
          <cell r="J28">
            <v>0</v>
          </cell>
          <cell r="K28">
            <v>1</v>
          </cell>
          <cell r="L28">
            <v>0</v>
          </cell>
          <cell r="M28">
            <v>0</v>
          </cell>
        </row>
        <row r="29">
          <cell r="G29" t="str">
            <v>SUPPORT_STAFF</v>
          </cell>
          <cell r="I29">
            <v>1</v>
          </cell>
          <cell r="J29">
            <v>0</v>
          </cell>
          <cell r="K29">
            <v>0</v>
          </cell>
          <cell r="L29">
            <v>0</v>
          </cell>
          <cell r="M29">
            <v>0</v>
          </cell>
        </row>
        <row r="30">
          <cell r="G30" t="str">
            <v>CRM_SUPPORT</v>
          </cell>
          <cell r="I30">
            <v>0</v>
          </cell>
          <cell r="J30">
            <v>0</v>
          </cell>
          <cell r="K30">
            <v>1</v>
          </cell>
          <cell r="L30">
            <v>0</v>
          </cell>
          <cell r="M30">
            <v>0</v>
          </cell>
        </row>
        <row r="31">
          <cell r="G31" t="str">
            <v>RESETTLEMENT</v>
          </cell>
          <cell r="I31">
            <v>0</v>
          </cell>
          <cell r="J31">
            <v>0</v>
          </cell>
          <cell r="K31">
            <v>0</v>
          </cell>
          <cell r="L31">
            <v>1</v>
          </cell>
          <cell r="M31">
            <v>0</v>
          </cell>
        </row>
        <row r="32">
          <cell r="G32" t="str">
            <v>OFFICE_SUPPORT</v>
          </cell>
          <cell r="I32">
            <v>1</v>
          </cell>
          <cell r="J32">
            <v>0</v>
          </cell>
          <cell r="K32">
            <v>0</v>
          </cell>
          <cell r="L32">
            <v>0</v>
          </cell>
          <cell r="M32">
            <v>0</v>
          </cell>
        </row>
        <row r="33">
          <cell r="G33" t="str">
            <v>GOVT_CONTRIBUTION</v>
          </cell>
          <cell r="I33">
            <v>0</v>
          </cell>
          <cell r="J33">
            <v>0</v>
          </cell>
          <cell r="K33">
            <v>0</v>
          </cell>
          <cell r="L33">
            <v>1</v>
          </cell>
          <cell r="M33">
            <v>0</v>
          </cell>
        </row>
        <row r="110">
          <cell r="G110" t="str">
            <v>WATER_RESOURCES</v>
          </cell>
          <cell r="J110" t="str">
            <v>MOWRAM</v>
          </cell>
        </row>
        <row r="111">
          <cell r="G111" t="str">
            <v>COOPERATIVES</v>
          </cell>
          <cell r="J111" t="str">
            <v>MAFF</v>
          </cell>
        </row>
        <row r="112">
          <cell r="G112" t="str">
            <v>ROADS</v>
          </cell>
          <cell r="J112" t="str">
            <v>MRD</v>
          </cell>
        </row>
        <row r="113">
          <cell r="G113" t="str">
            <v>TESTING_INFRASTRUCTURE</v>
          </cell>
          <cell r="J113" t="str">
            <v>MAFF-GDA</v>
          </cell>
        </row>
        <row r="114">
          <cell r="G114" t="str">
            <v>BIOGAS</v>
          </cell>
          <cell r="J114" t="str">
            <v>MAFF-GDAHP</v>
          </cell>
        </row>
        <row r="115">
          <cell r="J115">
            <v>0</v>
          </cell>
        </row>
        <row r="116">
          <cell r="G116" t="str">
            <v>RESILIENT_VARIETIES</v>
          </cell>
          <cell r="J116" t="str">
            <v>MAFF-CARDI</v>
          </cell>
        </row>
        <row r="117">
          <cell r="G117" t="str">
            <v>CAPACITY_STRENGTHENING</v>
          </cell>
          <cell r="J117" t="str">
            <v>MAFF-GDA</v>
          </cell>
        </row>
        <row r="118">
          <cell r="G118" t="str">
            <v>MECHANICAL_WORKSHOP</v>
          </cell>
          <cell r="J118" t="str">
            <v>MAFF-GDA</v>
          </cell>
        </row>
        <row r="119">
          <cell r="J119">
            <v>0</v>
          </cell>
        </row>
        <row r="120">
          <cell r="G120" t="str">
            <v>POLICY_STANDARDS</v>
          </cell>
          <cell r="J120" t="str">
            <v>MAFF-GDA</v>
          </cell>
        </row>
        <row r="121">
          <cell r="G121" t="str">
            <v>GREEN_FINANCING</v>
          </cell>
          <cell r="J121" t="str">
            <v>MAFF-GDA</v>
          </cell>
        </row>
        <row r="122">
          <cell r="G122" t="str">
            <v>ICT</v>
          </cell>
          <cell r="J122" t="str">
            <v>MAFF-GDA</v>
          </cell>
        </row>
        <row r="123">
          <cell r="G123">
            <v>0</v>
          </cell>
          <cell r="J123">
            <v>0</v>
          </cell>
        </row>
        <row r="124">
          <cell r="G124" t="str">
            <v>PM_MAFF</v>
          </cell>
          <cell r="J124" t="str">
            <v>MAFF</v>
          </cell>
        </row>
        <row r="125">
          <cell r="G125" t="str">
            <v>PM_MOWRAM</v>
          </cell>
          <cell r="J125" t="str">
            <v>MOWRAM</v>
          </cell>
        </row>
        <row r="126">
          <cell r="G126" t="str">
            <v>PM_MRD</v>
          </cell>
          <cell r="J126" t="str">
            <v>MRD</v>
          </cell>
        </row>
        <row r="127">
          <cell r="G127" t="str">
            <v>UNASSIGNED</v>
          </cell>
          <cell r="J127" t="str">
            <v>UNASSIGNED</v>
          </cell>
        </row>
      </sheetData>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IOC-MAFF"/>
      <sheetName val="Annex 1"/>
      <sheetName val="Annex 2"/>
      <sheetName val="Annex 3"/>
      <sheetName val="Annex 4"/>
      <sheetName val="Annex 5"/>
      <sheetName val="Annex 6"/>
      <sheetName val="Summary by EA, Source &amp; Qtr"/>
      <sheetName val="Output"/>
      <sheetName val="Sum Annex3_Tab10"/>
      <sheetName val="Tab11,12,20,21-PD"/>
    </sheetNames>
    <sheetDataSet>
      <sheetData sheetId="0"/>
      <sheetData sheetId="1"/>
      <sheetData sheetId="2">
        <row r="8">
          <cell r="G8" t="str">
            <v>IRRIGATION</v>
          </cell>
          <cell r="I8">
            <v>0.76827006604510995</v>
          </cell>
          <cell r="J8">
            <v>0.12645069473218948</v>
          </cell>
          <cell r="K8">
            <v>0.10527923922270058</v>
          </cell>
          <cell r="L8">
            <v>0</v>
          </cell>
          <cell r="M8">
            <v>0</v>
          </cell>
        </row>
        <row r="9">
          <cell r="G9" t="str">
            <v>ROADS</v>
          </cell>
          <cell r="I9">
            <v>0.76827006604510995</v>
          </cell>
          <cell r="J9">
            <v>0.12645069473218948</v>
          </cell>
          <cell r="K9">
            <v>0.10527923922270058</v>
          </cell>
          <cell r="L9">
            <v>0</v>
          </cell>
          <cell r="M9">
            <v>0</v>
          </cell>
        </row>
        <row r="10">
          <cell r="G10" t="str">
            <v>WAREHOUSES</v>
          </cell>
          <cell r="I10">
            <v>1</v>
          </cell>
          <cell r="J10">
            <v>0</v>
          </cell>
          <cell r="K10">
            <v>0</v>
          </cell>
          <cell r="L10">
            <v>0</v>
          </cell>
          <cell r="M10">
            <v>0</v>
          </cell>
        </row>
        <row r="11">
          <cell r="G11" t="str">
            <v>OTHER_INFRA</v>
          </cell>
          <cell r="I11">
            <v>1</v>
          </cell>
          <cell r="J11">
            <v>0</v>
          </cell>
          <cell r="K11">
            <v>0</v>
          </cell>
          <cell r="L11">
            <v>0</v>
          </cell>
          <cell r="M11">
            <v>0</v>
          </cell>
        </row>
        <row r="12">
          <cell r="G12" t="str">
            <v>BIOGAS</v>
          </cell>
          <cell r="I12">
            <v>0</v>
          </cell>
          <cell r="J12">
            <v>0</v>
          </cell>
          <cell r="K12">
            <v>0.27272727272727271</v>
          </cell>
          <cell r="L12">
            <v>0.30585398202814701</v>
          </cell>
          <cell r="M12">
            <v>0.42141874524458028</v>
          </cell>
        </row>
        <row r="13">
          <cell r="G13" t="str">
            <v>Compost Huts</v>
          </cell>
          <cell r="I13">
            <v>0</v>
          </cell>
          <cell r="J13">
            <v>0</v>
          </cell>
          <cell r="K13">
            <v>0.5</v>
          </cell>
          <cell r="L13">
            <v>0.25</v>
          </cell>
          <cell r="M13">
            <v>0.25</v>
          </cell>
        </row>
        <row r="14">
          <cell r="G14" t="str">
            <v>EQUIPMENT-ADB</v>
          </cell>
          <cell r="I14">
            <v>1</v>
          </cell>
          <cell r="J14">
            <v>0</v>
          </cell>
          <cell r="K14">
            <v>0</v>
          </cell>
          <cell r="L14">
            <v>0</v>
          </cell>
          <cell r="M14">
            <v>0</v>
          </cell>
        </row>
        <row r="15">
          <cell r="G15" t="str">
            <v>EQUIPMENT-ICT</v>
          </cell>
          <cell r="I15">
            <v>0</v>
          </cell>
          <cell r="J15">
            <v>0</v>
          </cell>
          <cell r="K15">
            <v>1</v>
          </cell>
          <cell r="L15">
            <v>0</v>
          </cell>
          <cell r="M15">
            <v>0</v>
          </cell>
        </row>
        <row r="16">
          <cell r="G16" t="str">
            <v>VEHICLES</v>
          </cell>
          <cell r="I16">
            <v>1</v>
          </cell>
          <cell r="J16">
            <v>0</v>
          </cell>
          <cell r="K16">
            <v>0</v>
          </cell>
          <cell r="L16">
            <v>0</v>
          </cell>
          <cell r="M16">
            <v>0</v>
          </cell>
        </row>
        <row r="17">
          <cell r="G17" t="str">
            <v>MATERIALS-ADB</v>
          </cell>
          <cell r="I17">
            <v>1</v>
          </cell>
          <cell r="J17">
            <v>0</v>
          </cell>
          <cell r="K17">
            <v>0</v>
          </cell>
          <cell r="L17">
            <v>0</v>
          </cell>
          <cell r="M17">
            <v>0</v>
          </cell>
        </row>
        <row r="18">
          <cell r="G18" t="str">
            <v>STUDIES</v>
          </cell>
          <cell r="I18">
            <v>0</v>
          </cell>
          <cell r="J18">
            <v>0</v>
          </cell>
          <cell r="K18">
            <v>1</v>
          </cell>
          <cell r="L18">
            <v>0</v>
          </cell>
          <cell r="M18">
            <v>0</v>
          </cell>
        </row>
        <row r="19">
          <cell r="G19" t="str">
            <v>TRAINING</v>
          </cell>
          <cell r="I19">
            <v>0</v>
          </cell>
          <cell r="J19">
            <v>0</v>
          </cell>
          <cell r="K19">
            <v>1</v>
          </cell>
          <cell r="L19">
            <v>0</v>
          </cell>
          <cell r="M19">
            <v>0</v>
          </cell>
        </row>
        <row r="20">
          <cell r="G20" t="str">
            <v>POLICIES_STANDARDS</v>
          </cell>
          <cell r="I20">
            <v>0</v>
          </cell>
          <cell r="J20">
            <v>0</v>
          </cell>
          <cell r="K20">
            <v>1</v>
          </cell>
          <cell r="L20">
            <v>0</v>
          </cell>
          <cell r="M20">
            <v>0</v>
          </cell>
        </row>
        <row r="21">
          <cell r="G21" t="str">
            <v>M&amp;E</v>
          </cell>
          <cell r="I21">
            <v>0</v>
          </cell>
          <cell r="J21">
            <v>0</v>
          </cell>
          <cell r="K21">
            <v>1</v>
          </cell>
          <cell r="L21">
            <v>0</v>
          </cell>
          <cell r="M21">
            <v>0</v>
          </cell>
        </row>
        <row r="22">
          <cell r="G22" t="str">
            <v>PIC-DED</v>
          </cell>
          <cell r="I22">
            <v>1</v>
          </cell>
          <cell r="J22">
            <v>0</v>
          </cell>
          <cell r="K22">
            <v>0</v>
          </cell>
          <cell r="L22">
            <v>0</v>
          </cell>
          <cell r="M22">
            <v>0</v>
          </cell>
        </row>
        <row r="23">
          <cell r="G23" t="str">
            <v>PIC-Tech-Intl</v>
          </cell>
          <cell r="I23">
            <v>1</v>
          </cell>
          <cell r="J23">
            <v>0</v>
          </cell>
          <cell r="K23">
            <v>0</v>
          </cell>
          <cell r="L23">
            <v>0</v>
          </cell>
          <cell r="M23">
            <v>0</v>
          </cell>
        </row>
        <row r="24">
          <cell r="G24" t="str">
            <v>PIC-Tech-Natl</v>
          </cell>
          <cell r="I24">
            <v>1</v>
          </cell>
          <cell r="J24">
            <v>0</v>
          </cell>
          <cell r="K24">
            <v>0</v>
          </cell>
          <cell r="L24">
            <v>0</v>
          </cell>
          <cell r="M24">
            <v>0</v>
          </cell>
        </row>
        <row r="25">
          <cell r="G25" t="str">
            <v>PIC-PM-Intl</v>
          </cell>
          <cell r="I25">
            <v>1</v>
          </cell>
          <cell r="J25">
            <v>0</v>
          </cell>
          <cell r="K25">
            <v>0</v>
          </cell>
          <cell r="L25">
            <v>0</v>
          </cell>
          <cell r="M25">
            <v>0</v>
          </cell>
        </row>
        <row r="26">
          <cell r="G26" t="str">
            <v>PIC-PM-Natl</v>
          </cell>
          <cell r="I26">
            <v>1</v>
          </cell>
          <cell r="J26">
            <v>0</v>
          </cell>
          <cell r="K26">
            <v>0</v>
          </cell>
          <cell r="L26">
            <v>0</v>
          </cell>
          <cell r="M26">
            <v>0</v>
          </cell>
        </row>
        <row r="27">
          <cell r="G27" t="str">
            <v>PIC-Variety</v>
          </cell>
          <cell r="I27">
            <v>0</v>
          </cell>
          <cell r="J27">
            <v>0</v>
          </cell>
          <cell r="K27">
            <v>1</v>
          </cell>
          <cell r="L27">
            <v>0</v>
          </cell>
          <cell r="M27">
            <v>0</v>
          </cell>
        </row>
        <row r="28">
          <cell r="G28" t="str">
            <v>PIC-ICT</v>
          </cell>
          <cell r="I28">
            <v>0</v>
          </cell>
          <cell r="J28">
            <v>0</v>
          </cell>
          <cell r="K28">
            <v>1</v>
          </cell>
          <cell r="L28">
            <v>0</v>
          </cell>
          <cell r="M28">
            <v>0</v>
          </cell>
        </row>
        <row r="29">
          <cell r="G29" t="str">
            <v>SUPPORT_STAFF</v>
          </cell>
          <cell r="I29">
            <v>1</v>
          </cell>
          <cell r="J29">
            <v>0</v>
          </cell>
          <cell r="K29">
            <v>0</v>
          </cell>
          <cell r="L29">
            <v>0</v>
          </cell>
          <cell r="M29">
            <v>0</v>
          </cell>
        </row>
        <row r="30">
          <cell r="G30" t="str">
            <v>CRM_SUPPORT</v>
          </cell>
          <cell r="I30">
            <v>0</v>
          </cell>
          <cell r="J30">
            <v>0</v>
          </cell>
          <cell r="K30">
            <v>1</v>
          </cell>
          <cell r="L30">
            <v>0</v>
          </cell>
          <cell r="M30">
            <v>0</v>
          </cell>
        </row>
        <row r="31">
          <cell r="G31" t="str">
            <v>RESETTLEMENT</v>
          </cell>
          <cell r="I31">
            <v>0</v>
          </cell>
          <cell r="J31">
            <v>0</v>
          </cell>
          <cell r="K31">
            <v>0</v>
          </cell>
          <cell r="L31">
            <v>1</v>
          </cell>
          <cell r="M31">
            <v>0</v>
          </cell>
        </row>
        <row r="32">
          <cell r="G32" t="str">
            <v>OFFICE_SUPPORT</v>
          </cell>
          <cell r="I32">
            <v>1</v>
          </cell>
          <cell r="J32">
            <v>0</v>
          </cell>
          <cell r="K32">
            <v>0</v>
          </cell>
          <cell r="L32">
            <v>0</v>
          </cell>
          <cell r="M32">
            <v>0</v>
          </cell>
        </row>
        <row r="33">
          <cell r="G33" t="str">
            <v>GOVT_CONTRIBUTION</v>
          </cell>
          <cell r="I33">
            <v>0</v>
          </cell>
          <cell r="J33">
            <v>0</v>
          </cell>
          <cell r="K33">
            <v>0</v>
          </cell>
          <cell r="L33">
            <v>1</v>
          </cell>
          <cell r="M33">
            <v>0</v>
          </cell>
        </row>
      </sheetData>
      <sheetData sheetId="3"/>
      <sheetData sheetId="4"/>
      <sheetData sheetId="5">
        <row r="54">
          <cell r="BF54" t="str">
            <v>OFFICE_SUPPORT</v>
          </cell>
        </row>
        <row r="55">
          <cell r="BF55" t="str">
            <v>OFFICE_SUPPORT</v>
          </cell>
        </row>
        <row r="56">
          <cell r="BF56" t="str">
            <v>OFFICE_SUPPORT</v>
          </cell>
        </row>
        <row r="57">
          <cell r="BF57" t="str">
            <v>OFFICE_SUPPORT</v>
          </cell>
        </row>
        <row r="58">
          <cell r="BF58" t="str">
            <v>OFFICE_SUPPORT</v>
          </cell>
        </row>
        <row r="59">
          <cell r="BF59" t="str">
            <v>OFFICE_SUPPORT</v>
          </cell>
        </row>
        <row r="60">
          <cell r="BF60" t="str">
            <v>OFFICE_SUPPORT</v>
          </cell>
        </row>
        <row r="61">
          <cell r="BF61" t="str">
            <v>OFFICE_SUPPORT</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s"/>
      <sheetName val="Lists"/>
      <sheetName val="FCDI"/>
      <sheetName val="Inflation"/>
      <sheetName val="Investment plan"/>
      <sheetName val="Financing plan"/>
      <sheetName val="Expend category new"/>
      <sheetName val="ADB allocation new"/>
      <sheetName val="DCEF new"/>
      <sheetName val="Output summary new"/>
      <sheetName val="Year summary new"/>
      <sheetName val="Activity summary"/>
      <sheetName val="Financier activity summary"/>
      <sheetName val="18 month budget"/>
      <sheetName val="DCEF old"/>
      <sheetName val="ADB allocation old"/>
      <sheetName val="Expend category old"/>
      <sheetName val="Output summary old"/>
      <sheetName val="Year summary old"/>
      <sheetName val="Funder year"/>
    </sheetNames>
    <sheetDataSet>
      <sheetData sheetId="0"/>
      <sheetData sheetId="1">
        <row r="5">
          <cell r="B5" t="str">
            <v>1</v>
          </cell>
        </row>
        <row r="6">
          <cell r="B6" t="str">
            <v>2</v>
          </cell>
        </row>
        <row r="7">
          <cell r="B7" t="str">
            <v>3</v>
          </cell>
        </row>
        <row r="11">
          <cell r="B11" t="str">
            <v>1.1</v>
          </cell>
        </row>
        <row r="12">
          <cell r="B12" t="str">
            <v>1.2</v>
          </cell>
        </row>
        <row r="13">
          <cell r="B13" t="str">
            <v>1.3</v>
          </cell>
        </row>
        <row r="14">
          <cell r="B14" t="str">
            <v>1.4</v>
          </cell>
        </row>
        <row r="15">
          <cell r="B15" t="str">
            <v>1.5</v>
          </cell>
        </row>
        <row r="16">
          <cell r="B16" t="str">
            <v>1.6</v>
          </cell>
        </row>
        <row r="17">
          <cell r="B17" t="str">
            <v>1.7</v>
          </cell>
        </row>
        <row r="18">
          <cell r="B18" t="str">
            <v>2.1</v>
          </cell>
        </row>
        <row r="19">
          <cell r="B19" t="str">
            <v>2.2</v>
          </cell>
        </row>
        <row r="20">
          <cell r="B20" t="str">
            <v>2.3</v>
          </cell>
        </row>
        <row r="21">
          <cell r="B21" t="str">
            <v>2.4</v>
          </cell>
        </row>
        <row r="22">
          <cell r="B22" t="str">
            <v>2.5</v>
          </cell>
        </row>
        <row r="23">
          <cell r="B23" t="str">
            <v>2.6</v>
          </cell>
        </row>
        <row r="24">
          <cell r="B24" t="str">
            <v>3.1</v>
          </cell>
        </row>
        <row r="25">
          <cell r="B25" t="str">
            <v>3.2</v>
          </cell>
        </row>
        <row r="29">
          <cell r="B29" t="str">
            <v>1A</v>
          </cell>
        </row>
        <row r="30">
          <cell r="B30" t="str">
            <v>1AA</v>
          </cell>
        </row>
        <row r="31">
          <cell r="B31" t="str">
            <v>1AB</v>
          </cell>
        </row>
        <row r="32">
          <cell r="B32" t="str">
            <v>1BA</v>
          </cell>
        </row>
        <row r="33">
          <cell r="B33" t="str">
            <v>1BC</v>
          </cell>
        </row>
        <row r="34">
          <cell r="B34" t="str">
            <v>1CA</v>
          </cell>
        </row>
        <row r="35">
          <cell r="B35" t="str">
            <v>1CB</v>
          </cell>
        </row>
        <row r="36">
          <cell r="B36" t="str">
            <v>1DB</v>
          </cell>
        </row>
        <row r="37">
          <cell r="B37" t="str">
            <v>1E</v>
          </cell>
        </row>
        <row r="38">
          <cell r="B38" t="str">
            <v>2A</v>
          </cell>
        </row>
        <row r="39">
          <cell r="B39" t="str">
            <v>2B</v>
          </cell>
        </row>
        <row r="40">
          <cell r="B40" t="str">
            <v>2C</v>
          </cell>
        </row>
        <row r="41">
          <cell r="B41" t="str">
            <v>3A</v>
          </cell>
        </row>
        <row r="49">
          <cell r="B49" t="str">
            <v>A1</v>
          </cell>
        </row>
        <row r="50">
          <cell r="B50" t="str">
            <v>A2</v>
          </cell>
        </row>
        <row r="51">
          <cell r="B51" t="str">
            <v>A3</v>
          </cell>
        </row>
        <row r="52">
          <cell r="B52" t="str">
            <v>I1</v>
          </cell>
        </row>
        <row r="53">
          <cell r="B53" t="str">
            <v>I2</v>
          </cell>
        </row>
        <row r="54">
          <cell r="B54" t="str">
            <v>R1</v>
          </cell>
        </row>
        <row r="58">
          <cell r="B58" t="str">
            <v>MAFF</v>
          </cell>
        </row>
        <row r="59">
          <cell r="B59" t="str">
            <v>NCDDS</v>
          </cell>
        </row>
        <row r="63">
          <cell r="B63" t="str">
            <v>MAFF-DCU</v>
          </cell>
        </row>
        <row r="64">
          <cell r="B64" t="str">
            <v>NCDDS</v>
          </cell>
        </row>
        <row r="68">
          <cell r="B68" t="str">
            <v>D</v>
          </cell>
        </row>
        <row r="69">
          <cell r="B69" t="str">
            <v>F</v>
          </cell>
        </row>
      </sheetData>
      <sheetData sheetId="2">
        <row r="14">
          <cell r="V14">
            <v>0</v>
          </cell>
        </row>
      </sheetData>
      <sheetData sheetId="3">
        <row r="17">
          <cell r="C17">
            <v>1.4999999999999998E-2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act Staff (MEF) (hardcode)"/>
      <sheetName val="COVER"/>
      <sheetName val="Budget"/>
      <sheetName val="Assumptions"/>
      <sheetName val="RRP"/>
      <sheetName val="PAM"/>
      <sheetName val="Output"/>
      <sheetName val="Exp"/>
      <sheetName val="Out-Fin"/>
      <sheetName val="Exp-Fin"/>
      <sheetName val="Sector-Fin"/>
      <sheetName val="Exp-Out"/>
      <sheetName val="Out-Year"/>
      <sheetName val="Exp-Year"/>
      <sheetName val="ADB"/>
      <sheetName val="GCFL"/>
      <sheetName val="GCFG"/>
      <sheetName val="Beneficiaries"/>
      <sheetName val="Govt"/>
      <sheetName val="Procurement"/>
      <sheetName val="Check"/>
      <sheetName val="Sheet3"/>
      <sheetName val="DT_1"/>
      <sheetName val="DT2"/>
      <sheetName val="DT_3"/>
      <sheetName val="DT_4"/>
      <sheetName val="DT_5"/>
      <sheetName val="DT_6"/>
      <sheetName val="DT_7"/>
      <sheetName val="DT_8"/>
      <sheetName val="DT_9"/>
      <sheetName val="DT_10"/>
      <sheetName val="DT_11"/>
      <sheetName val="DT_12"/>
      <sheetName val="DT_13"/>
      <sheetName val="DT_14"/>
      <sheetName val="DT_15"/>
      <sheetName val="DT_16"/>
      <sheetName val="DT_17"/>
      <sheetName val="DT_18"/>
      <sheetName val="DT_19"/>
      <sheetName val="Distribution"/>
      <sheetName val="MAFF"/>
      <sheetName val="MOWRAM"/>
      <sheetName val="MRD"/>
      <sheetName val="Unassigned"/>
      <sheetName val="Total Base Cost"/>
      <sheetName val="Total Contingency"/>
      <sheetName val="Out-Fin (2)"/>
      <sheetName val="FCDI"/>
      <sheetName val="TO DO"/>
      <sheetName val="TABLES"/>
      <sheetName val="SUMMARY"/>
      <sheetName val="MEF - Vehicle"/>
      <sheetName val="O&amp;M"/>
      <sheetName val="DT"/>
      <sheetName val="GCF"/>
      <sheetName val="GCF - template"/>
      <sheetName val="GCF - template (simplified)"/>
      <sheetName val="MEF - Contract Staff"/>
      <sheetName val="Exp (hardcoded)"/>
      <sheetName val="Exp-Out (hardcoded)"/>
      <sheetName val="Sheet1"/>
      <sheetName val="Sheet2"/>
    </sheetNames>
    <sheetDataSet>
      <sheetData sheetId="0"/>
      <sheetData sheetId="1"/>
      <sheetData sheetId="2">
        <row r="86">
          <cell r="I86" t="str">
            <v>CW1</v>
          </cell>
        </row>
      </sheetData>
      <sheetData sheetId="3">
        <row r="86">
          <cell r="I86" t="str">
            <v>CW1</v>
          </cell>
        </row>
        <row r="87">
          <cell r="I87" t="str">
            <v>CW2</v>
          </cell>
        </row>
        <row r="88">
          <cell r="I88" t="str">
            <v>CW3</v>
          </cell>
        </row>
        <row r="89">
          <cell r="I89" t="str">
            <v>CW4</v>
          </cell>
        </row>
        <row r="90">
          <cell r="I90" t="str">
            <v>CW5</v>
          </cell>
        </row>
        <row r="91">
          <cell r="I91" t="str">
            <v>CW7</v>
          </cell>
        </row>
        <row r="92">
          <cell r="I92" t="str">
            <v>CW11</v>
          </cell>
        </row>
        <row r="93">
          <cell r="I93" t="str">
            <v>CW12</v>
          </cell>
        </row>
        <row r="94">
          <cell r="I94" t="str">
            <v>CW13</v>
          </cell>
        </row>
        <row r="95">
          <cell r="I95" t="str">
            <v>CW14</v>
          </cell>
        </row>
        <row r="96">
          <cell r="I96" t="str">
            <v>CW15</v>
          </cell>
        </row>
        <row r="97">
          <cell r="I97" t="str">
            <v>CW16</v>
          </cell>
        </row>
        <row r="98">
          <cell r="I98" t="str">
            <v>CW17</v>
          </cell>
        </row>
        <row r="99">
          <cell r="I99" t="str">
            <v>CW18</v>
          </cell>
        </row>
        <row r="100">
          <cell r="I100" t="str">
            <v>CW19</v>
          </cell>
        </row>
        <row r="101">
          <cell r="I101" t="str">
            <v>PP_D1</v>
          </cell>
        </row>
        <row r="102">
          <cell r="I102" t="str">
            <v>PP_G1</v>
          </cell>
        </row>
        <row r="103">
          <cell r="I103" t="str">
            <v>PP_G2</v>
          </cell>
        </row>
        <row r="104">
          <cell r="I104" t="str">
            <v>PP_G3</v>
          </cell>
        </row>
        <row r="105">
          <cell r="I105" t="str">
            <v>PP_G4</v>
          </cell>
        </row>
        <row r="106">
          <cell r="I106" t="str">
            <v>PP_G5</v>
          </cell>
        </row>
        <row r="107">
          <cell r="I107" t="str">
            <v>PP_G6</v>
          </cell>
        </row>
        <row r="108">
          <cell r="I108" t="str">
            <v>PP_G7</v>
          </cell>
        </row>
        <row r="109">
          <cell r="I109" t="str">
            <v>PP_G8</v>
          </cell>
        </row>
        <row r="110">
          <cell r="I110" t="str">
            <v>PP_G9</v>
          </cell>
        </row>
        <row r="111">
          <cell r="I111" t="str">
            <v>CS1</v>
          </cell>
        </row>
        <row r="112">
          <cell r="I112" t="str">
            <v>CS2</v>
          </cell>
        </row>
        <row r="113">
          <cell r="I113" t="str">
            <v>CS3</v>
          </cell>
        </row>
        <row r="114">
          <cell r="I114" t="str">
            <v>CS4</v>
          </cell>
        </row>
        <row r="115">
          <cell r="I115" t="str">
            <v>CS5</v>
          </cell>
        </row>
        <row r="116">
          <cell r="I116" t="str">
            <v>CS6</v>
          </cell>
        </row>
        <row r="117">
          <cell r="I117" t="str">
            <v>PMO</v>
          </cell>
        </row>
        <row r="118">
          <cell r="I118" t="str">
            <v>Govt</v>
          </cell>
        </row>
        <row r="119">
          <cell r="I119" t="str">
            <v>N/A</v>
          </cell>
        </row>
        <row r="120">
          <cell r="I120" t="str">
            <v>Spare</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act Staff (MEF) (hardcode)"/>
      <sheetName val="COVER"/>
      <sheetName val="Budget"/>
      <sheetName val="Assumptions"/>
      <sheetName val="RRP"/>
      <sheetName val="PAM"/>
      <sheetName val="Output"/>
      <sheetName val="Exp"/>
      <sheetName val="Out-Fin"/>
      <sheetName val="Exp-Fin"/>
      <sheetName val="Sector-Fin"/>
      <sheetName val="Exp-Out"/>
      <sheetName val="Out-Year"/>
      <sheetName val="Exp-Year"/>
      <sheetName val="ADB"/>
      <sheetName val="GCFL"/>
      <sheetName val="GCFG"/>
      <sheetName val="Beneficiaries"/>
      <sheetName val="Govt"/>
      <sheetName val="Procurement"/>
      <sheetName val="Check"/>
      <sheetName val="Sheet3"/>
      <sheetName val="DT_1"/>
      <sheetName val="DT2"/>
      <sheetName val="DT_3"/>
      <sheetName val="DT_4"/>
      <sheetName val="DT_5"/>
      <sheetName val="DT_6"/>
      <sheetName val="DT_7"/>
      <sheetName val="DT_8"/>
      <sheetName val="DT_9"/>
      <sheetName val="DT_10"/>
      <sheetName val="DT_11"/>
      <sheetName val="DT_12"/>
      <sheetName val="DT_13"/>
      <sheetName val="DT_14"/>
      <sheetName val="DT_15"/>
      <sheetName val="DT_16"/>
      <sheetName val="DT_17"/>
      <sheetName val="DT_18"/>
      <sheetName val="DT_19"/>
      <sheetName val="Distribution"/>
      <sheetName val="MAFF"/>
      <sheetName val="MOWRAM"/>
      <sheetName val="MRD"/>
      <sheetName val="Unassigned"/>
      <sheetName val="Total Base Cost"/>
      <sheetName val="Total Contingency"/>
      <sheetName val="Out-Fin (2)"/>
      <sheetName val="FCDI"/>
      <sheetName val="TO DO"/>
      <sheetName val="TABLES"/>
      <sheetName val="SUMMARY"/>
      <sheetName val="MEF - Vehicle"/>
      <sheetName val="O&amp;M"/>
      <sheetName val="DT"/>
      <sheetName val="GCF"/>
      <sheetName val="GCF - template"/>
      <sheetName val="GCF - template (simplified)"/>
      <sheetName val="MEF - Contract Staff"/>
      <sheetName val="Exp (hardcoded)"/>
      <sheetName val="Exp-Out (hardcoded)"/>
      <sheetName val="Sheet1"/>
      <sheetName val="Sheet2"/>
    </sheetNames>
    <sheetDataSet>
      <sheetData sheetId="0"/>
      <sheetData sheetId="1"/>
      <sheetData sheetId="2"/>
      <sheetData sheetId="3">
        <row r="86">
          <cell r="I86" t="str">
            <v>CW1</v>
          </cell>
        </row>
        <row r="87">
          <cell r="I87" t="str">
            <v>CW2</v>
          </cell>
        </row>
        <row r="88">
          <cell r="I88" t="str">
            <v>CW3</v>
          </cell>
        </row>
        <row r="89">
          <cell r="I89" t="str">
            <v>CW4</v>
          </cell>
        </row>
        <row r="90">
          <cell r="I90" t="str">
            <v>CW5</v>
          </cell>
        </row>
        <row r="91">
          <cell r="I91" t="str">
            <v>CW7</v>
          </cell>
        </row>
        <row r="92">
          <cell r="I92" t="str">
            <v>CW11</v>
          </cell>
        </row>
        <row r="93">
          <cell r="I93" t="str">
            <v>CW12</v>
          </cell>
        </row>
        <row r="94">
          <cell r="I94" t="str">
            <v>CW13</v>
          </cell>
        </row>
        <row r="95">
          <cell r="I95" t="str">
            <v>CW14</v>
          </cell>
        </row>
        <row r="96">
          <cell r="I96" t="str">
            <v>CW15</v>
          </cell>
        </row>
        <row r="97">
          <cell r="I97" t="str">
            <v>CW16</v>
          </cell>
        </row>
        <row r="98">
          <cell r="I98" t="str">
            <v>CW17</v>
          </cell>
        </row>
        <row r="99">
          <cell r="I99" t="str">
            <v>CW18</v>
          </cell>
        </row>
        <row r="100">
          <cell r="I100" t="str">
            <v>CW19</v>
          </cell>
        </row>
        <row r="101">
          <cell r="I101" t="str">
            <v>PP_D1</v>
          </cell>
        </row>
        <row r="102">
          <cell r="I102" t="str">
            <v>PP_G1</v>
          </cell>
        </row>
        <row r="103">
          <cell r="I103" t="str">
            <v>PP_G2</v>
          </cell>
        </row>
        <row r="104">
          <cell r="I104" t="str">
            <v>PP_G3</v>
          </cell>
        </row>
        <row r="105">
          <cell r="I105" t="str">
            <v>PP_G4</v>
          </cell>
        </row>
        <row r="106">
          <cell r="I106" t="str">
            <v>PP_G5</v>
          </cell>
        </row>
        <row r="107">
          <cell r="I107" t="str">
            <v>PP_G6</v>
          </cell>
        </row>
        <row r="108">
          <cell r="I108" t="str">
            <v>PP_G7</v>
          </cell>
        </row>
        <row r="109">
          <cell r="I109" t="str">
            <v>PP_G8</v>
          </cell>
        </row>
        <row r="110">
          <cell r="I110" t="str">
            <v>PP_G9</v>
          </cell>
        </row>
        <row r="111">
          <cell r="I111" t="str">
            <v>CS1</v>
          </cell>
        </row>
        <row r="112">
          <cell r="I112" t="str">
            <v>CS2</v>
          </cell>
        </row>
        <row r="113">
          <cell r="I113" t="str">
            <v>CS3</v>
          </cell>
        </row>
        <row r="114">
          <cell r="I114" t="str">
            <v>CS4</v>
          </cell>
        </row>
        <row r="115">
          <cell r="I115" t="str">
            <v>CS5</v>
          </cell>
        </row>
        <row r="116">
          <cell r="I116" t="str">
            <v>CS6</v>
          </cell>
        </row>
        <row r="117">
          <cell r="I117" t="str">
            <v>PMO</v>
          </cell>
        </row>
        <row r="118">
          <cell r="I118" t="str">
            <v>Govt</v>
          </cell>
        </row>
        <row r="119">
          <cell r="I119" t="str">
            <v>N/A</v>
          </cell>
        </row>
        <row r="120">
          <cell r="I120" t="str">
            <v>Spare</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IOC-MAFF"/>
      <sheetName val="Annex 1"/>
      <sheetName val="Annex 2"/>
      <sheetName val="Annex 3"/>
      <sheetName val="Annex 3 ('MEF)"/>
      <sheetName val="Annex 3 (by Activities)"/>
      <sheetName val="Annex4"/>
      <sheetName val="Annex 5"/>
      <sheetName val="Annex 6"/>
      <sheetName val="Sheet1"/>
      <sheetName val="Summary by EA, Source &amp; Qtr"/>
      <sheetName val="Output"/>
      <sheetName val="Annex 3 (CS)"/>
      <sheetName val="Annex 3 (CS2)"/>
      <sheetName val="Annex 3 (CD)"/>
    </sheetNames>
    <sheetDataSet>
      <sheetData sheetId="0" refreshError="1"/>
      <sheetData sheetId="1" refreshError="1"/>
      <sheetData sheetId="2" refreshError="1">
        <row r="8">
          <cell r="G8" t="str">
            <v>IRRIGATION</v>
          </cell>
          <cell r="I8">
            <v>0.76827006604510995</v>
          </cell>
          <cell r="J8">
            <v>0.12645069473218948</v>
          </cell>
          <cell r="K8">
            <v>0.10527923922270058</v>
          </cell>
          <cell r="L8">
            <v>0</v>
          </cell>
          <cell r="M8">
            <v>0</v>
          </cell>
        </row>
        <row r="9">
          <cell r="G9" t="str">
            <v>ROADS</v>
          </cell>
          <cell r="I9">
            <v>0.76827006604510995</v>
          </cell>
          <cell r="J9">
            <v>0.12645069473218948</v>
          </cell>
          <cell r="K9">
            <v>0.10527923922270058</v>
          </cell>
          <cell r="L9">
            <v>0</v>
          </cell>
          <cell r="M9">
            <v>0</v>
          </cell>
        </row>
        <row r="10">
          <cell r="G10" t="str">
            <v>WAREHOUSES</v>
          </cell>
          <cell r="I10">
            <v>1</v>
          </cell>
          <cell r="J10">
            <v>0</v>
          </cell>
          <cell r="K10">
            <v>0</v>
          </cell>
          <cell r="L10">
            <v>0</v>
          </cell>
          <cell r="M10">
            <v>0</v>
          </cell>
        </row>
        <row r="11">
          <cell r="G11" t="str">
            <v>OTHER_INFRA</v>
          </cell>
          <cell r="I11">
            <v>1</v>
          </cell>
          <cell r="J11">
            <v>0</v>
          </cell>
          <cell r="K11">
            <v>0</v>
          </cell>
          <cell r="L11">
            <v>0</v>
          </cell>
          <cell r="M11">
            <v>0</v>
          </cell>
        </row>
        <row r="12">
          <cell r="G12" t="str">
            <v>BIOGAS</v>
          </cell>
          <cell r="I12">
            <v>0</v>
          </cell>
          <cell r="J12">
            <v>0</v>
          </cell>
          <cell r="K12">
            <v>0.27272727272727271</v>
          </cell>
          <cell r="L12">
            <v>0.30585398202814701</v>
          </cell>
          <cell r="M12">
            <v>0.42141874524458028</v>
          </cell>
        </row>
        <row r="13">
          <cell r="G13" t="str">
            <v>Compost Huts</v>
          </cell>
          <cell r="I13">
            <v>0</v>
          </cell>
          <cell r="J13">
            <v>0</v>
          </cell>
          <cell r="K13">
            <v>0.5</v>
          </cell>
          <cell r="L13">
            <v>0.25</v>
          </cell>
          <cell r="M13">
            <v>0.25</v>
          </cell>
        </row>
        <row r="14">
          <cell r="G14" t="str">
            <v>EQUIPMENT-ADB</v>
          </cell>
          <cell r="I14">
            <v>1</v>
          </cell>
          <cell r="J14">
            <v>0</v>
          </cell>
          <cell r="K14">
            <v>0</v>
          </cell>
          <cell r="L14">
            <v>0</v>
          </cell>
          <cell r="M14">
            <v>0</v>
          </cell>
        </row>
        <row r="15">
          <cell r="G15" t="str">
            <v>EQUIPMENT-ICT</v>
          </cell>
          <cell r="I15">
            <v>0</v>
          </cell>
          <cell r="J15">
            <v>0</v>
          </cell>
          <cell r="K15">
            <v>1</v>
          </cell>
          <cell r="L15">
            <v>0</v>
          </cell>
          <cell r="M15">
            <v>0</v>
          </cell>
        </row>
        <row r="16">
          <cell r="G16" t="str">
            <v>VEHICLES</v>
          </cell>
          <cell r="I16">
            <v>1</v>
          </cell>
          <cell r="J16">
            <v>0</v>
          </cell>
          <cell r="K16">
            <v>0</v>
          </cell>
          <cell r="L16">
            <v>0</v>
          </cell>
          <cell r="M16">
            <v>0</v>
          </cell>
        </row>
        <row r="17">
          <cell r="G17" t="str">
            <v>MATERIALS-ADB</v>
          </cell>
          <cell r="I17">
            <v>1</v>
          </cell>
          <cell r="J17">
            <v>0</v>
          </cell>
          <cell r="K17">
            <v>0</v>
          </cell>
          <cell r="L17">
            <v>0</v>
          </cell>
          <cell r="M17">
            <v>0</v>
          </cell>
        </row>
        <row r="18">
          <cell r="G18" t="str">
            <v>STUDIES</v>
          </cell>
          <cell r="I18">
            <v>0</v>
          </cell>
          <cell r="J18">
            <v>0</v>
          </cell>
          <cell r="K18">
            <v>1</v>
          </cell>
          <cell r="L18">
            <v>0</v>
          </cell>
          <cell r="M18">
            <v>0</v>
          </cell>
        </row>
        <row r="19">
          <cell r="G19" t="str">
            <v>TRAINING</v>
          </cell>
          <cell r="I19">
            <v>0</v>
          </cell>
          <cell r="J19">
            <v>0</v>
          </cell>
          <cell r="K19">
            <v>1</v>
          </cell>
          <cell r="L19">
            <v>0</v>
          </cell>
          <cell r="M19">
            <v>0</v>
          </cell>
        </row>
        <row r="20">
          <cell r="G20" t="str">
            <v>POLICIES_STANDARDS</v>
          </cell>
          <cell r="I20">
            <v>0</v>
          </cell>
          <cell r="J20">
            <v>0</v>
          </cell>
          <cell r="K20">
            <v>1</v>
          </cell>
          <cell r="L20">
            <v>0</v>
          </cell>
          <cell r="M20">
            <v>0</v>
          </cell>
        </row>
        <row r="21">
          <cell r="G21" t="str">
            <v>M&amp;E</v>
          </cell>
          <cell r="I21">
            <v>0</v>
          </cell>
          <cell r="J21">
            <v>0</v>
          </cell>
          <cell r="K21">
            <v>1</v>
          </cell>
          <cell r="L21">
            <v>0</v>
          </cell>
          <cell r="M21">
            <v>0</v>
          </cell>
        </row>
        <row r="22">
          <cell r="G22" t="str">
            <v>PIC-DED</v>
          </cell>
          <cell r="I22">
            <v>1</v>
          </cell>
          <cell r="J22">
            <v>0</v>
          </cell>
          <cell r="K22">
            <v>0</v>
          </cell>
          <cell r="L22">
            <v>0</v>
          </cell>
          <cell r="M22">
            <v>0</v>
          </cell>
        </row>
        <row r="23">
          <cell r="G23" t="str">
            <v>PIC-Tech-Intl</v>
          </cell>
          <cell r="I23">
            <v>1</v>
          </cell>
          <cell r="J23">
            <v>0</v>
          </cell>
          <cell r="K23">
            <v>0</v>
          </cell>
          <cell r="L23">
            <v>0</v>
          </cell>
          <cell r="M23">
            <v>0</v>
          </cell>
        </row>
        <row r="24">
          <cell r="G24" t="str">
            <v>PIC-Tech-Natl</v>
          </cell>
          <cell r="I24">
            <v>1</v>
          </cell>
          <cell r="J24">
            <v>0</v>
          </cell>
          <cell r="K24">
            <v>0</v>
          </cell>
          <cell r="L24">
            <v>0</v>
          </cell>
          <cell r="M24">
            <v>0</v>
          </cell>
        </row>
        <row r="25">
          <cell r="G25" t="str">
            <v>PIC-PM-Intl</v>
          </cell>
          <cell r="I25">
            <v>1</v>
          </cell>
          <cell r="J25">
            <v>0</v>
          </cell>
          <cell r="K25">
            <v>0</v>
          </cell>
          <cell r="L25">
            <v>0</v>
          </cell>
          <cell r="M25">
            <v>0</v>
          </cell>
        </row>
        <row r="26">
          <cell r="G26" t="str">
            <v>PIC-PM-Natl</v>
          </cell>
          <cell r="I26">
            <v>1</v>
          </cell>
          <cell r="J26">
            <v>0</v>
          </cell>
          <cell r="K26">
            <v>0</v>
          </cell>
          <cell r="L26">
            <v>0</v>
          </cell>
          <cell r="M26">
            <v>0</v>
          </cell>
        </row>
        <row r="27">
          <cell r="G27" t="str">
            <v>PIC-Variety</v>
          </cell>
          <cell r="I27">
            <v>0</v>
          </cell>
          <cell r="J27">
            <v>0</v>
          </cell>
          <cell r="K27">
            <v>1</v>
          </cell>
          <cell r="L27">
            <v>0</v>
          </cell>
          <cell r="M27">
            <v>0</v>
          </cell>
        </row>
        <row r="28">
          <cell r="G28" t="str">
            <v>PIC-ICT</v>
          </cell>
          <cell r="I28">
            <v>0</v>
          </cell>
          <cell r="J28">
            <v>0</v>
          </cell>
          <cell r="K28">
            <v>1</v>
          </cell>
          <cell r="L28">
            <v>0</v>
          </cell>
          <cell r="M28">
            <v>0</v>
          </cell>
        </row>
        <row r="29">
          <cell r="G29" t="str">
            <v>SUPPORT_STAFF</v>
          </cell>
          <cell r="I29">
            <v>1</v>
          </cell>
          <cell r="J29">
            <v>0</v>
          </cell>
          <cell r="K29">
            <v>0</v>
          </cell>
          <cell r="L29">
            <v>0</v>
          </cell>
          <cell r="M29">
            <v>0</v>
          </cell>
        </row>
        <row r="30">
          <cell r="G30" t="str">
            <v>CRM_SUPPORT</v>
          </cell>
          <cell r="I30">
            <v>0</v>
          </cell>
          <cell r="J30">
            <v>0</v>
          </cell>
          <cell r="K30">
            <v>1</v>
          </cell>
          <cell r="L30">
            <v>0</v>
          </cell>
          <cell r="M30">
            <v>0</v>
          </cell>
        </row>
        <row r="31">
          <cell r="G31" t="str">
            <v>RESETTLEMENT</v>
          </cell>
          <cell r="I31">
            <v>0</v>
          </cell>
          <cell r="J31">
            <v>0</v>
          </cell>
          <cell r="K31">
            <v>0</v>
          </cell>
          <cell r="L31">
            <v>1</v>
          </cell>
          <cell r="M31">
            <v>0</v>
          </cell>
        </row>
        <row r="32">
          <cell r="G32" t="str">
            <v>OFFICE_SUPPORT</v>
          </cell>
          <cell r="I32">
            <v>1</v>
          </cell>
          <cell r="J32">
            <v>0</v>
          </cell>
          <cell r="K32">
            <v>0</v>
          </cell>
          <cell r="L32">
            <v>0</v>
          </cell>
          <cell r="M32">
            <v>0</v>
          </cell>
        </row>
        <row r="33">
          <cell r="G33" t="str">
            <v>GOVT_CONTRIBUTION</v>
          </cell>
          <cell r="I33">
            <v>0</v>
          </cell>
          <cell r="J33">
            <v>0</v>
          </cell>
          <cell r="K33">
            <v>0</v>
          </cell>
          <cell r="L33">
            <v>1</v>
          </cell>
          <cell r="M33">
            <v>0</v>
          </cell>
        </row>
        <row r="110">
          <cell r="G110" t="str">
            <v>WATER_RESOURCES</v>
          </cell>
          <cell r="J110" t="str">
            <v>MOWRAM</v>
          </cell>
        </row>
        <row r="111">
          <cell r="G111" t="str">
            <v>COOPERATIVES</v>
          </cell>
          <cell r="J111" t="str">
            <v>MAFF</v>
          </cell>
        </row>
        <row r="112">
          <cell r="G112" t="str">
            <v>ROADS</v>
          </cell>
          <cell r="J112" t="str">
            <v>MRD</v>
          </cell>
        </row>
        <row r="113">
          <cell r="G113" t="str">
            <v>TESTING_INFRASTRUCTURE</v>
          </cell>
          <cell r="J113" t="str">
            <v>MAFF-GDA</v>
          </cell>
        </row>
        <row r="114">
          <cell r="G114" t="str">
            <v>BIOGAS</v>
          </cell>
          <cell r="J114" t="str">
            <v>MAFF-GDAHP</v>
          </cell>
        </row>
        <row r="115">
          <cell r="G115">
            <v>0</v>
          </cell>
          <cell r="J115">
            <v>0</v>
          </cell>
        </row>
        <row r="116">
          <cell r="G116" t="str">
            <v>RESILIENT_VARIETIES</v>
          </cell>
          <cell r="J116" t="str">
            <v>MAFF-CARDI</v>
          </cell>
        </row>
        <row r="117">
          <cell r="G117" t="str">
            <v>CAPACITY_STRENGTHENING</v>
          </cell>
          <cell r="J117" t="str">
            <v>MAFF-GDA</v>
          </cell>
        </row>
        <row r="118">
          <cell r="G118" t="str">
            <v>MECHANICAL_WORKSHOP</v>
          </cell>
          <cell r="J118" t="str">
            <v>MAFF-GDA</v>
          </cell>
        </row>
        <row r="119">
          <cell r="G119">
            <v>0</v>
          </cell>
          <cell r="J119">
            <v>0</v>
          </cell>
        </row>
        <row r="120">
          <cell r="G120" t="str">
            <v>POLICY_STANDARDS</v>
          </cell>
          <cell r="J120" t="str">
            <v>MAFF-GDA</v>
          </cell>
        </row>
        <row r="121">
          <cell r="G121" t="str">
            <v>GREEN_FINANCING</v>
          </cell>
          <cell r="J121" t="str">
            <v>MAFF-GDA</v>
          </cell>
        </row>
        <row r="122">
          <cell r="G122" t="str">
            <v>ICT</v>
          </cell>
          <cell r="J122" t="str">
            <v>MAFF-GDA</v>
          </cell>
        </row>
      </sheetData>
      <sheetData sheetId="3" refreshError="1"/>
      <sheetData sheetId="4" refreshError="1">
        <row r="50">
          <cell r="AF50" t="str">
            <v>MECHANICAL_WORKSHOP</v>
          </cell>
        </row>
        <row r="208">
          <cell r="AF208" t="str">
            <v>BIOGAS</v>
          </cell>
        </row>
        <row r="210">
          <cell r="AF210" t="str">
            <v>BIOGAS</v>
          </cell>
        </row>
        <row r="211">
          <cell r="AF211" t="str">
            <v>BIOGAS</v>
          </cell>
        </row>
        <row r="214">
          <cell r="AF214" t="str">
            <v>BIOGAS</v>
          </cell>
        </row>
        <row r="217">
          <cell r="AF217" t="str">
            <v>BIOGAS</v>
          </cell>
        </row>
        <row r="260">
          <cell r="AF260" t="str">
            <v>CAPACITY_STRENGTHENING</v>
          </cell>
        </row>
        <row r="261">
          <cell r="AF261" t="str">
            <v>CAPACITY_STRENGTHENING</v>
          </cell>
        </row>
        <row r="265">
          <cell r="AF265" t="str">
            <v>CAPACITY_STRENGTHENING</v>
          </cell>
        </row>
        <row r="269">
          <cell r="AF269" t="str">
            <v>CAPACITY_STRENGTHENING</v>
          </cell>
        </row>
        <row r="270">
          <cell r="AF270" t="str">
            <v>CAPACITY_STRENGTHENING</v>
          </cell>
        </row>
        <row r="272">
          <cell r="AF272" t="str">
            <v>CAPACITY_STRENGTHENING</v>
          </cell>
        </row>
        <row r="273">
          <cell r="AF273" t="str">
            <v>CAPACITY_STRENGTHENING</v>
          </cell>
        </row>
        <row r="274">
          <cell r="AF274" t="str">
            <v>CAPACITY_STRENGTHENING</v>
          </cell>
        </row>
        <row r="278">
          <cell r="AF278" t="str">
            <v>CAPACITY_STRENGTHENING</v>
          </cell>
        </row>
        <row r="279">
          <cell r="AF279" t="str">
            <v>CAPACITY_STRENGTHENING</v>
          </cell>
        </row>
        <row r="357">
          <cell r="AF357" t="str">
            <v>GREEN_FINANCING</v>
          </cell>
        </row>
        <row r="359">
          <cell r="AF359" t="str">
            <v>GREEN_FINANCING</v>
          </cell>
        </row>
        <row r="360">
          <cell r="AF360" t="str">
            <v>GREEN_FINANCING</v>
          </cell>
        </row>
        <row r="361">
          <cell r="AF361" t="str">
            <v>GREEN_FINANCING</v>
          </cell>
        </row>
        <row r="364">
          <cell r="AF364" t="str">
            <v>GREEN_FINANCING</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IOC-MAFF"/>
      <sheetName val="Annex 1"/>
      <sheetName val="Annex 2"/>
      <sheetName val="Annex 3"/>
      <sheetName val="Annex4"/>
      <sheetName val="Annex 5"/>
      <sheetName val="Annwx 6"/>
      <sheetName val="Summary by EA, Source &amp; Qtr"/>
      <sheetName val="Output"/>
      <sheetName val="CD"/>
    </sheetNames>
    <sheetDataSet>
      <sheetData sheetId="0" refreshError="1"/>
      <sheetData sheetId="1" refreshError="1"/>
      <sheetData sheetId="2" refreshError="1">
        <row r="8">
          <cell r="G8" t="str">
            <v>IRRIGATION</v>
          </cell>
          <cell r="I8">
            <v>0.76827006604510995</v>
          </cell>
          <cell r="J8">
            <v>0.12645069473218948</v>
          </cell>
          <cell r="K8">
            <v>0.10527923922270058</v>
          </cell>
          <cell r="L8">
            <v>0</v>
          </cell>
          <cell r="M8">
            <v>0</v>
          </cell>
        </row>
        <row r="9">
          <cell r="G9" t="str">
            <v>ROADS</v>
          </cell>
          <cell r="I9">
            <v>0.76827006604510995</v>
          </cell>
          <cell r="J9">
            <v>0.12645069473218948</v>
          </cell>
          <cell r="K9">
            <v>0.10527923922270058</v>
          </cell>
          <cell r="L9">
            <v>0</v>
          </cell>
          <cell r="M9">
            <v>0</v>
          </cell>
        </row>
        <row r="10">
          <cell r="G10" t="str">
            <v>WAREHOUSES</v>
          </cell>
          <cell r="I10">
            <v>1</v>
          </cell>
          <cell r="J10">
            <v>0</v>
          </cell>
          <cell r="K10">
            <v>0</v>
          </cell>
          <cell r="L10">
            <v>0</v>
          </cell>
          <cell r="M10">
            <v>0</v>
          </cell>
        </row>
        <row r="11">
          <cell r="G11" t="str">
            <v>OTHER_INFRA</v>
          </cell>
          <cell r="I11">
            <v>1</v>
          </cell>
          <cell r="J11">
            <v>0</v>
          </cell>
          <cell r="K11">
            <v>0</v>
          </cell>
          <cell r="L11">
            <v>0</v>
          </cell>
          <cell r="M11">
            <v>0</v>
          </cell>
        </row>
        <row r="12">
          <cell r="G12" t="str">
            <v>BIOGAS</v>
          </cell>
          <cell r="I12">
            <v>0</v>
          </cell>
          <cell r="J12">
            <v>0</v>
          </cell>
          <cell r="K12">
            <v>0.27272727272727271</v>
          </cell>
          <cell r="L12">
            <v>0.30585398202814701</v>
          </cell>
          <cell r="M12">
            <v>0.42141874524458028</v>
          </cell>
        </row>
        <row r="13">
          <cell r="G13" t="str">
            <v>Compost Huts</v>
          </cell>
          <cell r="I13">
            <v>0</v>
          </cell>
          <cell r="J13">
            <v>0</v>
          </cell>
          <cell r="K13">
            <v>0.5</v>
          </cell>
          <cell r="L13">
            <v>0.25</v>
          </cell>
          <cell r="M13">
            <v>0.25</v>
          </cell>
        </row>
        <row r="14">
          <cell r="G14" t="str">
            <v>EQUIPMENT-ADB</v>
          </cell>
          <cell r="I14">
            <v>1</v>
          </cell>
          <cell r="J14">
            <v>0</v>
          </cell>
          <cell r="K14">
            <v>0</v>
          </cell>
          <cell r="L14">
            <v>0</v>
          </cell>
          <cell r="M14">
            <v>0</v>
          </cell>
        </row>
        <row r="15">
          <cell r="G15" t="str">
            <v>EQUIPMENT-ICT</v>
          </cell>
          <cell r="I15">
            <v>0</v>
          </cell>
          <cell r="J15">
            <v>0</v>
          </cell>
          <cell r="K15">
            <v>1</v>
          </cell>
          <cell r="L15">
            <v>0</v>
          </cell>
          <cell r="M15">
            <v>0</v>
          </cell>
        </row>
        <row r="16">
          <cell r="G16" t="str">
            <v>VEHICLES</v>
          </cell>
          <cell r="I16">
            <v>1</v>
          </cell>
          <cell r="J16">
            <v>0</v>
          </cell>
          <cell r="K16">
            <v>0</v>
          </cell>
          <cell r="L16">
            <v>0</v>
          </cell>
          <cell r="M16">
            <v>0</v>
          </cell>
        </row>
        <row r="17">
          <cell r="G17" t="str">
            <v>MATERIALS-ADB</v>
          </cell>
          <cell r="I17">
            <v>1</v>
          </cell>
          <cell r="J17">
            <v>0</v>
          </cell>
          <cell r="K17">
            <v>0</v>
          </cell>
          <cell r="L17">
            <v>0</v>
          </cell>
          <cell r="M17">
            <v>0</v>
          </cell>
        </row>
        <row r="18">
          <cell r="G18" t="str">
            <v>STUDIES</v>
          </cell>
          <cell r="I18">
            <v>0</v>
          </cell>
          <cell r="J18">
            <v>0</v>
          </cell>
          <cell r="K18">
            <v>1</v>
          </cell>
          <cell r="L18">
            <v>0</v>
          </cell>
          <cell r="M18">
            <v>0</v>
          </cell>
        </row>
        <row r="19">
          <cell r="G19" t="str">
            <v>TRAINING</v>
          </cell>
          <cell r="I19">
            <v>0</v>
          </cell>
          <cell r="J19">
            <v>0</v>
          </cell>
          <cell r="K19">
            <v>1</v>
          </cell>
          <cell r="L19">
            <v>0</v>
          </cell>
          <cell r="M19">
            <v>0</v>
          </cell>
        </row>
        <row r="20">
          <cell r="G20" t="str">
            <v>POLICIES_STANDARDS</v>
          </cell>
          <cell r="I20">
            <v>0</v>
          </cell>
          <cell r="J20">
            <v>0</v>
          </cell>
          <cell r="K20">
            <v>1</v>
          </cell>
          <cell r="L20">
            <v>0</v>
          </cell>
          <cell r="M20">
            <v>0</v>
          </cell>
        </row>
        <row r="21">
          <cell r="G21" t="str">
            <v>M&amp;E</v>
          </cell>
          <cell r="I21">
            <v>0</v>
          </cell>
          <cell r="J21">
            <v>0</v>
          </cell>
          <cell r="K21">
            <v>1</v>
          </cell>
          <cell r="L21">
            <v>0</v>
          </cell>
          <cell r="M21">
            <v>0</v>
          </cell>
        </row>
        <row r="22">
          <cell r="G22" t="str">
            <v>PIC-DED</v>
          </cell>
          <cell r="I22">
            <v>1</v>
          </cell>
          <cell r="J22">
            <v>0</v>
          </cell>
          <cell r="K22">
            <v>0</v>
          </cell>
          <cell r="L22">
            <v>0</v>
          </cell>
          <cell r="M22">
            <v>0</v>
          </cell>
        </row>
        <row r="23">
          <cell r="G23" t="str">
            <v>PIC-Tech-Intl</v>
          </cell>
          <cell r="I23">
            <v>1</v>
          </cell>
          <cell r="J23">
            <v>0</v>
          </cell>
          <cell r="K23">
            <v>0</v>
          </cell>
          <cell r="L23">
            <v>0</v>
          </cell>
          <cell r="M23">
            <v>0</v>
          </cell>
        </row>
        <row r="24">
          <cell r="G24" t="str">
            <v>PIC-Tech-Natl</v>
          </cell>
          <cell r="I24">
            <v>1</v>
          </cell>
          <cell r="J24">
            <v>0</v>
          </cell>
          <cell r="K24">
            <v>0</v>
          </cell>
          <cell r="L24">
            <v>0</v>
          </cell>
          <cell r="M24">
            <v>0</v>
          </cell>
        </row>
        <row r="25">
          <cell r="G25" t="str">
            <v>PIC-PM-Intl</v>
          </cell>
          <cell r="I25">
            <v>1</v>
          </cell>
          <cell r="J25">
            <v>0</v>
          </cell>
          <cell r="K25">
            <v>0</v>
          </cell>
          <cell r="L25">
            <v>0</v>
          </cell>
          <cell r="M25">
            <v>0</v>
          </cell>
        </row>
        <row r="26">
          <cell r="G26" t="str">
            <v>PIC-PM-Natl</v>
          </cell>
          <cell r="I26">
            <v>1</v>
          </cell>
          <cell r="J26">
            <v>0</v>
          </cell>
          <cell r="K26">
            <v>0</v>
          </cell>
          <cell r="L26">
            <v>0</v>
          </cell>
          <cell r="M26">
            <v>0</v>
          </cell>
        </row>
        <row r="27">
          <cell r="G27" t="str">
            <v>PIC-Variety</v>
          </cell>
          <cell r="I27">
            <v>0</v>
          </cell>
          <cell r="J27">
            <v>0</v>
          </cell>
          <cell r="K27">
            <v>1</v>
          </cell>
          <cell r="L27">
            <v>0</v>
          </cell>
          <cell r="M27">
            <v>0</v>
          </cell>
        </row>
        <row r="28">
          <cell r="G28" t="str">
            <v>PIC-ICT</v>
          </cell>
          <cell r="I28">
            <v>0</v>
          </cell>
          <cell r="J28">
            <v>0</v>
          </cell>
          <cell r="K28">
            <v>1</v>
          </cell>
          <cell r="L28">
            <v>0</v>
          </cell>
          <cell r="M28">
            <v>0</v>
          </cell>
        </row>
        <row r="29">
          <cell r="G29" t="str">
            <v>SUPPORT_STAFF</v>
          </cell>
          <cell r="I29">
            <v>1</v>
          </cell>
          <cell r="J29">
            <v>0</v>
          </cell>
          <cell r="K29">
            <v>0</v>
          </cell>
          <cell r="L29">
            <v>0</v>
          </cell>
          <cell r="M29">
            <v>0</v>
          </cell>
        </row>
        <row r="30">
          <cell r="G30" t="str">
            <v>CRM_SUPPORT</v>
          </cell>
          <cell r="I30">
            <v>0</v>
          </cell>
          <cell r="J30">
            <v>0</v>
          </cell>
          <cell r="K30">
            <v>1</v>
          </cell>
          <cell r="L30">
            <v>0</v>
          </cell>
          <cell r="M30">
            <v>0</v>
          </cell>
        </row>
        <row r="31">
          <cell r="G31" t="str">
            <v>RESETTLEMENT</v>
          </cell>
          <cell r="I31">
            <v>0</v>
          </cell>
          <cell r="J31">
            <v>0</v>
          </cell>
          <cell r="K31">
            <v>0</v>
          </cell>
          <cell r="L31">
            <v>1</v>
          </cell>
          <cell r="M31">
            <v>0</v>
          </cell>
        </row>
        <row r="32">
          <cell r="G32" t="str">
            <v>OFFICE_SUPPORT</v>
          </cell>
          <cell r="I32">
            <v>1</v>
          </cell>
          <cell r="J32">
            <v>0</v>
          </cell>
          <cell r="K32">
            <v>0</v>
          </cell>
          <cell r="L32">
            <v>0</v>
          </cell>
          <cell r="M32">
            <v>0</v>
          </cell>
        </row>
        <row r="33">
          <cell r="G33" t="str">
            <v>GOVT_CONTRIBUTION</v>
          </cell>
          <cell r="I33">
            <v>0</v>
          </cell>
          <cell r="J33">
            <v>0</v>
          </cell>
          <cell r="K33">
            <v>0</v>
          </cell>
          <cell r="L33">
            <v>1</v>
          </cell>
          <cell r="M33">
            <v>0</v>
          </cell>
        </row>
      </sheetData>
      <sheetData sheetId="3" refreshError="1">
        <row r="202">
          <cell r="AE202">
            <v>0</v>
          </cell>
          <cell r="AF202">
            <v>0</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 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 2"/>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 2_Code"/>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37"/>
  <sheetViews>
    <sheetView topLeftCell="G1" zoomScaleNormal="100" workbookViewId="0">
      <pane ySplit="7" topLeftCell="A27" activePane="bottomLeft" state="frozen"/>
      <selection activeCell="G1" sqref="G1"/>
      <selection pane="bottomLeft" activeCell="W34" sqref="W34"/>
    </sheetView>
  </sheetViews>
  <sheetFormatPr defaultColWidth="8.85546875" defaultRowHeight="12.75"/>
  <cols>
    <col min="1" max="2" width="9.140625" style="86" customWidth="1"/>
    <col min="3" max="3" width="3" style="86" customWidth="1"/>
    <col min="4" max="4" width="4" style="86" customWidth="1"/>
    <col min="5" max="5" width="3.85546875" style="86" customWidth="1"/>
    <col min="6" max="6" width="67.140625" style="86" customWidth="1"/>
    <col min="7" max="7" width="8" style="86" customWidth="1"/>
    <col min="8" max="8" width="13.42578125" style="85" customWidth="1"/>
    <col min="9" max="10" width="7" style="82" customWidth="1"/>
    <col min="11" max="11" width="8.42578125" style="82" customWidth="1"/>
    <col min="12" max="12" width="7" style="82" customWidth="1"/>
    <col min="13" max="13" width="8.42578125" style="83" customWidth="1"/>
    <col min="14" max="14" width="1.85546875" style="84" customWidth="1"/>
    <col min="15" max="15" width="13.42578125" style="85" customWidth="1"/>
    <col min="16" max="18" width="13" style="86" bestFit="1" customWidth="1"/>
    <col min="19" max="19" width="14.85546875" style="87" customWidth="1"/>
    <col min="20" max="20" width="2.42578125" style="87" customWidth="1"/>
    <col min="21" max="16384" width="8.85546875" style="86"/>
  </cols>
  <sheetData>
    <row r="1" spans="1:23" ht="20.25" customHeight="1">
      <c r="A1" s="2570" t="s">
        <v>65</v>
      </c>
      <c r="B1" s="2570"/>
      <c r="C1" s="2570"/>
      <c r="D1" s="2570"/>
      <c r="E1" s="2570"/>
      <c r="F1" s="2570"/>
      <c r="G1" s="2570"/>
      <c r="H1" s="2570"/>
      <c r="I1" s="2570"/>
      <c r="J1" s="2570"/>
      <c r="K1" s="2570"/>
    </row>
    <row r="2" spans="1:23" ht="20.25" customHeight="1">
      <c r="A2" s="87" t="s">
        <v>66</v>
      </c>
      <c r="B2" s="87"/>
      <c r="C2" s="87"/>
      <c r="D2" s="87"/>
    </row>
    <row r="3" spans="1:23" ht="20.25" customHeight="1">
      <c r="A3" s="88" t="s">
        <v>67</v>
      </c>
      <c r="B3" s="89"/>
      <c r="C3" s="89"/>
      <c r="D3" s="89"/>
    </row>
    <row r="4" spans="1:23" ht="13.5" customHeight="1">
      <c r="A4" s="89"/>
      <c r="B4" s="89"/>
      <c r="C4" s="89"/>
      <c r="D4" s="89"/>
    </row>
    <row r="5" spans="1:23" s="92" customFormat="1" ht="16.5" customHeight="1">
      <c r="A5" s="2571" t="s">
        <v>68</v>
      </c>
      <c r="B5" s="2571" t="s">
        <v>69</v>
      </c>
      <c r="C5" s="2574" t="s">
        <v>70</v>
      </c>
      <c r="D5" s="2575"/>
      <c r="E5" s="2575"/>
      <c r="F5" s="2580" t="s">
        <v>5</v>
      </c>
      <c r="G5" s="2574" t="s">
        <v>1</v>
      </c>
      <c r="H5" s="2582" t="s">
        <v>71</v>
      </c>
      <c r="I5" s="2585" t="s">
        <v>2</v>
      </c>
      <c r="J5" s="2585"/>
      <c r="K5" s="2585"/>
      <c r="L5" s="2585"/>
      <c r="M5" s="2585"/>
      <c r="N5" s="90"/>
      <c r="O5" s="2563" t="s">
        <v>3</v>
      </c>
      <c r="P5" s="2563"/>
      <c r="Q5" s="2563"/>
      <c r="R5" s="2563"/>
      <c r="S5" s="2564"/>
      <c r="T5" s="91"/>
      <c r="U5" s="2567" t="s">
        <v>4</v>
      </c>
      <c r="V5" s="2568"/>
      <c r="W5" s="2569"/>
    </row>
    <row r="6" spans="1:23" s="92" customFormat="1" ht="15.75" customHeight="1">
      <c r="A6" s="2572"/>
      <c r="B6" s="2572"/>
      <c r="C6" s="2576"/>
      <c r="D6" s="2577"/>
      <c r="E6" s="2577"/>
      <c r="F6" s="2581"/>
      <c r="G6" s="2576"/>
      <c r="H6" s="2583"/>
      <c r="I6" s="2565"/>
      <c r="J6" s="2565"/>
      <c r="K6" s="2565"/>
      <c r="L6" s="2565"/>
      <c r="M6" s="2565"/>
      <c r="N6" s="93"/>
      <c r="O6" s="2565"/>
      <c r="P6" s="2565"/>
      <c r="Q6" s="2565"/>
      <c r="R6" s="2565"/>
      <c r="S6" s="2566"/>
      <c r="T6" s="94"/>
      <c r="U6" s="95" t="s">
        <v>24</v>
      </c>
      <c r="V6" s="95" t="s">
        <v>59</v>
      </c>
      <c r="W6" s="96" t="s">
        <v>25</v>
      </c>
    </row>
    <row r="7" spans="1:23" s="92" customFormat="1" ht="15" customHeight="1">
      <c r="A7" s="2573"/>
      <c r="B7" s="2573"/>
      <c r="C7" s="2578"/>
      <c r="D7" s="2579"/>
      <c r="E7" s="2579"/>
      <c r="F7" s="2581"/>
      <c r="G7" s="2578"/>
      <c r="H7" s="2584"/>
      <c r="I7" s="97" t="s">
        <v>6</v>
      </c>
      <c r="J7" s="97" t="s">
        <v>7</v>
      </c>
      <c r="K7" s="97" t="s">
        <v>8</v>
      </c>
      <c r="L7" s="97" t="s">
        <v>9</v>
      </c>
      <c r="M7" s="97" t="s">
        <v>10</v>
      </c>
      <c r="N7" s="93"/>
      <c r="O7" s="93" t="s">
        <v>6</v>
      </c>
      <c r="P7" s="93" t="s">
        <v>7</v>
      </c>
      <c r="Q7" s="93" t="s">
        <v>8</v>
      </c>
      <c r="R7" s="93" t="s">
        <v>9</v>
      </c>
      <c r="S7" s="96" t="s">
        <v>10</v>
      </c>
      <c r="T7" s="98"/>
      <c r="U7" s="98" t="s">
        <v>26</v>
      </c>
      <c r="V7" s="98" t="s">
        <v>72</v>
      </c>
      <c r="W7" s="96"/>
    </row>
    <row r="8" spans="1:23" ht="20.25" customHeight="1">
      <c r="A8" s="99"/>
      <c r="B8" s="99"/>
      <c r="C8" s="100" t="s">
        <v>27</v>
      </c>
      <c r="D8" s="101"/>
      <c r="E8" s="102"/>
      <c r="F8" s="103"/>
      <c r="G8" s="104"/>
      <c r="H8" s="105"/>
      <c r="I8" s="105"/>
      <c r="J8" s="105"/>
      <c r="K8" s="105"/>
      <c r="L8" s="105"/>
      <c r="M8" s="106"/>
      <c r="N8" s="105"/>
      <c r="O8" s="105"/>
      <c r="P8" s="107"/>
      <c r="Q8" s="107"/>
      <c r="R8" s="107"/>
      <c r="S8" s="108"/>
      <c r="T8" s="109"/>
      <c r="U8" s="110"/>
      <c r="V8" s="110"/>
      <c r="W8" s="111"/>
    </row>
    <row r="9" spans="1:23" s="124" customFormat="1" ht="20.25" customHeight="1">
      <c r="A9" s="112"/>
      <c r="B9" s="112"/>
      <c r="C9" s="113"/>
      <c r="D9" s="114" t="s">
        <v>73</v>
      </c>
      <c r="E9" s="115"/>
      <c r="F9" s="116" t="s">
        <v>28</v>
      </c>
      <c r="G9" s="117"/>
      <c r="H9" s="118"/>
      <c r="I9" s="118"/>
      <c r="J9" s="118"/>
      <c r="K9" s="118"/>
      <c r="L9" s="118"/>
      <c r="M9" s="119"/>
      <c r="N9" s="118"/>
      <c r="O9" s="118"/>
      <c r="P9" s="118"/>
      <c r="Q9" s="118"/>
      <c r="R9" s="118"/>
      <c r="S9" s="120"/>
      <c r="T9" s="121"/>
      <c r="U9" s="122"/>
      <c r="V9" s="122"/>
      <c r="W9" s="123"/>
    </row>
    <row r="10" spans="1:23" s="124" customFormat="1" ht="20.25" hidden="1" customHeight="1">
      <c r="A10" s="112"/>
      <c r="B10" s="112"/>
      <c r="C10" s="113"/>
      <c r="D10" s="115"/>
      <c r="E10" s="115"/>
      <c r="F10" s="125"/>
      <c r="G10" s="126"/>
      <c r="H10" s="118"/>
      <c r="I10" s="118"/>
      <c r="J10" s="118"/>
      <c r="K10" s="118"/>
      <c r="L10" s="118"/>
      <c r="M10" s="119"/>
      <c r="N10" s="118"/>
      <c r="O10" s="118"/>
      <c r="P10" s="118"/>
      <c r="Q10" s="118"/>
      <c r="R10" s="118"/>
      <c r="S10" s="120"/>
      <c r="T10" s="121"/>
      <c r="U10" s="122"/>
      <c r="V10" s="122"/>
      <c r="W10" s="123"/>
    </row>
    <row r="11" spans="1:23" s="124" customFormat="1" ht="20.25" hidden="1" customHeight="1">
      <c r="A11" s="112"/>
      <c r="B11" s="112"/>
      <c r="C11" s="113"/>
      <c r="D11" s="115"/>
      <c r="E11" s="115"/>
      <c r="F11" s="125"/>
      <c r="G11" s="126"/>
      <c r="H11" s="118"/>
      <c r="I11" s="118"/>
      <c r="J11" s="118"/>
      <c r="K11" s="118"/>
      <c r="L11" s="118"/>
      <c r="M11" s="119"/>
      <c r="N11" s="118"/>
      <c r="O11" s="118"/>
      <c r="P11" s="118"/>
      <c r="Q11" s="118"/>
      <c r="R11" s="118"/>
      <c r="S11" s="120"/>
      <c r="T11" s="121"/>
      <c r="U11" s="122"/>
      <c r="V11" s="122"/>
      <c r="W11" s="123"/>
    </row>
    <row r="12" spans="1:23" s="124" customFormat="1" ht="20.25" hidden="1" customHeight="1">
      <c r="A12" s="112"/>
      <c r="B12" s="112"/>
      <c r="C12" s="113"/>
      <c r="D12" s="115"/>
      <c r="E12" s="115"/>
      <c r="F12" s="125"/>
      <c r="G12" s="126"/>
      <c r="H12" s="118"/>
      <c r="I12" s="118"/>
      <c r="J12" s="118"/>
      <c r="K12" s="118"/>
      <c r="L12" s="118"/>
      <c r="M12" s="119"/>
      <c r="N12" s="118"/>
      <c r="O12" s="118"/>
      <c r="P12" s="118"/>
      <c r="Q12" s="118"/>
      <c r="R12" s="118"/>
      <c r="S12" s="120"/>
      <c r="T12" s="121"/>
      <c r="U12" s="122"/>
      <c r="V12" s="122"/>
      <c r="W12" s="123"/>
    </row>
    <row r="13" spans="1:23" s="124" customFormat="1" ht="20.25" hidden="1" customHeight="1">
      <c r="A13" s="112"/>
      <c r="B13" s="112"/>
      <c r="C13" s="113"/>
      <c r="D13" s="115"/>
      <c r="E13" s="115"/>
      <c r="F13" s="125"/>
      <c r="G13" s="126"/>
      <c r="H13" s="118"/>
      <c r="I13" s="118"/>
      <c r="J13" s="118"/>
      <c r="K13" s="118"/>
      <c r="L13" s="118"/>
      <c r="M13" s="119"/>
      <c r="N13" s="118"/>
      <c r="O13" s="118"/>
      <c r="P13" s="118"/>
      <c r="Q13" s="118"/>
      <c r="R13" s="118"/>
      <c r="S13" s="120"/>
      <c r="T13" s="121"/>
      <c r="U13" s="122"/>
      <c r="V13" s="122"/>
      <c r="W13" s="123"/>
    </row>
    <row r="14" spans="1:23" s="124" customFormat="1" ht="20.25" customHeight="1">
      <c r="A14" s="127" t="s">
        <v>34</v>
      </c>
      <c r="B14" s="112"/>
      <c r="C14" s="113"/>
      <c r="D14" s="115"/>
      <c r="E14" s="101" t="s">
        <v>74</v>
      </c>
      <c r="F14" s="128" t="s">
        <v>75</v>
      </c>
      <c r="G14" s="129" t="s">
        <v>76</v>
      </c>
      <c r="H14" s="118">
        <v>4570</v>
      </c>
      <c r="I14" s="118">
        <v>3</v>
      </c>
      <c r="J14" s="118">
        <v>3</v>
      </c>
      <c r="K14" s="118">
        <v>3</v>
      </c>
      <c r="L14" s="118">
        <v>3</v>
      </c>
      <c r="M14" s="119">
        <f>SUM(I14:L14)</f>
        <v>12</v>
      </c>
      <c r="N14" s="118"/>
      <c r="O14" s="118">
        <f t="shared" ref="O14:R15" si="0">$H14*I14</f>
        <v>13710</v>
      </c>
      <c r="P14" s="118">
        <f t="shared" si="0"/>
        <v>13710</v>
      </c>
      <c r="Q14" s="118">
        <f t="shared" si="0"/>
        <v>13710</v>
      </c>
      <c r="R14" s="118">
        <f t="shared" si="0"/>
        <v>13710</v>
      </c>
      <c r="S14" s="120">
        <f>SUM(O14:R14)</f>
        <v>54840</v>
      </c>
      <c r="T14" s="130"/>
      <c r="U14" s="122"/>
      <c r="V14" s="122"/>
      <c r="W14" s="123" t="s">
        <v>25</v>
      </c>
    </row>
    <row r="15" spans="1:23" ht="20.25" customHeight="1">
      <c r="A15" s="127" t="s">
        <v>34</v>
      </c>
      <c r="B15" s="131"/>
      <c r="C15" s="132"/>
      <c r="D15" s="133"/>
      <c r="E15" s="101" t="s">
        <v>77</v>
      </c>
      <c r="F15" s="128" t="s">
        <v>78</v>
      </c>
      <c r="G15" s="129" t="s">
        <v>76</v>
      </c>
      <c r="H15" s="134">
        <v>2760</v>
      </c>
      <c r="I15" s="134">
        <v>3</v>
      </c>
      <c r="J15" s="134">
        <v>3</v>
      </c>
      <c r="K15" s="134">
        <v>3</v>
      </c>
      <c r="L15" s="134">
        <v>3</v>
      </c>
      <c r="M15" s="119">
        <f>SUM(I15:L15)</f>
        <v>12</v>
      </c>
      <c r="N15" s="134"/>
      <c r="O15" s="118">
        <f t="shared" si="0"/>
        <v>8280</v>
      </c>
      <c r="P15" s="118">
        <f t="shared" si="0"/>
        <v>8280</v>
      </c>
      <c r="Q15" s="118">
        <f t="shared" si="0"/>
        <v>8280</v>
      </c>
      <c r="R15" s="118">
        <f t="shared" si="0"/>
        <v>8280</v>
      </c>
      <c r="S15" s="120">
        <f>SUM(O15:R15)</f>
        <v>33120</v>
      </c>
      <c r="T15" s="135"/>
      <c r="U15" s="122"/>
      <c r="V15" s="122"/>
      <c r="W15" s="123" t="s">
        <v>25</v>
      </c>
    </row>
    <row r="16" spans="1:23" ht="20.25" customHeight="1">
      <c r="A16" s="127" t="s">
        <v>34</v>
      </c>
      <c r="B16" s="131"/>
      <c r="C16" s="132"/>
      <c r="D16" s="133"/>
      <c r="E16" s="101" t="s">
        <v>79</v>
      </c>
      <c r="F16" s="128" t="s">
        <v>80</v>
      </c>
      <c r="G16" s="129" t="s">
        <v>11</v>
      </c>
      <c r="H16" s="134">
        <f>(400*10)</f>
        <v>4000</v>
      </c>
      <c r="I16" s="134">
        <v>0</v>
      </c>
      <c r="J16" s="134">
        <v>0</v>
      </c>
      <c r="K16" s="134">
        <v>1</v>
      </c>
      <c r="L16" s="134">
        <v>0</v>
      </c>
      <c r="M16" s="119">
        <f>SUM(I16:L16)</f>
        <v>1</v>
      </c>
      <c r="N16" s="118"/>
      <c r="O16" s="118">
        <f>$H16*I16</f>
        <v>0</v>
      </c>
      <c r="P16" s="118">
        <f>$H16*J16</f>
        <v>0</v>
      </c>
      <c r="Q16" s="118">
        <f>$H16*K16</f>
        <v>4000</v>
      </c>
      <c r="R16" s="118">
        <f>$H16*L16</f>
        <v>0</v>
      </c>
      <c r="S16" s="120">
        <f>SUM(O16:R16)</f>
        <v>4000</v>
      </c>
      <c r="T16" s="121"/>
      <c r="U16" s="122"/>
      <c r="V16" s="122"/>
      <c r="W16" s="123" t="s">
        <v>25</v>
      </c>
    </row>
    <row r="17" spans="1:23" ht="20.25" customHeight="1">
      <c r="A17" s="136"/>
      <c r="B17" s="136"/>
      <c r="C17" s="137"/>
      <c r="D17" s="138" t="s">
        <v>29</v>
      </c>
      <c r="E17" s="101"/>
      <c r="F17" s="128"/>
      <c r="G17" s="139"/>
      <c r="H17" s="134"/>
      <c r="I17" s="134"/>
      <c r="J17" s="134"/>
      <c r="K17" s="134"/>
      <c r="L17" s="134"/>
      <c r="M17" s="140"/>
      <c r="N17" s="134"/>
      <c r="O17" s="141">
        <f>SUM(O14:O16)</f>
        <v>21990</v>
      </c>
      <c r="P17" s="141">
        <f>SUM(P14:P16)</f>
        <v>21990</v>
      </c>
      <c r="Q17" s="141">
        <f>SUM(Q14:Q16)</f>
        <v>25990</v>
      </c>
      <c r="R17" s="141">
        <f>SUM(R14:R16)</f>
        <v>21990</v>
      </c>
      <c r="S17" s="142">
        <f>SUM(S14:S16)</f>
        <v>91960</v>
      </c>
      <c r="T17" s="138"/>
      <c r="U17" s="122"/>
      <c r="V17" s="122"/>
      <c r="W17" s="123"/>
    </row>
    <row r="18" spans="1:23" s="124" customFormat="1" ht="12.75" customHeight="1">
      <c r="A18" s="143"/>
      <c r="B18" s="143"/>
      <c r="C18" s="144"/>
      <c r="D18" s="145"/>
      <c r="E18" s="146"/>
      <c r="F18" s="147"/>
      <c r="G18" s="148"/>
      <c r="H18" s="118"/>
      <c r="I18" s="118"/>
      <c r="J18" s="118"/>
      <c r="K18" s="118"/>
      <c r="L18" s="118"/>
      <c r="M18" s="119"/>
      <c r="N18" s="118"/>
      <c r="O18" s="118"/>
      <c r="P18" s="118"/>
      <c r="Q18" s="118"/>
      <c r="R18" s="118"/>
      <c r="S18" s="120"/>
      <c r="T18" s="121"/>
      <c r="U18" s="122"/>
      <c r="V18" s="122"/>
      <c r="W18" s="123"/>
    </row>
    <row r="19" spans="1:23" s="124" customFormat="1" ht="20.25" customHeight="1">
      <c r="A19" s="143"/>
      <c r="B19" s="143"/>
      <c r="C19" s="144"/>
      <c r="D19" s="149" t="s">
        <v>81</v>
      </c>
      <c r="E19" s="149" t="s">
        <v>30</v>
      </c>
      <c r="F19" s="150"/>
      <c r="G19" s="129"/>
      <c r="H19" s="118"/>
      <c r="I19" s="118"/>
      <c r="J19" s="118"/>
      <c r="K19" s="118"/>
      <c r="L19" s="118"/>
      <c r="M19" s="119"/>
      <c r="N19" s="118"/>
      <c r="O19" s="118"/>
      <c r="P19" s="118"/>
      <c r="Q19" s="118"/>
      <c r="R19" s="118"/>
      <c r="S19" s="120"/>
      <c r="T19" s="121"/>
      <c r="U19" s="122"/>
      <c r="V19" s="122"/>
      <c r="W19" s="123"/>
    </row>
    <row r="20" spans="1:23" s="124" customFormat="1" ht="20.25" customHeight="1">
      <c r="A20" s="127" t="s">
        <v>32</v>
      </c>
      <c r="B20" s="143"/>
      <c r="C20" s="144"/>
      <c r="D20" s="145"/>
      <c r="E20" s="151" t="s">
        <v>74</v>
      </c>
      <c r="F20" s="150" t="s">
        <v>82</v>
      </c>
      <c r="G20" s="129" t="s">
        <v>76</v>
      </c>
      <c r="H20" s="134">
        <f>(500*10)+(100*10)</f>
        <v>6000</v>
      </c>
      <c r="I20" s="134">
        <v>3</v>
      </c>
      <c r="J20" s="134">
        <v>3</v>
      </c>
      <c r="K20" s="134">
        <v>3</v>
      </c>
      <c r="L20" s="134">
        <v>3</v>
      </c>
      <c r="M20" s="140">
        <f t="shared" ref="M20:M33" si="1">SUM(I20:L20)</f>
        <v>12</v>
      </c>
      <c r="N20" s="134"/>
      <c r="O20" s="118">
        <f>$H20*I20</f>
        <v>18000</v>
      </c>
      <c r="P20" s="118">
        <f>$H20*J20</f>
        <v>18000</v>
      </c>
      <c r="Q20" s="118">
        <f>$H20*K20</f>
        <v>18000</v>
      </c>
      <c r="R20" s="118">
        <f>$H20*L20</f>
        <v>18000</v>
      </c>
      <c r="S20" s="120">
        <f>SUM(O20:R20)</f>
        <v>72000</v>
      </c>
      <c r="T20" s="152"/>
      <c r="U20" s="122" t="s">
        <v>83</v>
      </c>
      <c r="V20" s="122"/>
      <c r="W20" s="123"/>
    </row>
    <row r="21" spans="1:23" s="124" customFormat="1" ht="20.25" customHeight="1">
      <c r="A21" s="127" t="s">
        <v>32</v>
      </c>
      <c r="B21" s="143"/>
      <c r="C21" s="144"/>
      <c r="D21" s="145"/>
      <c r="E21" s="151" t="s">
        <v>77</v>
      </c>
      <c r="F21" s="150" t="s">
        <v>84</v>
      </c>
      <c r="G21" s="129" t="s">
        <v>76</v>
      </c>
      <c r="H21" s="134">
        <f>((50*37)+(10*37)+(56*20))</f>
        <v>3340</v>
      </c>
      <c r="I21" s="134">
        <v>3</v>
      </c>
      <c r="J21" s="134">
        <v>3</v>
      </c>
      <c r="K21" s="134">
        <v>3</v>
      </c>
      <c r="L21" s="134">
        <v>3</v>
      </c>
      <c r="M21" s="140">
        <f t="shared" si="1"/>
        <v>12</v>
      </c>
      <c r="N21" s="134"/>
      <c r="O21" s="118">
        <f t="shared" ref="O21:R33" si="2">$H21*I21</f>
        <v>10020</v>
      </c>
      <c r="P21" s="118">
        <f t="shared" si="2"/>
        <v>10020</v>
      </c>
      <c r="Q21" s="118">
        <f t="shared" si="2"/>
        <v>10020</v>
      </c>
      <c r="R21" s="118">
        <f t="shared" si="2"/>
        <v>10020</v>
      </c>
      <c r="S21" s="120">
        <f t="shared" ref="S21:S33" si="3">SUM(O21:R21)</f>
        <v>40080</v>
      </c>
      <c r="T21" s="152"/>
      <c r="U21" s="122" t="s">
        <v>83</v>
      </c>
      <c r="V21" s="122"/>
      <c r="W21" s="123"/>
    </row>
    <row r="22" spans="1:23" s="124" customFormat="1" ht="20.25" customHeight="1">
      <c r="A22" s="127" t="s">
        <v>32</v>
      </c>
      <c r="B22" s="143"/>
      <c r="C22" s="144"/>
      <c r="D22" s="145"/>
      <c r="E22" s="151" t="s">
        <v>79</v>
      </c>
      <c r="F22" s="150" t="s">
        <v>85</v>
      </c>
      <c r="G22" s="129" t="s">
        <v>76</v>
      </c>
      <c r="H22" s="134">
        <f>(34*34*8)</f>
        <v>9248</v>
      </c>
      <c r="I22" s="134">
        <v>3</v>
      </c>
      <c r="J22" s="134">
        <v>3</v>
      </c>
      <c r="K22" s="134">
        <v>3</v>
      </c>
      <c r="L22" s="134">
        <v>3</v>
      </c>
      <c r="M22" s="140">
        <f t="shared" si="1"/>
        <v>12</v>
      </c>
      <c r="N22" s="134"/>
      <c r="O22" s="118">
        <f t="shared" si="2"/>
        <v>27744</v>
      </c>
      <c r="P22" s="118">
        <f t="shared" si="2"/>
        <v>27744</v>
      </c>
      <c r="Q22" s="118">
        <f t="shared" si="2"/>
        <v>27744</v>
      </c>
      <c r="R22" s="118">
        <f t="shared" si="2"/>
        <v>27744</v>
      </c>
      <c r="S22" s="120">
        <f t="shared" si="3"/>
        <v>110976</v>
      </c>
      <c r="T22" s="152"/>
      <c r="U22" s="122" t="s">
        <v>83</v>
      </c>
      <c r="V22" s="122"/>
      <c r="W22" s="123"/>
    </row>
    <row r="23" spans="1:23" ht="20.25" customHeight="1">
      <c r="A23" s="127" t="s">
        <v>32</v>
      </c>
      <c r="B23" s="136"/>
      <c r="C23" s="137"/>
      <c r="D23" s="138"/>
      <c r="E23" s="101" t="s">
        <v>86</v>
      </c>
      <c r="F23" s="150" t="s">
        <v>87</v>
      </c>
      <c r="G23" s="129" t="s">
        <v>76</v>
      </c>
      <c r="H23" s="134">
        <f>(32*34*2)+(32*14*8)</f>
        <v>5760</v>
      </c>
      <c r="I23" s="134">
        <v>3</v>
      </c>
      <c r="J23" s="134">
        <v>3</v>
      </c>
      <c r="K23" s="134">
        <v>3</v>
      </c>
      <c r="L23" s="134">
        <v>3</v>
      </c>
      <c r="M23" s="140">
        <f t="shared" si="1"/>
        <v>12</v>
      </c>
      <c r="N23" s="134"/>
      <c r="O23" s="118">
        <f t="shared" si="2"/>
        <v>17280</v>
      </c>
      <c r="P23" s="118">
        <f t="shared" si="2"/>
        <v>17280</v>
      </c>
      <c r="Q23" s="118">
        <f t="shared" si="2"/>
        <v>17280</v>
      </c>
      <c r="R23" s="118">
        <f t="shared" si="2"/>
        <v>17280</v>
      </c>
      <c r="S23" s="120">
        <f t="shared" si="3"/>
        <v>69120</v>
      </c>
      <c r="T23" s="138"/>
      <c r="U23" s="122" t="s">
        <v>83</v>
      </c>
      <c r="V23" s="122"/>
      <c r="W23" s="123"/>
    </row>
    <row r="24" spans="1:23" s="124" customFormat="1" ht="20.25" customHeight="1">
      <c r="A24" s="127" t="s">
        <v>32</v>
      </c>
      <c r="B24" s="143"/>
      <c r="C24" s="144"/>
      <c r="D24" s="145"/>
      <c r="E24" s="151" t="s">
        <v>88</v>
      </c>
      <c r="F24" s="150" t="s">
        <v>89</v>
      </c>
      <c r="G24" s="129" t="s">
        <v>76</v>
      </c>
      <c r="H24" s="134">
        <f>(1500)+(250)+(10*250)+(200*2)</f>
        <v>4650</v>
      </c>
      <c r="I24" s="134">
        <v>3</v>
      </c>
      <c r="J24" s="134">
        <v>3</v>
      </c>
      <c r="K24" s="134">
        <v>3</v>
      </c>
      <c r="L24" s="134">
        <v>3</v>
      </c>
      <c r="M24" s="140">
        <f t="shared" si="1"/>
        <v>12</v>
      </c>
      <c r="N24" s="134"/>
      <c r="O24" s="118">
        <f t="shared" si="2"/>
        <v>13950</v>
      </c>
      <c r="P24" s="118">
        <f t="shared" si="2"/>
        <v>13950</v>
      </c>
      <c r="Q24" s="118">
        <f t="shared" si="2"/>
        <v>13950</v>
      </c>
      <c r="R24" s="118">
        <f t="shared" si="2"/>
        <v>13950</v>
      </c>
      <c r="S24" s="120">
        <f t="shared" si="3"/>
        <v>55800</v>
      </c>
      <c r="T24" s="152"/>
      <c r="U24" s="122" t="s">
        <v>83</v>
      </c>
      <c r="V24" s="122"/>
      <c r="W24" s="123"/>
    </row>
    <row r="25" spans="1:23" s="124" customFormat="1" ht="20.25" customHeight="1">
      <c r="A25" s="127" t="s">
        <v>32</v>
      </c>
      <c r="B25" s="143"/>
      <c r="C25" s="144"/>
      <c r="D25" s="145"/>
      <c r="E25" s="101" t="s">
        <v>90</v>
      </c>
      <c r="F25" s="128" t="s">
        <v>91</v>
      </c>
      <c r="G25" s="129" t="s">
        <v>11</v>
      </c>
      <c r="H25" s="134">
        <v>1050</v>
      </c>
      <c r="I25" s="134">
        <v>1</v>
      </c>
      <c r="J25" s="134">
        <v>0</v>
      </c>
      <c r="K25" s="134">
        <v>0</v>
      </c>
      <c r="L25" s="134">
        <v>0</v>
      </c>
      <c r="M25" s="140">
        <f t="shared" si="1"/>
        <v>1</v>
      </c>
      <c r="N25" s="134"/>
      <c r="O25" s="118">
        <f t="shared" si="2"/>
        <v>1050</v>
      </c>
      <c r="P25" s="118">
        <f t="shared" si="2"/>
        <v>0</v>
      </c>
      <c r="Q25" s="118">
        <f t="shared" si="2"/>
        <v>0</v>
      </c>
      <c r="R25" s="118">
        <f t="shared" si="2"/>
        <v>0</v>
      </c>
      <c r="S25" s="120">
        <f t="shared" si="3"/>
        <v>1050</v>
      </c>
      <c r="T25" s="152"/>
      <c r="U25" s="122" t="s">
        <v>83</v>
      </c>
      <c r="V25" s="122"/>
      <c r="W25" s="123"/>
    </row>
    <row r="26" spans="1:23" s="124" customFormat="1" ht="20.25" customHeight="1">
      <c r="A26" s="127" t="s">
        <v>32</v>
      </c>
      <c r="B26" s="143"/>
      <c r="C26" s="144"/>
      <c r="D26" s="145"/>
      <c r="E26" s="101" t="s">
        <v>92</v>
      </c>
      <c r="F26" s="128" t="s">
        <v>93</v>
      </c>
      <c r="G26" s="129" t="s">
        <v>11</v>
      </c>
      <c r="H26" s="134">
        <v>2500</v>
      </c>
      <c r="I26" s="134">
        <v>1</v>
      </c>
      <c r="J26" s="134">
        <v>0</v>
      </c>
      <c r="K26" s="134">
        <v>0</v>
      </c>
      <c r="L26" s="134">
        <v>0</v>
      </c>
      <c r="M26" s="140">
        <f t="shared" si="1"/>
        <v>1</v>
      </c>
      <c r="N26" s="134"/>
      <c r="O26" s="118">
        <f t="shared" si="2"/>
        <v>2500</v>
      </c>
      <c r="P26" s="118">
        <f t="shared" si="2"/>
        <v>0</v>
      </c>
      <c r="Q26" s="118">
        <f t="shared" si="2"/>
        <v>0</v>
      </c>
      <c r="R26" s="118">
        <f t="shared" si="2"/>
        <v>0</v>
      </c>
      <c r="S26" s="120">
        <f t="shared" si="3"/>
        <v>2500</v>
      </c>
      <c r="T26" s="152"/>
      <c r="U26" s="122" t="s">
        <v>83</v>
      </c>
      <c r="V26" s="122"/>
      <c r="W26" s="123"/>
    </row>
    <row r="27" spans="1:23" ht="20.25" customHeight="1">
      <c r="A27" s="127" t="s">
        <v>32</v>
      </c>
      <c r="B27" s="136"/>
      <c r="C27" s="137"/>
      <c r="D27" s="138"/>
      <c r="E27" s="101" t="s">
        <v>94</v>
      </c>
      <c r="F27" s="128" t="s">
        <v>95</v>
      </c>
      <c r="G27" s="129" t="s">
        <v>11</v>
      </c>
      <c r="H27" s="134">
        <v>200</v>
      </c>
      <c r="I27" s="134">
        <v>0</v>
      </c>
      <c r="J27" s="134">
        <v>0</v>
      </c>
      <c r="K27" s="134">
        <v>12</v>
      </c>
      <c r="L27" s="134">
        <v>5</v>
      </c>
      <c r="M27" s="140">
        <f t="shared" si="1"/>
        <v>17</v>
      </c>
      <c r="N27" s="134"/>
      <c r="O27" s="118">
        <f t="shared" si="2"/>
        <v>0</v>
      </c>
      <c r="P27" s="118">
        <f t="shared" si="2"/>
        <v>0</v>
      </c>
      <c r="Q27" s="118">
        <f t="shared" si="2"/>
        <v>2400</v>
      </c>
      <c r="R27" s="118">
        <f t="shared" si="2"/>
        <v>1000</v>
      </c>
      <c r="S27" s="120">
        <f t="shared" si="3"/>
        <v>3400</v>
      </c>
      <c r="T27" s="138"/>
      <c r="U27" s="122" t="s">
        <v>83</v>
      </c>
      <c r="V27" s="122"/>
      <c r="W27" s="123"/>
    </row>
    <row r="28" spans="1:23" s="124" customFormat="1" ht="20.25" customHeight="1">
      <c r="A28" s="127" t="s">
        <v>32</v>
      </c>
      <c r="B28" s="143"/>
      <c r="C28" s="144"/>
      <c r="D28" s="145"/>
      <c r="E28" s="151" t="s">
        <v>96</v>
      </c>
      <c r="F28" s="150" t="s">
        <v>97</v>
      </c>
      <c r="G28" s="129" t="s">
        <v>76</v>
      </c>
      <c r="H28" s="134">
        <f>(80*3)</f>
        <v>240</v>
      </c>
      <c r="I28" s="134">
        <v>3</v>
      </c>
      <c r="J28" s="134">
        <v>3</v>
      </c>
      <c r="K28" s="134">
        <v>3</v>
      </c>
      <c r="L28" s="134">
        <v>3</v>
      </c>
      <c r="M28" s="140">
        <f t="shared" si="1"/>
        <v>12</v>
      </c>
      <c r="N28" s="134"/>
      <c r="O28" s="118">
        <f t="shared" si="2"/>
        <v>720</v>
      </c>
      <c r="P28" s="118">
        <f t="shared" si="2"/>
        <v>720</v>
      </c>
      <c r="Q28" s="118">
        <f t="shared" si="2"/>
        <v>720</v>
      </c>
      <c r="R28" s="118">
        <f t="shared" si="2"/>
        <v>720</v>
      </c>
      <c r="S28" s="120">
        <f t="shared" si="3"/>
        <v>2880</v>
      </c>
      <c r="T28" s="152"/>
      <c r="U28" s="122" t="s">
        <v>83</v>
      </c>
      <c r="V28" s="122"/>
      <c r="W28" s="123"/>
    </row>
    <row r="29" spans="1:23" s="124" customFormat="1" ht="20.25" customHeight="1">
      <c r="A29" s="127"/>
      <c r="B29" s="143"/>
      <c r="C29" s="144"/>
      <c r="D29" s="145"/>
      <c r="E29" s="153" t="s">
        <v>92</v>
      </c>
      <c r="F29" s="150" t="s">
        <v>98</v>
      </c>
      <c r="G29" s="129" t="s">
        <v>11</v>
      </c>
      <c r="H29" s="134">
        <v>15000</v>
      </c>
      <c r="I29" s="134">
        <v>1</v>
      </c>
      <c r="J29" s="134">
        <v>0</v>
      </c>
      <c r="K29" s="134">
        <v>0</v>
      </c>
      <c r="L29" s="134">
        <v>0</v>
      </c>
      <c r="M29" s="140">
        <f t="shared" si="1"/>
        <v>1</v>
      </c>
      <c r="N29" s="134"/>
      <c r="O29" s="118">
        <f t="shared" si="2"/>
        <v>15000</v>
      </c>
      <c r="P29" s="118">
        <f t="shared" si="2"/>
        <v>0</v>
      </c>
      <c r="Q29" s="118">
        <f t="shared" si="2"/>
        <v>0</v>
      </c>
      <c r="R29" s="118">
        <f t="shared" si="2"/>
        <v>0</v>
      </c>
      <c r="S29" s="120">
        <f t="shared" si="3"/>
        <v>15000</v>
      </c>
      <c r="T29" s="152"/>
      <c r="U29" s="122" t="s">
        <v>83</v>
      </c>
      <c r="V29" s="122"/>
      <c r="W29" s="123"/>
    </row>
    <row r="30" spans="1:23" s="124" customFormat="1" ht="23.25" customHeight="1">
      <c r="A30" s="127" t="s">
        <v>32</v>
      </c>
      <c r="B30" s="143"/>
      <c r="C30" s="144"/>
      <c r="D30" s="145"/>
      <c r="E30" s="151" t="s">
        <v>99</v>
      </c>
      <c r="F30" s="154" t="s">
        <v>100</v>
      </c>
      <c r="G30" s="155" t="s">
        <v>11</v>
      </c>
      <c r="H30" s="134">
        <v>2500</v>
      </c>
      <c r="I30" s="134">
        <v>0</v>
      </c>
      <c r="J30" s="134">
        <v>0</v>
      </c>
      <c r="K30" s="134">
        <v>1</v>
      </c>
      <c r="L30" s="134">
        <v>0</v>
      </c>
      <c r="M30" s="140">
        <f t="shared" si="1"/>
        <v>1</v>
      </c>
      <c r="N30" s="134"/>
      <c r="O30" s="118">
        <f t="shared" si="2"/>
        <v>0</v>
      </c>
      <c r="P30" s="118">
        <f t="shared" si="2"/>
        <v>0</v>
      </c>
      <c r="Q30" s="118">
        <f t="shared" si="2"/>
        <v>2500</v>
      </c>
      <c r="R30" s="118">
        <f t="shared" si="2"/>
        <v>0</v>
      </c>
      <c r="S30" s="120">
        <f t="shared" si="3"/>
        <v>2500</v>
      </c>
      <c r="T30" s="152"/>
      <c r="U30" s="122" t="s">
        <v>83</v>
      </c>
      <c r="V30" s="122"/>
      <c r="W30" s="123"/>
    </row>
    <row r="31" spans="1:23" s="124" customFormat="1" ht="20.25" customHeight="1">
      <c r="A31" s="127" t="s">
        <v>32</v>
      </c>
      <c r="B31" s="143"/>
      <c r="C31" s="144"/>
      <c r="D31" s="145"/>
      <c r="E31" s="151" t="s">
        <v>101</v>
      </c>
      <c r="F31" s="150" t="s">
        <v>102</v>
      </c>
      <c r="G31" s="129" t="s">
        <v>76</v>
      </c>
      <c r="H31" s="134">
        <f>1250*4</f>
        <v>5000</v>
      </c>
      <c r="I31" s="134">
        <v>3</v>
      </c>
      <c r="J31" s="134">
        <v>2</v>
      </c>
      <c r="K31" s="134">
        <v>0</v>
      </c>
      <c r="L31" s="134">
        <v>0</v>
      </c>
      <c r="M31" s="140">
        <f t="shared" si="1"/>
        <v>5</v>
      </c>
      <c r="N31" s="134"/>
      <c r="O31" s="118">
        <f t="shared" si="2"/>
        <v>15000</v>
      </c>
      <c r="P31" s="118">
        <f t="shared" si="2"/>
        <v>10000</v>
      </c>
      <c r="Q31" s="118">
        <f t="shared" si="2"/>
        <v>0</v>
      </c>
      <c r="R31" s="118">
        <f t="shared" si="2"/>
        <v>0</v>
      </c>
      <c r="S31" s="120">
        <f t="shared" si="3"/>
        <v>25000</v>
      </c>
      <c r="T31" s="152"/>
      <c r="U31" s="122" t="s">
        <v>83</v>
      </c>
      <c r="V31" s="122"/>
      <c r="W31" s="123"/>
    </row>
    <row r="32" spans="1:23" s="124" customFormat="1" ht="20.25" customHeight="1">
      <c r="A32" s="127" t="s">
        <v>32</v>
      </c>
      <c r="B32" s="143"/>
      <c r="C32" s="144"/>
      <c r="D32" s="145"/>
      <c r="E32" s="151" t="s">
        <v>103</v>
      </c>
      <c r="F32" s="150" t="s">
        <v>104</v>
      </c>
      <c r="G32" s="129" t="s">
        <v>76</v>
      </c>
      <c r="H32" s="134">
        <f>700*4</f>
        <v>2800</v>
      </c>
      <c r="I32" s="134">
        <v>3</v>
      </c>
      <c r="J32" s="134">
        <v>2</v>
      </c>
      <c r="K32" s="134">
        <v>0</v>
      </c>
      <c r="L32" s="134">
        <v>0</v>
      </c>
      <c r="M32" s="140">
        <f t="shared" si="1"/>
        <v>5</v>
      </c>
      <c r="N32" s="134"/>
      <c r="O32" s="118">
        <f t="shared" si="2"/>
        <v>8400</v>
      </c>
      <c r="P32" s="118">
        <f t="shared" si="2"/>
        <v>5600</v>
      </c>
      <c r="Q32" s="118">
        <f t="shared" si="2"/>
        <v>0</v>
      </c>
      <c r="R32" s="118">
        <f t="shared" si="2"/>
        <v>0</v>
      </c>
      <c r="S32" s="120">
        <f t="shared" si="3"/>
        <v>14000</v>
      </c>
      <c r="T32" s="152"/>
      <c r="U32" s="122" t="s">
        <v>83</v>
      </c>
      <c r="V32" s="122"/>
      <c r="W32" s="123"/>
    </row>
    <row r="33" spans="1:23" s="124" customFormat="1" ht="20.25" customHeight="1">
      <c r="A33" s="127" t="s">
        <v>32</v>
      </c>
      <c r="B33" s="143"/>
      <c r="C33" s="144"/>
      <c r="D33" s="145"/>
      <c r="E33" s="151" t="s">
        <v>105</v>
      </c>
      <c r="F33" s="150" t="s">
        <v>106</v>
      </c>
      <c r="G33" s="129" t="s">
        <v>76</v>
      </c>
      <c r="H33" s="134">
        <f>500*4</f>
        <v>2000</v>
      </c>
      <c r="I33" s="134">
        <v>3</v>
      </c>
      <c r="J33" s="134">
        <v>2</v>
      </c>
      <c r="K33" s="134">
        <v>0</v>
      </c>
      <c r="L33" s="134">
        <v>0</v>
      </c>
      <c r="M33" s="140">
        <f t="shared" si="1"/>
        <v>5</v>
      </c>
      <c r="N33" s="134"/>
      <c r="O33" s="118">
        <f t="shared" si="2"/>
        <v>6000</v>
      </c>
      <c r="P33" s="118">
        <f t="shared" si="2"/>
        <v>4000</v>
      </c>
      <c r="Q33" s="118">
        <f t="shared" si="2"/>
        <v>0</v>
      </c>
      <c r="R33" s="118">
        <f t="shared" si="2"/>
        <v>0</v>
      </c>
      <c r="S33" s="120">
        <f t="shared" si="3"/>
        <v>10000</v>
      </c>
      <c r="T33" s="152"/>
      <c r="U33" s="122" t="s">
        <v>83</v>
      </c>
      <c r="V33" s="122"/>
      <c r="W33" s="123"/>
    </row>
    <row r="34" spans="1:23" s="124" customFormat="1" ht="19.5" customHeight="1">
      <c r="A34" s="156"/>
      <c r="B34" s="143"/>
      <c r="C34" s="157"/>
      <c r="D34" s="138" t="s">
        <v>107</v>
      </c>
      <c r="E34" s="151"/>
      <c r="F34" s="150"/>
      <c r="G34" s="129"/>
      <c r="H34" s="134"/>
      <c r="I34" s="134"/>
      <c r="J34" s="134"/>
      <c r="K34" s="134"/>
      <c r="L34" s="134"/>
      <c r="M34" s="140"/>
      <c r="N34" s="134"/>
      <c r="O34" s="141">
        <f>SUM(O20:O33)</f>
        <v>135664</v>
      </c>
      <c r="P34" s="141">
        <f>SUM(P20:P33)</f>
        <v>107314</v>
      </c>
      <c r="Q34" s="141">
        <f>SUM(Q20:Q33)</f>
        <v>92614</v>
      </c>
      <c r="R34" s="141">
        <f>SUM(R20:R33)</f>
        <v>88714</v>
      </c>
      <c r="S34" s="142">
        <f>SUM(S20:S33)</f>
        <v>424306</v>
      </c>
      <c r="T34" s="152"/>
      <c r="U34" s="158"/>
      <c r="V34" s="122"/>
      <c r="W34" s="123"/>
    </row>
    <row r="35" spans="1:23" s="124" customFormat="1" ht="19.5" customHeight="1">
      <c r="A35" s="156"/>
      <c r="B35" s="143"/>
      <c r="C35" s="137" t="s">
        <v>108</v>
      </c>
      <c r="D35" s="159"/>
      <c r="E35" s="151"/>
      <c r="F35" s="150"/>
      <c r="G35" s="129"/>
      <c r="H35" s="134"/>
      <c r="I35" s="134"/>
      <c r="J35" s="134"/>
      <c r="K35" s="134"/>
      <c r="L35" s="134"/>
      <c r="M35" s="140"/>
      <c r="N35" s="134"/>
      <c r="O35" s="141">
        <f>O17+O34</f>
        <v>157654</v>
      </c>
      <c r="P35" s="141">
        <f>P17+P34</f>
        <v>129304</v>
      </c>
      <c r="Q35" s="141">
        <f>Q17+Q34</f>
        <v>118604</v>
      </c>
      <c r="R35" s="141">
        <f>R17+R34</f>
        <v>110704</v>
      </c>
      <c r="S35" s="142">
        <f>S17+S34</f>
        <v>516266</v>
      </c>
      <c r="T35" s="152"/>
      <c r="U35" s="122"/>
      <c r="V35" s="122"/>
      <c r="W35" s="123"/>
    </row>
    <row r="36" spans="1:23" ht="20.25" customHeight="1">
      <c r="A36" s="160"/>
      <c r="B36" s="161"/>
      <c r="C36" s="162"/>
      <c r="D36" s="163"/>
      <c r="E36" s="163"/>
      <c r="F36" s="164"/>
      <c r="G36" s="165"/>
      <c r="H36" s="166"/>
      <c r="I36" s="166"/>
      <c r="J36" s="166"/>
      <c r="K36" s="166"/>
      <c r="L36" s="166"/>
      <c r="M36" s="167"/>
      <c r="N36" s="166"/>
      <c r="O36" s="166"/>
      <c r="P36" s="166"/>
      <c r="Q36" s="166"/>
      <c r="R36" s="166"/>
      <c r="S36" s="168"/>
      <c r="T36" s="169"/>
      <c r="U36" s="170"/>
      <c r="V36" s="170"/>
      <c r="W36" s="171"/>
    </row>
    <row r="37" spans="1:23" ht="20.25" customHeight="1"/>
  </sheetData>
  <mergeCells count="10">
    <mergeCell ref="O5:S6"/>
    <mergeCell ref="U5:W5"/>
    <mergeCell ref="A1:K1"/>
    <mergeCell ref="A5:A7"/>
    <mergeCell ref="B5:B7"/>
    <mergeCell ref="C5:E7"/>
    <mergeCell ref="F5:F7"/>
    <mergeCell ref="G5:G7"/>
    <mergeCell ref="H5:H7"/>
    <mergeCell ref="I5:M6"/>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D21"/>
  <sheetViews>
    <sheetView zoomScaleNormal="100" workbookViewId="0">
      <selection activeCell="G16" sqref="G16"/>
    </sheetView>
  </sheetViews>
  <sheetFormatPr defaultRowHeight="12.75"/>
  <cols>
    <col min="1" max="1" width="4.85546875" customWidth="1"/>
    <col min="2" max="2" width="68.85546875" customWidth="1"/>
    <col min="3" max="3" width="19.140625" style="6" customWidth="1"/>
    <col min="4" max="4" width="19.140625" style="1556" customWidth="1"/>
  </cols>
  <sheetData>
    <row r="1" spans="1:4" ht="24" customHeight="1">
      <c r="A1" s="2725" t="s">
        <v>1172</v>
      </c>
      <c r="B1" s="2725"/>
      <c r="C1" s="2725"/>
      <c r="D1" s="2725"/>
    </row>
    <row r="2" spans="1:4" ht="9.75" customHeight="1"/>
    <row r="3" spans="1:4" s="1557" customFormat="1" ht="36" customHeight="1">
      <c r="A3" s="1564" t="s">
        <v>985</v>
      </c>
      <c r="B3" s="1564" t="s">
        <v>984</v>
      </c>
      <c r="C3" s="1564" t="s">
        <v>986</v>
      </c>
      <c r="D3" s="1565" t="s">
        <v>987</v>
      </c>
    </row>
    <row r="4" spans="1:4" s="1557" customFormat="1" ht="45.75" customHeight="1">
      <c r="A4" s="2728" t="s">
        <v>1137</v>
      </c>
      <c r="B4" s="2729"/>
      <c r="C4" s="2345">
        <f>SUM(C5:C8)</f>
        <v>7020.5160999999998</v>
      </c>
      <c r="D4" s="1561">
        <f>SUM(D5:D8)</f>
        <v>7020516.0999999996</v>
      </c>
    </row>
    <row r="5" spans="1:4" s="1557" customFormat="1" ht="23.45" customHeight="1">
      <c r="A5" s="1558">
        <v>1</v>
      </c>
      <c r="B5" s="1558" t="str">
        <f>'Annex 3_MAFF'!D12</f>
        <v xml:space="preserve">Total activity 1.1: Drip irrigation demonstration </v>
      </c>
      <c r="C5" s="2346">
        <f>'Annex 3_MAFF'!S12</f>
        <v>805.61699999999996</v>
      </c>
      <c r="D5" s="1560">
        <f>C5*1000</f>
        <v>805617</v>
      </c>
    </row>
    <row r="6" spans="1:4" s="1557" customFormat="1" ht="23.45" customHeight="1">
      <c r="A6" s="1911">
        <v>2</v>
      </c>
      <c r="B6" s="1911" t="str">
        <f>'Annex 3_MAFF'!D32</f>
        <v>Total of Activity 1.2: Upgrading AC value chain infrastructure</v>
      </c>
      <c r="C6" s="2347">
        <f>'Annex 3_MAFF'!S32</f>
        <v>461.85</v>
      </c>
      <c r="D6" s="1912">
        <f t="shared" ref="D6:D16" si="0">C6*1000</f>
        <v>461850</v>
      </c>
    </row>
    <row r="7" spans="1:4" s="1557" customFormat="1" ht="23.45" customHeight="1">
      <c r="A7" s="1558">
        <v>3</v>
      </c>
      <c r="B7" s="1558" t="str">
        <f>'Annex 3_MAFF'!D94</f>
        <v>Total of Activity 1.4: Support NAL improvement</v>
      </c>
      <c r="C7" s="2346">
        <f>'Annex 3_MAFF'!S94</f>
        <v>669.14909999999998</v>
      </c>
      <c r="D7" s="1560">
        <f t="shared" si="0"/>
        <v>669149.1</v>
      </c>
    </row>
    <row r="8" spans="1:4" s="1557" customFormat="1" ht="23.45" customHeight="1">
      <c r="A8" s="1558">
        <v>4</v>
      </c>
      <c r="B8" s="1558" t="str">
        <f>'Annex 3_MAFF'!D158</f>
        <v xml:space="preserve">Total of activity 1.5: promoting renewable energy </v>
      </c>
      <c r="C8" s="2346">
        <f>'Annex 3_MAFF'!S158</f>
        <v>5083.8999999999996</v>
      </c>
      <c r="D8" s="1560">
        <f t="shared" si="0"/>
        <v>5083900</v>
      </c>
    </row>
    <row r="9" spans="1:4" s="1557" customFormat="1" ht="45" customHeight="1">
      <c r="A9" s="2730" t="str">
        <f>'Annex 3_MAFF'!D159</f>
        <v xml:space="preserve">OUTPUT 2: (លទ្ធផលទី ២) Climate-smart agriculture and agribusiness promoted </v>
      </c>
      <c r="B9" s="2730"/>
      <c r="C9" s="2345">
        <f>SUM(C10:C12)</f>
        <v>3451.8138300000005</v>
      </c>
      <c r="D9" s="1562">
        <f>SUM(D10:D12)</f>
        <v>3451813.8300000005</v>
      </c>
    </row>
    <row r="10" spans="1:4" s="1557" customFormat="1" ht="23.45" customHeight="1">
      <c r="A10" s="1558">
        <v>1</v>
      </c>
      <c r="B10" s="1558" t="str">
        <f>'Annex 3_MAFF'!D187</f>
        <v xml:space="preserve">Total of Activity 2.1: Seed deployment </v>
      </c>
      <c r="C10" s="2346">
        <f>'Annex 3_MAFF'!S187</f>
        <v>441</v>
      </c>
      <c r="D10" s="1560">
        <f t="shared" si="0"/>
        <v>441000</v>
      </c>
    </row>
    <row r="11" spans="1:4" s="1557" customFormat="1" ht="23.45" customHeight="1">
      <c r="A11" s="1558">
        <v>2</v>
      </c>
      <c r="B11" s="1558" t="str">
        <f>'Annex 3_MAFF'!D275</f>
        <v>Total of Activity 2.2: Strengthening capacity in climate friendly</v>
      </c>
      <c r="C11" s="2348">
        <f>'Annex 3_MAFF'!S275</f>
        <v>1381.3600000000001</v>
      </c>
      <c r="D11" s="1560">
        <f t="shared" si="0"/>
        <v>1381360.0000000002</v>
      </c>
    </row>
    <row r="12" spans="1:4" s="1557" customFormat="1" ht="23.45" customHeight="1">
      <c r="A12" s="1558">
        <v>3</v>
      </c>
      <c r="B12" s="1558" t="str">
        <f>'Annex 3_MAFF'!D314</f>
        <v>Total of activity 2.3: Promoting farm mechanization and extension</v>
      </c>
      <c r="C12" s="2346">
        <f>'Annex 3_MAFF'!S314</f>
        <v>1629.4538300000004</v>
      </c>
      <c r="D12" s="1560">
        <f t="shared" si="0"/>
        <v>1629453.8300000003</v>
      </c>
    </row>
    <row r="13" spans="1:4" s="1557" customFormat="1" ht="45.95" customHeight="1">
      <c r="A13" s="2728" t="s">
        <v>989</v>
      </c>
      <c r="B13" s="2729"/>
      <c r="C13" s="2349">
        <f>SUM(C14:C16)</f>
        <v>3374.2455500000001</v>
      </c>
      <c r="D13" s="1561">
        <f>SUM(D14:D16)</f>
        <v>3374245.55</v>
      </c>
    </row>
    <row r="14" spans="1:4" s="1557" customFormat="1" ht="23.45" customHeight="1">
      <c r="A14" s="1558">
        <v>1</v>
      </c>
      <c r="B14" s="1558" t="str">
        <f>'Annex 3_MAFF'!D354</f>
        <v>Total of activity 3.1: Formulating Climate-Friendly Agri-business Policy and Standards
ការបង្កើតគោលនយោបាយ និងស្តង់ដា កសិធុរៈកិច្ចប្រកបដោយភាតរៈបរិស្ថាន</v>
      </c>
      <c r="C14" s="2346">
        <f>'Annex 3_MAFF'!S354</f>
        <v>321.8</v>
      </c>
      <c r="D14" s="1560">
        <f t="shared" si="0"/>
        <v>321800</v>
      </c>
    </row>
    <row r="15" spans="1:4" s="1557" customFormat="1" ht="23.45" customHeight="1">
      <c r="A15" s="1558">
        <v>2</v>
      </c>
      <c r="B15" s="1558" t="str">
        <f>'Annex 3_MAFF'!D410</f>
        <v>Total of activity 3.2: Promoting green finance and risk sharing mechanism</v>
      </c>
      <c r="C15" s="2346">
        <f>'Annex 3_MAFF'!S410</f>
        <v>1052</v>
      </c>
      <c r="D15" s="1560">
        <f t="shared" si="0"/>
        <v>1052000</v>
      </c>
    </row>
    <row r="16" spans="1:4" s="1557" customFormat="1" ht="39" customHeight="1">
      <c r="A16" s="1558">
        <v>3</v>
      </c>
      <c r="B16" s="1559" t="s">
        <v>988</v>
      </c>
      <c r="C16" s="2346">
        <f>'Annex 3_MAFF'!S430</f>
        <v>2000.4455500000001</v>
      </c>
      <c r="D16" s="1560">
        <f t="shared" si="0"/>
        <v>2000445.55</v>
      </c>
    </row>
    <row r="17" spans="1:4" s="1554" customFormat="1" ht="27.75" customHeight="1">
      <c r="A17" s="2726" t="s">
        <v>1492</v>
      </c>
      <c r="B17" s="2727"/>
      <c r="C17" s="2350">
        <f>SUM(C4,C9,C13)</f>
        <v>13846.57548</v>
      </c>
      <c r="D17" s="1563">
        <f>SUM(D4,D9,D13)</f>
        <v>13846575.48</v>
      </c>
    </row>
    <row r="18" spans="1:4">
      <c r="A18" s="2196"/>
      <c r="B18" s="2197" t="s">
        <v>378</v>
      </c>
      <c r="C18" s="2351"/>
    </row>
    <row r="19" spans="1:4" ht="18.75">
      <c r="A19" s="2196"/>
      <c r="B19" s="2198" t="s">
        <v>1501</v>
      </c>
      <c r="C19" s="2350">
        <f>Output!C21</f>
        <v>3035.5430199999996</v>
      </c>
      <c r="D19" s="1563">
        <f t="shared" ref="D19" si="1">C19*1000</f>
        <v>3035543.0199999996</v>
      </c>
    </row>
    <row r="20" spans="1:4">
      <c r="C20" s="2351"/>
    </row>
    <row r="21" spans="1:4" ht="17.45" customHeight="1">
      <c r="B21" s="2199" t="s">
        <v>1493</v>
      </c>
      <c r="C21" s="2352">
        <f>C17+C19</f>
        <v>16882.1185</v>
      </c>
      <c r="D21" s="2200">
        <f>D17+D19</f>
        <v>16882118.5</v>
      </c>
    </row>
  </sheetData>
  <mergeCells count="5">
    <mergeCell ref="A1:D1"/>
    <mergeCell ref="A17:B17"/>
    <mergeCell ref="A4:B4"/>
    <mergeCell ref="A9:B9"/>
    <mergeCell ref="A13:B13"/>
  </mergeCells>
  <pageMargins left="0.19685039370078741" right="0.19685039370078741"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B1:T28"/>
  <sheetViews>
    <sheetView showGridLines="0" tabSelected="1" view="pageBreakPreview" zoomScaleNormal="100" zoomScaleSheetLayoutView="100" workbookViewId="0">
      <selection activeCell="G11" sqref="G10:G13"/>
    </sheetView>
  </sheetViews>
  <sheetFormatPr defaultRowHeight="12.75"/>
  <cols>
    <col min="1" max="1" width="5" customWidth="1"/>
    <col min="2" max="2" width="17.140625" customWidth="1"/>
    <col min="3" max="4" width="10.140625" customWidth="1"/>
    <col min="5" max="5" width="11.85546875" customWidth="1"/>
    <col min="6" max="6" width="12" customWidth="1"/>
    <col min="7" max="7" width="15.85546875" customWidth="1"/>
    <col min="9" max="9" width="26.140625" customWidth="1"/>
    <col min="10" max="11" width="12.85546875" customWidth="1"/>
    <col min="12" max="12" width="14.85546875" customWidth="1"/>
    <col min="13" max="13" width="12.85546875" customWidth="1"/>
    <col min="14" max="14" width="15.85546875" customWidth="1"/>
    <col min="15" max="15" width="10.85546875" customWidth="1"/>
    <col min="16" max="17" width="10" bestFit="1" customWidth="1"/>
  </cols>
  <sheetData>
    <row r="1" spans="2:20">
      <c r="M1" t="s">
        <v>12</v>
      </c>
    </row>
    <row r="2" spans="2:20">
      <c r="B2" s="53" t="s">
        <v>35</v>
      </c>
      <c r="C2" s="1"/>
      <c r="D2" s="1"/>
      <c r="E2" s="1"/>
      <c r="F2" s="1"/>
      <c r="G2" s="1"/>
      <c r="I2" s="6" t="s">
        <v>35</v>
      </c>
      <c r="M2" t="s">
        <v>12</v>
      </c>
    </row>
    <row r="3" spans="2:20">
      <c r="B3" s="16" t="s">
        <v>1491</v>
      </c>
      <c r="C3" s="1"/>
      <c r="D3" s="1"/>
      <c r="E3" s="1"/>
      <c r="F3" s="1"/>
      <c r="G3" s="1"/>
      <c r="I3" s="6" t="s">
        <v>1491</v>
      </c>
      <c r="L3" t="s">
        <v>12</v>
      </c>
    </row>
    <row r="4" spans="2:20">
      <c r="B4" s="16" t="s">
        <v>63</v>
      </c>
      <c r="C4" s="1"/>
      <c r="D4" s="1"/>
      <c r="E4" s="1"/>
      <c r="F4" s="1"/>
      <c r="G4" s="564"/>
      <c r="I4" s="6" t="s">
        <v>63</v>
      </c>
    </row>
    <row r="5" spans="2:20">
      <c r="B5" s="1"/>
      <c r="C5" s="1"/>
      <c r="D5" s="1"/>
      <c r="E5" s="1"/>
      <c r="F5" s="1"/>
      <c r="G5" s="564"/>
    </row>
    <row r="6" spans="2:20" ht="25.5" customHeight="1">
      <c r="B6" s="2586" t="s">
        <v>19</v>
      </c>
      <c r="C6" s="2588" t="s">
        <v>64</v>
      </c>
      <c r="D6" s="2589"/>
      <c r="E6" s="2589"/>
      <c r="F6" s="2589"/>
      <c r="G6" s="2590"/>
      <c r="I6" s="2586" t="s">
        <v>19</v>
      </c>
      <c r="J6" s="2588" t="s">
        <v>64</v>
      </c>
      <c r="K6" s="2589"/>
      <c r="L6" s="2589"/>
      <c r="M6" s="2589"/>
      <c r="N6" s="2590"/>
    </row>
    <row r="7" spans="2:20">
      <c r="B7" s="2587"/>
      <c r="C7" s="41" t="s">
        <v>6</v>
      </c>
      <c r="D7" s="42" t="s">
        <v>7</v>
      </c>
      <c r="E7" s="41" t="s">
        <v>8</v>
      </c>
      <c r="F7" s="42" t="s">
        <v>9</v>
      </c>
      <c r="G7" s="41" t="s">
        <v>10</v>
      </c>
      <c r="I7" s="2587"/>
      <c r="J7" s="41" t="s">
        <v>6</v>
      </c>
      <c r="K7" s="42" t="s">
        <v>7</v>
      </c>
      <c r="L7" s="41" t="s">
        <v>8</v>
      </c>
      <c r="M7" s="42" t="s">
        <v>9</v>
      </c>
      <c r="N7" s="41" t="s">
        <v>10</v>
      </c>
    </row>
    <row r="8" spans="2:20">
      <c r="B8" s="33" t="s">
        <v>20</v>
      </c>
      <c r="C8" s="43"/>
      <c r="D8" s="43"/>
      <c r="E8" s="43"/>
      <c r="F8" s="43"/>
      <c r="G8" s="44"/>
      <c r="I8" s="33" t="s">
        <v>20</v>
      </c>
      <c r="J8" s="362">
        <f>C10-J10</f>
        <v>0</v>
      </c>
      <c r="K8" s="362">
        <f>D10-K10</f>
        <v>0</v>
      </c>
      <c r="L8" s="362">
        <f>E10-L10</f>
        <v>0</v>
      </c>
      <c r="M8" s="362">
        <f>F10-M10</f>
        <v>0</v>
      </c>
      <c r="N8" s="44"/>
    </row>
    <row r="9" spans="2:20" ht="5.25" customHeight="1">
      <c r="B9" s="17"/>
      <c r="C9" s="45"/>
      <c r="D9" s="46"/>
      <c r="E9" s="45"/>
      <c r="F9" s="46"/>
      <c r="G9" s="45"/>
      <c r="I9" s="17"/>
      <c r="J9" s="45"/>
      <c r="K9" s="46"/>
      <c r="L9" s="45"/>
      <c r="M9" s="46"/>
      <c r="N9" s="45"/>
    </row>
    <row r="10" spans="2:20" s="10" customFormat="1">
      <c r="B10" s="18" t="s">
        <v>13</v>
      </c>
      <c r="C10" s="183">
        <f>'Annex 3_MAFF'!O603</f>
        <v>2157.2327799999994</v>
      </c>
      <c r="D10" s="183">
        <f>'Annex 3_MAFF'!P603</f>
        <v>5304.1897289999997</v>
      </c>
      <c r="E10" s="183">
        <f>'Annex 3_MAFF'!Q603</f>
        <v>5502.2427779999998</v>
      </c>
      <c r="F10" s="183">
        <f>'Annex 3_MAFF'!R603</f>
        <v>3918.4532129999998</v>
      </c>
      <c r="G10" s="2530">
        <f>SUM(C10:F10)</f>
        <v>16882.1185</v>
      </c>
      <c r="H10" s="486">
        <f>G10/G$13%</f>
        <v>36.364283253091358</v>
      </c>
      <c r="I10" s="18" t="s">
        <v>13</v>
      </c>
      <c r="J10" s="183">
        <f>SUMIFS('Annex 3_MAFF'!O:O,'Annex 3_MAFF'!$AI:$AI,'Annex 1_Summary'!$I10)</f>
        <v>2157.2327800000003</v>
      </c>
      <c r="K10" s="183">
        <f>SUMIFS('Annex 3_MAFF'!P:P,'Annex 3_MAFF'!$AI:$AI,'Annex 1_Summary'!$I10)</f>
        <v>5304.1897289999979</v>
      </c>
      <c r="L10" s="183">
        <f>SUMIFS('Annex 3_MAFF'!Q:Q,'Annex 3_MAFF'!$AI:$AI,'Annex 1_Summary'!$I10)</f>
        <v>5502.242777999998</v>
      </c>
      <c r="M10" s="183">
        <f>SUMIFS('Annex 3_MAFF'!R:R,'Annex 3_MAFF'!$AI:$AI,'Annex 1_Summary'!$I10)</f>
        <v>3918.4532129999993</v>
      </c>
      <c r="N10" s="184">
        <f>SUM(J10:M10)</f>
        <v>16882.118499999997</v>
      </c>
      <c r="O10" s="376">
        <f>G10-N10</f>
        <v>0</v>
      </c>
      <c r="Q10" s="376"/>
    </row>
    <row r="11" spans="2:20" s="8" customFormat="1" ht="16.5" customHeight="1">
      <c r="B11" s="179" t="s">
        <v>62</v>
      </c>
      <c r="C11" s="172">
        <f>'Annex 4_MoWRAM'!E109</f>
        <v>76.550000000000011</v>
      </c>
      <c r="D11" s="172">
        <f>'Annex 4_MoWRAM'!F109</f>
        <v>6527.0034999999998</v>
      </c>
      <c r="E11" s="172">
        <f>'Annex 4_MoWRAM'!G109</f>
        <v>6119.3964999999989</v>
      </c>
      <c r="F11" s="172">
        <f>'Annex 4_MoWRAM'!H109</f>
        <v>3758.951</v>
      </c>
      <c r="G11" s="2531">
        <f>SUM(C11:F11)</f>
        <v>16481.900999999998</v>
      </c>
      <c r="H11" s="486">
        <f>G11/G$13%</f>
        <v>35.502210016675903</v>
      </c>
      <c r="I11" s="179" t="s">
        <v>62</v>
      </c>
      <c r="J11" s="183">
        <f>SUMIFS('Annex 4_MoWRAM'!R:R,'Annex 4_MoWRAM'!$BD:$BD,'Annex 1_Summary'!$I11)</f>
        <v>76.550000000000011</v>
      </c>
      <c r="K11" s="183">
        <f>SUMIFS('Annex 4_MoWRAM'!S:S,'Annex 4_MoWRAM'!$BD:$BD,'Annex 1_Summary'!$I11)</f>
        <v>6527.0034999999989</v>
      </c>
      <c r="L11" s="183">
        <f>SUMIFS('Annex 4_MoWRAM'!T:T,'Annex 4_MoWRAM'!$BD:$BD,'Annex 1_Summary'!$I11)</f>
        <v>6119.3964999999989</v>
      </c>
      <c r="M11" s="183">
        <f>SUMIFS('Annex 4_MoWRAM'!U:U,'Annex 4_MoWRAM'!$BD:$BD,'Annex 1_Summary'!$I11)</f>
        <v>3758.9509999999987</v>
      </c>
      <c r="N11" s="185">
        <f>SUM(J11:M11)</f>
        <v>16481.900999999994</v>
      </c>
      <c r="O11" s="376">
        <f>G11-N11</f>
        <v>0</v>
      </c>
      <c r="Q11" s="376"/>
    </row>
    <row r="12" spans="2:20" ht="16.5" customHeight="1">
      <c r="B12" s="179" t="s">
        <v>58</v>
      </c>
      <c r="C12" s="172">
        <f>'Annex 5_MRD'!X110</f>
        <v>4154.7685066682507</v>
      </c>
      <c r="D12" s="172">
        <f>'Annex 5_MRD'!Y110</f>
        <v>3714.0047095847017</v>
      </c>
      <c r="E12" s="172">
        <f>'Annex 5_MRD'!Z110</f>
        <v>3040.071446732999</v>
      </c>
      <c r="F12" s="172">
        <f>'Annex 5_MRD'!AA110</f>
        <v>2152.135836333</v>
      </c>
      <c r="G12" s="2532">
        <f>SUM(C12:F12)</f>
        <v>13060.98049931895</v>
      </c>
      <c r="H12" s="486">
        <f>G12/G$13%</f>
        <v>28.133506730232753</v>
      </c>
      <c r="I12" s="179" t="s">
        <v>58</v>
      </c>
      <c r="J12" s="183">
        <f>SUMIFS('Annex 5_MRD'!R:R,'Annex 5_MRD'!$BJ:$BJ,'Annex 1_Summary'!$I12)</f>
        <v>4154.7685066682498</v>
      </c>
      <c r="K12" s="183">
        <f>SUMIFS('Annex 5_MRD'!S:S,'Annex 5_MRD'!$BJ:$BJ,'Annex 1_Summary'!$I12)</f>
        <v>3714.0047095847021</v>
      </c>
      <c r="L12" s="183">
        <f>SUMIFS('Annex 5_MRD'!T:T,'Annex 5_MRD'!$BJ:$BJ,'Annex 1_Summary'!$I12)</f>
        <v>3040.0714467329999</v>
      </c>
      <c r="M12" s="183">
        <f>SUMIFS('Annex 5_MRD'!U:U,'Annex 5_MRD'!$BJ:$BJ,'Annex 1_Summary'!$I12)</f>
        <v>2152.135836333</v>
      </c>
      <c r="N12" s="186">
        <f>SUM(J12:M12)</f>
        <v>13060.980499318952</v>
      </c>
      <c r="O12" s="376">
        <f>G12-N12</f>
        <v>0</v>
      </c>
      <c r="P12" s="379"/>
      <c r="Q12" s="376"/>
      <c r="R12" s="380"/>
      <c r="T12" s="380"/>
    </row>
    <row r="13" spans="2:20" ht="15" customHeight="1">
      <c r="B13" s="80" t="s">
        <v>14</v>
      </c>
      <c r="C13" s="188">
        <f>SUM(C10:C12)</f>
        <v>6388.5512866682502</v>
      </c>
      <c r="D13" s="188">
        <f>SUM(D10:D12)</f>
        <v>15545.197938584703</v>
      </c>
      <c r="E13" s="188">
        <f>SUM(E10:E12)</f>
        <v>14661.710724732999</v>
      </c>
      <c r="F13" s="188">
        <f>SUM(F10:F12)</f>
        <v>9829.5400493329998</v>
      </c>
      <c r="G13" s="2533">
        <f>SUM(G10:G12)</f>
        <v>46424.999999318941</v>
      </c>
      <c r="H13" s="486">
        <f>G13/G$13%</f>
        <v>100</v>
      </c>
      <c r="I13" s="80" t="s">
        <v>14</v>
      </c>
      <c r="J13" s="188">
        <f>SUM(J10:J12)</f>
        <v>6388.5512866682502</v>
      </c>
      <c r="K13" s="188">
        <f>SUM(K10:K12)</f>
        <v>15545.197938584699</v>
      </c>
      <c r="L13" s="188">
        <f>SUM(L10:L12)</f>
        <v>14661.710724732997</v>
      </c>
      <c r="M13" s="188">
        <f>SUM(M10:M12)</f>
        <v>9829.540049332998</v>
      </c>
      <c r="N13" s="216">
        <f>SUM(N10:N12)</f>
        <v>46424.999999318949</v>
      </c>
      <c r="R13" s="380"/>
    </row>
    <row r="14" spans="2:20" ht="5.45" customHeight="1">
      <c r="B14" s="19"/>
      <c r="C14" s="189"/>
      <c r="D14" s="189"/>
      <c r="E14" s="189"/>
      <c r="F14" s="189"/>
      <c r="G14" s="190"/>
      <c r="H14" s="520"/>
      <c r="I14" s="19"/>
      <c r="J14" s="189"/>
      <c r="K14" s="189"/>
      <c r="L14" s="189"/>
      <c r="M14" s="189"/>
      <c r="N14" s="190"/>
    </row>
    <row r="15" spans="2:20">
      <c r="B15" s="450" t="s">
        <v>18</v>
      </c>
      <c r="C15" s="451" t="s">
        <v>6</v>
      </c>
      <c r="D15" s="451" t="s">
        <v>7</v>
      </c>
      <c r="E15" s="451" t="s">
        <v>8</v>
      </c>
      <c r="F15" s="451" t="s">
        <v>9</v>
      </c>
      <c r="G15" s="451" t="s">
        <v>10</v>
      </c>
      <c r="H15" s="486"/>
      <c r="I15" s="33" t="s">
        <v>18</v>
      </c>
      <c r="J15" s="191"/>
      <c r="K15" s="191"/>
      <c r="L15" s="191"/>
      <c r="M15" s="191"/>
      <c r="N15" s="192"/>
    </row>
    <row r="16" spans="2:20" ht="5.25" customHeight="1">
      <c r="B16" s="19"/>
      <c r="C16" s="172"/>
      <c r="D16" s="193"/>
      <c r="E16" s="172"/>
      <c r="F16" s="193"/>
      <c r="G16" s="194"/>
      <c r="H16" s="486"/>
      <c r="I16" s="19"/>
      <c r="J16" s="172"/>
      <c r="K16" s="193"/>
      <c r="L16" s="172"/>
      <c r="M16" s="193"/>
      <c r="N16" s="194"/>
    </row>
    <row r="17" spans="2:18" ht="18" customHeight="1">
      <c r="B17" s="19" t="s">
        <v>24</v>
      </c>
      <c r="C17" s="172">
        <f>'Summary by EA, Source &amp; Qtr '!D9+'Summary by EA, Source &amp; Qtr '!D15+'Summary by EA, Source &amp; Qtr '!D21</f>
        <v>3939.2236163208472</v>
      </c>
      <c r="D17" s="172">
        <f>'Summary by EA, Source &amp; Qtr '!E9+'Summary by EA, Source &amp; Qtr '!E15+'Summary by EA, Source &amp; Qtr '!E21</f>
        <v>9979.0679486872323</v>
      </c>
      <c r="E17" s="172">
        <f>'Summary by EA, Source &amp; Qtr '!F9+'Summary by EA, Source &amp; Qtr '!F15+'Summary by EA, Source &amp; Qtr '!F21</f>
        <v>9124.3311302903385</v>
      </c>
      <c r="F17" s="172">
        <f>'Summary by EA, Source &amp; Qtr '!G9+'Summary by EA, Source &amp; Qtr '!G15+'Summary by EA, Source &amp; Qtr '!G21</f>
        <v>5847.4731835485472</v>
      </c>
      <c r="G17" s="2560">
        <f>SUM(C17:F17)</f>
        <v>28890.095878846965</v>
      </c>
      <c r="H17" s="485">
        <f t="shared" ref="H17:H22" si="0">G17/G$13%</f>
        <v>62.229608786797598</v>
      </c>
      <c r="I17" s="19" t="s">
        <v>24</v>
      </c>
      <c r="J17" s="172">
        <f>C17</f>
        <v>3939.2236163208472</v>
      </c>
      <c r="K17" s="172">
        <f t="shared" ref="J17:M21" si="1">D17</f>
        <v>9979.0679486872323</v>
      </c>
      <c r="L17" s="172">
        <f t="shared" si="1"/>
        <v>9124.3311302903385</v>
      </c>
      <c r="M17" s="172">
        <f t="shared" si="1"/>
        <v>5847.4731835485472</v>
      </c>
      <c r="N17" s="194">
        <f>SUM(J17:M17)</f>
        <v>28890.095878846965</v>
      </c>
      <c r="O17" s="7"/>
      <c r="P17" s="7"/>
      <c r="Q17" s="7"/>
      <c r="R17" s="7"/>
    </row>
    <row r="18" spans="2:18" ht="15.75" customHeight="1">
      <c r="B18" s="19" t="s">
        <v>37</v>
      </c>
      <c r="C18" s="172">
        <f>'Summary by EA, Source &amp; Qtr '!D10+'Summary by EA, Source &amp; Qtr '!D16+'Summary by EA, Source &amp; Qtr '!D22</f>
        <v>521.62157200691763</v>
      </c>
      <c r="D18" s="172">
        <f>'Summary by EA, Source &amp; Qtr '!E10+'Summary by EA, Source &amp; Qtr '!E16+'Summary by EA, Source &amp; Qtr '!E22</f>
        <v>982.54525472442162</v>
      </c>
      <c r="E18" s="172">
        <f>'Summary by EA, Source &amp; Qtr '!F10+'Summary by EA, Source &amp; Qtr '!F16+'Summary by EA, Source &amp; Qtr '!F22</f>
        <v>915.06822241156601</v>
      </c>
      <c r="F18" s="172">
        <f>'Summary by EA, Source &amp; Qtr '!G10+'Summary by EA, Source &amp; Qtr '!G16+'Summary by EA, Source &amp; Qtr '!G22</f>
        <v>718.6883195465507</v>
      </c>
      <c r="G18" s="2560">
        <f>SUM(C18:F18)</f>
        <v>3137.9233686894559</v>
      </c>
      <c r="H18" s="485">
        <f t="shared" si="0"/>
        <v>6.7591241114388572</v>
      </c>
      <c r="I18" s="19" t="s">
        <v>37</v>
      </c>
      <c r="J18" s="172">
        <f>C18</f>
        <v>521.62157200691763</v>
      </c>
      <c r="K18" s="172">
        <f t="shared" si="1"/>
        <v>982.54525472442162</v>
      </c>
      <c r="L18" s="172">
        <f t="shared" si="1"/>
        <v>915.06822241156601</v>
      </c>
      <c r="M18" s="172">
        <f t="shared" si="1"/>
        <v>718.6883195465507</v>
      </c>
      <c r="N18" s="194">
        <f>SUM(J18:M18)</f>
        <v>3137.9233686894559</v>
      </c>
    </row>
    <row r="19" spans="2:18" ht="18.75" customHeight="1">
      <c r="B19" s="19" t="s">
        <v>38</v>
      </c>
      <c r="C19" s="172">
        <f>'Summary by EA, Source &amp; Qtr '!D11+'Summary by EA, Source &amp; Qtr '!D17+'Summary by EA, Source &amp; Qtr '!D23</f>
        <v>1681.7496218947358</v>
      </c>
      <c r="D19" s="172">
        <f>'Summary by EA, Source &amp; Qtr '!E11+'Summary by EA, Source &amp; Qtr '!E17+'Summary by EA, Source &amp; Qtr '!E23</f>
        <v>4001.8483332770243</v>
      </c>
      <c r="E19" s="172">
        <f>'Summary by EA, Source &amp; Qtr '!F11+'Summary by EA, Source &amp; Qtr '!F17+'Summary by EA, Source &amp; Qtr '!F23</f>
        <v>4019.4427337854286</v>
      </c>
      <c r="F19" s="172">
        <f>'Summary by EA, Source &amp; Qtr '!G11+'Summary by EA, Source &amp; Qtr '!G17+'Summary by EA, Source &amp; Qtr '!G23</f>
        <v>2829.5000628253406</v>
      </c>
      <c r="G19" s="2560">
        <f>SUM(C19:F19)</f>
        <v>12532.54075178253</v>
      </c>
      <c r="H19" s="485">
        <f t="shared" si="0"/>
        <v>26.995241253562483</v>
      </c>
      <c r="I19" s="19" t="s">
        <v>38</v>
      </c>
      <c r="J19" s="172">
        <f>C19</f>
        <v>1681.7496218947358</v>
      </c>
      <c r="K19" s="172">
        <f t="shared" si="1"/>
        <v>4001.8483332770243</v>
      </c>
      <c r="L19" s="172">
        <f t="shared" si="1"/>
        <v>4019.4427337854286</v>
      </c>
      <c r="M19" s="172">
        <f t="shared" si="1"/>
        <v>2829.5000628253406</v>
      </c>
      <c r="N19" s="194">
        <f>SUM(J19:M19)</f>
        <v>12532.54075178253</v>
      </c>
    </row>
    <row r="20" spans="2:18" ht="18.75" customHeight="1">
      <c r="B20" s="19" t="s">
        <v>25</v>
      </c>
      <c r="C20" s="172">
        <f>'Summary by EA, Source &amp; Qtr '!D12+'Summary by EA, Source &amp; Qtr '!D18+'Summary by EA, Source &amp; Qtr '!D24</f>
        <v>188.85320562541955</v>
      </c>
      <c r="D20" s="172">
        <f>'Summary by EA, Source &amp; Qtr '!E12+'Summary by EA, Source &amp; Qtr '!E18+'Summary by EA, Source &amp; Qtr '!E24</f>
        <v>441.33125629207973</v>
      </c>
      <c r="E20" s="172">
        <f>'Summary by EA, Source &amp; Qtr '!F12+'Summary by EA, Source &amp; Qtr '!F18+'Summary by EA, Source &amp; Qtr '!F24</f>
        <v>457.22090732654914</v>
      </c>
      <c r="F20" s="172">
        <f>'Summary by EA, Source &amp; Qtr '!G12+'Summary by EA, Source &amp; Qtr '!G18+'Summary by EA, Source &amp; Qtr '!G24</f>
        <v>330.15463075595164</v>
      </c>
      <c r="G20" s="2560">
        <f>SUM(C20:F20)</f>
        <v>1417.56</v>
      </c>
      <c r="H20" s="485">
        <f t="shared" si="0"/>
        <v>3.0534410339704805</v>
      </c>
      <c r="I20" s="19" t="s">
        <v>25</v>
      </c>
      <c r="J20" s="172">
        <f t="shared" si="1"/>
        <v>188.85320562541955</v>
      </c>
      <c r="K20" s="172">
        <f t="shared" si="1"/>
        <v>441.33125629207973</v>
      </c>
      <c r="L20" s="172">
        <f t="shared" si="1"/>
        <v>457.22090732654914</v>
      </c>
      <c r="M20" s="172">
        <f t="shared" si="1"/>
        <v>330.15463075595164</v>
      </c>
      <c r="N20" s="194">
        <f>SUM(J20:M20)</f>
        <v>1417.56</v>
      </c>
      <c r="O20" s="7"/>
    </row>
    <row r="21" spans="2:18" ht="18.75" customHeight="1">
      <c r="B21" s="20" t="s">
        <v>40</v>
      </c>
      <c r="C21" s="172">
        <f>'Summary by EA, Source &amp; Qtr '!D13+'Summary by EA, Source &amp; Qtr '!D19+'Summary by EA, Source &amp; Qtr '!D25</f>
        <v>57.10327082032979</v>
      </c>
      <c r="D21" s="172">
        <f>'Summary by EA, Source &amp; Qtr '!E13+'Summary by EA, Source &amp; Qtr '!E19+'Summary by EA, Source &amp; Qtr '!E25</f>
        <v>140.405145603943</v>
      </c>
      <c r="E21" s="172">
        <f>'Summary by EA, Source &amp; Qtr '!F13+'Summary by EA, Source &amp; Qtr '!F19+'Summary by EA, Source &amp; Qtr '!F25</f>
        <v>145.64773091911658</v>
      </c>
      <c r="F21" s="172">
        <f>'Summary by EA, Source &amp; Qtr '!G13+'Summary by EA, Source &amp; Qtr '!G19+'Summary by EA, Source &amp; Qtr '!G25</f>
        <v>103.72385265661059</v>
      </c>
      <c r="G21" s="2561">
        <f>SUM(C21:F21)</f>
        <v>446.87999999999994</v>
      </c>
      <c r="H21" s="485">
        <f t="shared" si="0"/>
        <v>0.96258481423059927</v>
      </c>
      <c r="I21" s="20" t="s">
        <v>40</v>
      </c>
      <c r="J21" s="175">
        <f t="shared" si="1"/>
        <v>57.10327082032979</v>
      </c>
      <c r="K21" s="175">
        <f t="shared" si="1"/>
        <v>140.405145603943</v>
      </c>
      <c r="L21" s="175">
        <f t="shared" si="1"/>
        <v>145.64773091911658</v>
      </c>
      <c r="M21" s="175">
        <f t="shared" si="1"/>
        <v>103.72385265661059</v>
      </c>
      <c r="N21" s="187">
        <f>SUM(J21:M21)</f>
        <v>446.87999999999994</v>
      </c>
      <c r="O21" s="7"/>
    </row>
    <row r="22" spans="2:18">
      <c r="B22" s="81" t="s">
        <v>14</v>
      </c>
      <c r="C22" s="173">
        <f>SUM(C17:C21)</f>
        <v>6388.5512866682511</v>
      </c>
      <c r="D22" s="173">
        <f>SUM(D17:D21)</f>
        <v>15545.197938584703</v>
      </c>
      <c r="E22" s="173">
        <f>SUM(E17:E21)</f>
        <v>14661.710724732999</v>
      </c>
      <c r="F22" s="173">
        <f>SUM(F17:F21)</f>
        <v>9829.5400493329998</v>
      </c>
      <c r="G22" s="2562">
        <f>SUM(G17:G21)</f>
        <v>46424.999999318949</v>
      </c>
      <c r="H22" s="486">
        <f t="shared" si="0"/>
        <v>100.00000000000001</v>
      </c>
      <c r="I22" s="81" t="s">
        <v>14</v>
      </c>
      <c r="J22" s="173">
        <f>SUM(J17:J21)</f>
        <v>6388.5512866682511</v>
      </c>
      <c r="K22" s="173">
        <f>SUM(K17:K21)</f>
        <v>15545.197938584703</v>
      </c>
      <c r="L22" s="173">
        <f>SUM(L17:L21)</f>
        <v>14661.710724732999</v>
      </c>
      <c r="M22" s="173">
        <f>SUM(M17:M21)</f>
        <v>9829.5400493329998</v>
      </c>
      <c r="N22" s="195">
        <f>SUM(N17:N21)</f>
        <v>46424.999999318949</v>
      </c>
    </row>
    <row r="23" spans="2:18" ht="6" customHeight="1">
      <c r="B23" s="38"/>
      <c r="C23" s="39"/>
      <c r="D23" s="40"/>
      <c r="E23" s="39"/>
      <c r="F23" s="40"/>
      <c r="G23" s="39"/>
      <c r="I23" s="38"/>
      <c r="J23" s="39"/>
      <c r="K23" s="40"/>
      <c r="L23" s="39"/>
      <c r="M23" s="40"/>
      <c r="N23" s="39"/>
    </row>
    <row r="25" spans="2:18">
      <c r="C25" s="262"/>
      <c r="D25" s="262"/>
      <c r="E25" s="262"/>
      <c r="F25" s="262"/>
      <c r="G25" s="262">
        <f>G13-G22</f>
        <v>0</v>
      </c>
    </row>
    <row r="26" spans="2:18">
      <c r="G26" s="449"/>
    </row>
    <row r="27" spans="2:18">
      <c r="G27" s="7"/>
    </row>
    <row r="28" spans="2:18">
      <c r="G28" s="467"/>
    </row>
  </sheetData>
  <mergeCells count="4">
    <mergeCell ref="B6:B7"/>
    <mergeCell ref="C6:G6"/>
    <mergeCell ref="I6:I7"/>
    <mergeCell ref="J6:N6"/>
  </mergeCells>
  <pageMargins left="0.45866141700000002" right="0.25" top="0.74803149606299202" bottom="0.74803149606299202" header="0.31496062992126" footer="0.31496062992126"/>
  <pageSetup paperSize="9" scale="85" orientation="landscape" horizontalDpi="4294967292"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X131"/>
  <sheetViews>
    <sheetView zoomScale="80" zoomScaleNormal="80" workbookViewId="0">
      <selection activeCell="G116" sqref="G116"/>
    </sheetView>
  </sheetViews>
  <sheetFormatPr defaultColWidth="9" defaultRowHeight="15" outlineLevelCol="1"/>
  <cols>
    <col min="1" max="4" width="1.85546875" style="266" customWidth="1"/>
    <col min="5" max="5" width="92.42578125" style="266" customWidth="1" outlineLevel="1"/>
    <col min="6" max="6" width="8.85546875" style="266" customWidth="1"/>
    <col min="7" max="7" width="33.85546875" style="266" customWidth="1" outlineLevel="1"/>
    <col min="8" max="8" width="3.85546875" style="266" customWidth="1"/>
    <col min="9" max="9" width="14.85546875" style="266" customWidth="1"/>
    <col min="10" max="10" width="15.85546875" style="266" customWidth="1"/>
    <col min="11" max="11" width="13.85546875" style="266" customWidth="1"/>
    <col min="12" max="12" width="10.85546875" style="266" customWidth="1"/>
    <col min="13" max="13" width="14.85546875" style="266" customWidth="1"/>
    <col min="14" max="14" width="12.85546875" style="266" customWidth="1"/>
    <col min="15" max="15" width="10.140625" style="266" bestFit="1" customWidth="1"/>
    <col min="16" max="16" width="3.85546875" style="266" customWidth="1"/>
    <col min="17" max="17" width="14.85546875" style="266" customWidth="1"/>
    <col min="18" max="18" width="11.42578125" style="266" customWidth="1"/>
    <col min="19" max="19" width="3.85546875" style="266" customWidth="1"/>
    <col min="20" max="23" width="9" style="266"/>
    <col min="24" max="24" width="11.42578125" style="266" customWidth="1"/>
    <col min="25" max="16384" width="9" style="266"/>
  </cols>
  <sheetData>
    <row r="1" spans="1:24" ht="15.75" customHeight="1">
      <c r="B1" s="266" t="s">
        <v>161</v>
      </c>
    </row>
    <row r="2" spans="1:24" ht="15.75" customHeight="1">
      <c r="B2" s="266" t="s">
        <v>162</v>
      </c>
    </row>
    <row r="3" spans="1:24" ht="15.75" customHeight="1">
      <c r="B3" s="266" t="s">
        <v>163</v>
      </c>
    </row>
    <row r="4" spans="1:24" ht="15.75" customHeight="1"/>
    <row r="5" spans="1:24">
      <c r="A5" s="267" t="s">
        <v>164</v>
      </c>
      <c r="E5" s="565" t="s">
        <v>453</v>
      </c>
    </row>
    <row r="6" spans="1:24" ht="15.75">
      <c r="I6" s="2591" t="s">
        <v>165</v>
      </c>
      <c r="J6" s="2591"/>
      <c r="K6" s="2591"/>
      <c r="L6" s="2591"/>
      <c r="M6" s="2591"/>
      <c r="N6" s="2591"/>
      <c r="O6" s="2591"/>
      <c r="Q6" s="268" t="s">
        <v>166</v>
      </c>
      <c r="R6" s="268" t="s">
        <v>167</v>
      </c>
      <c r="T6" s="269" t="s">
        <v>168</v>
      </c>
      <c r="U6" s="269"/>
      <c r="V6" s="269"/>
      <c r="W6" s="269"/>
      <c r="X6" s="269"/>
    </row>
    <row r="7" spans="1:24" ht="15.75">
      <c r="E7" s="268" t="s">
        <v>169</v>
      </c>
      <c r="G7" s="268" t="s">
        <v>170</v>
      </c>
      <c r="I7" s="270" t="s">
        <v>24</v>
      </c>
      <c r="J7" s="271" t="s">
        <v>37</v>
      </c>
      <c r="K7" s="272" t="s">
        <v>38</v>
      </c>
      <c r="L7" s="273" t="s">
        <v>42</v>
      </c>
      <c r="M7" s="274" t="s">
        <v>40</v>
      </c>
      <c r="N7" s="275" t="s">
        <v>171</v>
      </c>
      <c r="O7" s="269" t="s">
        <v>139</v>
      </c>
      <c r="T7" s="269" t="s">
        <v>172</v>
      </c>
      <c r="U7" s="269" t="s">
        <v>173</v>
      </c>
      <c r="V7" s="269" t="s">
        <v>174</v>
      </c>
      <c r="W7" s="269" t="s">
        <v>175</v>
      </c>
      <c r="X7" s="269" t="s">
        <v>176</v>
      </c>
    </row>
    <row r="8" spans="1:24">
      <c r="E8" s="276" t="s">
        <v>177</v>
      </c>
      <c r="F8" s="565" t="s">
        <v>454</v>
      </c>
      <c r="G8" s="276" t="s">
        <v>178</v>
      </c>
      <c r="I8" s="277">
        <v>0.76827006604510995</v>
      </c>
      <c r="J8" s="278">
        <v>0.12645069473218948</v>
      </c>
      <c r="K8" s="279">
        <v>0.10527923922270058</v>
      </c>
      <c r="L8" s="280">
        <v>0</v>
      </c>
      <c r="M8" s="281">
        <v>0</v>
      </c>
      <c r="N8" s="282">
        <v>0</v>
      </c>
      <c r="O8" s="283"/>
      <c r="Q8" s="283">
        <v>0.1</v>
      </c>
      <c r="R8" s="283">
        <v>0.1</v>
      </c>
      <c r="T8" s="283">
        <v>0</v>
      </c>
      <c r="U8" s="283">
        <v>0</v>
      </c>
      <c r="V8" s="283">
        <v>0.09</v>
      </c>
      <c r="W8" s="283">
        <v>9.000000000000008E-2</v>
      </c>
      <c r="X8" s="266" t="s">
        <v>179</v>
      </c>
    </row>
    <row r="9" spans="1:24">
      <c r="E9" s="276" t="s">
        <v>180</v>
      </c>
      <c r="F9" s="565" t="s">
        <v>454</v>
      </c>
      <c r="G9" s="276" t="s">
        <v>181</v>
      </c>
      <c r="I9" s="277">
        <v>0.76827006604510995</v>
      </c>
      <c r="J9" s="278">
        <v>0.12645069473218948</v>
      </c>
      <c r="K9" s="279">
        <v>0.10527923922270058</v>
      </c>
      <c r="L9" s="280">
        <v>0</v>
      </c>
      <c r="M9" s="281">
        <v>0</v>
      </c>
      <c r="N9" s="282">
        <v>0</v>
      </c>
      <c r="O9" s="283"/>
      <c r="Q9" s="283">
        <v>0.1</v>
      </c>
      <c r="R9" s="283">
        <v>0</v>
      </c>
      <c r="T9" s="283">
        <v>0</v>
      </c>
      <c r="U9" s="283">
        <v>0</v>
      </c>
      <c r="V9" s="283">
        <v>0.09</v>
      </c>
      <c r="W9" s="283">
        <v>9.000000000000008E-2</v>
      </c>
      <c r="X9" s="266" t="s">
        <v>179</v>
      </c>
    </row>
    <row r="10" spans="1:24">
      <c r="E10" s="276" t="s">
        <v>182</v>
      </c>
      <c r="F10" s="565" t="s">
        <v>455</v>
      </c>
      <c r="G10" s="276" t="s">
        <v>183</v>
      </c>
      <c r="I10" s="284">
        <v>1</v>
      </c>
      <c r="J10" s="285">
        <v>0</v>
      </c>
      <c r="K10" s="286">
        <v>0</v>
      </c>
      <c r="L10" s="280">
        <v>0</v>
      </c>
      <c r="M10" s="281">
        <v>0</v>
      </c>
      <c r="N10" s="282">
        <v>0</v>
      </c>
      <c r="O10" s="283"/>
      <c r="Q10" s="283">
        <v>0.1</v>
      </c>
      <c r="R10" s="283">
        <v>0.2</v>
      </c>
      <c r="T10" s="283">
        <v>0</v>
      </c>
      <c r="U10" s="283">
        <v>0</v>
      </c>
      <c r="V10" s="283">
        <v>0.09</v>
      </c>
      <c r="W10" s="283">
        <v>9.000000000000008E-2</v>
      </c>
      <c r="X10" s="266" t="s">
        <v>179</v>
      </c>
    </row>
    <row r="11" spans="1:24">
      <c r="E11" s="276" t="s">
        <v>184</v>
      </c>
      <c r="G11" s="276" t="s">
        <v>185</v>
      </c>
      <c r="I11" s="284">
        <v>1</v>
      </c>
      <c r="J11" s="285">
        <v>0</v>
      </c>
      <c r="K11" s="286">
        <v>0</v>
      </c>
      <c r="L11" s="280">
        <v>0</v>
      </c>
      <c r="M11" s="281">
        <v>0</v>
      </c>
      <c r="N11" s="282">
        <v>0</v>
      </c>
      <c r="O11" s="283"/>
      <c r="Q11" s="283">
        <v>0.1</v>
      </c>
      <c r="R11" s="283">
        <v>0.2</v>
      </c>
      <c r="T11" s="283">
        <v>0</v>
      </c>
      <c r="U11" s="283">
        <v>0</v>
      </c>
      <c r="V11" s="283">
        <v>0.09</v>
      </c>
      <c r="W11" s="283">
        <v>9.000000000000008E-2</v>
      </c>
      <c r="X11" s="266" t="s">
        <v>179</v>
      </c>
    </row>
    <row r="12" spans="1:24">
      <c r="E12" s="276" t="s">
        <v>186</v>
      </c>
      <c r="G12" s="276" t="s">
        <v>187</v>
      </c>
      <c r="I12" s="287">
        <v>0</v>
      </c>
      <c r="J12" s="285">
        <v>0</v>
      </c>
      <c r="K12" s="279">
        <v>0.27272727272727271</v>
      </c>
      <c r="L12" s="288">
        <v>0.30585398202814701</v>
      </c>
      <c r="M12" s="289">
        <v>0.42141874524458028</v>
      </c>
      <c r="N12" s="282">
        <v>0</v>
      </c>
      <c r="O12" s="283"/>
      <c r="Q12" s="283">
        <v>0.1</v>
      </c>
      <c r="R12" s="283">
        <v>0.2</v>
      </c>
      <c r="T12" s="283">
        <v>0</v>
      </c>
      <c r="U12" s="283">
        <v>0</v>
      </c>
      <c r="V12" s="283">
        <v>0.09</v>
      </c>
      <c r="W12" s="283">
        <v>9.000000000000008E-2</v>
      </c>
      <c r="X12" s="266" t="s">
        <v>179</v>
      </c>
    </row>
    <row r="13" spans="1:24">
      <c r="E13" s="276" t="s">
        <v>188</v>
      </c>
      <c r="G13" s="276" t="s">
        <v>188</v>
      </c>
      <c r="I13" s="287">
        <v>0</v>
      </c>
      <c r="J13" s="285">
        <v>0</v>
      </c>
      <c r="K13" s="279">
        <v>0.5</v>
      </c>
      <c r="L13" s="288">
        <v>0.25</v>
      </c>
      <c r="M13" s="289">
        <v>0.25</v>
      </c>
      <c r="N13" s="282">
        <v>0</v>
      </c>
      <c r="O13" s="283"/>
      <c r="Q13" s="283"/>
      <c r="R13" s="283"/>
      <c r="T13" s="283"/>
      <c r="U13" s="283"/>
      <c r="V13" s="283"/>
      <c r="W13" s="283"/>
    </row>
    <row r="14" spans="1:24">
      <c r="E14" s="276" t="s">
        <v>189</v>
      </c>
      <c r="G14" s="322" t="s">
        <v>190</v>
      </c>
      <c r="I14" s="284">
        <v>1</v>
      </c>
      <c r="J14" s="285">
        <v>0</v>
      </c>
      <c r="K14" s="286">
        <v>0</v>
      </c>
      <c r="L14" s="280">
        <v>0</v>
      </c>
      <c r="M14" s="281">
        <v>0</v>
      </c>
      <c r="N14" s="282">
        <v>0</v>
      </c>
      <c r="O14" s="283"/>
      <c r="Q14" s="283">
        <v>0.1</v>
      </c>
      <c r="R14" s="283">
        <v>0.65</v>
      </c>
      <c r="T14" s="283">
        <v>0</v>
      </c>
      <c r="U14" s="283">
        <v>0</v>
      </c>
      <c r="V14" s="283">
        <v>0.09</v>
      </c>
      <c r="W14" s="283">
        <v>9.000000000000008E-2</v>
      </c>
      <c r="X14" s="266" t="s">
        <v>191</v>
      </c>
    </row>
    <row r="15" spans="1:24">
      <c r="E15" s="276" t="s">
        <v>192</v>
      </c>
      <c r="G15" s="276" t="s">
        <v>193</v>
      </c>
      <c r="I15" s="287">
        <v>0</v>
      </c>
      <c r="J15" s="285">
        <v>0</v>
      </c>
      <c r="K15" s="290">
        <v>1</v>
      </c>
      <c r="L15" s="280">
        <v>0</v>
      </c>
      <c r="M15" s="281">
        <v>0</v>
      </c>
      <c r="N15" s="282">
        <v>0</v>
      </c>
      <c r="O15" s="283"/>
      <c r="Q15" s="283">
        <v>0.1</v>
      </c>
      <c r="R15" s="283">
        <v>0.65</v>
      </c>
      <c r="T15" s="283">
        <v>0</v>
      </c>
      <c r="U15" s="283">
        <v>0</v>
      </c>
      <c r="V15" s="283">
        <v>0.09</v>
      </c>
      <c r="W15" s="283">
        <v>9.000000000000008E-2</v>
      </c>
      <c r="X15" s="266" t="s">
        <v>191</v>
      </c>
    </row>
    <row r="16" spans="1:24">
      <c r="E16" s="276" t="s">
        <v>194</v>
      </c>
      <c r="G16" s="276" t="s">
        <v>195</v>
      </c>
      <c r="I16" s="284">
        <v>1</v>
      </c>
      <c r="J16" s="285">
        <v>0</v>
      </c>
      <c r="K16" s="286">
        <v>0</v>
      </c>
      <c r="L16" s="280">
        <v>0</v>
      </c>
      <c r="M16" s="281">
        <v>0</v>
      </c>
      <c r="N16" s="282">
        <v>0</v>
      </c>
      <c r="O16" s="283"/>
      <c r="Q16" s="283">
        <v>0</v>
      </c>
      <c r="R16" s="283">
        <v>0.37</v>
      </c>
      <c r="T16" s="283">
        <v>0.5</v>
      </c>
      <c r="U16" s="283">
        <v>0</v>
      </c>
      <c r="V16" s="283">
        <v>0.09</v>
      </c>
      <c r="W16" s="283">
        <v>0.63500000000000023</v>
      </c>
      <c r="X16" s="266" t="s">
        <v>191</v>
      </c>
    </row>
    <row r="17" spans="5:24">
      <c r="E17" s="276" t="s">
        <v>196</v>
      </c>
      <c r="G17" s="276" t="s">
        <v>197</v>
      </c>
      <c r="I17" s="284">
        <v>1</v>
      </c>
      <c r="J17" s="285">
        <v>0</v>
      </c>
      <c r="K17" s="286">
        <v>0</v>
      </c>
      <c r="L17" s="280">
        <v>0</v>
      </c>
      <c r="M17" s="281">
        <v>0</v>
      </c>
      <c r="N17" s="282">
        <v>0</v>
      </c>
      <c r="O17" s="283"/>
      <c r="Q17" s="283">
        <v>0.05</v>
      </c>
      <c r="R17" s="283">
        <v>0.2</v>
      </c>
      <c r="T17" s="283">
        <v>0</v>
      </c>
      <c r="U17" s="283">
        <v>0</v>
      </c>
      <c r="V17" s="283">
        <v>0.09</v>
      </c>
      <c r="W17" s="283">
        <v>9.000000000000008E-2</v>
      </c>
      <c r="X17" s="266" t="s">
        <v>191</v>
      </c>
    </row>
    <row r="18" spans="5:24">
      <c r="E18" s="276" t="s">
        <v>198</v>
      </c>
      <c r="G18" s="276" t="s">
        <v>199</v>
      </c>
      <c r="I18" s="287">
        <v>0</v>
      </c>
      <c r="J18" s="285">
        <v>0</v>
      </c>
      <c r="K18" s="290">
        <v>1</v>
      </c>
      <c r="L18" s="280">
        <v>0</v>
      </c>
      <c r="M18" s="281">
        <v>0</v>
      </c>
      <c r="N18" s="282">
        <v>0</v>
      </c>
      <c r="O18" s="283"/>
      <c r="Q18" s="283">
        <v>0.05</v>
      </c>
      <c r="R18" s="283">
        <v>0</v>
      </c>
      <c r="T18" s="283">
        <v>0</v>
      </c>
      <c r="U18" s="283">
        <v>0</v>
      </c>
      <c r="V18" s="283">
        <v>0.09</v>
      </c>
      <c r="W18" s="283">
        <v>9.000000000000008E-2</v>
      </c>
      <c r="X18" s="266" t="s">
        <v>191</v>
      </c>
    </row>
    <row r="19" spans="5:24">
      <c r="E19" s="276" t="s">
        <v>200</v>
      </c>
      <c r="G19" s="276" t="s">
        <v>201</v>
      </c>
      <c r="I19" s="287">
        <v>0</v>
      </c>
      <c r="J19" s="285">
        <v>0</v>
      </c>
      <c r="K19" s="290">
        <v>1</v>
      </c>
      <c r="L19" s="280">
        <v>0</v>
      </c>
      <c r="M19" s="281">
        <v>0</v>
      </c>
      <c r="N19" s="282">
        <v>0</v>
      </c>
      <c r="O19" s="283"/>
      <c r="Q19" s="283">
        <v>0.05</v>
      </c>
      <c r="R19" s="283">
        <v>0</v>
      </c>
      <c r="T19" s="283">
        <v>0</v>
      </c>
      <c r="U19" s="283">
        <v>0</v>
      </c>
      <c r="V19" s="283">
        <v>0.09</v>
      </c>
      <c r="W19" s="283">
        <v>9.000000000000008E-2</v>
      </c>
      <c r="X19" s="266" t="s">
        <v>179</v>
      </c>
    </row>
    <row r="20" spans="5:24">
      <c r="E20" s="276" t="s">
        <v>202</v>
      </c>
      <c r="G20" s="276" t="s">
        <v>203</v>
      </c>
      <c r="I20" s="287">
        <v>0</v>
      </c>
      <c r="J20" s="285">
        <v>0</v>
      </c>
      <c r="K20" s="290">
        <v>1</v>
      </c>
      <c r="L20" s="280">
        <v>0</v>
      </c>
      <c r="M20" s="281">
        <v>0</v>
      </c>
      <c r="N20" s="282">
        <v>0</v>
      </c>
      <c r="O20" s="283"/>
      <c r="Q20" s="283">
        <v>0.05</v>
      </c>
      <c r="R20" s="283">
        <v>0</v>
      </c>
      <c r="T20" s="283">
        <v>0</v>
      </c>
      <c r="U20" s="283">
        <v>0</v>
      </c>
      <c r="V20" s="283">
        <v>0.09</v>
      </c>
      <c r="W20" s="283">
        <v>9.000000000000008E-2</v>
      </c>
      <c r="X20" s="266" t="s">
        <v>191</v>
      </c>
    </row>
    <row r="21" spans="5:24">
      <c r="E21" s="276" t="s">
        <v>204</v>
      </c>
      <c r="G21" s="276" t="s">
        <v>205</v>
      </c>
      <c r="I21" s="287">
        <v>0</v>
      </c>
      <c r="J21" s="285">
        <v>0</v>
      </c>
      <c r="K21" s="290">
        <v>1</v>
      </c>
      <c r="L21" s="280">
        <v>0</v>
      </c>
      <c r="M21" s="281">
        <v>0</v>
      </c>
      <c r="N21" s="282">
        <v>0</v>
      </c>
      <c r="O21" s="283"/>
      <c r="Q21" s="283">
        <v>0.05</v>
      </c>
      <c r="R21" s="283">
        <v>0</v>
      </c>
      <c r="T21" s="283">
        <v>0</v>
      </c>
      <c r="U21" s="283">
        <v>0</v>
      </c>
      <c r="V21" s="283">
        <v>0.09</v>
      </c>
      <c r="W21" s="283">
        <v>9.000000000000008E-2</v>
      </c>
      <c r="X21" s="266" t="s">
        <v>191</v>
      </c>
    </row>
    <row r="22" spans="5:24">
      <c r="E22" s="276" t="s">
        <v>206</v>
      </c>
      <c r="G22" s="276" t="s">
        <v>207</v>
      </c>
      <c r="I22" s="284">
        <v>1</v>
      </c>
      <c r="J22" s="285">
        <v>0</v>
      </c>
      <c r="K22" s="286">
        <v>0</v>
      </c>
      <c r="L22" s="280">
        <v>0</v>
      </c>
      <c r="M22" s="281">
        <v>0</v>
      </c>
      <c r="N22" s="282">
        <v>0</v>
      </c>
      <c r="O22" s="283"/>
      <c r="Q22" s="283">
        <v>0.05</v>
      </c>
      <c r="R22" s="283">
        <v>0.1</v>
      </c>
      <c r="T22" s="283">
        <v>0</v>
      </c>
      <c r="U22" s="283">
        <v>0</v>
      </c>
      <c r="V22" s="283">
        <v>0</v>
      </c>
      <c r="W22" s="283">
        <v>0</v>
      </c>
      <c r="X22" s="266" t="s">
        <v>191</v>
      </c>
    </row>
    <row r="23" spans="5:24">
      <c r="E23" s="276" t="s">
        <v>208</v>
      </c>
      <c r="G23" s="276" t="s">
        <v>209</v>
      </c>
      <c r="I23" s="284">
        <v>1</v>
      </c>
      <c r="J23" s="285">
        <v>0</v>
      </c>
      <c r="K23" s="286">
        <v>0</v>
      </c>
      <c r="L23" s="280">
        <v>0</v>
      </c>
      <c r="M23" s="281">
        <v>0</v>
      </c>
      <c r="N23" s="282">
        <v>0</v>
      </c>
      <c r="O23" s="283"/>
      <c r="Q23" s="283">
        <v>0</v>
      </c>
      <c r="R23" s="283">
        <v>1</v>
      </c>
      <c r="T23" s="283">
        <v>0</v>
      </c>
      <c r="U23" s="283">
        <v>0</v>
      </c>
      <c r="V23" s="283">
        <v>0</v>
      </c>
      <c r="W23" s="283">
        <v>0</v>
      </c>
      <c r="X23" s="266" t="s">
        <v>191</v>
      </c>
    </row>
    <row r="24" spans="5:24">
      <c r="E24" s="276" t="s">
        <v>210</v>
      </c>
      <c r="G24" s="276" t="s">
        <v>211</v>
      </c>
      <c r="I24" s="284">
        <v>1</v>
      </c>
      <c r="J24" s="285">
        <v>0</v>
      </c>
      <c r="K24" s="286">
        <v>0</v>
      </c>
      <c r="L24" s="280">
        <v>0</v>
      </c>
      <c r="M24" s="281">
        <v>0</v>
      </c>
      <c r="N24" s="282">
        <v>0</v>
      </c>
      <c r="O24" s="283"/>
      <c r="Q24" s="283">
        <v>0</v>
      </c>
      <c r="R24" s="283">
        <v>0</v>
      </c>
      <c r="T24" s="283">
        <v>0</v>
      </c>
      <c r="U24" s="283">
        <v>0</v>
      </c>
      <c r="V24" s="283">
        <v>0</v>
      </c>
      <c r="W24" s="283">
        <v>0</v>
      </c>
      <c r="X24" s="266" t="s">
        <v>191</v>
      </c>
    </row>
    <row r="25" spans="5:24">
      <c r="E25" s="276" t="s">
        <v>212</v>
      </c>
      <c r="G25" s="322" t="s">
        <v>213</v>
      </c>
      <c r="I25" s="284">
        <v>1</v>
      </c>
      <c r="J25" s="285">
        <v>0</v>
      </c>
      <c r="K25" s="286">
        <v>0</v>
      </c>
      <c r="L25" s="280">
        <v>0</v>
      </c>
      <c r="M25" s="281">
        <v>0</v>
      </c>
      <c r="N25" s="282">
        <v>0</v>
      </c>
      <c r="O25" s="283"/>
      <c r="Q25" s="283">
        <v>0</v>
      </c>
      <c r="R25" s="283">
        <v>1</v>
      </c>
      <c r="T25" s="283">
        <v>0</v>
      </c>
      <c r="U25" s="283">
        <v>0</v>
      </c>
      <c r="V25" s="283">
        <v>0</v>
      </c>
      <c r="W25" s="283">
        <v>0</v>
      </c>
      <c r="X25" s="266" t="s">
        <v>191</v>
      </c>
    </row>
    <row r="26" spans="5:24">
      <c r="E26" s="276" t="s">
        <v>214</v>
      </c>
      <c r="G26" s="276" t="s">
        <v>215</v>
      </c>
      <c r="I26" s="284">
        <v>1</v>
      </c>
      <c r="J26" s="285">
        <v>0</v>
      </c>
      <c r="K26" s="286">
        <v>0</v>
      </c>
      <c r="L26" s="280">
        <v>0</v>
      </c>
      <c r="M26" s="281">
        <v>0</v>
      </c>
      <c r="N26" s="282">
        <v>0</v>
      </c>
      <c r="O26" s="283"/>
      <c r="Q26" s="283">
        <v>0</v>
      </c>
      <c r="R26" s="283">
        <v>0</v>
      </c>
      <c r="T26" s="283">
        <v>0</v>
      </c>
      <c r="U26" s="283">
        <v>0</v>
      </c>
      <c r="V26" s="283">
        <v>0</v>
      </c>
      <c r="W26" s="283">
        <v>0</v>
      </c>
      <c r="X26" s="266" t="s">
        <v>191</v>
      </c>
    </row>
    <row r="27" spans="5:24">
      <c r="E27" s="276" t="s">
        <v>216</v>
      </c>
      <c r="G27" s="276" t="s">
        <v>217</v>
      </c>
      <c r="I27" s="287">
        <v>0</v>
      </c>
      <c r="J27" s="285">
        <v>0</v>
      </c>
      <c r="K27" s="290">
        <v>1</v>
      </c>
      <c r="L27" s="280">
        <v>0</v>
      </c>
      <c r="M27" s="281">
        <v>0</v>
      </c>
      <c r="N27" s="282">
        <v>0</v>
      </c>
      <c r="O27" s="283"/>
      <c r="Q27" s="283"/>
      <c r="R27" s="283"/>
      <c r="T27" s="283">
        <v>0</v>
      </c>
      <c r="U27" s="283">
        <v>0</v>
      </c>
      <c r="V27" s="283">
        <v>0</v>
      </c>
      <c r="W27" s="283">
        <v>0</v>
      </c>
      <c r="X27" s="266" t="s">
        <v>191</v>
      </c>
    </row>
    <row r="28" spans="5:24">
      <c r="E28" s="276" t="s">
        <v>218</v>
      </c>
      <c r="G28" s="276" t="s">
        <v>219</v>
      </c>
      <c r="I28" s="287">
        <v>0</v>
      </c>
      <c r="J28" s="285">
        <v>0</v>
      </c>
      <c r="K28" s="290">
        <v>1</v>
      </c>
      <c r="L28" s="280">
        <v>0</v>
      </c>
      <c r="M28" s="281">
        <v>0</v>
      </c>
      <c r="N28" s="282">
        <v>0</v>
      </c>
      <c r="O28" s="283"/>
      <c r="Q28" s="283"/>
      <c r="R28" s="283"/>
      <c r="T28" s="283">
        <v>0</v>
      </c>
      <c r="U28" s="283">
        <v>0</v>
      </c>
      <c r="V28" s="283">
        <v>0</v>
      </c>
      <c r="W28" s="283">
        <v>0</v>
      </c>
      <c r="X28" s="266" t="s">
        <v>191</v>
      </c>
    </row>
    <row r="29" spans="5:24">
      <c r="E29" s="276" t="s">
        <v>220</v>
      </c>
      <c r="G29" s="276" t="s">
        <v>221</v>
      </c>
      <c r="I29" s="284">
        <v>1</v>
      </c>
      <c r="J29" s="285">
        <v>0</v>
      </c>
      <c r="K29" s="286">
        <v>0</v>
      </c>
      <c r="L29" s="280">
        <v>0</v>
      </c>
      <c r="M29" s="281">
        <v>0</v>
      </c>
      <c r="N29" s="282">
        <v>0</v>
      </c>
      <c r="O29" s="283"/>
      <c r="Q29" s="283">
        <v>0.05</v>
      </c>
      <c r="R29" s="283">
        <v>0</v>
      </c>
      <c r="T29" s="283">
        <v>0</v>
      </c>
      <c r="U29" s="283">
        <v>0</v>
      </c>
      <c r="V29" s="283">
        <v>0</v>
      </c>
      <c r="W29" s="283">
        <v>0</v>
      </c>
      <c r="X29" s="266" t="s">
        <v>191</v>
      </c>
    </row>
    <row r="30" spans="5:24">
      <c r="E30" s="276" t="s">
        <v>222</v>
      </c>
      <c r="G30" s="276" t="s">
        <v>223</v>
      </c>
      <c r="I30" s="287">
        <v>0</v>
      </c>
      <c r="J30" s="285">
        <v>0</v>
      </c>
      <c r="K30" s="290">
        <v>1</v>
      </c>
      <c r="L30" s="280">
        <v>0</v>
      </c>
      <c r="M30" s="281">
        <v>0</v>
      </c>
      <c r="N30" s="282">
        <v>0</v>
      </c>
      <c r="O30" s="283"/>
      <c r="Q30" s="283">
        <v>0.05</v>
      </c>
      <c r="R30" s="283">
        <v>0</v>
      </c>
      <c r="T30" s="283">
        <v>0</v>
      </c>
      <c r="U30" s="283">
        <v>0</v>
      </c>
      <c r="V30" s="283">
        <v>0.09</v>
      </c>
      <c r="W30" s="283">
        <v>9.000000000000008E-2</v>
      </c>
      <c r="X30" s="266" t="s">
        <v>179</v>
      </c>
    </row>
    <row r="31" spans="5:24">
      <c r="E31" s="276" t="s">
        <v>224</v>
      </c>
      <c r="G31" s="276" t="s">
        <v>225</v>
      </c>
      <c r="I31" s="287">
        <v>0</v>
      </c>
      <c r="J31" s="285">
        <v>0</v>
      </c>
      <c r="K31" s="286">
        <v>0</v>
      </c>
      <c r="L31" s="291">
        <v>1</v>
      </c>
      <c r="M31" s="281">
        <v>0</v>
      </c>
      <c r="N31" s="282">
        <v>0</v>
      </c>
      <c r="O31" s="283"/>
      <c r="Q31" s="283">
        <v>0</v>
      </c>
      <c r="R31" s="283">
        <v>0</v>
      </c>
      <c r="T31" s="283">
        <v>0</v>
      </c>
      <c r="U31" s="283">
        <v>0</v>
      </c>
      <c r="V31" s="283">
        <v>0</v>
      </c>
      <c r="W31" s="283">
        <v>0</v>
      </c>
      <c r="X31" s="266" t="s">
        <v>179</v>
      </c>
    </row>
    <row r="32" spans="5:24">
      <c r="E32" s="276" t="s">
        <v>226</v>
      </c>
      <c r="G32" s="276" t="s">
        <v>227</v>
      </c>
      <c r="I32" s="284">
        <v>1</v>
      </c>
      <c r="J32" s="285">
        <v>0</v>
      </c>
      <c r="K32" s="286">
        <v>0</v>
      </c>
      <c r="L32" s="280">
        <v>0</v>
      </c>
      <c r="M32" s="281">
        <v>0</v>
      </c>
      <c r="N32" s="282">
        <v>0</v>
      </c>
      <c r="O32" s="283"/>
      <c r="Q32" s="283">
        <v>0.05</v>
      </c>
      <c r="R32" s="283">
        <v>0</v>
      </c>
      <c r="T32" s="283">
        <v>0</v>
      </c>
      <c r="U32" s="283">
        <v>0</v>
      </c>
      <c r="V32" s="283">
        <v>0.09</v>
      </c>
      <c r="W32" s="283">
        <v>9.000000000000008E-2</v>
      </c>
      <c r="X32" s="266" t="s">
        <v>179</v>
      </c>
    </row>
    <row r="33" spans="5:24">
      <c r="E33" s="276" t="s">
        <v>228</v>
      </c>
      <c r="G33" s="276" t="s">
        <v>229</v>
      </c>
      <c r="I33" s="287">
        <v>0</v>
      </c>
      <c r="J33" s="285">
        <v>0</v>
      </c>
      <c r="K33" s="286">
        <v>0</v>
      </c>
      <c r="L33" s="291">
        <v>1</v>
      </c>
      <c r="M33" s="281">
        <v>0</v>
      </c>
      <c r="N33" s="282">
        <v>0</v>
      </c>
      <c r="O33" s="283"/>
      <c r="Q33" s="283">
        <v>0.05</v>
      </c>
      <c r="R33" s="283">
        <v>0</v>
      </c>
      <c r="T33" s="283">
        <v>0</v>
      </c>
      <c r="U33" s="283">
        <v>0</v>
      </c>
      <c r="V33" s="283">
        <v>0</v>
      </c>
      <c r="W33" s="283">
        <v>0</v>
      </c>
      <c r="X33" s="266" t="s">
        <v>191</v>
      </c>
    </row>
    <row r="36" spans="5:24" ht="15.75">
      <c r="E36" s="268" t="s">
        <v>230</v>
      </c>
      <c r="G36" s="268" t="s">
        <v>312</v>
      </c>
    </row>
    <row r="37" spans="5:24">
      <c r="E37" s="292" t="s">
        <v>231</v>
      </c>
      <c r="G37" s="292" t="s">
        <v>232</v>
      </c>
    </row>
    <row r="38" spans="5:24">
      <c r="E38" s="292" t="s">
        <v>233</v>
      </c>
      <c r="G38" s="292" t="s">
        <v>141</v>
      </c>
      <c r="N38" s="586">
        <f>SUM(K12:M12)</f>
        <v>1</v>
      </c>
    </row>
    <row r="39" spans="5:24" ht="15.75" customHeight="1">
      <c r="E39" s="1338" t="s">
        <v>781</v>
      </c>
      <c r="G39" s="1338" t="s">
        <v>777</v>
      </c>
    </row>
    <row r="40" spans="5:24" ht="15.75" customHeight="1">
      <c r="E40" s="1338" t="s">
        <v>781</v>
      </c>
      <c r="G40" s="1338" t="s">
        <v>778</v>
      </c>
    </row>
    <row r="41" spans="5:24" ht="15.75" customHeight="1">
      <c r="E41" s="1338" t="s">
        <v>781</v>
      </c>
      <c r="G41" s="1338" t="s">
        <v>779</v>
      </c>
    </row>
    <row r="42" spans="5:24" ht="15.75" customHeight="1">
      <c r="E42" s="1338" t="s">
        <v>781</v>
      </c>
      <c r="G42" s="1338" t="s">
        <v>780</v>
      </c>
    </row>
    <row r="43" spans="5:24">
      <c r="E43" s="292" t="s">
        <v>234</v>
      </c>
      <c r="G43" s="292" t="s">
        <v>129</v>
      </c>
    </row>
    <row r="44" spans="5:24">
      <c r="E44" s="292" t="s">
        <v>235</v>
      </c>
      <c r="G44" s="292" t="s">
        <v>130</v>
      </c>
    </row>
    <row r="45" spans="5:24">
      <c r="E45" s="292" t="s">
        <v>236</v>
      </c>
      <c r="G45" s="292" t="s">
        <v>237</v>
      </c>
    </row>
    <row r="46" spans="5:24">
      <c r="E46" s="292" t="s">
        <v>238</v>
      </c>
      <c r="G46" s="292" t="s">
        <v>134</v>
      </c>
    </row>
    <row r="47" spans="5:24">
      <c r="E47" s="300" t="s">
        <v>239</v>
      </c>
      <c r="G47" s="296" t="s">
        <v>142</v>
      </c>
    </row>
    <row r="48" spans="5:24">
      <c r="E48" s="298" t="s">
        <v>319</v>
      </c>
      <c r="G48" s="297" t="s">
        <v>315</v>
      </c>
      <c r="I48" s="299"/>
    </row>
    <row r="49" spans="5:9">
      <c r="E49" s="298" t="s">
        <v>320</v>
      </c>
      <c r="G49" s="297" t="s">
        <v>316</v>
      </c>
      <c r="I49" s="299"/>
    </row>
    <row r="50" spans="5:9">
      <c r="E50" s="298" t="s">
        <v>338</v>
      </c>
      <c r="G50" s="297" t="s">
        <v>317</v>
      </c>
    </row>
    <row r="51" spans="5:9">
      <c r="E51" s="298" t="s">
        <v>339</v>
      </c>
      <c r="G51" s="297" t="s">
        <v>318</v>
      </c>
    </row>
    <row r="52" spans="5:9">
      <c r="E52" s="298" t="s">
        <v>340</v>
      </c>
      <c r="G52" s="297" t="s">
        <v>342</v>
      </c>
    </row>
    <row r="53" spans="5:9">
      <c r="E53" s="298" t="s">
        <v>341</v>
      </c>
      <c r="G53" s="297" t="s">
        <v>343</v>
      </c>
    </row>
    <row r="54" spans="5:9">
      <c r="E54" s="300" t="s">
        <v>240</v>
      </c>
      <c r="G54" s="296" t="s">
        <v>144</v>
      </c>
      <c r="I54" s="299"/>
    </row>
    <row r="55" spans="5:9">
      <c r="E55" s="298" t="s">
        <v>330</v>
      </c>
      <c r="G55" s="297" t="s">
        <v>328</v>
      </c>
      <c r="I55" s="299"/>
    </row>
    <row r="56" spans="5:9">
      <c r="E56" s="298" t="s">
        <v>331</v>
      </c>
      <c r="G56" s="297" t="s">
        <v>329</v>
      </c>
    </row>
    <row r="57" spans="5:9">
      <c r="E57" s="298" t="s">
        <v>333</v>
      </c>
      <c r="G57" s="297" t="s">
        <v>332</v>
      </c>
      <c r="I57" s="299"/>
    </row>
    <row r="58" spans="5:9">
      <c r="E58" s="298" t="s">
        <v>344</v>
      </c>
      <c r="G58" s="297" t="s">
        <v>346</v>
      </c>
    </row>
    <row r="59" spans="5:9">
      <c r="E59" s="298" t="s">
        <v>345</v>
      </c>
      <c r="G59" s="297" t="s">
        <v>347</v>
      </c>
    </row>
    <row r="60" spans="5:9">
      <c r="E60" s="300" t="s">
        <v>241</v>
      </c>
      <c r="G60" s="296" t="s">
        <v>145</v>
      </c>
    </row>
    <row r="61" spans="5:9">
      <c r="E61" s="298" t="s">
        <v>335</v>
      </c>
      <c r="G61" s="297" t="s">
        <v>334</v>
      </c>
    </row>
    <row r="62" spans="5:9">
      <c r="E62" s="298" t="s">
        <v>336</v>
      </c>
      <c r="G62" s="297" t="s">
        <v>337</v>
      </c>
    </row>
    <row r="63" spans="5:9">
      <c r="E63" s="298" t="s">
        <v>348</v>
      </c>
      <c r="G63" s="297" t="s">
        <v>351</v>
      </c>
      <c r="I63" s="299"/>
    </row>
    <row r="64" spans="5:9">
      <c r="E64" s="298" t="s">
        <v>349</v>
      </c>
      <c r="G64" s="297" t="s">
        <v>352</v>
      </c>
    </row>
    <row r="65" spans="5:9">
      <c r="E65" s="298" t="s">
        <v>350</v>
      </c>
      <c r="G65" s="297" t="s">
        <v>353</v>
      </c>
      <c r="I65" s="299"/>
    </row>
    <row r="66" spans="5:9">
      <c r="E66" s="300" t="s">
        <v>242</v>
      </c>
      <c r="G66" s="296" t="s">
        <v>143</v>
      </c>
      <c r="I66" s="299"/>
    </row>
    <row r="67" spans="5:9">
      <c r="E67" s="298" t="s">
        <v>326</v>
      </c>
      <c r="G67" s="297" t="s">
        <v>321</v>
      </c>
      <c r="I67" s="299"/>
    </row>
    <row r="68" spans="5:9">
      <c r="E68" s="298" t="s">
        <v>327</v>
      </c>
      <c r="G68" s="297" t="s">
        <v>322</v>
      </c>
    </row>
    <row r="69" spans="5:9">
      <c r="E69" s="298" t="s">
        <v>354</v>
      </c>
      <c r="G69" s="297" t="s">
        <v>323</v>
      </c>
    </row>
    <row r="70" spans="5:9">
      <c r="E70" s="298" t="s">
        <v>355</v>
      </c>
      <c r="G70" s="297" t="s">
        <v>324</v>
      </c>
    </row>
    <row r="71" spans="5:9">
      <c r="E71" s="298" t="s">
        <v>356</v>
      </c>
      <c r="G71" s="297" t="s">
        <v>325</v>
      </c>
    </row>
    <row r="72" spans="5:9">
      <c r="E72" s="300" t="s">
        <v>243</v>
      </c>
      <c r="G72" s="296" t="s">
        <v>244</v>
      </c>
    </row>
    <row r="73" spans="5:9">
      <c r="E73" s="292" t="s">
        <v>245</v>
      </c>
      <c r="G73" s="292" t="s">
        <v>135</v>
      </c>
    </row>
    <row r="74" spans="5:9">
      <c r="E74" s="292" t="s">
        <v>246</v>
      </c>
      <c r="G74" s="292" t="s">
        <v>128</v>
      </c>
    </row>
    <row r="75" spans="5:9">
      <c r="E75" s="292" t="s">
        <v>247</v>
      </c>
      <c r="G75" s="292" t="s">
        <v>126</v>
      </c>
    </row>
    <row r="76" spans="5:9">
      <c r="E76" s="1338" t="s">
        <v>788</v>
      </c>
      <c r="G76" s="1338" t="s">
        <v>357</v>
      </c>
    </row>
    <row r="77" spans="5:9">
      <c r="E77" s="1338" t="s">
        <v>787</v>
      </c>
      <c r="G77" s="1338" t="s">
        <v>786</v>
      </c>
    </row>
    <row r="78" spans="5:9">
      <c r="E78" s="292" t="s">
        <v>248</v>
      </c>
      <c r="G78" s="306" t="s">
        <v>358</v>
      </c>
    </row>
    <row r="79" spans="5:9">
      <c r="E79" s="292" t="s">
        <v>249</v>
      </c>
      <c r="G79" s="306" t="s">
        <v>359</v>
      </c>
    </row>
    <row r="80" spans="5:9">
      <c r="E80" s="393" t="s">
        <v>250</v>
      </c>
      <c r="G80" s="393" t="s">
        <v>360</v>
      </c>
    </row>
    <row r="81" spans="5:7">
      <c r="E81" s="292" t="s">
        <v>251</v>
      </c>
      <c r="G81" s="306" t="s">
        <v>361</v>
      </c>
    </row>
    <row r="82" spans="5:7">
      <c r="E82" s="292" t="s">
        <v>194</v>
      </c>
      <c r="G82" s="306" t="s">
        <v>362</v>
      </c>
    </row>
    <row r="83" spans="5:7">
      <c r="E83" s="292" t="s">
        <v>43</v>
      </c>
      <c r="G83" s="306" t="s">
        <v>363</v>
      </c>
    </row>
    <row r="84" spans="5:7">
      <c r="E84" s="292" t="s">
        <v>252</v>
      </c>
      <c r="G84" s="306" t="s">
        <v>364</v>
      </c>
    </row>
    <row r="85" spans="5:7">
      <c r="E85" s="292" t="s">
        <v>253</v>
      </c>
      <c r="G85" s="306" t="s">
        <v>365</v>
      </c>
    </row>
    <row r="86" spans="5:7">
      <c r="E86" s="292" t="s">
        <v>254</v>
      </c>
      <c r="G86" s="306" t="s">
        <v>366</v>
      </c>
    </row>
    <row r="87" spans="5:7">
      <c r="E87" s="292" t="s">
        <v>255</v>
      </c>
      <c r="G87" s="292" t="s">
        <v>132</v>
      </c>
    </row>
    <row r="88" spans="5:7">
      <c r="E88" s="292" t="s">
        <v>256</v>
      </c>
      <c r="G88" s="292" t="s">
        <v>125</v>
      </c>
    </row>
    <row r="89" spans="5:7">
      <c r="E89" s="292" t="s">
        <v>257</v>
      </c>
      <c r="G89" s="292" t="s">
        <v>127</v>
      </c>
    </row>
    <row r="90" spans="5:7">
      <c r="E90" s="292" t="s">
        <v>258</v>
      </c>
      <c r="G90" s="292" t="s">
        <v>131</v>
      </c>
    </row>
    <row r="91" spans="5:7">
      <c r="E91" s="292" t="s">
        <v>259</v>
      </c>
      <c r="G91" s="292" t="s">
        <v>120</v>
      </c>
    </row>
    <row r="92" spans="5:7">
      <c r="E92" s="292" t="s">
        <v>260</v>
      </c>
      <c r="G92" s="292" t="s">
        <v>133</v>
      </c>
    </row>
    <row r="93" spans="5:7">
      <c r="E93" s="292" t="s">
        <v>261</v>
      </c>
      <c r="G93" s="292" t="s">
        <v>41</v>
      </c>
    </row>
    <row r="94" spans="5:7">
      <c r="E94" s="292" t="s">
        <v>262</v>
      </c>
      <c r="G94" s="292" t="s">
        <v>42</v>
      </c>
    </row>
    <row r="95" spans="5:7">
      <c r="E95" s="292" t="s">
        <v>263</v>
      </c>
      <c r="G95" s="292" t="s">
        <v>264</v>
      </c>
    </row>
    <row r="96" spans="5:7">
      <c r="E96" s="292" t="s">
        <v>314</v>
      </c>
      <c r="G96" s="292" t="s">
        <v>33</v>
      </c>
    </row>
    <row r="97" spans="5:7">
      <c r="E97" s="306" t="s">
        <v>367</v>
      </c>
      <c r="G97" s="306" t="s">
        <v>114</v>
      </c>
    </row>
    <row r="98" spans="5:7">
      <c r="E98" s="292" t="s">
        <v>171</v>
      </c>
      <c r="G98" s="292" t="s">
        <v>171</v>
      </c>
    </row>
    <row r="100" spans="5:7" ht="15.75">
      <c r="E100" s="268" t="s">
        <v>265</v>
      </c>
      <c r="G100" s="268" t="s">
        <v>266</v>
      </c>
    </row>
    <row r="101" spans="5:7">
      <c r="E101" s="293" t="s">
        <v>267</v>
      </c>
      <c r="G101" s="293" t="s">
        <v>62</v>
      </c>
    </row>
    <row r="102" spans="5:7">
      <c r="E102" s="293" t="s">
        <v>268</v>
      </c>
      <c r="G102" s="293" t="s">
        <v>13</v>
      </c>
    </row>
    <row r="103" spans="5:7">
      <c r="E103" s="293" t="s">
        <v>269</v>
      </c>
      <c r="G103" s="293" t="s">
        <v>58</v>
      </c>
    </row>
    <row r="104" spans="5:7">
      <c r="E104" s="293" t="s">
        <v>270</v>
      </c>
      <c r="G104" s="293" t="s">
        <v>271</v>
      </c>
    </row>
    <row r="105" spans="5:7">
      <c r="E105" s="293" t="s">
        <v>272</v>
      </c>
      <c r="G105" s="293" t="s">
        <v>273</v>
      </c>
    </row>
    <row r="106" spans="5:7">
      <c r="E106" s="293" t="s">
        <v>274</v>
      </c>
      <c r="G106" s="293" t="s">
        <v>275</v>
      </c>
    </row>
    <row r="107" spans="5:7">
      <c r="E107" s="293" t="s">
        <v>276</v>
      </c>
      <c r="G107" s="293" t="s">
        <v>112</v>
      </c>
    </row>
    <row r="108" spans="5:7">
      <c r="E108" s="293" t="s">
        <v>277</v>
      </c>
      <c r="G108" s="293" t="s">
        <v>277</v>
      </c>
    </row>
    <row r="109" spans="5:7">
      <c r="E109" s="293" t="s">
        <v>278</v>
      </c>
      <c r="G109" s="293" t="s">
        <v>278</v>
      </c>
    </row>
    <row r="110" spans="5:7">
      <c r="E110" s="293" t="s">
        <v>279</v>
      </c>
      <c r="G110" s="293" t="s">
        <v>279</v>
      </c>
    </row>
    <row r="112" spans="5:7" ht="15.75">
      <c r="E112" s="268" t="s">
        <v>280</v>
      </c>
    </row>
    <row r="113" spans="4:10">
      <c r="D113" s="266" t="s">
        <v>281</v>
      </c>
      <c r="E113" s="294"/>
      <c r="I113" s="294" t="s">
        <v>282</v>
      </c>
      <c r="J113" s="294" t="s">
        <v>283</v>
      </c>
    </row>
    <row r="114" spans="4:10">
      <c r="E114" s="295" t="s">
        <v>284</v>
      </c>
      <c r="G114" s="2184" t="s">
        <v>285</v>
      </c>
      <c r="I114" s="295" t="s">
        <v>286</v>
      </c>
      <c r="J114" s="295" t="s">
        <v>62</v>
      </c>
    </row>
    <row r="115" spans="4:10">
      <c r="E115" s="295" t="s">
        <v>287</v>
      </c>
      <c r="G115" s="2183" t="s">
        <v>288</v>
      </c>
      <c r="I115" s="295" t="s">
        <v>289</v>
      </c>
      <c r="J115" s="295" t="s">
        <v>13</v>
      </c>
    </row>
    <row r="116" spans="4:10">
      <c r="E116" s="295" t="s">
        <v>290</v>
      </c>
      <c r="G116" s="266" t="s">
        <v>181</v>
      </c>
      <c r="I116" s="295" t="s">
        <v>291</v>
      </c>
      <c r="J116" s="295" t="s">
        <v>58</v>
      </c>
    </row>
    <row r="117" spans="4:10">
      <c r="E117" s="295" t="s">
        <v>292</v>
      </c>
      <c r="G117" s="266" t="s">
        <v>293</v>
      </c>
      <c r="I117" s="295" t="s">
        <v>289</v>
      </c>
      <c r="J117" s="316" t="s">
        <v>372</v>
      </c>
    </row>
    <row r="118" spans="4:10">
      <c r="E118" s="295" t="s">
        <v>294</v>
      </c>
      <c r="G118" s="266" t="s">
        <v>187</v>
      </c>
      <c r="I118" s="295" t="s">
        <v>295</v>
      </c>
      <c r="J118" s="316" t="s">
        <v>371</v>
      </c>
    </row>
    <row r="119" spans="4:10">
      <c r="D119" s="266" t="s">
        <v>296</v>
      </c>
      <c r="E119" s="294"/>
      <c r="I119" s="294"/>
      <c r="J119" s="294"/>
    </row>
    <row r="120" spans="4:10">
      <c r="E120" s="295" t="s">
        <v>297</v>
      </c>
      <c r="G120" s="266" t="s">
        <v>298</v>
      </c>
      <c r="I120" s="295" t="s">
        <v>299</v>
      </c>
      <c r="J120" s="316" t="s">
        <v>373</v>
      </c>
    </row>
    <row r="121" spans="4:10">
      <c r="E121" s="295" t="s">
        <v>300</v>
      </c>
      <c r="G121" s="266" t="s">
        <v>301</v>
      </c>
      <c r="I121" s="295" t="s">
        <v>289</v>
      </c>
      <c r="J121" s="316" t="s">
        <v>372</v>
      </c>
    </row>
    <row r="122" spans="4:10">
      <c r="E122" s="295" t="s">
        <v>302</v>
      </c>
      <c r="G122" s="266" t="s">
        <v>303</v>
      </c>
      <c r="I122" s="295" t="s">
        <v>289</v>
      </c>
      <c r="J122" s="316" t="s">
        <v>372</v>
      </c>
    </row>
    <row r="123" spans="4:10">
      <c r="D123" s="266" t="s">
        <v>304</v>
      </c>
      <c r="E123" s="294"/>
      <c r="I123" s="294"/>
      <c r="J123" s="294"/>
    </row>
    <row r="124" spans="4:10">
      <c r="D124" s="266" t="s">
        <v>12</v>
      </c>
      <c r="E124" s="295" t="s">
        <v>305</v>
      </c>
      <c r="G124" s="266" t="s">
        <v>306</v>
      </c>
      <c r="I124" s="295" t="s">
        <v>307</v>
      </c>
      <c r="J124" s="316" t="s">
        <v>372</v>
      </c>
    </row>
    <row r="125" spans="4:10">
      <c r="E125" s="295" t="s">
        <v>308</v>
      </c>
      <c r="G125" s="266" t="s">
        <v>309</v>
      </c>
      <c r="I125" s="295" t="s">
        <v>307</v>
      </c>
      <c r="J125" s="316" t="s">
        <v>372</v>
      </c>
    </row>
    <row r="126" spans="4:10">
      <c r="E126" s="295" t="s">
        <v>310</v>
      </c>
      <c r="G126" s="266" t="s">
        <v>258</v>
      </c>
      <c r="I126" s="295" t="s">
        <v>307</v>
      </c>
      <c r="J126" s="316" t="s">
        <v>372</v>
      </c>
    </row>
    <row r="127" spans="4:10">
      <c r="E127" s="267" t="s">
        <v>311</v>
      </c>
      <c r="F127" s="267"/>
      <c r="G127" s="267"/>
      <c r="J127" s="267"/>
    </row>
    <row r="128" spans="4:10">
      <c r="E128" s="295" t="s">
        <v>13</v>
      </c>
      <c r="G128" s="316" t="s">
        <v>374</v>
      </c>
      <c r="J128" s="295" t="s">
        <v>13</v>
      </c>
    </row>
    <row r="129" spans="5:10">
      <c r="E129" s="295" t="s">
        <v>62</v>
      </c>
      <c r="G129" s="316" t="s">
        <v>375</v>
      </c>
      <c r="J129" s="295" t="s">
        <v>62</v>
      </c>
    </row>
    <row r="130" spans="5:10">
      <c r="E130" s="295" t="s">
        <v>58</v>
      </c>
      <c r="G130" s="316" t="s">
        <v>376</v>
      </c>
      <c r="J130" s="295" t="s">
        <v>58</v>
      </c>
    </row>
    <row r="131" spans="5:10">
      <c r="E131" s="295" t="s">
        <v>171</v>
      </c>
      <c r="G131" s="316" t="s">
        <v>112</v>
      </c>
      <c r="J131" s="316" t="s">
        <v>112</v>
      </c>
    </row>
  </sheetData>
  <mergeCells count="1">
    <mergeCell ref="I6:O6"/>
  </mergeCells>
  <phoneticPr fontId="71" type="noConversion"/>
  <printOptions horizontalCentered="1"/>
  <pageMargins left="0.59055118110236227" right="0.59055118110236227" top="0.59055118110236227" bottom="0.55118110236220474" header="0.31496062992125984" footer="0.31496062992125984"/>
  <pageSetup paperSize="8" scale="3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C00000"/>
    <pageSetUpPr fitToPage="1"/>
  </sheetPr>
  <dimension ref="A1:AX1208"/>
  <sheetViews>
    <sheetView showGridLines="0" zoomScale="60" zoomScaleNormal="60" zoomScalePageLayoutView="70" workbookViewId="0">
      <pane xSplit="9" ySplit="6" topLeftCell="J460" activePane="bottomRight" state="frozen"/>
      <selection pane="topRight" activeCell="J1" sqref="J1"/>
      <selection pane="bottomLeft" activeCell="A7" sqref="A7"/>
      <selection pane="bottomRight" activeCell="D432" sqref="D432:S460"/>
    </sheetView>
  </sheetViews>
  <sheetFormatPr defaultColWidth="9" defaultRowHeight="13.5" outlineLevelRow="1" outlineLevelCol="1"/>
  <cols>
    <col min="1" max="1" width="3.85546875" style="69" customWidth="1"/>
    <col min="2" max="2" width="8.85546875" style="70" customWidth="1"/>
    <col min="3" max="3" width="10.140625" style="60" customWidth="1"/>
    <col min="4" max="4" width="7" style="62" customWidth="1"/>
    <col min="5" max="5" width="8.85546875" style="62" customWidth="1"/>
    <col min="6" max="6" width="3.28515625" style="62" customWidth="1"/>
    <col min="7" max="7" width="89.140625" style="62" customWidth="1"/>
    <col min="8" max="8" width="17" style="320" customWidth="1"/>
    <col min="9" max="9" width="13" style="575" customWidth="1"/>
    <col min="10" max="13" width="10.42578125" style="62" customWidth="1" outlineLevel="1"/>
    <col min="14" max="14" width="10.42578125" style="62" customWidth="1"/>
    <col min="15" max="15" width="15.85546875" style="62" customWidth="1" outlineLevel="1"/>
    <col min="16" max="16" width="15.140625" style="62" customWidth="1" outlineLevel="1"/>
    <col min="17" max="17" width="15.28515625" style="62" customWidth="1" outlineLevel="1"/>
    <col min="18" max="18" width="13" style="62" customWidth="1" outlineLevel="1"/>
    <col min="19" max="19" width="17.140625" style="1414" customWidth="1"/>
    <col min="20" max="20" width="14" style="336" customWidth="1"/>
    <col min="21" max="21" width="9.140625" style="337" customWidth="1"/>
    <col min="22" max="22" width="13" style="337" customWidth="1"/>
    <col min="23" max="23" width="11.42578125" style="337" customWidth="1"/>
    <col min="24" max="24" width="15.140625" style="337" customWidth="1"/>
    <col min="25" max="25" width="14.85546875" style="69" customWidth="1"/>
    <col min="26" max="26" width="13.85546875" style="62" customWidth="1"/>
    <col min="27" max="27" width="14.85546875" style="62" customWidth="1"/>
    <col min="28" max="28" width="14.140625" style="62" customWidth="1"/>
    <col min="29" max="29" width="15.85546875" style="62" customWidth="1"/>
    <col min="30" max="30" width="14.85546875" style="361" customWidth="1"/>
    <col min="31" max="31" width="14.140625" style="361" customWidth="1"/>
    <col min="32" max="32" width="32" style="320" customWidth="1"/>
    <col min="33" max="33" width="25.140625" style="320" customWidth="1"/>
    <col min="34" max="34" width="14.85546875" style="320" customWidth="1"/>
    <col min="35" max="35" width="13" style="320" customWidth="1"/>
    <col min="36" max="36" width="15.42578125" style="62" customWidth="1"/>
    <col min="37" max="37" width="15.42578125" style="479" hidden="1" customWidth="1"/>
    <col min="38" max="38" width="16" style="479" hidden="1" customWidth="1"/>
    <col min="39" max="39" width="3" style="62" hidden="1" customWidth="1"/>
    <col min="40" max="40" width="59.5703125" style="62" hidden="1" customWidth="1"/>
    <col min="41" max="41" width="11.85546875" style="62" hidden="1" customWidth="1"/>
    <col min="42" max="42" width="0" style="62" hidden="1" customWidth="1"/>
    <col min="43" max="43" width="10.85546875" style="62" hidden="1" customWidth="1"/>
    <col min="44" max="16384" width="9" style="62"/>
  </cols>
  <sheetData>
    <row r="1" spans="1:38" s="308" customFormat="1" ht="25.5">
      <c r="A1" s="26"/>
      <c r="D1" s="566" t="s">
        <v>461</v>
      </c>
      <c r="E1" s="52"/>
      <c r="G1" s="52"/>
      <c r="H1" s="314"/>
      <c r="I1" s="1521"/>
      <c r="J1" s="1522"/>
      <c r="K1" s="1522"/>
      <c r="L1" s="1522"/>
      <c r="M1" s="1522"/>
      <c r="N1" s="1522"/>
      <c r="O1" s="1522" t="s">
        <v>12</v>
      </c>
      <c r="P1" s="1522"/>
      <c r="Q1" s="1522"/>
      <c r="R1" s="52"/>
      <c r="S1" s="1405"/>
      <c r="T1" s="325"/>
      <c r="U1" s="326"/>
      <c r="V1" s="326"/>
      <c r="W1" s="326"/>
      <c r="X1" s="326"/>
      <c r="Y1" s="26"/>
      <c r="Z1" s="52"/>
      <c r="AA1" s="52"/>
      <c r="AB1" s="52"/>
      <c r="AC1" s="52"/>
      <c r="AD1" s="342"/>
      <c r="AE1" s="342"/>
      <c r="AF1" s="314"/>
      <c r="AG1" s="314"/>
      <c r="AH1" s="314"/>
      <c r="AI1" s="320"/>
      <c r="AK1" s="319"/>
      <c r="AL1" s="319"/>
    </row>
    <row r="2" spans="1:38" s="308" customFormat="1" ht="29.25">
      <c r="A2" s="26"/>
      <c r="B2" s="22"/>
      <c r="C2" s="309"/>
      <c r="D2" s="2353" t="s">
        <v>1609</v>
      </c>
      <c r="E2" s="2354"/>
      <c r="F2" s="2355"/>
      <c r="G2" s="2354"/>
      <c r="H2" s="314"/>
      <c r="I2" s="574"/>
      <c r="J2" s="52"/>
      <c r="K2" s="52"/>
      <c r="L2" s="52"/>
      <c r="M2" s="52"/>
      <c r="N2" s="52"/>
      <c r="O2" s="52"/>
      <c r="P2" s="52"/>
      <c r="Q2" s="52"/>
      <c r="R2" s="52"/>
      <c r="S2" s="1405"/>
      <c r="T2" s="325"/>
      <c r="U2" s="326"/>
      <c r="V2" s="326"/>
      <c r="W2" s="326"/>
      <c r="X2" s="326"/>
      <c r="Y2" s="26">
        <f>275*12</f>
        <v>3300</v>
      </c>
      <c r="Z2" s="52"/>
      <c r="AA2" s="52"/>
      <c r="AB2" s="52"/>
      <c r="AC2" s="52"/>
      <c r="AD2" s="342"/>
      <c r="AE2" s="342"/>
      <c r="AF2" s="314"/>
      <c r="AG2" s="314"/>
      <c r="AH2" s="314"/>
      <c r="AI2" s="320"/>
      <c r="AK2" s="319"/>
      <c r="AL2" s="319"/>
    </row>
    <row r="3" spans="1:38" s="308" customFormat="1" ht="18">
      <c r="A3" s="26"/>
      <c r="B3" s="22"/>
      <c r="C3" s="309"/>
      <c r="D3" s="2353" t="s">
        <v>457</v>
      </c>
      <c r="E3" s="52"/>
      <c r="G3" s="52"/>
      <c r="I3" s="574"/>
      <c r="J3" s="314"/>
      <c r="K3" s="52"/>
      <c r="L3" s="52"/>
      <c r="M3" s="52">
        <f>34*2+14*10</f>
        <v>208</v>
      </c>
      <c r="N3" s="52"/>
      <c r="O3" s="52"/>
      <c r="P3" s="52"/>
      <c r="Q3" s="52"/>
      <c r="R3" s="52"/>
      <c r="S3" s="1405" t="s">
        <v>12</v>
      </c>
      <c r="T3" s="325"/>
      <c r="U3" s="326"/>
      <c r="V3" s="326"/>
      <c r="W3" s="326"/>
      <c r="X3" s="326"/>
      <c r="Y3" s="26"/>
      <c r="Z3" s="52"/>
      <c r="AA3" s="52"/>
      <c r="AB3" s="52"/>
      <c r="AC3" s="52"/>
      <c r="AD3" s="342"/>
      <c r="AE3" s="342"/>
      <c r="AF3" s="314"/>
      <c r="AG3" s="314"/>
      <c r="AH3" s="314"/>
      <c r="AI3" s="320"/>
      <c r="AK3" s="319"/>
      <c r="AL3" s="319"/>
    </row>
    <row r="4" spans="1:38" s="308" customFormat="1" ht="30">
      <c r="A4" s="26"/>
      <c r="B4" s="310"/>
      <c r="C4" s="311"/>
      <c r="D4" s="2630" t="s">
        <v>110</v>
      </c>
      <c r="E4" s="2630"/>
      <c r="F4" s="2630"/>
      <c r="G4" s="2630"/>
      <c r="H4" s="314"/>
      <c r="I4" s="574"/>
      <c r="J4" s="52"/>
      <c r="K4" s="52"/>
      <c r="L4" s="52"/>
      <c r="M4" s="52"/>
      <c r="O4" s="52"/>
      <c r="P4" s="52"/>
      <c r="Q4" s="52"/>
      <c r="R4" s="52"/>
      <c r="S4" s="1405"/>
      <c r="T4" s="325"/>
      <c r="U4" s="326"/>
      <c r="V4" s="326"/>
      <c r="W4" s="326"/>
      <c r="X4" s="326"/>
      <c r="Y4" s="26"/>
      <c r="Z4" s="52"/>
      <c r="AA4" s="52"/>
      <c r="AB4" s="52"/>
      <c r="AC4" s="52"/>
      <c r="AD4" s="2182"/>
      <c r="AE4" s="2182"/>
      <c r="AF4" s="314"/>
      <c r="AG4" s="314"/>
      <c r="AH4" s="314"/>
      <c r="AI4" s="320"/>
      <c r="AK4" s="319"/>
      <c r="AL4" s="319"/>
    </row>
    <row r="5" spans="1:38" s="308" customFormat="1" ht="30.75" customHeight="1">
      <c r="A5" s="26"/>
      <c r="B5" s="2644" t="s">
        <v>68</v>
      </c>
      <c r="C5" s="2648" t="s">
        <v>557</v>
      </c>
      <c r="D5" s="264"/>
      <c r="E5" s="56"/>
      <c r="F5" s="56"/>
      <c r="G5" s="222"/>
      <c r="H5" s="2639" t="s">
        <v>458</v>
      </c>
      <c r="I5" s="2637" t="s">
        <v>459</v>
      </c>
      <c r="J5" s="352"/>
      <c r="K5" s="580" t="s">
        <v>2</v>
      </c>
      <c r="L5" s="327"/>
      <c r="M5" s="327"/>
      <c r="N5" s="328"/>
      <c r="O5" s="327"/>
      <c r="P5" s="327"/>
      <c r="Q5" s="327" t="s">
        <v>559</v>
      </c>
      <c r="R5" s="327"/>
      <c r="S5" s="1406"/>
      <c r="T5" s="359"/>
      <c r="U5" s="327"/>
      <c r="V5" s="327" t="s">
        <v>560</v>
      </c>
      <c r="W5" s="327"/>
      <c r="X5" s="358"/>
      <c r="Y5" s="567"/>
      <c r="Z5" s="581" t="s">
        <v>561</v>
      </c>
      <c r="AA5" s="581"/>
      <c r="AB5" s="581"/>
      <c r="AC5" s="360"/>
      <c r="AD5" s="342"/>
      <c r="AE5" s="342"/>
      <c r="AF5" s="317"/>
      <c r="AG5" s="317"/>
      <c r="AH5" s="317"/>
      <c r="AI5" s="387"/>
      <c r="AK5" s="319"/>
      <c r="AL5" s="319"/>
    </row>
    <row r="6" spans="1:38" s="319" customFormat="1" ht="27" customHeight="1">
      <c r="A6" s="218"/>
      <c r="B6" s="2645"/>
      <c r="C6" s="2649"/>
      <c r="D6" s="220"/>
      <c r="E6" s="221"/>
      <c r="F6" s="221"/>
      <c r="G6" s="219"/>
      <c r="H6" s="2640"/>
      <c r="I6" s="2638"/>
      <c r="J6" s="353" t="s">
        <v>6</v>
      </c>
      <c r="K6" s="329" t="s">
        <v>7</v>
      </c>
      <c r="L6" s="329" t="s">
        <v>8</v>
      </c>
      <c r="M6" s="329" t="s">
        <v>9</v>
      </c>
      <c r="N6" s="330" t="s">
        <v>10</v>
      </c>
      <c r="O6" s="329" t="s">
        <v>6</v>
      </c>
      <c r="P6" s="329" t="s">
        <v>7</v>
      </c>
      <c r="Q6" s="329" t="s">
        <v>8</v>
      </c>
      <c r="R6" s="329" t="s">
        <v>9</v>
      </c>
      <c r="S6" s="2337" t="s">
        <v>10</v>
      </c>
      <c r="T6" s="331" t="s">
        <v>24</v>
      </c>
      <c r="U6" s="331" t="s">
        <v>37</v>
      </c>
      <c r="V6" s="331" t="s">
        <v>38</v>
      </c>
      <c r="W6" s="331" t="s">
        <v>39</v>
      </c>
      <c r="X6" s="332" t="s">
        <v>40</v>
      </c>
      <c r="Y6" s="568" t="s">
        <v>24</v>
      </c>
      <c r="Z6" s="331" t="s">
        <v>37</v>
      </c>
      <c r="AA6" s="331" t="s">
        <v>38</v>
      </c>
      <c r="AB6" s="331" t="s">
        <v>39</v>
      </c>
      <c r="AC6" s="585" t="s">
        <v>40</v>
      </c>
      <c r="AD6" s="343"/>
      <c r="AE6" s="343"/>
      <c r="AF6" s="318" t="s">
        <v>381</v>
      </c>
      <c r="AG6" s="318" t="s">
        <v>575</v>
      </c>
      <c r="AH6" s="318" t="s">
        <v>283</v>
      </c>
      <c r="AI6" s="388"/>
    </row>
    <row r="7" spans="1:38" s="637" customFormat="1" ht="23.25">
      <c r="A7" s="587"/>
      <c r="B7" s="638" t="s">
        <v>54</v>
      </c>
      <c r="C7" s="639"/>
      <c r="D7" s="49" t="s">
        <v>460</v>
      </c>
      <c r="E7" s="176"/>
      <c r="F7" s="176"/>
      <c r="G7" s="176"/>
      <c r="H7" s="1040"/>
      <c r="I7" s="572"/>
      <c r="J7" s="178"/>
      <c r="K7" s="177"/>
      <c r="L7" s="177"/>
      <c r="M7" s="177"/>
      <c r="N7" s="354"/>
      <c r="O7" s="177"/>
      <c r="P7" s="177"/>
      <c r="Q7" s="177"/>
      <c r="R7" s="177"/>
      <c r="S7" s="1407"/>
      <c r="T7" s="640"/>
      <c r="U7" s="641"/>
      <c r="V7" s="641"/>
      <c r="W7" s="641"/>
      <c r="X7" s="641"/>
      <c r="Y7" s="748"/>
      <c r="Z7" s="749"/>
      <c r="AA7" s="749"/>
      <c r="AB7" s="749"/>
      <c r="AC7" s="750"/>
      <c r="AD7" s="642"/>
      <c r="AE7" s="642"/>
      <c r="AF7" s="605"/>
      <c r="AG7" s="605"/>
      <c r="AH7" s="605" t="str">
        <f>IFERROR(INDEX('Annex 2_Code'!$J$114:$J$126,MATCH('Annex 3_MAFF'!AF7,'Annex 2_Code'!$G$114:$G$126,0)),"")</f>
        <v/>
      </c>
      <c r="AI7" s="646"/>
    </row>
    <row r="8" spans="1:38" s="637" customFormat="1" ht="74.25" customHeight="1">
      <c r="A8" s="587"/>
      <c r="B8" s="638"/>
      <c r="C8" s="1913"/>
      <c r="D8" s="2652" t="s">
        <v>1136</v>
      </c>
      <c r="E8" s="2653"/>
      <c r="F8" s="2653"/>
      <c r="G8" s="2654"/>
      <c r="H8" s="312"/>
      <c r="I8" s="787"/>
      <c r="J8" s="177"/>
      <c r="K8" s="177"/>
      <c r="L8" s="177"/>
      <c r="M8" s="177"/>
      <c r="N8" s="354"/>
      <c r="O8" s="177"/>
      <c r="P8" s="177"/>
      <c r="Q8" s="177"/>
      <c r="R8" s="177"/>
      <c r="S8" s="1407"/>
      <c r="T8" s="640"/>
      <c r="U8" s="641"/>
      <c r="V8" s="641"/>
      <c r="W8" s="641"/>
      <c r="X8" s="641"/>
      <c r="Y8" s="644"/>
      <c r="Z8" s="307"/>
      <c r="AA8" s="307"/>
      <c r="AB8" s="307"/>
      <c r="AC8" s="645"/>
      <c r="AD8" s="642"/>
      <c r="AE8" s="642"/>
      <c r="AF8" s="605"/>
      <c r="AG8" s="605"/>
      <c r="AH8" s="605"/>
      <c r="AI8" s="646"/>
    </row>
    <row r="9" spans="1:38" s="637" customFormat="1" ht="69" customHeight="1">
      <c r="A9" s="587"/>
      <c r="B9" s="638"/>
      <c r="C9" s="639"/>
      <c r="D9" s="2635" t="s">
        <v>1121</v>
      </c>
      <c r="E9" s="2636"/>
      <c r="F9" s="2636"/>
      <c r="G9" s="2636"/>
      <c r="H9" s="312"/>
      <c r="I9" s="572"/>
      <c r="J9" s="178"/>
      <c r="K9" s="177"/>
      <c r="L9" s="177"/>
      <c r="M9" s="177"/>
      <c r="N9" s="354"/>
      <c r="O9" s="177"/>
      <c r="P9" s="177"/>
      <c r="Q9" s="177"/>
      <c r="R9" s="177"/>
      <c r="S9" s="1407"/>
      <c r="T9" s="640"/>
      <c r="U9" s="641"/>
      <c r="V9" s="641"/>
      <c r="W9" s="641"/>
      <c r="X9" s="641"/>
      <c r="Y9" s="644"/>
      <c r="Z9" s="307"/>
      <c r="AA9" s="307"/>
      <c r="AB9" s="307"/>
      <c r="AC9" s="645"/>
      <c r="AD9" s="642"/>
      <c r="AE9" s="642"/>
      <c r="AF9" s="605"/>
      <c r="AG9" s="605"/>
      <c r="AH9" s="605"/>
      <c r="AI9" s="646"/>
    </row>
    <row r="10" spans="1:38" s="637" customFormat="1" ht="69.75" customHeight="1" outlineLevel="1">
      <c r="A10" s="587"/>
      <c r="B10" s="638"/>
      <c r="C10" s="639"/>
      <c r="D10" s="1799"/>
      <c r="E10" s="1809" t="s">
        <v>1120</v>
      </c>
      <c r="F10" s="1800"/>
      <c r="G10" s="1801" t="s">
        <v>1119</v>
      </c>
      <c r="H10" s="312"/>
      <c r="I10" s="572"/>
      <c r="J10" s="178"/>
      <c r="K10" s="177"/>
      <c r="L10" s="177"/>
      <c r="M10" s="177"/>
      <c r="N10" s="354"/>
      <c r="O10" s="177"/>
      <c r="P10" s="177"/>
      <c r="Q10" s="177"/>
      <c r="R10" s="177"/>
      <c r="S10" s="1407"/>
      <c r="T10" s="640"/>
      <c r="U10" s="641"/>
      <c r="V10" s="641"/>
      <c r="W10" s="641"/>
      <c r="X10" s="641"/>
      <c r="Y10" s="644"/>
      <c r="Z10" s="307"/>
      <c r="AA10" s="307"/>
      <c r="AB10" s="307"/>
      <c r="AC10" s="645"/>
      <c r="AD10" s="642"/>
      <c r="AE10" s="642"/>
      <c r="AF10" s="605"/>
      <c r="AG10" s="605"/>
      <c r="AH10" s="605"/>
      <c r="AI10" s="646"/>
    </row>
    <row r="11" spans="1:38" s="637" customFormat="1" ht="136.35" customHeight="1" outlineLevel="1">
      <c r="A11" s="307"/>
      <c r="B11" s="710" t="s">
        <v>1463</v>
      </c>
      <c r="C11" s="710" t="s">
        <v>360</v>
      </c>
      <c r="D11" s="2219"/>
      <c r="E11" s="2193" t="s">
        <v>574</v>
      </c>
      <c r="F11" s="2220"/>
      <c r="G11" s="2221" t="s">
        <v>1151</v>
      </c>
      <c r="H11" s="312" t="s">
        <v>776</v>
      </c>
      <c r="I11" s="2405">
        <v>53.707799999999999</v>
      </c>
      <c r="J11" s="620">
        <v>0</v>
      </c>
      <c r="K11" s="620">
        <v>5</v>
      </c>
      <c r="L11" s="620">
        <v>5</v>
      </c>
      <c r="M11" s="620">
        <v>5</v>
      </c>
      <c r="N11" s="731">
        <f>SUM(J11:M11)</f>
        <v>15</v>
      </c>
      <c r="O11" s="307">
        <v>0</v>
      </c>
      <c r="P11" s="2406">
        <v>268.53899999999999</v>
      </c>
      <c r="Q11" s="2406">
        <v>268.53899999999999</v>
      </c>
      <c r="R11" s="2406">
        <v>268.53899999999999</v>
      </c>
      <c r="S11" s="2407">
        <f>SUM(P11:R11)</f>
        <v>805.61699999999996</v>
      </c>
      <c r="T11" s="763">
        <f>IFERROR(INDEX('Annex 2_Code'!I$8:I$33,MATCH('Annex 3_MAFF'!$AG11,'Annex 2_Code'!$G$8:$G$33,0)),"")</f>
        <v>1</v>
      </c>
      <c r="U11" s="763">
        <f>IFERROR(INDEX('Annex 2_Code'!J$8:J$33,MATCH('Annex 3_MAFF'!$AG11,'Annex 2_Code'!$G$8:$G$33,0)),"")</f>
        <v>0</v>
      </c>
      <c r="V11" s="763">
        <f>IFERROR(INDEX('Annex 2_Code'!K$8:K$33,MATCH('Annex 3_MAFF'!$AG11,'Annex 2_Code'!$G$8:$G$33,0)),"")</f>
        <v>0</v>
      </c>
      <c r="W11" s="763">
        <f>IFERROR(INDEX('Annex 2_Code'!L$8:L$33,MATCH('Annex 3_MAFF'!$AG11,'Annex 2_Code'!$G$8:$G$33,0)),"")</f>
        <v>0</v>
      </c>
      <c r="X11" s="763">
        <f>IFERROR(INDEX('Annex 2_Code'!M$8:M$33,MATCH('Annex 3_MAFF'!$AG11,'Annex 2_Code'!$G$8:$G$33,0)),"")</f>
        <v>0</v>
      </c>
      <c r="Y11" s="1745">
        <f>IFERROR($S11*T11,"")</f>
        <v>805.61699999999996</v>
      </c>
      <c r="Z11" s="807">
        <f>IFERROR($S11*U11,"")</f>
        <v>0</v>
      </c>
      <c r="AA11" s="807">
        <f>IFERROR($S11*V11,"")</f>
        <v>0</v>
      </c>
      <c r="AB11" s="807">
        <f>IFERROR($S11*W11,"")</f>
        <v>0</v>
      </c>
      <c r="AC11" s="808">
        <f>IFERROR($S11*X11,"")</f>
        <v>0</v>
      </c>
      <c r="AD11" s="764">
        <f>SUM(Y11:AC11)</f>
        <v>805.61699999999996</v>
      </c>
      <c r="AE11" s="764">
        <f>AD11-S11</f>
        <v>0</v>
      </c>
      <c r="AF11" s="1835" t="s">
        <v>288</v>
      </c>
      <c r="AG11" s="1835" t="s">
        <v>197</v>
      </c>
      <c r="AH11" s="605" t="str">
        <f>IFERROR(INDEX('Annex 2_Code'!$J$114:$J$126,MATCH('Annex 3_MAFF'!AF11,'Annex 2_Code'!$G$114:$G$126,0)),"")</f>
        <v>MAFF</v>
      </c>
      <c r="AI11" s="646" t="s">
        <v>13</v>
      </c>
    </row>
    <row r="12" spans="1:38" s="637" customFormat="1" ht="23.25" customHeight="1">
      <c r="A12" s="587"/>
      <c r="B12" s="638"/>
      <c r="C12" s="639"/>
      <c r="D12" s="931" t="s">
        <v>1118</v>
      </c>
      <c r="E12" s="945"/>
      <c r="F12" s="946"/>
      <c r="G12" s="947"/>
      <c r="H12" s="948"/>
      <c r="I12" s="949"/>
      <c r="J12" s="932">
        <f t="shared" ref="J12:R12" si="0">SUM(J11:J11)</f>
        <v>0</v>
      </c>
      <c r="K12" s="933">
        <f t="shared" si="0"/>
        <v>5</v>
      </c>
      <c r="L12" s="933">
        <f t="shared" si="0"/>
        <v>5</v>
      </c>
      <c r="M12" s="933">
        <f t="shared" si="0"/>
        <v>5</v>
      </c>
      <c r="N12" s="934">
        <f t="shared" si="0"/>
        <v>15</v>
      </c>
      <c r="O12" s="928">
        <f t="shared" si="0"/>
        <v>0</v>
      </c>
      <c r="P12" s="2408">
        <f t="shared" si="0"/>
        <v>268.53899999999999</v>
      </c>
      <c r="Q12" s="2408">
        <f t="shared" si="0"/>
        <v>268.53899999999999</v>
      </c>
      <c r="R12" s="2408">
        <f t="shared" si="0"/>
        <v>268.53899999999999</v>
      </c>
      <c r="S12" s="2409">
        <f>SUM(S11:S11)</f>
        <v>805.61699999999996</v>
      </c>
      <c r="T12" s="950"/>
      <c r="U12" s="951"/>
      <c r="V12" s="951"/>
      <c r="W12" s="951"/>
      <c r="X12" s="951"/>
      <c r="Y12" s="928"/>
      <c r="Z12" s="929"/>
      <c r="AA12" s="929"/>
      <c r="AB12" s="929"/>
      <c r="AC12" s="930"/>
      <c r="AD12" s="952">
        <f>SUM(AD11:AD11)</f>
        <v>805.61699999999996</v>
      </c>
      <c r="AE12" s="952">
        <f t="shared" ref="AE12" si="1">AD12-S12</f>
        <v>0</v>
      </c>
      <c r="AF12" s="953"/>
      <c r="AG12" s="2333"/>
      <c r="AH12" s="953"/>
      <c r="AI12" s="935"/>
    </row>
    <row r="13" spans="1:38" s="637" customFormat="1" ht="73.5" customHeight="1">
      <c r="A13" s="587"/>
      <c r="B13" s="638"/>
      <c r="C13" s="639"/>
      <c r="D13" s="2635" t="s">
        <v>1123</v>
      </c>
      <c r="E13" s="2636"/>
      <c r="F13" s="2636"/>
      <c r="G13" s="2636"/>
      <c r="H13" s="643"/>
      <c r="I13" s="578"/>
      <c r="J13" s="178"/>
      <c r="K13" s="177"/>
      <c r="L13" s="177"/>
      <c r="M13" s="177"/>
      <c r="N13" s="354"/>
      <c r="O13" s="177"/>
      <c r="P13" s="177" t="s">
        <v>12</v>
      </c>
      <c r="Q13" s="177"/>
      <c r="R13" s="177"/>
      <c r="S13" s="1695">
        <f>SUM(O12:R12)</f>
        <v>805.61699999999996</v>
      </c>
      <c r="T13" s="640"/>
      <c r="U13" s="641"/>
      <c r="V13" s="641"/>
      <c r="W13" s="641" t="s">
        <v>12</v>
      </c>
      <c r="X13" s="641"/>
      <c r="Y13" s="644"/>
      <c r="Z13" s="307"/>
      <c r="AA13" s="307"/>
      <c r="AB13" s="307"/>
      <c r="AC13" s="645"/>
      <c r="AD13" s="642"/>
      <c r="AE13" s="642"/>
      <c r="AF13" s="605"/>
      <c r="AG13" s="605"/>
      <c r="AH13" s="605"/>
      <c r="AI13" s="646"/>
    </row>
    <row r="14" spans="1:38" s="637" customFormat="1" ht="27.75" customHeight="1">
      <c r="A14" s="587"/>
      <c r="B14" s="638"/>
      <c r="C14" s="639"/>
      <c r="D14" s="1807"/>
      <c r="E14" s="1808" t="s">
        <v>563</v>
      </c>
      <c r="F14" s="1808"/>
      <c r="G14" s="1808" t="s">
        <v>627</v>
      </c>
      <c r="H14" s="643"/>
      <c r="I14" s="578"/>
      <c r="J14" s="178"/>
      <c r="K14" s="177"/>
      <c r="L14" s="177"/>
      <c r="M14" s="177"/>
      <c r="N14" s="354"/>
      <c r="O14" s="177"/>
      <c r="P14" s="177"/>
      <c r="Q14" s="177"/>
      <c r="R14" s="177"/>
      <c r="S14" s="1407"/>
      <c r="T14" s="640"/>
      <c r="U14" s="641"/>
      <c r="V14" s="641"/>
      <c r="W14" s="641"/>
      <c r="X14" s="641"/>
      <c r="Y14" s="644"/>
      <c r="Z14" s="307"/>
      <c r="AA14" s="307"/>
      <c r="AB14" s="307"/>
      <c r="AC14" s="645"/>
      <c r="AD14" s="642"/>
      <c r="AE14" s="642"/>
      <c r="AF14" s="605"/>
      <c r="AG14" s="605"/>
      <c r="AH14" s="605"/>
      <c r="AI14" s="646"/>
    </row>
    <row r="15" spans="1:38" s="625" customFormat="1" ht="60.75" outlineLevel="1">
      <c r="A15" s="307"/>
      <c r="B15" s="669" t="s">
        <v>455</v>
      </c>
      <c r="C15" s="669" t="s">
        <v>124</v>
      </c>
      <c r="D15" s="2213"/>
      <c r="E15" s="1567" t="s">
        <v>628</v>
      </c>
      <c r="F15" s="2214"/>
      <c r="G15" s="2215" t="s">
        <v>1435</v>
      </c>
      <c r="H15" s="2216" t="s">
        <v>776</v>
      </c>
      <c r="I15" s="2410">
        <f>(242000/1000)</f>
        <v>242</v>
      </c>
      <c r="J15" s="2520"/>
      <c r="K15" s="1571">
        <v>0.5</v>
      </c>
      <c r="L15" s="1571">
        <v>0.5</v>
      </c>
      <c r="M15" s="1571"/>
      <c r="N15" s="2217">
        <f t="shared" ref="N15:N21" si="2">SUM(J15:M15)</f>
        <v>1</v>
      </c>
      <c r="O15" s="2413">
        <f>($I$15*J15)</f>
        <v>0</v>
      </c>
      <c r="P15" s="2414">
        <f>($I$15*K15)</f>
        <v>121</v>
      </c>
      <c r="Q15" s="2414">
        <f>($I$15*L15)</f>
        <v>121</v>
      </c>
      <c r="R15" s="2414">
        <f>($I$15*M15)</f>
        <v>0</v>
      </c>
      <c r="S15" s="2415">
        <f>SUM(O15:R15)</f>
        <v>242</v>
      </c>
      <c r="T15" s="599">
        <f>IFERROR(INDEX('Annex 2_Code'!I$8:I$33,MATCH('Annex 3_MAFF'!$AG15,'Annex 2_Code'!$G$8:$G$33,0)),"")</f>
        <v>1</v>
      </c>
      <c r="U15" s="599">
        <f>IFERROR(INDEX('Annex 2_Code'!J$8:J$33,MATCH('Annex 3_MAFF'!$AG15,'Annex 2_Code'!$G$8:$G$33,0)),"")</f>
        <v>0</v>
      </c>
      <c r="V15" s="599">
        <f>IFERROR(INDEX('Annex 2_Code'!K$8:K$33,MATCH('Annex 3_MAFF'!$AG15,'Annex 2_Code'!$G$8:$G$33,0)),"")</f>
        <v>0</v>
      </c>
      <c r="W15" s="599">
        <f>IFERROR(INDEX('Annex 2_Code'!L$8:L$33,MATCH('Annex 3_MAFF'!$AG15,'Annex 2_Code'!$G$8:$G$33,0)),"")</f>
        <v>0</v>
      </c>
      <c r="X15" s="599">
        <f>IFERROR(INDEX('Annex 2_Code'!M$8:M$33,MATCH('Annex 3_MAFF'!$AG15,'Annex 2_Code'!$G$8:$G$33,0)),"")</f>
        <v>0</v>
      </c>
      <c r="Y15" s="647">
        <f t="shared" ref="Y15:AC18" si="3">IFERROR($S15*T15,"")</f>
        <v>242</v>
      </c>
      <c r="Z15" s="600">
        <f t="shared" si="3"/>
        <v>0</v>
      </c>
      <c r="AA15" s="600">
        <f t="shared" si="3"/>
        <v>0</v>
      </c>
      <c r="AB15" s="600">
        <f t="shared" si="3"/>
        <v>0</v>
      </c>
      <c r="AC15" s="601">
        <f t="shared" si="3"/>
        <v>0</v>
      </c>
      <c r="AD15" s="602">
        <f t="shared" ref="AD15:AD19" si="4">SUM(Y15:AC15)</f>
        <v>242</v>
      </c>
      <c r="AE15" s="602">
        <f>AD15-S15</f>
        <v>0</v>
      </c>
      <c r="AF15" s="605" t="s">
        <v>288</v>
      </c>
      <c r="AG15" s="605" t="s">
        <v>183</v>
      </c>
      <c r="AH15" s="605" t="str">
        <f>IFERROR(INDEX('Annex 2_Code'!$J$114:$J$126,MATCH('Annex 3_MAFF'!AF15,'Annex 2_Code'!$G$114:$G$126,0)),"")</f>
        <v>MAFF</v>
      </c>
      <c r="AI15" s="624" t="str">
        <f>IFERROR(INDEX('Annex 2_Code'!$J$114:$J$126,MATCH('Annex 3_MAFF'!AF15,'Annex 2_Code'!$G$114:$G$126,0)),"")</f>
        <v>MAFF</v>
      </c>
      <c r="AJ15" s="625" t="s">
        <v>452</v>
      </c>
    </row>
    <row r="16" spans="1:38" s="625" customFormat="1" ht="66.75" customHeight="1" outlineLevel="1">
      <c r="A16" s="307"/>
      <c r="B16" s="669" t="s">
        <v>455</v>
      </c>
      <c r="C16" s="669" t="s">
        <v>777</v>
      </c>
      <c r="D16" s="2213"/>
      <c r="E16" s="1567" t="s">
        <v>629</v>
      </c>
      <c r="F16" s="2214"/>
      <c r="G16" s="2215" t="s">
        <v>1431</v>
      </c>
      <c r="H16" s="2216" t="s">
        <v>1429</v>
      </c>
      <c r="I16" s="2410">
        <f>(9350/1000)</f>
        <v>9.35</v>
      </c>
      <c r="J16" s="2520"/>
      <c r="K16" s="1571">
        <v>0.5</v>
      </c>
      <c r="L16" s="1571">
        <v>0.5</v>
      </c>
      <c r="M16" s="1571"/>
      <c r="N16" s="2150">
        <f t="shared" si="2"/>
        <v>1</v>
      </c>
      <c r="O16" s="2413">
        <f>($I$16*J16)</f>
        <v>0</v>
      </c>
      <c r="P16" s="2414">
        <f>($I$16*K16)</f>
        <v>4.6749999999999998</v>
      </c>
      <c r="Q16" s="2414">
        <f>($I$16*L16)</f>
        <v>4.6749999999999998</v>
      </c>
      <c r="R16" s="2414">
        <f>($I$16*M16)</f>
        <v>0</v>
      </c>
      <c r="S16" s="2415">
        <f>SUM(O16:R16)</f>
        <v>9.35</v>
      </c>
      <c r="T16" s="599">
        <f>IFERROR(INDEX('Annex 2_Code'!I$8:I$33,MATCH('Annex 3_MAFF'!$AG16,'Annex 2_Code'!$G$8:$G$33,0)),"")</f>
        <v>1</v>
      </c>
      <c r="U16" s="599">
        <f>IFERROR(INDEX('Annex 2_Code'!J$8:J$33,MATCH('Annex 3_MAFF'!$AG16,'Annex 2_Code'!$G$8:$G$33,0)),"")</f>
        <v>0</v>
      </c>
      <c r="V16" s="599">
        <f>IFERROR(INDEX('Annex 2_Code'!K$8:K$33,MATCH('Annex 3_MAFF'!$AG16,'Annex 2_Code'!$G$8:$G$33,0)),"")</f>
        <v>0</v>
      </c>
      <c r="W16" s="599">
        <f>IFERROR(INDEX('Annex 2_Code'!L$8:L$33,MATCH('Annex 3_MAFF'!$AG16,'Annex 2_Code'!$G$8:$G$33,0)),"")</f>
        <v>0</v>
      </c>
      <c r="X16" s="599">
        <f>IFERROR(INDEX('Annex 2_Code'!M$8:M$33,MATCH('Annex 3_MAFF'!$AG16,'Annex 2_Code'!$G$8:$G$33,0)),"")</f>
        <v>0</v>
      </c>
      <c r="Y16" s="647">
        <f t="shared" si="3"/>
        <v>9.35</v>
      </c>
      <c r="Z16" s="600">
        <f t="shared" si="3"/>
        <v>0</v>
      </c>
      <c r="AA16" s="600">
        <f t="shared" si="3"/>
        <v>0</v>
      </c>
      <c r="AB16" s="600">
        <f t="shared" si="3"/>
        <v>0</v>
      </c>
      <c r="AC16" s="601">
        <f t="shared" si="3"/>
        <v>0</v>
      </c>
      <c r="AD16" s="602">
        <f t="shared" si="4"/>
        <v>9.35</v>
      </c>
      <c r="AE16" s="602">
        <f>AD16-S16</f>
        <v>0</v>
      </c>
      <c r="AF16" s="605" t="s">
        <v>288</v>
      </c>
      <c r="AG16" s="605" t="s">
        <v>183</v>
      </c>
      <c r="AH16" s="605" t="str">
        <f>IFERROR(INDEX('Annex 2_Code'!$J$114:$J$126,MATCH('Annex 3_MAFF'!AF16,'Annex 2_Code'!$G$114:$G$126,0)),"")</f>
        <v>MAFF</v>
      </c>
      <c r="AI16" s="624" t="str">
        <f t="shared" ref="AI16:AI22" si="5">IF(ISNUMBER(FIND("-",AH16,1))=FALSE,LEFT(AH16,LEN(AH16)),LEFT(AH16,(FIND("-",AH16,1))-1))</f>
        <v>MAFF</v>
      </c>
      <c r="AJ16" s="625" t="s">
        <v>452</v>
      </c>
    </row>
    <row r="17" spans="1:38" s="625" customFormat="1" ht="38.450000000000003" customHeight="1" outlineLevel="1">
      <c r="A17" s="307"/>
      <c r="B17" s="669" t="s">
        <v>455</v>
      </c>
      <c r="C17" s="669" t="s">
        <v>777</v>
      </c>
      <c r="D17" s="2213"/>
      <c r="E17" s="1567" t="s">
        <v>917</v>
      </c>
      <c r="F17" s="2214"/>
      <c r="G17" s="2218" t="s">
        <v>1430</v>
      </c>
      <c r="H17" s="2216" t="s">
        <v>1429</v>
      </c>
      <c r="I17" s="2410">
        <f>(1500/1000)</f>
        <v>1.5</v>
      </c>
      <c r="J17" s="2520"/>
      <c r="K17" s="1571">
        <v>0.5</v>
      </c>
      <c r="L17" s="1571">
        <v>0.5</v>
      </c>
      <c r="M17" s="1571">
        <v>0</v>
      </c>
      <c r="N17" s="2150">
        <f t="shared" si="2"/>
        <v>1</v>
      </c>
      <c r="O17" s="2413">
        <f>($I$17*J17)</f>
        <v>0</v>
      </c>
      <c r="P17" s="2414">
        <f>($I$17*K17)</f>
        <v>0.75</v>
      </c>
      <c r="Q17" s="2414">
        <f>($I$17*L17)</f>
        <v>0.75</v>
      </c>
      <c r="R17" s="2414">
        <f>($I$17*M17)</f>
        <v>0</v>
      </c>
      <c r="S17" s="2415">
        <f>SUM(O17:R17)</f>
        <v>1.5</v>
      </c>
      <c r="T17" s="599">
        <f>IFERROR(INDEX('Annex 2_Code'!I$8:I$33,MATCH('Annex 3_MAFF'!$AG17,'Annex 2_Code'!$G$8:$G$33,0)),"")</f>
        <v>1</v>
      </c>
      <c r="U17" s="599">
        <f>IFERROR(INDEX('Annex 2_Code'!J$8:J$33,MATCH('Annex 3_MAFF'!$AG17,'Annex 2_Code'!$G$8:$G$33,0)),"")</f>
        <v>0</v>
      </c>
      <c r="V17" s="599">
        <f>IFERROR(INDEX('Annex 2_Code'!K$8:K$33,MATCH('Annex 3_MAFF'!$AG17,'Annex 2_Code'!$G$8:$G$33,0)),"")</f>
        <v>0</v>
      </c>
      <c r="W17" s="599">
        <f>IFERROR(INDEX('Annex 2_Code'!L$8:L$33,MATCH('Annex 3_MAFF'!$AG17,'Annex 2_Code'!$G$8:$G$33,0)),"")</f>
        <v>0</v>
      </c>
      <c r="X17" s="599">
        <f>IFERROR(INDEX('Annex 2_Code'!M$8:M$33,MATCH('Annex 3_MAFF'!$AG17,'Annex 2_Code'!$G$8:$G$33,0)),"")</f>
        <v>0</v>
      </c>
      <c r="Y17" s="647">
        <f t="shared" si="3"/>
        <v>1.5</v>
      </c>
      <c r="Z17" s="600">
        <f t="shared" si="3"/>
        <v>0</v>
      </c>
      <c r="AA17" s="600">
        <f t="shared" si="3"/>
        <v>0</v>
      </c>
      <c r="AB17" s="600">
        <f t="shared" si="3"/>
        <v>0</v>
      </c>
      <c r="AC17" s="601">
        <f t="shared" si="3"/>
        <v>0</v>
      </c>
      <c r="AD17" s="602">
        <f t="shared" si="4"/>
        <v>1.5</v>
      </c>
      <c r="AE17" s="602">
        <f>AD17-S17</f>
        <v>0</v>
      </c>
      <c r="AF17" s="605" t="s">
        <v>288</v>
      </c>
      <c r="AG17" s="605" t="s">
        <v>183</v>
      </c>
      <c r="AH17" s="605" t="str">
        <f>IFERROR(INDEX('Annex 2_Code'!$J$114:$J$126,MATCH('Annex 3_MAFF'!AF17,'Annex 2_Code'!$G$114:$G$126,0)),"")</f>
        <v>MAFF</v>
      </c>
      <c r="AI17" s="624" t="str">
        <f t="shared" si="5"/>
        <v>MAFF</v>
      </c>
      <c r="AJ17" s="625" t="s">
        <v>452</v>
      </c>
    </row>
    <row r="18" spans="1:38" s="625" customFormat="1" ht="60.75" customHeight="1" outlineLevel="1">
      <c r="A18" s="307"/>
      <c r="B18" s="669" t="s">
        <v>455</v>
      </c>
      <c r="C18" s="669" t="s">
        <v>777</v>
      </c>
      <c r="D18" s="2213"/>
      <c r="E18" s="1567" t="s">
        <v>918</v>
      </c>
      <c r="F18" s="2214"/>
      <c r="G18" s="2218" t="s">
        <v>1432</v>
      </c>
      <c r="H18" s="2216" t="s">
        <v>1429</v>
      </c>
      <c r="I18" s="2410">
        <f>(42000/1000)</f>
        <v>42</v>
      </c>
      <c r="J18" s="2520"/>
      <c r="K18" s="1571">
        <v>0.5</v>
      </c>
      <c r="L18" s="1571">
        <v>0.5</v>
      </c>
      <c r="M18" s="1571">
        <v>0</v>
      </c>
      <c r="N18" s="2150">
        <f t="shared" si="2"/>
        <v>1</v>
      </c>
      <c r="O18" s="2413">
        <f>($I$18*J18)</f>
        <v>0</v>
      </c>
      <c r="P18" s="2414">
        <f>($I$18*K18)</f>
        <v>21</v>
      </c>
      <c r="Q18" s="2414">
        <f>($I$18*L18)</f>
        <v>21</v>
      </c>
      <c r="R18" s="2414">
        <f>($I$18*M18)</f>
        <v>0</v>
      </c>
      <c r="S18" s="2415">
        <f>SUM(O18:R18)</f>
        <v>42</v>
      </c>
      <c r="T18" s="599">
        <f>IFERROR(INDEX('Annex 2_Code'!I$8:I$33,MATCH('Annex 3_MAFF'!$AG18,'Annex 2_Code'!$G$8:$G$33,0)),"")</f>
        <v>1</v>
      </c>
      <c r="U18" s="599">
        <f>IFERROR(INDEX('Annex 2_Code'!J$8:J$33,MATCH('Annex 3_MAFF'!$AG18,'Annex 2_Code'!$G$8:$G$33,0)),"")</f>
        <v>0</v>
      </c>
      <c r="V18" s="599">
        <f>IFERROR(INDEX('Annex 2_Code'!K$8:K$33,MATCH('Annex 3_MAFF'!$AG18,'Annex 2_Code'!$G$8:$G$33,0)),"")</f>
        <v>0</v>
      </c>
      <c r="W18" s="599">
        <f>IFERROR(INDEX('Annex 2_Code'!L$8:L$33,MATCH('Annex 3_MAFF'!$AG18,'Annex 2_Code'!$G$8:$G$33,0)),"")</f>
        <v>0</v>
      </c>
      <c r="X18" s="599">
        <f>IFERROR(INDEX('Annex 2_Code'!M$8:M$33,MATCH('Annex 3_MAFF'!$AG18,'Annex 2_Code'!$G$8:$G$33,0)),"")</f>
        <v>0</v>
      </c>
      <c r="Y18" s="647">
        <f t="shared" si="3"/>
        <v>42</v>
      </c>
      <c r="Z18" s="600">
        <f t="shared" si="3"/>
        <v>0</v>
      </c>
      <c r="AA18" s="600">
        <f t="shared" si="3"/>
        <v>0</v>
      </c>
      <c r="AB18" s="600">
        <f t="shared" si="3"/>
        <v>0</v>
      </c>
      <c r="AC18" s="601">
        <f t="shared" si="3"/>
        <v>0</v>
      </c>
      <c r="AD18" s="602">
        <f t="shared" si="4"/>
        <v>42</v>
      </c>
      <c r="AE18" s="602">
        <f>AD18-S18</f>
        <v>0</v>
      </c>
      <c r="AF18" s="605" t="s">
        <v>288</v>
      </c>
      <c r="AG18" s="605" t="s">
        <v>183</v>
      </c>
      <c r="AH18" s="605" t="str">
        <f>IFERROR(INDEX('Annex 2_Code'!$J$114:$J$126,MATCH('Annex 3_MAFF'!AF18,'Annex 2_Code'!$G$114:$G$126,0)),"")</f>
        <v>MAFF</v>
      </c>
      <c r="AI18" s="624" t="str">
        <f t="shared" si="5"/>
        <v>MAFF</v>
      </c>
      <c r="AJ18" s="625" t="s">
        <v>452</v>
      </c>
    </row>
    <row r="19" spans="1:38" s="625" customFormat="1" ht="53.45" customHeight="1" outlineLevel="1">
      <c r="A19" s="307"/>
      <c r="B19" s="669" t="s">
        <v>455</v>
      </c>
      <c r="C19" s="669" t="s">
        <v>778</v>
      </c>
      <c r="D19" s="701"/>
      <c r="E19" s="1567" t="s">
        <v>918</v>
      </c>
      <c r="F19" s="2214"/>
      <c r="G19" s="2218" t="s">
        <v>1433</v>
      </c>
      <c r="H19" s="2216" t="s">
        <v>1429</v>
      </c>
      <c r="I19" s="2411">
        <f>(11250/1000)</f>
        <v>11.25</v>
      </c>
      <c r="J19" s="2520"/>
      <c r="K19" s="1571">
        <v>0.5</v>
      </c>
      <c r="L19" s="1571">
        <v>0.5</v>
      </c>
      <c r="M19" s="1571">
        <v>0</v>
      </c>
      <c r="N19" s="2150">
        <f t="shared" si="2"/>
        <v>1</v>
      </c>
      <c r="O19" s="2413">
        <f>($I$19*J19)</f>
        <v>0</v>
      </c>
      <c r="P19" s="2414">
        <f>($I$19*K19)</f>
        <v>5.625</v>
      </c>
      <c r="Q19" s="2414">
        <f>($I$19*L19)</f>
        <v>5.625</v>
      </c>
      <c r="R19" s="2414">
        <f>($I$19*M19)</f>
        <v>0</v>
      </c>
      <c r="S19" s="2415">
        <f t="shared" ref="S19:S21" si="6">SUM(O19:R19)</f>
        <v>11.25</v>
      </c>
      <c r="T19" s="599">
        <f>IFERROR(INDEX('Annex 2_Code'!I$8:I$33,MATCH('Annex 3_MAFF'!$AG19,'Annex 2_Code'!$G$8:$G$33,0)),"")</f>
        <v>1</v>
      </c>
      <c r="U19" s="599">
        <f>IFERROR(INDEX('Annex 2_Code'!J$8:J$33,MATCH('Annex 3_MAFF'!$AG19,'Annex 2_Code'!$G$8:$G$33,0)),"")</f>
        <v>0</v>
      </c>
      <c r="V19" s="599">
        <f>IFERROR(INDEX('Annex 2_Code'!K$8:K$33,MATCH('Annex 3_MAFF'!$AG19,'Annex 2_Code'!$G$8:$G$33,0)),"")</f>
        <v>0</v>
      </c>
      <c r="W19" s="599">
        <f>IFERROR(INDEX('Annex 2_Code'!L$8:L$33,MATCH('Annex 3_MAFF'!$AG19,'Annex 2_Code'!$G$8:$G$33,0)),"")</f>
        <v>0</v>
      </c>
      <c r="X19" s="599">
        <f>IFERROR(INDEX('Annex 2_Code'!M$8:M$33,MATCH('Annex 3_MAFF'!$AG19,'Annex 2_Code'!$G$8:$G$33,0)),"")</f>
        <v>0</v>
      </c>
      <c r="Y19" s="647">
        <f>IFERROR($S19*T19,"")</f>
        <v>11.25</v>
      </c>
      <c r="Z19" s="600">
        <f>IFERROR($S19*U19,"")</f>
        <v>0</v>
      </c>
      <c r="AA19" s="600">
        <f>IFERROR($S19*V19,"")</f>
        <v>0</v>
      </c>
      <c r="AB19" s="600">
        <f>IFERROR($S19*W19,"")</f>
        <v>0</v>
      </c>
      <c r="AC19" s="601">
        <f>IFERROR($S19*X19,"")</f>
        <v>0</v>
      </c>
      <c r="AD19" s="602">
        <f t="shared" si="4"/>
        <v>11.25</v>
      </c>
      <c r="AE19" s="602">
        <f t="shared" ref="AE19:AE21" si="7">AD19-S19</f>
        <v>0</v>
      </c>
      <c r="AF19" s="605" t="s">
        <v>288</v>
      </c>
      <c r="AG19" s="605" t="s">
        <v>183</v>
      </c>
      <c r="AH19" s="605" t="str">
        <f>IFERROR(INDEX('Annex 2_Code'!$J$114:$J$126,MATCH('Annex 3_MAFF'!AF19,'Annex 2_Code'!$G$114:$G$126,0)),"")</f>
        <v>MAFF</v>
      </c>
      <c r="AI19" s="624" t="str">
        <f t="shared" si="5"/>
        <v>MAFF</v>
      </c>
    </row>
    <row r="20" spans="1:38" s="625" customFormat="1" ht="46.5" outlineLevel="1">
      <c r="A20" s="307"/>
      <c r="B20" s="669" t="s">
        <v>455</v>
      </c>
      <c r="C20" s="669" t="s">
        <v>778</v>
      </c>
      <c r="D20" s="701"/>
      <c r="E20" s="1567" t="s">
        <v>918</v>
      </c>
      <c r="F20" s="2214"/>
      <c r="G20" s="2218" t="s">
        <v>1490</v>
      </c>
      <c r="H20" s="2216" t="s">
        <v>1429</v>
      </c>
      <c r="I20" s="2411">
        <f>(70000/1000)</f>
        <v>70</v>
      </c>
      <c r="J20" s="2520"/>
      <c r="K20" s="1571">
        <v>0.5</v>
      </c>
      <c r="L20" s="1571">
        <v>0.5</v>
      </c>
      <c r="M20" s="1571">
        <v>0</v>
      </c>
      <c r="N20" s="2150">
        <f t="shared" si="2"/>
        <v>1</v>
      </c>
      <c r="O20" s="2413">
        <f>($I$20*J20)</f>
        <v>0</v>
      </c>
      <c r="P20" s="2414">
        <f>($I$20*K20)</f>
        <v>35</v>
      </c>
      <c r="Q20" s="2414">
        <f>($I$20*L20)</f>
        <v>35</v>
      </c>
      <c r="R20" s="2414">
        <f>($I$20*M20)</f>
        <v>0</v>
      </c>
      <c r="S20" s="2415">
        <f t="shared" si="6"/>
        <v>70</v>
      </c>
      <c r="T20" s="599">
        <f>IFERROR(INDEX('Annex 2_Code'!I$8:I$33,MATCH('Annex 3_MAFF'!$AG20,'Annex 2_Code'!$G$8:$G$33,0)),"")</f>
        <v>1</v>
      </c>
      <c r="U20" s="599">
        <f>IFERROR(INDEX('Annex 2_Code'!J$8:J$33,MATCH('Annex 3_MAFF'!$AG20,'Annex 2_Code'!$G$8:$G$33,0)),"")</f>
        <v>0</v>
      </c>
      <c r="V20" s="599">
        <f>IFERROR(INDEX('Annex 2_Code'!K$8:K$33,MATCH('Annex 3_MAFF'!$AG20,'Annex 2_Code'!$G$8:$G$33,0)),"")</f>
        <v>0</v>
      </c>
      <c r="W20" s="599">
        <f>IFERROR(INDEX('Annex 2_Code'!L$8:L$33,MATCH('Annex 3_MAFF'!$AG20,'Annex 2_Code'!$G$8:$G$33,0)),"")</f>
        <v>0</v>
      </c>
      <c r="X20" s="599">
        <f>IFERROR(INDEX('Annex 2_Code'!M$8:M$33,MATCH('Annex 3_MAFF'!$AG20,'Annex 2_Code'!$G$8:$G$33,0)),"")</f>
        <v>0</v>
      </c>
      <c r="Y20" s="647">
        <f t="shared" ref="Y20:Y21" si="8">IFERROR($S20*T20,"")</f>
        <v>70</v>
      </c>
      <c r="Z20" s="600">
        <f t="shared" ref="Z20:Z21" si="9">IFERROR($S20*U20,"")</f>
        <v>0</v>
      </c>
      <c r="AA20" s="600">
        <f t="shared" ref="AA20:AA21" si="10">IFERROR($S20*V20,"")</f>
        <v>0</v>
      </c>
      <c r="AB20" s="600">
        <f t="shared" ref="AB20:AB21" si="11">IFERROR($S20*W20,"")</f>
        <v>0</v>
      </c>
      <c r="AC20" s="601">
        <f t="shared" ref="AC20:AC21" si="12">IFERROR($S20*X20,"")</f>
        <v>0</v>
      </c>
      <c r="AD20" s="602">
        <f t="shared" ref="AD20:AD21" si="13">SUM(Y20:AC20)</f>
        <v>70</v>
      </c>
      <c r="AE20" s="602">
        <f t="shared" si="7"/>
        <v>0</v>
      </c>
      <c r="AF20" s="605" t="s">
        <v>288</v>
      </c>
      <c r="AG20" s="605" t="s">
        <v>183</v>
      </c>
      <c r="AH20" s="605" t="str">
        <f>IFERROR(INDEX('Annex 2_Code'!$J$114:$J$126,MATCH('Annex 3_MAFF'!AF20,'Annex 2_Code'!$G$114:$G$126,0)),"")</f>
        <v>MAFF</v>
      </c>
      <c r="AI20" s="624" t="str">
        <f t="shared" si="5"/>
        <v>MAFF</v>
      </c>
    </row>
    <row r="21" spans="1:38" s="625" customFormat="1" ht="47.45" customHeight="1" outlineLevel="1">
      <c r="A21" s="307"/>
      <c r="B21" s="669" t="s">
        <v>455</v>
      </c>
      <c r="C21" s="669" t="s">
        <v>779</v>
      </c>
      <c r="D21" s="701"/>
      <c r="E21" s="1567" t="s">
        <v>1212</v>
      </c>
      <c r="F21" s="2214"/>
      <c r="G21" s="2218" t="s">
        <v>1434</v>
      </c>
      <c r="H21" s="2216" t="s">
        <v>1429</v>
      </c>
      <c r="I21" s="2411">
        <f>(23750/1000)</f>
        <v>23.75</v>
      </c>
      <c r="J21" s="2520"/>
      <c r="K21" s="1571">
        <v>0.5</v>
      </c>
      <c r="L21" s="2521">
        <v>0.5</v>
      </c>
      <c r="M21" s="1571">
        <v>0</v>
      </c>
      <c r="N21" s="2150">
        <f t="shared" si="2"/>
        <v>1</v>
      </c>
      <c r="O21" s="2413">
        <f>($I$21*J21)</f>
        <v>0</v>
      </c>
      <c r="P21" s="2414">
        <f>($I$21*K21)</f>
        <v>11.875</v>
      </c>
      <c r="Q21" s="2414">
        <f>($I$21*L21)</f>
        <v>11.875</v>
      </c>
      <c r="R21" s="2414">
        <f>($I$21*M21)</f>
        <v>0</v>
      </c>
      <c r="S21" s="2415">
        <f t="shared" si="6"/>
        <v>23.75</v>
      </c>
      <c r="T21" s="599">
        <f>IFERROR(INDEX('Annex 2_Code'!I$8:I$33,MATCH('Annex 3_MAFF'!$AG21,'Annex 2_Code'!$G$8:$G$33,0)),"")</f>
        <v>1</v>
      </c>
      <c r="U21" s="599">
        <f>IFERROR(INDEX('Annex 2_Code'!J$8:J$33,MATCH('Annex 3_MAFF'!$AG21,'Annex 2_Code'!$G$8:$G$33,0)),"")</f>
        <v>0</v>
      </c>
      <c r="V21" s="599">
        <f>IFERROR(INDEX('Annex 2_Code'!K$8:K$33,MATCH('Annex 3_MAFF'!$AG21,'Annex 2_Code'!$G$8:$G$33,0)),"")</f>
        <v>0</v>
      </c>
      <c r="W21" s="599">
        <f>IFERROR(INDEX('Annex 2_Code'!L$8:L$33,MATCH('Annex 3_MAFF'!$AG21,'Annex 2_Code'!$G$8:$G$33,0)),"")</f>
        <v>0</v>
      </c>
      <c r="X21" s="599">
        <f>IFERROR(INDEX('Annex 2_Code'!M$8:M$33,MATCH('Annex 3_MAFF'!$AG21,'Annex 2_Code'!$G$8:$G$33,0)),"")</f>
        <v>0</v>
      </c>
      <c r="Y21" s="647">
        <f t="shared" si="8"/>
        <v>23.75</v>
      </c>
      <c r="Z21" s="600">
        <f t="shared" si="9"/>
        <v>0</v>
      </c>
      <c r="AA21" s="600">
        <f t="shared" si="10"/>
        <v>0</v>
      </c>
      <c r="AB21" s="600">
        <f t="shared" si="11"/>
        <v>0</v>
      </c>
      <c r="AC21" s="601">
        <f t="shared" si="12"/>
        <v>0</v>
      </c>
      <c r="AD21" s="602">
        <f t="shared" si="13"/>
        <v>23.75</v>
      </c>
      <c r="AE21" s="602">
        <f t="shared" si="7"/>
        <v>0</v>
      </c>
      <c r="AF21" s="605" t="s">
        <v>288</v>
      </c>
      <c r="AG21" s="605" t="s">
        <v>183</v>
      </c>
      <c r="AH21" s="605" t="str">
        <f>IFERROR(INDEX('Annex 2_Code'!$J$114:$J$126,MATCH('Annex 3_MAFF'!AF21,'Annex 2_Code'!$G$114:$G$126,0)),"")</f>
        <v>MAFF</v>
      </c>
      <c r="AI21" s="624" t="str">
        <f t="shared" si="5"/>
        <v>MAFF</v>
      </c>
    </row>
    <row r="22" spans="1:38" s="607" customFormat="1" ht="23.25">
      <c r="A22" s="587"/>
      <c r="B22" s="588" t="s">
        <v>54</v>
      </c>
      <c r="C22" s="589"/>
      <c r="D22" s="590"/>
      <c r="E22" s="591" t="s">
        <v>583</v>
      </c>
      <c r="F22" s="592"/>
      <c r="G22" s="577"/>
      <c r="H22" s="593"/>
      <c r="I22" s="2412">
        <f t="shared" ref="I22:N22" si="14">SUM(I19:I21)</f>
        <v>105</v>
      </c>
      <c r="J22" s="2252">
        <f t="shared" si="14"/>
        <v>0</v>
      </c>
      <c r="K22" s="2253">
        <f t="shared" si="14"/>
        <v>1.5</v>
      </c>
      <c r="L22" s="2253">
        <f t="shared" si="14"/>
        <v>1.5</v>
      </c>
      <c r="M22" s="595">
        <f t="shared" si="14"/>
        <v>0</v>
      </c>
      <c r="N22" s="596">
        <f t="shared" si="14"/>
        <v>3</v>
      </c>
      <c r="O22" s="2416">
        <f>SUM(O15:O21)</f>
        <v>0</v>
      </c>
      <c r="P22" s="2417">
        <f>SUM(P15:P21)</f>
        <v>199.92500000000001</v>
      </c>
      <c r="Q22" s="2417">
        <f>SUM(Q15:Q21)</f>
        <v>199.92500000000001</v>
      </c>
      <c r="R22" s="2417">
        <f>SUM(R15:R21)</f>
        <v>0</v>
      </c>
      <c r="S22" s="2418">
        <f>SUM(S15:S21)</f>
        <v>399.85</v>
      </c>
      <c r="T22" s="599" t="str">
        <f>IFERROR(INDEX('Annex 2_Code'!I$8:I$33,MATCH('Annex 3_MAFF'!$AG22,'Annex 2_Code'!$G$8:$G$33,0)),"")</f>
        <v/>
      </c>
      <c r="U22" s="599" t="str">
        <f>IFERROR(INDEX('Annex 2_Code'!J$8:J$33,MATCH('Annex 3_MAFF'!$AG22,'Annex 2_Code'!$G$8:$G$33,0)),"")</f>
        <v/>
      </c>
      <c r="V22" s="599" t="str">
        <f>IFERROR(INDEX('Annex 2_Code'!K$8:K$33,MATCH('Annex 3_MAFF'!$AG22,'Annex 2_Code'!$G$8:$G$33,0)),"")</f>
        <v/>
      </c>
      <c r="W22" s="599" t="str">
        <f>IFERROR(INDEX('Annex 2_Code'!L$8:L$33,MATCH('Annex 3_MAFF'!$AG22,'Annex 2_Code'!$G$8:$G$33,0)),"")</f>
        <v/>
      </c>
      <c r="X22" s="599" t="str">
        <f>IFERROR(INDEX('Annex 2_Code'!M$8:M$33,MATCH('Annex 3_MAFF'!$AG22,'Annex 2_Code'!$G$8:$G$33,0)),"")</f>
        <v/>
      </c>
      <c r="Y22" s="647"/>
      <c r="Z22" s="600"/>
      <c r="AA22" s="600"/>
      <c r="AB22" s="600"/>
      <c r="AC22" s="601"/>
      <c r="AD22" s="602">
        <f>SUM(Y22:AC22)</f>
        <v>0</v>
      </c>
      <c r="AE22" s="602">
        <f>AD22-S22</f>
        <v>-399.85</v>
      </c>
      <c r="AF22" s="604"/>
      <c r="AG22" s="604"/>
      <c r="AH22" s="605" t="str">
        <f>IFERROR(INDEX('Annex 2_Code'!$J$114:$J$126,MATCH('Annex 3_MAFF'!AF22,'Annex 2_Code'!$G$114:$G$126,0)),"")</f>
        <v/>
      </c>
      <c r="AI22" s="606" t="str">
        <f t="shared" si="5"/>
        <v/>
      </c>
    </row>
    <row r="23" spans="1:38" s="668" customFormat="1" ht="29.25" customHeight="1">
      <c r="A23" s="587"/>
      <c r="B23" s="669"/>
      <c r="C23" s="669"/>
      <c r="D23" s="1766"/>
      <c r="E23" s="1774" t="s">
        <v>564</v>
      </c>
      <c r="F23" s="1774"/>
      <c r="G23" s="1774" t="s">
        <v>630</v>
      </c>
      <c r="H23" s="1743"/>
      <c r="I23" s="1744"/>
      <c r="J23" s="670"/>
      <c r="K23" s="671"/>
      <c r="L23" s="671"/>
      <c r="M23" s="671"/>
      <c r="N23" s="729"/>
      <c r="O23" s="2419"/>
      <c r="P23" s="2420"/>
      <c r="Q23" s="2420"/>
      <c r="R23" s="2420"/>
      <c r="S23" s="2421">
        <f>SUM(O22:R22)</f>
        <v>399.85</v>
      </c>
      <c r="T23" s="599"/>
      <c r="U23" s="599"/>
      <c r="V23" s="599"/>
      <c r="W23" s="599"/>
      <c r="X23" s="599"/>
      <c r="Y23" s="647"/>
      <c r="Z23" s="600"/>
      <c r="AA23" s="600"/>
      <c r="AB23" s="600"/>
      <c r="AC23" s="601"/>
      <c r="AD23" s="602"/>
      <c r="AE23" s="602"/>
      <c r="AF23" s="605"/>
      <c r="AG23" s="605"/>
      <c r="AH23" s="605"/>
      <c r="AI23" s="624"/>
    </row>
    <row r="24" spans="1:38" s="668" customFormat="1" ht="60.75" outlineLevel="1">
      <c r="A24" s="587"/>
      <c r="B24" s="669" t="s">
        <v>1451</v>
      </c>
      <c r="C24" s="669" t="s">
        <v>41</v>
      </c>
      <c r="D24" s="473"/>
      <c r="E24" s="307" t="s">
        <v>631</v>
      </c>
      <c r="F24" s="637"/>
      <c r="G24" s="2194" t="s">
        <v>1503</v>
      </c>
      <c r="H24" s="782" t="s">
        <v>392</v>
      </c>
      <c r="I24" s="2422">
        <v>0.5</v>
      </c>
      <c r="J24" s="178">
        <v>8</v>
      </c>
      <c r="K24" s="177">
        <v>8</v>
      </c>
      <c r="L24" s="177">
        <v>0</v>
      </c>
      <c r="M24" s="177">
        <v>0</v>
      </c>
      <c r="N24" s="731">
        <f>SUM(J24:M24)</f>
        <v>16</v>
      </c>
      <c r="O24" s="2424">
        <f>($I$24*J24)</f>
        <v>4</v>
      </c>
      <c r="P24" s="2425">
        <f>($I$24*K24)</f>
        <v>4</v>
      </c>
      <c r="Q24" s="2425">
        <f>($I$24*L24)</f>
        <v>0</v>
      </c>
      <c r="R24" s="2425">
        <f>($I$24*M24)</f>
        <v>0</v>
      </c>
      <c r="S24" s="2426">
        <f>SUM(O24:R24)</f>
        <v>8</v>
      </c>
      <c r="T24" s="599">
        <f>IFERROR(INDEX('Annex 2_Code'!I$8:I$33,MATCH('Annex 3_MAFF'!$AG24,'Annex 2_Code'!$G$8:$G$33,0)),"")</f>
        <v>0</v>
      </c>
      <c r="U24" s="599">
        <f>IFERROR(INDEX('Annex 2_Code'!J$8:J$33,MATCH('Annex 3_MAFF'!$AG24,'Annex 2_Code'!$G$8:$G$33,0)),"")</f>
        <v>0</v>
      </c>
      <c r="V24" s="599">
        <f>IFERROR(INDEX('Annex 2_Code'!K$8:K$33,MATCH('Annex 3_MAFF'!$AG24,'Annex 2_Code'!$G$8:$G$33,0)),"")</f>
        <v>1</v>
      </c>
      <c r="W24" s="599">
        <f>IFERROR(INDEX('Annex 2_Code'!L$8:L$33,MATCH('Annex 3_MAFF'!$AG24,'Annex 2_Code'!$G$8:$G$33,0)),"")</f>
        <v>0</v>
      </c>
      <c r="X24" s="599">
        <f>IFERROR(INDEX('Annex 2_Code'!M$8:M$33,MATCH('Annex 3_MAFF'!$AG24,'Annex 2_Code'!$G$8:$G$33,0)),"")</f>
        <v>0</v>
      </c>
      <c r="Y24" s="647">
        <f t="shared" ref="Y24:AC30" si="15">IFERROR($S24*T24,"")</f>
        <v>0</v>
      </c>
      <c r="Z24" s="600">
        <f t="shared" si="15"/>
        <v>0</v>
      </c>
      <c r="AA24" s="600">
        <f t="shared" si="15"/>
        <v>8</v>
      </c>
      <c r="AB24" s="600">
        <f t="shared" si="15"/>
        <v>0</v>
      </c>
      <c r="AC24" s="601">
        <f t="shared" si="15"/>
        <v>0</v>
      </c>
      <c r="AD24" s="602">
        <f>SUM(Y24:AC24)</f>
        <v>8</v>
      </c>
      <c r="AE24" s="602">
        <f>AD24-S24</f>
        <v>0</v>
      </c>
      <c r="AF24" s="605" t="s">
        <v>288</v>
      </c>
      <c r="AG24" s="605" t="s">
        <v>201</v>
      </c>
      <c r="AH24" s="605" t="s">
        <v>372</v>
      </c>
      <c r="AI24" s="624" t="s">
        <v>13</v>
      </c>
    </row>
    <row r="25" spans="1:38" s="668" customFormat="1" ht="57.75" customHeight="1" outlineLevel="1">
      <c r="A25" s="587"/>
      <c r="B25" s="669" t="s">
        <v>1451</v>
      </c>
      <c r="C25" s="669" t="s">
        <v>41</v>
      </c>
      <c r="D25" s="473"/>
      <c r="E25" s="307" t="s">
        <v>632</v>
      </c>
      <c r="F25" s="637"/>
      <c r="G25" s="2194" t="s">
        <v>1504</v>
      </c>
      <c r="H25" s="782" t="s">
        <v>391</v>
      </c>
      <c r="I25" s="2423">
        <v>8</v>
      </c>
      <c r="J25" s="178">
        <v>1</v>
      </c>
      <c r="K25" s="177">
        <v>1</v>
      </c>
      <c r="L25" s="177">
        <v>0</v>
      </c>
      <c r="M25" s="177">
        <v>0</v>
      </c>
      <c r="N25" s="731">
        <f>SUM(J25:M25)</f>
        <v>2</v>
      </c>
      <c r="O25" s="2424">
        <f>($I$25*J25)</f>
        <v>8</v>
      </c>
      <c r="P25" s="2425">
        <f>($I$25*K25)</f>
        <v>8</v>
      </c>
      <c r="Q25" s="2425">
        <f>($I$25*L25)</f>
        <v>0</v>
      </c>
      <c r="R25" s="2425">
        <f>($I$25*M25)</f>
        <v>0</v>
      </c>
      <c r="S25" s="2426">
        <f>SUM(O25:R25)</f>
        <v>16</v>
      </c>
      <c r="T25" s="599">
        <f>IFERROR(INDEX('Annex 2_Code'!I$8:I$33,MATCH('Annex 3_MAFF'!$AG25,'Annex 2_Code'!$G$8:$G$33,0)),"")</f>
        <v>0</v>
      </c>
      <c r="U25" s="599">
        <f>IFERROR(INDEX('Annex 2_Code'!J$8:J$33,MATCH('Annex 3_MAFF'!$AG25,'Annex 2_Code'!$G$8:$G$33,0)),"")</f>
        <v>0</v>
      </c>
      <c r="V25" s="599">
        <f>IFERROR(INDEX('Annex 2_Code'!K$8:K$33,MATCH('Annex 3_MAFF'!$AG25,'Annex 2_Code'!$G$8:$G$33,0)),"")</f>
        <v>1</v>
      </c>
      <c r="W25" s="599">
        <f>IFERROR(INDEX('Annex 2_Code'!L$8:L$33,MATCH('Annex 3_MAFF'!$AG25,'Annex 2_Code'!$G$8:$G$33,0)),"")</f>
        <v>0</v>
      </c>
      <c r="X25" s="599">
        <f>IFERROR(INDEX('Annex 2_Code'!M$8:M$33,MATCH('Annex 3_MAFF'!$AG25,'Annex 2_Code'!$G$8:$G$33,0)),"")</f>
        <v>0</v>
      </c>
      <c r="Y25" s="647">
        <f t="shared" si="15"/>
        <v>0</v>
      </c>
      <c r="Z25" s="600">
        <f t="shared" si="15"/>
        <v>0</v>
      </c>
      <c r="AA25" s="600">
        <f t="shared" si="15"/>
        <v>16</v>
      </c>
      <c r="AB25" s="600">
        <f t="shared" si="15"/>
        <v>0</v>
      </c>
      <c r="AC25" s="601">
        <f t="shared" si="15"/>
        <v>0</v>
      </c>
      <c r="AD25" s="602">
        <f>SUM(Y25:AC25)</f>
        <v>16</v>
      </c>
      <c r="AE25" s="602">
        <f>AD25-S25</f>
        <v>0</v>
      </c>
      <c r="AF25" s="605" t="s">
        <v>288</v>
      </c>
      <c r="AG25" s="605" t="s">
        <v>201</v>
      </c>
      <c r="AH25" s="605" t="s">
        <v>372</v>
      </c>
      <c r="AI25" s="624" t="s">
        <v>13</v>
      </c>
    </row>
    <row r="26" spans="1:38" s="668" customFormat="1" ht="70.5" customHeight="1" outlineLevel="1">
      <c r="A26" s="587"/>
      <c r="B26" s="669" t="s">
        <v>1451</v>
      </c>
      <c r="C26" s="669" t="s">
        <v>41</v>
      </c>
      <c r="D26" s="473"/>
      <c r="E26" s="307" t="s">
        <v>633</v>
      </c>
      <c r="F26" s="637"/>
      <c r="G26" s="2194" t="s">
        <v>1505</v>
      </c>
      <c r="H26" s="782" t="s">
        <v>391</v>
      </c>
      <c r="I26" s="2423">
        <v>1.5</v>
      </c>
      <c r="J26" s="178">
        <v>4</v>
      </c>
      <c r="K26" s="177">
        <v>4</v>
      </c>
      <c r="L26" s="177">
        <v>0</v>
      </c>
      <c r="M26" s="177">
        <v>0</v>
      </c>
      <c r="N26" s="731">
        <f>SUM(J26:M26)</f>
        <v>8</v>
      </c>
      <c r="O26" s="2424">
        <f>($I$26*J26)</f>
        <v>6</v>
      </c>
      <c r="P26" s="2425">
        <f>($I$26*K26)</f>
        <v>6</v>
      </c>
      <c r="Q26" s="2425">
        <f>($I$26*L26)</f>
        <v>0</v>
      </c>
      <c r="R26" s="2425">
        <f>($I$26*M26)</f>
        <v>0</v>
      </c>
      <c r="S26" s="2426">
        <f>SUM(O26:R26)</f>
        <v>12</v>
      </c>
      <c r="T26" s="599">
        <f>IFERROR(INDEX('Annex 2_Code'!I$8:I$33,MATCH('Annex 3_MAFF'!$AG26,'Annex 2_Code'!$G$8:$G$33,0)),"")</f>
        <v>0</v>
      </c>
      <c r="U26" s="599">
        <f>IFERROR(INDEX('Annex 2_Code'!J$8:J$33,MATCH('Annex 3_MAFF'!$AG26,'Annex 2_Code'!$G$8:$G$33,0)),"")</f>
        <v>0</v>
      </c>
      <c r="V26" s="599">
        <f>IFERROR(INDEX('Annex 2_Code'!K$8:K$33,MATCH('Annex 3_MAFF'!$AG26,'Annex 2_Code'!$G$8:$G$33,0)),"")</f>
        <v>1</v>
      </c>
      <c r="W26" s="599">
        <f>IFERROR(INDEX('Annex 2_Code'!L$8:L$33,MATCH('Annex 3_MAFF'!$AG26,'Annex 2_Code'!$G$8:$G$33,0)),"")</f>
        <v>0</v>
      </c>
      <c r="X26" s="599">
        <f>IFERROR(INDEX('Annex 2_Code'!M$8:M$33,MATCH('Annex 3_MAFF'!$AG26,'Annex 2_Code'!$G$8:$G$33,0)),"")</f>
        <v>0</v>
      </c>
      <c r="Y26" s="647">
        <f t="shared" si="15"/>
        <v>0</v>
      </c>
      <c r="Z26" s="600">
        <f t="shared" si="15"/>
        <v>0</v>
      </c>
      <c r="AA26" s="600">
        <f t="shared" si="15"/>
        <v>12</v>
      </c>
      <c r="AB26" s="600">
        <f t="shared" si="15"/>
        <v>0</v>
      </c>
      <c r="AC26" s="601">
        <f t="shared" si="15"/>
        <v>0</v>
      </c>
      <c r="AD26" s="602">
        <f>SUM(Y26:AC26)</f>
        <v>12</v>
      </c>
      <c r="AE26" s="602">
        <f>AD26-S26</f>
        <v>0</v>
      </c>
      <c r="AF26" s="605" t="s">
        <v>288</v>
      </c>
      <c r="AG26" s="605" t="s">
        <v>201</v>
      </c>
      <c r="AH26" s="605" t="s">
        <v>372</v>
      </c>
      <c r="AI26" s="624" t="s">
        <v>13</v>
      </c>
    </row>
    <row r="27" spans="1:38" s="668" customFormat="1" ht="60.75" outlineLevel="1">
      <c r="A27" s="587"/>
      <c r="B27" s="669" t="s">
        <v>1451</v>
      </c>
      <c r="C27" s="669" t="s">
        <v>41</v>
      </c>
      <c r="D27" s="473"/>
      <c r="E27" s="307" t="s">
        <v>634</v>
      </c>
      <c r="F27" s="637"/>
      <c r="G27" s="2194" t="s">
        <v>1506</v>
      </c>
      <c r="H27" s="782" t="s">
        <v>1213</v>
      </c>
      <c r="I27" s="2423">
        <v>8</v>
      </c>
      <c r="J27" s="178">
        <v>0</v>
      </c>
      <c r="K27" s="177">
        <v>1</v>
      </c>
      <c r="L27" s="177">
        <v>1</v>
      </c>
      <c r="M27" s="177">
        <v>0</v>
      </c>
      <c r="N27" s="731">
        <f>SUM(J27:M27)</f>
        <v>2</v>
      </c>
      <c r="O27" s="2424">
        <f>($I$27*J27)</f>
        <v>0</v>
      </c>
      <c r="P27" s="2425">
        <f>($I$27*K27)</f>
        <v>8</v>
      </c>
      <c r="Q27" s="2425">
        <f>($I$27*L27)</f>
        <v>8</v>
      </c>
      <c r="R27" s="2425">
        <f>($I$27*M27)</f>
        <v>0</v>
      </c>
      <c r="S27" s="2426">
        <f>SUM(O27:R27)</f>
        <v>16</v>
      </c>
      <c r="T27" s="599">
        <f>IFERROR(INDEX('Annex 2_Code'!I$8:I$33,MATCH('Annex 3_MAFF'!$AG27,'Annex 2_Code'!$G$8:$G$33,0)),"")</f>
        <v>0</v>
      </c>
      <c r="U27" s="599">
        <f>IFERROR(INDEX('Annex 2_Code'!J$8:J$33,MATCH('Annex 3_MAFF'!$AG27,'Annex 2_Code'!$G$8:$G$33,0)),"")</f>
        <v>0</v>
      </c>
      <c r="V27" s="599">
        <f>IFERROR(INDEX('Annex 2_Code'!K$8:K$33,MATCH('Annex 3_MAFF'!$AG27,'Annex 2_Code'!$G$8:$G$33,0)),"")</f>
        <v>1</v>
      </c>
      <c r="W27" s="599">
        <f>IFERROR(INDEX('Annex 2_Code'!L$8:L$33,MATCH('Annex 3_MAFF'!$AG27,'Annex 2_Code'!$G$8:$G$33,0)),"")</f>
        <v>0</v>
      </c>
      <c r="X27" s="599">
        <f>IFERROR(INDEX('Annex 2_Code'!M$8:M$33,MATCH('Annex 3_MAFF'!$AG27,'Annex 2_Code'!$G$8:$G$33,0)),"")</f>
        <v>0</v>
      </c>
      <c r="Y27" s="647">
        <f t="shared" si="15"/>
        <v>0</v>
      </c>
      <c r="Z27" s="600">
        <f t="shared" si="15"/>
        <v>0</v>
      </c>
      <c r="AA27" s="600">
        <f t="shared" si="15"/>
        <v>16</v>
      </c>
      <c r="AB27" s="600">
        <f t="shared" si="15"/>
        <v>0</v>
      </c>
      <c r="AC27" s="601">
        <f t="shared" si="15"/>
        <v>0</v>
      </c>
      <c r="AD27" s="602">
        <f>SUM(Y27:AC27)</f>
        <v>16</v>
      </c>
      <c r="AE27" s="602">
        <f>AD27-S27</f>
        <v>0</v>
      </c>
      <c r="AF27" s="605" t="s">
        <v>288</v>
      </c>
      <c r="AG27" s="605" t="s">
        <v>201</v>
      </c>
      <c r="AH27" s="605" t="s">
        <v>372</v>
      </c>
      <c r="AI27" s="624" t="s">
        <v>13</v>
      </c>
    </row>
    <row r="28" spans="1:38" s="625" customFormat="1" ht="84" outlineLevel="1">
      <c r="A28" s="307"/>
      <c r="B28" s="669" t="s">
        <v>1451</v>
      </c>
      <c r="C28" s="669" t="s">
        <v>41</v>
      </c>
      <c r="D28" s="475"/>
      <c r="E28" s="307" t="s">
        <v>635</v>
      </c>
      <c r="F28" s="637"/>
      <c r="G28" s="2194" t="s">
        <v>1507</v>
      </c>
      <c r="H28" s="782" t="s">
        <v>392</v>
      </c>
      <c r="I28" s="2423">
        <v>0.5</v>
      </c>
      <c r="J28" s="178">
        <v>0</v>
      </c>
      <c r="K28" s="177">
        <v>0</v>
      </c>
      <c r="L28" s="177">
        <v>4</v>
      </c>
      <c r="M28" s="177">
        <v>0</v>
      </c>
      <c r="N28" s="731">
        <f t="shared" ref="N28:N29" si="16">SUM(J28:M28)</f>
        <v>4</v>
      </c>
      <c r="O28" s="2427">
        <f t="shared" ref="O28:O29" si="17">($I$27*J28)</f>
        <v>0</v>
      </c>
      <c r="P28" s="2428">
        <f t="shared" ref="P28" si="18">($I$27*K28)</f>
        <v>0</v>
      </c>
      <c r="Q28" s="2436">
        <f>($I$28*L28)</f>
        <v>2</v>
      </c>
      <c r="R28" s="2428">
        <f t="shared" ref="R28:R29" si="19">($I$27*M28)</f>
        <v>0</v>
      </c>
      <c r="S28" s="2437">
        <f t="shared" ref="S28:S29" si="20">SUM(O28:R28)</f>
        <v>2</v>
      </c>
      <c r="T28" s="599">
        <f>IFERROR(INDEX('Annex 2_Code'!I$8:I$33,MATCH('Annex 3_MAFF'!$AG28,'Annex 2_Code'!$G$8:$G$33,0)),"")</f>
        <v>0</v>
      </c>
      <c r="U28" s="599">
        <f>IFERROR(INDEX('Annex 2_Code'!J$8:J$33,MATCH('Annex 3_MAFF'!$AG28,'Annex 2_Code'!$G$8:$G$33,0)),"")</f>
        <v>0</v>
      </c>
      <c r="V28" s="599">
        <f>IFERROR(INDEX('Annex 2_Code'!K$8:K$33,MATCH('Annex 3_MAFF'!$AG28,'Annex 2_Code'!$G$8:$G$33,0)),"")</f>
        <v>1</v>
      </c>
      <c r="W28" s="599">
        <f>IFERROR(INDEX('Annex 2_Code'!L$8:L$33,MATCH('Annex 3_MAFF'!$AG28,'Annex 2_Code'!$G$8:$G$33,0)),"")</f>
        <v>0</v>
      </c>
      <c r="X28" s="599">
        <f>IFERROR(INDEX('Annex 2_Code'!M$8:M$33,MATCH('Annex 3_MAFF'!$AG28,'Annex 2_Code'!$G$8:$G$33,0)),"")</f>
        <v>0</v>
      </c>
      <c r="Y28" s="647">
        <f t="shared" ref="Y28:Y29" si="21">IFERROR($S28*T28,"")</f>
        <v>0</v>
      </c>
      <c r="Z28" s="600">
        <f t="shared" ref="Z28:Z29" si="22">IFERROR($S28*U28,"")</f>
        <v>0</v>
      </c>
      <c r="AA28" s="600">
        <f t="shared" ref="AA28:AA29" si="23">IFERROR($S28*V28,"")</f>
        <v>2</v>
      </c>
      <c r="AB28" s="600">
        <f t="shared" ref="AB28:AB29" si="24">IFERROR($S28*W28,"")</f>
        <v>0</v>
      </c>
      <c r="AC28" s="601">
        <f t="shared" ref="AC28:AC29" si="25">IFERROR($S28*X28,"")</f>
        <v>0</v>
      </c>
      <c r="AD28" s="602">
        <f t="shared" ref="AD28:AD29" si="26">SUM(Y28:AC28)</f>
        <v>2</v>
      </c>
      <c r="AE28" s="602">
        <f t="shared" ref="AE28:AE29" si="27">AD28-S28</f>
        <v>0</v>
      </c>
      <c r="AF28" s="605" t="s">
        <v>288</v>
      </c>
      <c r="AG28" s="605" t="s">
        <v>201</v>
      </c>
      <c r="AH28" s="605" t="s">
        <v>372</v>
      </c>
      <c r="AI28" s="624" t="s">
        <v>13</v>
      </c>
    </row>
    <row r="29" spans="1:38" s="625" customFormat="1" ht="45" customHeight="1" outlineLevel="1">
      <c r="A29" s="307"/>
      <c r="B29" s="669" t="s">
        <v>1451</v>
      </c>
      <c r="C29" s="669" t="s">
        <v>41</v>
      </c>
      <c r="D29" s="475"/>
      <c r="E29" s="307" t="s">
        <v>1214</v>
      </c>
      <c r="F29" s="637"/>
      <c r="G29" s="2194" t="s">
        <v>1508</v>
      </c>
      <c r="H29" s="782" t="s">
        <v>392</v>
      </c>
      <c r="I29" s="2423">
        <v>0.5</v>
      </c>
      <c r="J29" s="178">
        <v>0</v>
      </c>
      <c r="K29" s="177">
        <v>4</v>
      </c>
      <c r="L29" s="177">
        <v>4</v>
      </c>
      <c r="M29" s="177">
        <v>0</v>
      </c>
      <c r="N29" s="731">
        <f t="shared" si="16"/>
        <v>8</v>
      </c>
      <c r="O29" s="2427">
        <f t="shared" si="17"/>
        <v>0</v>
      </c>
      <c r="P29" s="2436">
        <f>($I$29*K29)</f>
        <v>2</v>
      </c>
      <c r="Q29" s="2436">
        <f>($I$29*L29)</f>
        <v>2</v>
      </c>
      <c r="R29" s="2428">
        <f t="shared" si="19"/>
        <v>0</v>
      </c>
      <c r="S29" s="2437">
        <f t="shared" si="20"/>
        <v>4</v>
      </c>
      <c r="T29" s="599">
        <f>IFERROR(INDEX('Annex 2_Code'!I$8:I$33,MATCH('Annex 3_MAFF'!$AG29,'Annex 2_Code'!$G$8:$G$33,0)),"")</f>
        <v>0</v>
      </c>
      <c r="U29" s="599">
        <f>IFERROR(INDEX('Annex 2_Code'!J$8:J$33,MATCH('Annex 3_MAFF'!$AG29,'Annex 2_Code'!$G$8:$G$33,0)),"")</f>
        <v>0</v>
      </c>
      <c r="V29" s="599">
        <f>IFERROR(INDEX('Annex 2_Code'!K$8:K$33,MATCH('Annex 3_MAFF'!$AG29,'Annex 2_Code'!$G$8:$G$33,0)),"")</f>
        <v>1</v>
      </c>
      <c r="W29" s="599">
        <f>IFERROR(INDEX('Annex 2_Code'!L$8:L$33,MATCH('Annex 3_MAFF'!$AG29,'Annex 2_Code'!$G$8:$G$33,0)),"")</f>
        <v>0</v>
      </c>
      <c r="X29" s="599">
        <f>IFERROR(INDEX('Annex 2_Code'!M$8:M$33,MATCH('Annex 3_MAFF'!$AG29,'Annex 2_Code'!$G$8:$G$33,0)),"")</f>
        <v>0</v>
      </c>
      <c r="Y29" s="647">
        <f t="shared" si="21"/>
        <v>0</v>
      </c>
      <c r="Z29" s="600">
        <f t="shared" si="22"/>
        <v>0</v>
      </c>
      <c r="AA29" s="600">
        <f t="shared" si="23"/>
        <v>4</v>
      </c>
      <c r="AB29" s="600">
        <f t="shared" si="24"/>
        <v>0</v>
      </c>
      <c r="AC29" s="601">
        <f t="shared" si="25"/>
        <v>0</v>
      </c>
      <c r="AD29" s="602">
        <f t="shared" si="26"/>
        <v>4</v>
      </c>
      <c r="AE29" s="602">
        <f t="shared" si="27"/>
        <v>0</v>
      </c>
      <c r="AF29" s="605" t="s">
        <v>288</v>
      </c>
      <c r="AG29" s="605" t="s">
        <v>201</v>
      </c>
      <c r="AH29" s="605" t="s">
        <v>372</v>
      </c>
      <c r="AI29" s="624" t="s">
        <v>13</v>
      </c>
    </row>
    <row r="30" spans="1:38" s="668" customFormat="1" ht="49.5" customHeight="1" outlineLevel="1">
      <c r="A30" s="587"/>
      <c r="B30" s="669" t="s">
        <v>1451</v>
      </c>
      <c r="C30" s="669" t="s">
        <v>41</v>
      </c>
      <c r="D30" s="473"/>
      <c r="E30" s="307" t="s">
        <v>1215</v>
      </c>
      <c r="F30" s="637"/>
      <c r="G30" s="2194" t="s">
        <v>1509</v>
      </c>
      <c r="H30" s="782" t="s">
        <v>392</v>
      </c>
      <c r="I30" s="2423">
        <v>0.5</v>
      </c>
      <c r="J30" s="178">
        <v>0</v>
      </c>
      <c r="K30" s="177">
        <v>4</v>
      </c>
      <c r="L30" s="177">
        <v>4</v>
      </c>
      <c r="M30" s="177">
        <v>0</v>
      </c>
      <c r="N30" s="731">
        <f>SUM(J30:M30)</f>
        <v>8</v>
      </c>
      <c r="O30" s="2424">
        <f>($I$30*J30)</f>
        <v>0</v>
      </c>
      <c r="P30" s="2425">
        <f>($I$30*K30)</f>
        <v>2</v>
      </c>
      <c r="Q30" s="2425">
        <f>($I$30*L30)</f>
        <v>2</v>
      </c>
      <c r="R30" s="2425">
        <f>($I$30*M30)</f>
        <v>0</v>
      </c>
      <c r="S30" s="2426">
        <f>SUM(O30:R30)</f>
        <v>4</v>
      </c>
      <c r="T30" s="599">
        <f>IFERROR(INDEX('Annex 2_Code'!I$8:I$33,MATCH('Annex 3_MAFF'!$AG30,'Annex 2_Code'!$G$8:$G$33,0)),"")</f>
        <v>0</v>
      </c>
      <c r="U30" s="599">
        <f>IFERROR(INDEX('Annex 2_Code'!J$8:J$33,MATCH('Annex 3_MAFF'!$AG30,'Annex 2_Code'!$G$8:$G$33,0)),"")</f>
        <v>0</v>
      </c>
      <c r="V30" s="599">
        <f>IFERROR(INDEX('Annex 2_Code'!K$8:K$33,MATCH('Annex 3_MAFF'!$AG30,'Annex 2_Code'!$G$8:$G$33,0)),"")</f>
        <v>1</v>
      </c>
      <c r="W30" s="599">
        <f>IFERROR(INDEX('Annex 2_Code'!L$8:L$33,MATCH('Annex 3_MAFF'!$AG30,'Annex 2_Code'!$G$8:$G$33,0)),"")</f>
        <v>0</v>
      </c>
      <c r="X30" s="599">
        <f>IFERROR(INDEX('Annex 2_Code'!M$8:M$33,MATCH('Annex 3_MAFF'!$AG30,'Annex 2_Code'!$G$8:$G$33,0)),"")</f>
        <v>0</v>
      </c>
      <c r="Y30" s="647">
        <f t="shared" si="15"/>
        <v>0</v>
      </c>
      <c r="Z30" s="600">
        <f t="shared" si="15"/>
        <v>0</v>
      </c>
      <c r="AA30" s="600">
        <f t="shared" si="15"/>
        <v>4</v>
      </c>
      <c r="AB30" s="600">
        <f t="shared" si="15"/>
        <v>0</v>
      </c>
      <c r="AC30" s="601">
        <f t="shared" si="15"/>
        <v>0</v>
      </c>
      <c r="AD30" s="602">
        <f>SUM(Y30:AC30)</f>
        <v>4</v>
      </c>
      <c r="AE30" s="602">
        <f>AD30-S30</f>
        <v>0</v>
      </c>
      <c r="AF30" s="605" t="s">
        <v>288</v>
      </c>
      <c r="AG30" s="605" t="s">
        <v>201</v>
      </c>
      <c r="AH30" s="605" t="s">
        <v>372</v>
      </c>
      <c r="AI30" s="624" t="s">
        <v>13</v>
      </c>
    </row>
    <row r="31" spans="1:38" s="668" customFormat="1" ht="26.25" customHeight="1">
      <c r="A31" s="587"/>
      <c r="B31" s="659"/>
      <c r="C31" s="659"/>
      <c r="D31" s="590"/>
      <c r="E31" s="660"/>
      <c r="F31" s="591" t="s">
        <v>583</v>
      </c>
      <c r="G31" s="592"/>
      <c r="H31" s="678"/>
      <c r="I31" s="674"/>
      <c r="J31" s="679">
        <f t="shared" ref="J31:R31" si="28">SUM(J24:J30)</f>
        <v>13</v>
      </c>
      <c r="K31" s="680">
        <f t="shared" si="28"/>
        <v>22</v>
      </c>
      <c r="L31" s="680">
        <f t="shared" si="28"/>
        <v>13</v>
      </c>
      <c r="M31" s="680">
        <f t="shared" si="28"/>
        <v>0</v>
      </c>
      <c r="N31" s="681">
        <f t="shared" si="28"/>
        <v>48</v>
      </c>
      <c r="O31" s="2429">
        <f>SUM(O24:O30)</f>
        <v>18</v>
      </c>
      <c r="P31" s="2438">
        <f t="shared" si="28"/>
        <v>30</v>
      </c>
      <c r="Q31" s="2438">
        <f t="shared" si="28"/>
        <v>14</v>
      </c>
      <c r="R31" s="2438">
        <f t="shared" si="28"/>
        <v>0</v>
      </c>
      <c r="S31" s="2439">
        <f>SUM(S24:S30)</f>
        <v>62</v>
      </c>
      <c r="T31" s="599"/>
      <c r="U31" s="599"/>
      <c r="V31" s="599"/>
      <c r="W31" s="599"/>
      <c r="X31" s="599"/>
      <c r="Y31" s="647"/>
      <c r="Z31" s="600"/>
      <c r="AA31" s="600"/>
      <c r="AB31" s="600"/>
      <c r="AC31" s="601"/>
      <c r="AD31" s="602"/>
      <c r="AE31" s="602"/>
      <c r="AF31" s="605"/>
      <c r="AG31" s="605"/>
      <c r="AH31" s="605"/>
      <c r="AI31" s="624"/>
    </row>
    <row r="32" spans="1:38" s="625" customFormat="1" ht="16.5">
      <c r="A32" s="587"/>
      <c r="B32" s="659"/>
      <c r="C32" s="613"/>
      <c r="D32" s="788" t="s">
        <v>687</v>
      </c>
      <c r="E32" s="936"/>
      <c r="F32" s="937"/>
      <c r="G32" s="938"/>
      <c r="H32" s="939"/>
      <c r="I32" s="940"/>
      <c r="J32" s="941">
        <f>SUM(J31,J22)</f>
        <v>13</v>
      </c>
      <c r="K32" s="942">
        <f>SUM(K31,K22)</f>
        <v>23.5</v>
      </c>
      <c r="L32" s="942">
        <f>SUM(L31,L22)</f>
        <v>14.5</v>
      </c>
      <c r="M32" s="942">
        <f>SUM(M31,M22)</f>
        <v>0</v>
      </c>
      <c r="N32" s="943">
        <f>SUM(J32:M32)</f>
        <v>51</v>
      </c>
      <c r="O32" s="2430">
        <f>SUM(O31,O22)</f>
        <v>18</v>
      </c>
      <c r="P32" s="2431">
        <f>SUM(P31,P22)</f>
        <v>229.92500000000001</v>
      </c>
      <c r="Q32" s="2431">
        <f>SUM(Q31,Q22)</f>
        <v>213.92500000000001</v>
      </c>
      <c r="R32" s="2431">
        <f>SUM(R31,R22)</f>
        <v>0</v>
      </c>
      <c r="S32" s="2432">
        <f>SUM(S31,S22)</f>
        <v>461.85</v>
      </c>
      <c r="T32" s="719"/>
      <c r="U32" s="719"/>
      <c r="V32" s="719"/>
      <c r="W32" s="719"/>
      <c r="X32" s="719"/>
      <c r="Y32" s="1746"/>
      <c r="Z32" s="1747"/>
      <c r="AA32" s="1747"/>
      <c r="AB32" s="1747"/>
      <c r="AC32" s="1748"/>
      <c r="AD32" s="1342"/>
      <c r="AE32" s="1749"/>
      <c r="AF32" s="724"/>
      <c r="AG32" s="605"/>
      <c r="AH32" s="724"/>
      <c r="AI32" s="624"/>
      <c r="AK32" s="682"/>
      <c r="AL32" s="683"/>
    </row>
    <row r="33" spans="1:35" s="607" customFormat="1" ht="75" customHeight="1">
      <c r="A33" s="587"/>
      <c r="B33" s="588" t="s">
        <v>54</v>
      </c>
      <c r="C33" s="589"/>
      <c r="D33" s="2641" t="s">
        <v>1122</v>
      </c>
      <c r="E33" s="2642"/>
      <c r="F33" s="2642"/>
      <c r="G33" s="2643"/>
      <c r="H33" s="1803"/>
      <c r="I33" s="1802"/>
      <c r="J33" s="654" t="s">
        <v>12</v>
      </c>
      <c r="K33" s="655"/>
      <c r="L33" s="655"/>
      <c r="M33" s="655"/>
      <c r="N33" s="685"/>
      <c r="O33" s="2433"/>
      <c r="P33" s="2434"/>
      <c r="Q33" s="2434"/>
      <c r="R33" s="2434"/>
      <c r="S33" s="2435">
        <f>SUM(O32:R32)</f>
        <v>461.85</v>
      </c>
      <c r="T33" s="599"/>
      <c r="U33" s="599"/>
      <c r="V33" s="599"/>
      <c r="W33" s="599"/>
      <c r="X33" s="599"/>
      <c r="Y33" s="647"/>
      <c r="Z33" s="600"/>
      <c r="AA33" s="600"/>
      <c r="AB33" s="600"/>
      <c r="AC33" s="601"/>
      <c r="AD33" s="602"/>
      <c r="AE33" s="602"/>
      <c r="AF33" s="604"/>
      <c r="AG33" s="604"/>
      <c r="AH33" s="605"/>
      <c r="AI33" s="624"/>
    </row>
    <row r="34" spans="1:35" s="690" customFormat="1" ht="41.25" customHeight="1">
      <c r="A34" s="587"/>
      <c r="B34" s="710"/>
      <c r="C34" s="710"/>
      <c r="D34" s="1798"/>
      <c r="E34" s="1624" t="s">
        <v>396</v>
      </c>
      <c r="F34" s="2650" t="s">
        <v>853</v>
      </c>
      <c r="G34" s="2651"/>
      <c r="H34" s="687"/>
      <c r="I34" s="684"/>
      <c r="J34" s="688"/>
      <c r="K34" s="688"/>
      <c r="L34" s="688"/>
      <c r="M34" s="688"/>
      <c r="N34" s="698"/>
      <c r="O34" s="658"/>
      <c r="P34" s="658"/>
      <c r="Q34" s="658"/>
      <c r="R34" s="658"/>
      <c r="S34" s="1412"/>
      <c r="T34" s="599"/>
      <c r="U34" s="599"/>
      <c r="V34" s="599"/>
      <c r="W34" s="599"/>
      <c r="X34" s="599"/>
      <c r="Y34" s="647"/>
      <c r="Z34" s="600"/>
      <c r="AA34" s="600"/>
      <c r="AB34" s="600"/>
      <c r="AC34" s="601"/>
      <c r="AD34" s="602"/>
      <c r="AE34" s="602"/>
      <c r="AF34" s="604"/>
      <c r="AG34" s="604"/>
      <c r="AH34" s="605"/>
      <c r="AI34" s="624"/>
    </row>
    <row r="35" spans="1:35" s="1364" customFormat="1" ht="69.75" outlineLevel="1">
      <c r="A35" s="1357"/>
      <c r="B35" s="669" t="s">
        <v>1452</v>
      </c>
      <c r="C35" s="669" t="s">
        <v>358</v>
      </c>
      <c r="D35" s="701"/>
      <c r="E35" s="2222" t="s">
        <v>537</v>
      </c>
      <c r="F35" s="2223"/>
      <c r="G35" s="2195" t="s">
        <v>854</v>
      </c>
      <c r="H35" s="2224" t="s">
        <v>855</v>
      </c>
      <c r="I35" s="2440">
        <v>99</v>
      </c>
      <c r="J35" s="751">
        <v>0</v>
      </c>
      <c r="K35" s="751">
        <v>1</v>
      </c>
      <c r="L35" s="751">
        <v>0</v>
      </c>
      <c r="M35" s="751">
        <v>0</v>
      </c>
      <c r="N35" s="731">
        <f t="shared" ref="N35:N40" si="29">SUM(J35:M35)</f>
        <v>1</v>
      </c>
      <c r="O35" s="2442">
        <f>($I35*J35)</f>
        <v>0</v>
      </c>
      <c r="P35" s="2442">
        <f>($I35*K35)</f>
        <v>99</v>
      </c>
      <c r="Q35" s="2442">
        <f>($I35*L35)</f>
        <v>0</v>
      </c>
      <c r="R35" s="2442">
        <f>($I35*M35)</f>
        <v>0</v>
      </c>
      <c r="S35" s="2443">
        <f>SUM(O35:R35)</f>
        <v>99</v>
      </c>
      <c r="T35" s="599">
        <f>IFERROR(INDEX('Annex 2_Code'!I$8:I$33,MATCH('Annex 3_MAFF'!$AG35,'Annex 2_Code'!$G$8:$G$33,0)),"")</f>
        <v>1</v>
      </c>
      <c r="U35" s="599">
        <f>IFERROR(INDEX('Annex 2_Code'!J$8:J$33,MATCH('Annex 3_MAFF'!$AG35,'Annex 2_Code'!$G$8:$G$33,0)),"")</f>
        <v>0</v>
      </c>
      <c r="V35" s="599">
        <f>IFERROR(INDEX('Annex 2_Code'!K$8:K$33,MATCH('Annex 3_MAFF'!$AG35,'Annex 2_Code'!$G$8:$G$33,0)),"")</f>
        <v>0</v>
      </c>
      <c r="W35" s="599">
        <f>IFERROR(INDEX('Annex 2_Code'!L$8:L$33,MATCH('Annex 3_MAFF'!$AG35,'Annex 2_Code'!$G$8:$G$33,0)),"")</f>
        <v>0</v>
      </c>
      <c r="X35" s="599">
        <f>IFERROR(INDEX('Annex 2_Code'!M$8:M$33,MATCH('Annex 3_MAFF'!$AG35,'Annex 2_Code'!$G$8:$G$33,0)),"")</f>
        <v>0</v>
      </c>
      <c r="Y35" s="647">
        <f t="shared" ref="Y35:AC37" si="30">IFERROR($S35*T35,"")</f>
        <v>99</v>
      </c>
      <c r="Z35" s="600">
        <f t="shared" si="30"/>
        <v>0</v>
      </c>
      <c r="AA35" s="600">
        <f t="shared" si="30"/>
        <v>0</v>
      </c>
      <c r="AB35" s="600">
        <f t="shared" si="30"/>
        <v>0</v>
      </c>
      <c r="AC35" s="601">
        <f t="shared" si="30"/>
        <v>0</v>
      </c>
      <c r="AD35" s="602">
        <f>SUM(Y35:AC35)</f>
        <v>99</v>
      </c>
      <c r="AE35" s="602">
        <f>AD35-S35</f>
        <v>0</v>
      </c>
      <c r="AF35" s="605" t="s">
        <v>293</v>
      </c>
      <c r="AG35" s="605" t="s">
        <v>197</v>
      </c>
      <c r="AH35" s="605" t="str">
        <f>IFERROR(INDEX('Annex 2_Code'!$J$114:$J$126,MATCH('Annex 3_MAFF'!AF35,'Annex 2_Code'!$G$114:$G$126,0)),"")</f>
        <v>MAFF-GDA</v>
      </c>
      <c r="AI35" s="624" t="str">
        <f>IF(ISNUMBER(FIND("-",AH35,1))=FALSE,LEFT(AH35,LEN(AH35)),LEFT(AH35,(FIND("-",AH35,1))-1))</f>
        <v>MAFF</v>
      </c>
    </row>
    <row r="36" spans="1:35" s="1364" customFormat="1" ht="46.5" outlineLevel="1">
      <c r="A36" s="1357"/>
      <c r="B36" s="669" t="s">
        <v>1452</v>
      </c>
      <c r="C36" s="669" t="s">
        <v>358</v>
      </c>
      <c r="D36" s="701"/>
      <c r="E36" s="2225" t="s">
        <v>919</v>
      </c>
      <c r="F36" s="2226"/>
      <c r="G36" s="2227" t="s">
        <v>1149</v>
      </c>
      <c r="H36" s="2224" t="s">
        <v>855</v>
      </c>
      <c r="I36" s="2449">
        <f>13916/1000</f>
        <v>13.916</v>
      </c>
      <c r="J36" s="751">
        <v>0.1</v>
      </c>
      <c r="K36" s="751">
        <v>0</v>
      </c>
      <c r="L36" s="751">
        <v>0</v>
      </c>
      <c r="M36" s="751">
        <v>0</v>
      </c>
      <c r="N36" s="731">
        <f t="shared" si="29"/>
        <v>0.1</v>
      </c>
      <c r="O36" s="2442">
        <f>($I36*J36)</f>
        <v>1.3916000000000002</v>
      </c>
      <c r="P36" s="2442">
        <f t="shared" ref="P36:R37" si="31">($I36*K36)</f>
        <v>0</v>
      </c>
      <c r="Q36" s="2442">
        <f t="shared" si="31"/>
        <v>0</v>
      </c>
      <c r="R36" s="2442">
        <f t="shared" si="31"/>
        <v>0</v>
      </c>
      <c r="S36" s="2443">
        <f>SUM(O36:R36)</f>
        <v>1.3916000000000002</v>
      </c>
      <c r="T36" s="599">
        <f>IFERROR(INDEX('Annex 2_Code'!I$8:I$33,MATCH('Annex 3_MAFF'!$AG36,'Annex 2_Code'!$G$8:$G$33,0)),"")</f>
        <v>1</v>
      </c>
      <c r="U36" s="599">
        <f>IFERROR(INDEX('Annex 2_Code'!J$8:J$33,MATCH('Annex 3_MAFF'!$AG36,'Annex 2_Code'!$G$8:$G$33,0)),"")</f>
        <v>0</v>
      </c>
      <c r="V36" s="599">
        <f>IFERROR(INDEX('Annex 2_Code'!K$8:K$33,MATCH('Annex 3_MAFF'!$AG36,'Annex 2_Code'!$G$8:$G$33,0)),"")</f>
        <v>0</v>
      </c>
      <c r="W36" s="599">
        <f>IFERROR(INDEX('Annex 2_Code'!L$8:L$33,MATCH('Annex 3_MAFF'!$AG36,'Annex 2_Code'!$G$8:$G$33,0)),"")</f>
        <v>0</v>
      </c>
      <c r="X36" s="599">
        <f>IFERROR(INDEX('Annex 2_Code'!M$8:M$33,MATCH('Annex 3_MAFF'!$AG36,'Annex 2_Code'!$G$8:$G$33,0)),"")</f>
        <v>0</v>
      </c>
      <c r="Y36" s="647">
        <f t="shared" si="30"/>
        <v>1.3916000000000002</v>
      </c>
      <c r="Z36" s="600">
        <f t="shared" si="30"/>
        <v>0</v>
      </c>
      <c r="AA36" s="600">
        <f t="shared" si="30"/>
        <v>0</v>
      </c>
      <c r="AB36" s="600">
        <f t="shared" si="30"/>
        <v>0</v>
      </c>
      <c r="AC36" s="601">
        <f t="shared" si="30"/>
        <v>0</v>
      </c>
      <c r="AD36" s="602">
        <f>SUM(Y36:AC36)</f>
        <v>1.3916000000000002</v>
      </c>
      <c r="AE36" s="602">
        <f>AD36-S36</f>
        <v>0</v>
      </c>
      <c r="AF36" s="605" t="s">
        <v>293</v>
      </c>
      <c r="AG36" s="605" t="s">
        <v>197</v>
      </c>
      <c r="AH36" s="605" t="str">
        <f>IFERROR(INDEX('Annex 2_Code'!$J$114:$J$126,MATCH('Annex 3_MAFF'!AF36,'Annex 2_Code'!$G$114:$G$126,0)),"")</f>
        <v>MAFF-GDA</v>
      </c>
      <c r="AI36" s="624" t="str">
        <f>IF(ISNUMBER(FIND("-",AH36,1))=FALSE,LEFT(AH36,LEN(AH36)),LEFT(AH36,(FIND("-",AH36,1))-1))</f>
        <v>MAFF</v>
      </c>
    </row>
    <row r="37" spans="1:35" s="1364" customFormat="1" ht="46.5" outlineLevel="1">
      <c r="A37" s="1357"/>
      <c r="B37" s="669" t="s">
        <v>1452</v>
      </c>
      <c r="C37" s="669" t="s">
        <v>359</v>
      </c>
      <c r="D37" s="701"/>
      <c r="E37" s="2225" t="s">
        <v>920</v>
      </c>
      <c r="F37" s="2226"/>
      <c r="G37" s="2227" t="s">
        <v>1150</v>
      </c>
      <c r="H37" s="2224" t="s">
        <v>855</v>
      </c>
      <c r="I37" s="2440">
        <f>99775/1000</f>
        <v>99.775000000000006</v>
      </c>
      <c r="J37" s="751">
        <v>0.1</v>
      </c>
      <c r="K37" s="751">
        <v>0</v>
      </c>
      <c r="L37" s="751">
        <v>0</v>
      </c>
      <c r="M37" s="751">
        <v>0</v>
      </c>
      <c r="N37" s="731">
        <f t="shared" si="29"/>
        <v>0.1</v>
      </c>
      <c r="O37" s="2442">
        <f>($I37*J37)</f>
        <v>9.9775000000000009</v>
      </c>
      <c r="P37" s="2442">
        <f t="shared" si="31"/>
        <v>0</v>
      </c>
      <c r="Q37" s="2442">
        <f t="shared" si="31"/>
        <v>0</v>
      </c>
      <c r="R37" s="2442">
        <f t="shared" si="31"/>
        <v>0</v>
      </c>
      <c r="S37" s="2443">
        <f>SUM(O37:R37)</f>
        <v>9.9775000000000009</v>
      </c>
      <c r="T37" s="599">
        <f>IFERROR(INDEX('Annex 2_Code'!I$8:I$33,MATCH('Annex 3_MAFF'!$AG37,'Annex 2_Code'!$G$8:$G$33,0)),"")</f>
        <v>1</v>
      </c>
      <c r="U37" s="599">
        <f>IFERROR(INDEX('Annex 2_Code'!J$8:J$33,MATCH('Annex 3_MAFF'!$AG37,'Annex 2_Code'!$G$8:$G$33,0)),"")</f>
        <v>0</v>
      </c>
      <c r="V37" s="599">
        <f>IFERROR(INDEX('Annex 2_Code'!K$8:K$33,MATCH('Annex 3_MAFF'!$AG37,'Annex 2_Code'!$G$8:$G$33,0)),"")</f>
        <v>0</v>
      </c>
      <c r="W37" s="599">
        <f>IFERROR(INDEX('Annex 2_Code'!L$8:L$33,MATCH('Annex 3_MAFF'!$AG37,'Annex 2_Code'!$G$8:$G$33,0)),"")</f>
        <v>0</v>
      </c>
      <c r="X37" s="599">
        <f>IFERROR(INDEX('Annex 2_Code'!M$8:M$33,MATCH('Annex 3_MAFF'!$AG37,'Annex 2_Code'!$G$8:$G$33,0)),"")</f>
        <v>0</v>
      </c>
      <c r="Y37" s="647">
        <f t="shared" si="30"/>
        <v>9.9775000000000009</v>
      </c>
      <c r="Z37" s="600">
        <f t="shared" si="30"/>
        <v>0</v>
      </c>
      <c r="AA37" s="600">
        <f t="shared" si="30"/>
        <v>0</v>
      </c>
      <c r="AB37" s="600">
        <f t="shared" si="30"/>
        <v>0</v>
      </c>
      <c r="AC37" s="601">
        <f t="shared" si="30"/>
        <v>0</v>
      </c>
      <c r="AD37" s="602">
        <f>SUM(Y37:AC37)</f>
        <v>9.9775000000000009</v>
      </c>
      <c r="AE37" s="602">
        <f>AD37-S37</f>
        <v>0</v>
      </c>
      <c r="AF37" s="605" t="s">
        <v>293</v>
      </c>
      <c r="AG37" s="605" t="s">
        <v>197</v>
      </c>
      <c r="AH37" s="605" t="str">
        <f>IFERROR(INDEX('Annex 2_Code'!$J$114:$J$126,MATCH('Annex 3_MAFF'!AF37,'Annex 2_Code'!$G$114:$G$126,0)),"")</f>
        <v>MAFF-GDA</v>
      </c>
      <c r="AI37" s="624" t="str">
        <f>IF(ISNUMBER(FIND("-",AH37,1))=FALSE,LEFT(AH37,LEN(AH37)),LEFT(AH37,(FIND("-",AH37,1))-1))</f>
        <v>MAFF</v>
      </c>
    </row>
    <row r="38" spans="1:35" s="1364" customFormat="1" ht="46.5" outlineLevel="1">
      <c r="A38" s="1357"/>
      <c r="B38" s="669" t="s">
        <v>1452</v>
      </c>
      <c r="C38" s="669" t="s">
        <v>358</v>
      </c>
      <c r="D38" s="701"/>
      <c r="E38" s="2225" t="s">
        <v>921</v>
      </c>
      <c r="F38" s="2226"/>
      <c r="G38" s="2227" t="s">
        <v>1170</v>
      </c>
      <c r="H38" s="2224" t="s">
        <v>855</v>
      </c>
      <c r="I38" s="2440">
        <v>99</v>
      </c>
      <c r="J38" s="751">
        <v>0</v>
      </c>
      <c r="K38" s="751">
        <v>0</v>
      </c>
      <c r="L38" s="751">
        <v>1</v>
      </c>
      <c r="M38" s="751">
        <v>0</v>
      </c>
      <c r="N38" s="731">
        <f t="shared" si="29"/>
        <v>1</v>
      </c>
      <c r="O38" s="2442">
        <f>($I38*J38)</f>
        <v>0</v>
      </c>
      <c r="P38" s="2442">
        <f t="shared" ref="P38" si="32">($I38*K38)</f>
        <v>0</v>
      </c>
      <c r="Q38" s="2442">
        <f t="shared" ref="Q38" si="33">($I38*L38)</f>
        <v>99</v>
      </c>
      <c r="R38" s="2442">
        <f t="shared" ref="R38" si="34">($I38*M38)</f>
        <v>0</v>
      </c>
      <c r="S38" s="2443">
        <f>SUM(O38:R38)</f>
        <v>99</v>
      </c>
      <c r="T38" s="599">
        <f>IFERROR(INDEX('Annex 2_Code'!I$8:I$33,MATCH('Annex 3_MAFF'!$AG38,'Annex 2_Code'!$G$8:$G$33,0)),"")</f>
        <v>1</v>
      </c>
      <c r="U38" s="599">
        <f>IFERROR(INDEX('Annex 2_Code'!J$8:J$33,MATCH('Annex 3_MAFF'!$AG38,'Annex 2_Code'!$G$8:$G$33,0)),"")</f>
        <v>0</v>
      </c>
      <c r="V38" s="599">
        <f>IFERROR(INDEX('Annex 2_Code'!K$8:K$33,MATCH('Annex 3_MAFF'!$AG38,'Annex 2_Code'!$G$8:$G$33,0)),"")</f>
        <v>0</v>
      </c>
      <c r="W38" s="599">
        <f>IFERROR(INDEX('Annex 2_Code'!L$8:L$33,MATCH('Annex 3_MAFF'!$AG38,'Annex 2_Code'!$G$8:$G$33,0)),"")</f>
        <v>0</v>
      </c>
      <c r="X38" s="599">
        <f>IFERROR(INDEX('Annex 2_Code'!M$8:M$33,MATCH('Annex 3_MAFF'!$AG38,'Annex 2_Code'!$G$8:$G$33,0)),"")</f>
        <v>0</v>
      </c>
      <c r="Y38" s="647">
        <f t="shared" ref="Y38" si="35">IFERROR($S38*T38,"")</f>
        <v>99</v>
      </c>
      <c r="Z38" s="600">
        <f t="shared" ref="Z38" si="36">IFERROR($S38*U38,"")</f>
        <v>0</v>
      </c>
      <c r="AA38" s="600">
        <f t="shared" ref="AA38" si="37">IFERROR($S38*V38,"")</f>
        <v>0</v>
      </c>
      <c r="AB38" s="600">
        <f t="shared" ref="AB38" si="38">IFERROR($S38*W38,"")</f>
        <v>0</v>
      </c>
      <c r="AC38" s="601">
        <f t="shared" ref="AC38" si="39">IFERROR($S38*X38,"")</f>
        <v>0</v>
      </c>
      <c r="AD38" s="602">
        <f>SUM(Y38:AC38)</f>
        <v>99</v>
      </c>
      <c r="AE38" s="602">
        <f>AD38-S38</f>
        <v>0</v>
      </c>
      <c r="AF38" s="605" t="s">
        <v>293</v>
      </c>
      <c r="AG38" s="605" t="s">
        <v>197</v>
      </c>
      <c r="AH38" s="605" t="str">
        <f>IFERROR(INDEX('Annex 2_Code'!$J$114:$J$126,MATCH('Annex 3_MAFF'!AF38,'Annex 2_Code'!$G$114:$G$126,0)),"")</f>
        <v>MAFF-GDA</v>
      </c>
      <c r="AI38" s="624" t="str">
        <f>IF(ISNUMBER(FIND("-",AH38,1))=FALSE,LEFT(AH38,LEN(AH38)),LEFT(AH38,(FIND("-",AH38,1))-1))</f>
        <v>MAFF</v>
      </c>
    </row>
    <row r="39" spans="1:35" s="1568" customFormat="1" ht="46.5" outlineLevel="1">
      <c r="A39" s="1567"/>
      <c r="B39" s="669" t="s">
        <v>1452</v>
      </c>
      <c r="C39" s="669" t="s">
        <v>358</v>
      </c>
      <c r="D39" s="2228"/>
      <c r="E39" s="2225" t="s">
        <v>1219</v>
      </c>
      <c r="F39" s="2226"/>
      <c r="G39" s="2227" t="s">
        <v>1217</v>
      </c>
      <c r="H39" s="2229" t="s">
        <v>855</v>
      </c>
      <c r="I39" s="2441">
        <v>99.78</v>
      </c>
      <c r="J39" s="2230">
        <v>0</v>
      </c>
      <c r="K39" s="2230">
        <v>1</v>
      </c>
      <c r="L39" s="2230">
        <v>0</v>
      </c>
      <c r="M39" s="2230">
        <v>0</v>
      </c>
      <c r="N39" s="2150">
        <f t="shared" si="29"/>
        <v>1</v>
      </c>
      <c r="O39" s="2444">
        <f>J39*I39</f>
        <v>0</v>
      </c>
      <c r="P39" s="2444">
        <f>K39*I39</f>
        <v>99.78</v>
      </c>
      <c r="Q39" s="2444">
        <f>L39*I39</f>
        <v>0</v>
      </c>
      <c r="R39" s="2444">
        <f>M39*I39</f>
        <v>0</v>
      </c>
      <c r="S39" s="2443">
        <f t="shared" ref="S39:S40" si="40">SUM(O39:R39)</f>
        <v>99.78</v>
      </c>
      <c r="T39" s="599">
        <f>IFERROR(INDEX('Annex 2_Code'!I$8:I$33,MATCH('Annex 3_MAFF'!$AG39,'Annex 2_Code'!$G$8:$G$33,0)),"")</f>
        <v>1</v>
      </c>
      <c r="U39" s="599">
        <f>IFERROR(INDEX('Annex 2_Code'!J$8:J$33,MATCH('Annex 3_MAFF'!$AG39,'Annex 2_Code'!$G$8:$G$33,0)),"")</f>
        <v>0</v>
      </c>
      <c r="V39" s="599">
        <f>IFERROR(INDEX('Annex 2_Code'!K$8:K$33,MATCH('Annex 3_MAFF'!$AG39,'Annex 2_Code'!$G$8:$G$33,0)),"")</f>
        <v>0</v>
      </c>
      <c r="W39" s="599">
        <f>IFERROR(INDEX('Annex 2_Code'!L$8:L$33,MATCH('Annex 3_MAFF'!$AG39,'Annex 2_Code'!$G$8:$G$33,0)),"")</f>
        <v>0</v>
      </c>
      <c r="X39" s="599">
        <f>IFERROR(INDEX('Annex 2_Code'!M$8:M$33,MATCH('Annex 3_MAFF'!$AG39,'Annex 2_Code'!$G$8:$G$33,0)),"")</f>
        <v>0</v>
      </c>
      <c r="Y39" s="647">
        <f t="shared" ref="Y39:Y40" si="41">IFERROR($S39*T39,"")</f>
        <v>99.78</v>
      </c>
      <c r="Z39" s="600">
        <f t="shared" ref="Z39:Z40" si="42">IFERROR($S39*U39,"")</f>
        <v>0</v>
      </c>
      <c r="AA39" s="600">
        <f t="shared" ref="AA39:AA40" si="43">IFERROR($S39*V39,"")</f>
        <v>0</v>
      </c>
      <c r="AB39" s="600">
        <f t="shared" ref="AB39:AB40" si="44">IFERROR($S39*W39,"")</f>
        <v>0</v>
      </c>
      <c r="AC39" s="601">
        <f t="shared" ref="AC39:AC40" si="45">IFERROR($S39*X39,"")</f>
        <v>0</v>
      </c>
      <c r="AD39" s="602">
        <f t="shared" ref="AD39:AD40" si="46">SUM(Y39:AC39)</f>
        <v>99.78</v>
      </c>
      <c r="AE39" s="602">
        <f t="shared" ref="AE39:AE40" si="47">AD39-S39</f>
        <v>0</v>
      </c>
      <c r="AF39" s="605" t="s">
        <v>293</v>
      </c>
      <c r="AG39" s="605" t="s">
        <v>197</v>
      </c>
      <c r="AH39" s="605" t="str">
        <f>IFERROR(INDEX('Annex 2_Code'!$J$114:$J$126,MATCH('Annex 3_MAFF'!AF39,'Annex 2_Code'!$G$114:$G$126,0)),"")</f>
        <v>MAFF-GDA</v>
      </c>
      <c r="AI39" s="624" t="str">
        <f t="shared" ref="AI39:AI40" si="48">IF(ISNUMBER(FIND("-",AH39,1))=FALSE,LEFT(AH39,LEN(AH39)),LEFT(AH39,(FIND("-",AH39,1))-1))</f>
        <v>MAFF</v>
      </c>
    </row>
    <row r="40" spans="1:35" s="1568" customFormat="1" ht="46.5" outlineLevel="1">
      <c r="A40" s="1567"/>
      <c r="B40" s="669" t="s">
        <v>1452</v>
      </c>
      <c r="C40" s="669" t="s">
        <v>358</v>
      </c>
      <c r="D40" s="2228"/>
      <c r="E40" s="2225" t="s">
        <v>1216</v>
      </c>
      <c r="F40" s="2226"/>
      <c r="G40" s="2227" t="s">
        <v>1218</v>
      </c>
      <c r="H40" s="2229" t="s">
        <v>855</v>
      </c>
      <c r="I40" s="2441">
        <v>99</v>
      </c>
      <c r="J40" s="2230">
        <v>0</v>
      </c>
      <c r="K40" s="2230">
        <v>1</v>
      </c>
      <c r="L40" s="2230">
        <v>0</v>
      </c>
      <c r="M40" s="2230">
        <v>0</v>
      </c>
      <c r="N40" s="2150">
        <f t="shared" si="29"/>
        <v>1</v>
      </c>
      <c r="O40" s="2444">
        <f>J40*I40</f>
        <v>0</v>
      </c>
      <c r="P40" s="2444">
        <f>K40*I40</f>
        <v>99</v>
      </c>
      <c r="Q40" s="2444">
        <f>L40*I40</f>
        <v>0</v>
      </c>
      <c r="R40" s="2444">
        <f>M40*I40</f>
        <v>0</v>
      </c>
      <c r="S40" s="2443">
        <f t="shared" si="40"/>
        <v>99</v>
      </c>
      <c r="T40" s="599">
        <f>IFERROR(INDEX('Annex 2_Code'!I$8:I$33,MATCH('Annex 3_MAFF'!$AG40,'Annex 2_Code'!$G$8:$G$33,0)),"")</f>
        <v>1</v>
      </c>
      <c r="U40" s="599">
        <f>IFERROR(INDEX('Annex 2_Code'!J$8:J$33,MATCH('Annex 3_MAFF'!$AG40,'Annex 2_Code'!$G$8:$G$33,0)),"")</f>
        <v>0</v>
      </c>
      <c r="V40" s="599">
        <f>IFERROR(INDEX('Annex 2_Code'!K$8:K$33,MATCH('Annex 3_MAFF'!$AG40,'Annex 2_Code'!$G$8:$G$33,0)),"")</f>
        <v>0</v>
      </c>
      <c r="W40" s="599">
        <f>IFERROR(INDEX('Annex 2_Code'!L$8:L$33,MATCH('Annex 3_MAFF'!$AG40,'Annex 2_Code'!$G$8:$G$33,0)),"")</f>
        <v>0</v>
      </c>
      <c r="X40" s="599">
        <f>IFERROR(INDEX('Annex 2_Code'!M$8:M$33,MATCH('Annex 3_MAFF'!$AG40,'Annex 2_Code'!$G$8:$G$33,0)),"")</f>
        <v>0</v>
      </c>
      <c r="Y40" s="647">
        <f t="shared" si="41"/>
        <v>99</v>
      </c>
      <c r="Z40" s="600">
        <f t="shared" si="42"/>
        <v>0</v>
      </c>
      <c r="AA40" s="600">
        <f t="shared" si="43"/>
        <v>0</v>
      </c>
      <c r="AB40" s="600">
        <f t="shared" si="44"/>
        <v>0</v>
      </c>
      <c r="AC40" s="601">
        <f t="shared" si="45"/>
        <v>0</v>
      </c>
      <c r="AD40" s="602">
        <f t="shared" si="46"/>
        <v>99</v>
      </c>
      <c r="AE40" s="602">
        <f t="shared" si="47"/>
        <v>0</v>
      </c>
      <c r="AF40" s="605" t="s">
        <v>293</v>
      </c>
      <c r="AG40" s="605" t="s">
        <v>197</v>
      </c>
      <c r="AH40" s="605" t="str">
        <f>IFERROR(INDEX('Annex 2_Code'!$J$114:$J$126,MATCH('Annex 3_MAFF'!AF40,'Annex 2_Code'!$G$114:$G$126,0)),"")</f>
        <v>MAFF-GDA</v>
      </c>
      <c r="AI40" s="624" t="str">
        <f t="shared" si="48"/>
        <v>MAFF</v>
      </c>
    </row>
    <row r="41" spans="1:35" s="690" customFormat="1" ht="32.25" customHeight="1">
      <c r="A41" s="587"/>
      <c r="B41" s="588"/>
      <c r="C41" s="589"/>
      <c r="D41" s="691"/>
      <c r="E41" s="692"/>
      <c r="F41" s="692" t="s">
        <v>583</v>
      </c>
      <c r="G41" s="1461"/>
      <c r="H41" s="694"/>
      <c r="I41" s="695"/>
      <c r="J41" s="696">
        <f t="shared" ref="J41:R41" si="49">SUM(J35:J40)</f>
        <v>0.2</v>
      </c>
      <c r="K41" s="696">
        <f t="shared" si="49"/>
        <v>3</v>
      </c>
      <c r="L41" s="696">
        <f t="shared" si="49"/>
        <v>1</v>
      </c>
      <c r="M41" s="696">
        <f t="shared" si="49"/>
        <v>0</v>
      </c>
      <c r="N41" s="697">
        <f t="shared" si="49"/>
        <v>4.2</v>
      </c>
      <c r="O41" s="2445">
        <f t="shared" si="49"/>
        <v>11.369100000000001</v>
      </c>
      <c r="P41" s="2445">
        <f t="shared" si="49"/>
        <v>297.77999999999997</v>
      </c>
      <c r="Q41" s="2445">
        <f t="shared" si="49"/>
        <v>99</v>
      </c>
      <c r="R41" s="2445">
        <f t="shared" si="49"/>
        <v>0</v>
      </c>
      <c r="S41" s="2446">
        <f>SUM(S35:S40)</f>
        <v>408.14909999999998</v>
      </c>
      <c r="T41" s="599"/>
      <c r="U41" s="599"/>
      <c r="V41" s="599"/>
      <c r="W41" s="599"/>
      <c r="X41" s="599"/>
      <c r="Y41" s="647"/>
      <c r="Z41" s="600"/>
      <c r="AA41" s="600"/>
      <c r="AB41" s="600"/>
      <c r="AC41" s="601"/>
      <c r="AD41" s="602"/>
      <c r="AE41" s="602"/>
      <c r="AF41" s="604"/>
      <c r="AG41" s="604"/>
      <c r="AH41" s="605"/>
      <c r="AI41" s="624"/>
    </row>
    <row r="42" spans="1:35" s="1852" customFormat="1" ht="52.5" customHeight="1">
      <c r="A42" s="1837"/>
      <c r="B42" s="1838"/>
      <c r="C42" s="1838"/>
      <c r="D42" s="1839"/>
      <c r="E42" s="1840" t="s">
        <v>397</v>
      </c>
      <c r="F42" s="2646" t="s">
        <v>1148</v>
      </c>
      <c r="G42" s="2647"/>
      <c r="H42" s="1841"/>
      <c r="I42" s="1842"/>
      <c r="J42" s="1843"/>
      <c r="K42" s="1843"/>
      <c r="L42" s="1843"/>
      <c r="M42" s="1843"/>
      <c r="N42" s="1844"/>
      <c r="O42" s="2447"/>
      <c r="P42" s="2447"/>
      <c r="Q42" s="2447"/>
      <c r="R42" s="2447"/>
      <c r="S42" s="2448">
        <f>SUM(O41:R41)</f>
        <v>408.14909999999998</v>
      </c>
      <c r="T42" s="1845"/>
      <c r="U42" s="1845"/>
      <c r="V42" s="1845"/>
      <c r="W42" s="1845"/>
      <c r="X42" s="1845"/>
      <c r="Y42" s="1846"/>
      <c r="Z42" s="1847"/>
      <c r="AA42" s="1847"/>
      <c r="AB42" s="1847"/>
      <c r="AC42" s="1848"/>
      <c r="AD42" s="1849"/>
      <c r="AE42" s="1849"/>
      <c r="AF42" s="1850"/>
      <c r="AG42" s="604"/>
      <c r="AH42" s="1850"/>
      <c r="AI42" s="1851"/>
    </row>
    <row r="43" spans="1:35" s="607" customFormat="1" ht="93" outlineLevel="1">
      <c r="A43" s="587"/>
      <c r="B43" s="669" t="s">
        <v>1451</v>
      </c>
      <c r="C43" s="669" t="s">
        <v>33</v>
      </c>
      <c r="D43" s="701"/>
      <c r="E43" s="307" t="s">
        <v>538</v>
      </c>
      <c r="F43" s="615"/>
      <c r="G43" s="1884" t="s">
        <v>1176</v>
      </c>
      <c r="H43" s="2231" t="s">
        <v>837</v>
      </c>
      <c r="I43" s="2450">
        <f>1200/1000</f>
        <v>1.2</v>
      </c>
      <c r="J43" s="1854">
        <v>0</v>
      </c>
      <c r="K43" s="1734">
        <v>3</v>
      </c>
      <c r="L43" s="1734">
        <v>0</v>
      </c>
      <c r="M43" s="1854">
        <v>0</v>
      </c>
      <c r="N43" s="731">
        <f>SUM(J43:M43)</f>
        <v>3</v>
      </c>
      <c r="O43" s="2442">
        <f>($I43*J43)</f>
        <v>0</v>
      </c>
      <c r="P43" s="2442">
        <f>($I43*K43)</f>
        <v>3.5999999999999996</v>
      </c>
      <c r="Q43" s="2442">
        <f>($I$49*L43)</f>
        <v>0</v>
      </c>
      <c r="R43" s="2442">
        <f>($I$49*M43)</f>
        <v>0</v>
      </c>
      <c r="S43" s="2443">
        <f t="shared" ref="S43:S51" si="50">SUM(O43:R43)</f>
        <v>3.5999999999999996</v>
      </c>
      <c r="T43" s="599">
        <f>IFERROR(INDEX('Annex 2_Code'!I$8:I$33,MATCH('Annex 3_MAFF'!$AG43,'Annex 2_Code'!$G$8:$G$33,0)),"")</f>
        <v>0</v>
      </c>
      <c r="U43" s="599">
        <f>IFERROR(INDEX('Annex 2_Code'!J$8:J$33,MATCH('Annex 3_MAFF'!$AG43,'Annex 2_Code'!$G$8:$G$33,0)),"")</f>
        <v>0</v>
      </c>
      <c r="V43" s="599">
        <f>IFERROR(INDEX('Annex 2_Code'!K$8:K$33,MATCH('Annex 3_MAFF'!$AG43,'Annex 2_Code'!$G$8:$G$33,0)),"")</f>
        <v>1</v>
      </c>
      <c r="W43" s="599">
        <f>IFERROR(INDEX('Annex 2_Code'!L$8:L$33,MATCH('Annex 3_MAFF'!$AG43,'Annex 2_Code'!$G$8:$G$33,0)),"")</f>
        <v>0</v>
      </c>
      <c r="X43" s="599">
        <f>IFERROR(INDEX('Annex 2_Code'!M$8:M$33,MATCH('Annex 3_MAFF'!$AG43,'Annex 2_Code'!$G$8:$G$33,0)),"")</f>
        <v>0</v>
      </c>
      <c r="Y43" s="647">
        <f t="shared" ref="Y43:Y55" si="51">IFERROR($S43*T43,"")</f>
        <v>0</v>
      </c>
      <c r="Z43" s="600">
        <f t="shared" ref="Z43:Z55" si="52">IFERROR($S43*U43,"")</f>
        <v>0</v>
      </c>
      <c r="AA43" s="600">
        <f t="shared" ref="AA43:AA55" si="53">IFERROR($S43*V43,"")</f>
        <v>3.5999999999999996</v>
      </c>
      <c r="AB43" s="600">
        <f t="shared" ref="AB43:AB55" si="54">IFERROR($S43*W43,"")</f>
        <v>0</v>
      </c>
      <c r="AC43" s="601">
        <f t="shared" ref="AC43:AC55" si="55">IFERROR($S43*X43,"")</f>
        <v>0</v>
      </c>
      <c r="AD43" s="602">
        <f t="shared" ref="AD43:AD55" si="56">SUM(Y43:AC43)</f>
        <v>3.5999999999999996</v>
      </c>
      <c r="AE43" s="602">
        <f t="shared" ref="AE43:AE55" si="57">AD43-S43</f>
        <v>0</v>
      </c>
      <c r="AF43" s="605" t="s">
        <v>293</v>
      </c>
      <c r="AG43" s="605" t="s">
        <v>201</v>
      </c>
      <c r="AH43" s="605" t="str">
        <f>IFERROR(INDEX('Annex 2_Code'!$J$114:$J$126,MATCH('Annex 3_MAFF'!AF43,'Annex 2_Code'!$G$114:$G$126,0)),"")</f>
        <v>MAFF-GDA</v>
      </c>
      <c r="AI43" s="624" t="str">
        <f t="shared" ref="AI43:AI55" si="58">IF(ISNUMBER(FIND("-",AH43,1))=FALSE,LEFT(AH43,LEN(AH43)),LEFT(AH43,(FIND("-",AH43,1))-1))</f>
        <v>MAFF</v>
      </c>
    </row>
    <row r="44" spans="1:35" s="607" customFormat="1" ht="60.75" outlineLevel="1">
      <c r="A44" s="307"/>
      <c r="B44" s="669" t="s">
        <v>1451</v>
      </c>
      <c r="C44" s="669" t="s">
        <v>33</v>
      </c>
      <c r="D44" s="701"/>
      <c r="E44" s="307" t="s">
        <v>539</v>
      </c>
      <c r="F44" s="615"/>
      <c r="G44" s="2232" t="s">
        <v>1184</v>
      </c>
      <c r="H44" s="2231" t="s">
        <v>837</v>
      </c>
      <c r="I44" s="2450">
        <f t="shared" ref="I44:I46" si="59">1200/1000</f>
        <v>1.2</v>
      </c>
      <c r="J44" s="1854">
        <v>0</v>
      </c>
      <c r="K44" s="1734">
        <v>2</v>
      </c>
      <c r="L44" s="1734">
        <v>1</v>
      </c>
      <c r="M44" s="1854">
        <v>0</v>
      </c>
      <c r="N44" s="731">
        <f t="shared" ref="N44:N55" si="60">SUM(J44:M44)</f>
        <v>3</v>
      </c>
      <c r="O44" s="2442">
        <f t="shared" ref="O44:R55" si="61">($I44*J44)</f>
        <v>0</v>
      </c>
      <c r="P44" s="2442">
        <f t="shared" si="61"/>
        <v>2.4</v>
      </c>
      <c r="Q44" s="2442">
        <f t="shared" si="61"/>
        <v>1.2</v>
      </c>
      <c r="R44" s="2442">
        <f t="shared" si="61"/>
        <v>0</v>
      </c>
      <c r="S44" s="2443">
        <f t="shared" si="50"/>
        <v>3.5999999999999996</v>
      </c>
      <c r="T44" s="599">
        <f>IFERROR(INDEX('Annex 2_Code'!I$8:I$33,MATCH('Annex 3_MAFF'!$AG44,'Annex 2_Code'!$G$8:$G$33,0)),"")</f>
        <v>0</v>
      </c>
      <c r="U44" s="599">
        <f>IFERROR(INDEX('Annex 2_Code'!J$8:J$33,MATCH('Annex 3_MAFF'!$AG44,'Annex 2_Code'!$G$8:$G$33,0)),"")</f>
        <v>0</v>
      </c>
      <c r="V44" s="599">
        <f>IFERROR(INDEX('Annex 2_Code'!K$8:K$33,MATCH('Annex 3_MAFF'!$AG44,'Annex 2_Code'!$G$8:$G$33,0)),"")</f>
        <v>1</v>
      </c>
      <c r="W44" s="599">
        <f>IFERROR(INDEX('Annex 2_Code'!L$8:L$33,MATCH('Annex 3_MAFF'!$AG44,'Annex 2_Code'!$G$8:$G$33,0)),"")</f>
        <v>0</v>
      </c>
      <c r="X44" s="599">
        <f>IFERROR(INDEX('Annex 2_Code'!M$8:M$33,MATCH('Annex 3_MAFF'!$AG44,'Annex 2_Code'!$G$8:$G$33,0)),"")</f>
        <v>0</v>
      </c>
      <c r="Y44" s="647">
        <f t="shared" si="51"/>
        <v>0</v>
      </c>
      <c r="Z44" s="600">
        <f t="shared" si="52"/>
        <v>0</v>
      </c>
      <c r="AA44" s="600">
        <f t="shared" si="53"/>
        <v>3.5999999999999996</v>
      </c>
      <c r="AB44" s="600">
        <f t="shared" si="54"/>
        <v>0</v>
      </c>
      <c r="AC44" s="601">
        <f t="shared" si="55"/>
        <v>0</v>
      </c>
      <c r="AD44" s="602">
        <f t="shared" si="56"/>
        <v>3.5999999999999996</v>
      </c>
      <c r="AE44" s="602">
        <f t="shared" si="57"/>
        <v>0</v>
      </c>
      <c r="AF44" s="605" t="s">
        <v>293</v>
      </c>
      <c r="AG44" s="605" t="s">
        <v>201</v>
      </c>
      <c r="AH44" s="605" t="str">
        <f>IFERROR(INDEX('Annex 2_Code'!$J$114:$J$126,MATCH('Annex 3_MAFF'!AF44,'Annex 2_Code'!$G$114:$G$126,0)),"")</f>
        <v>MAFF-GDA</v>
      </c>
      <c r="AI44" s="624" t="str">
        <f t="shared" si="58"/>
        <v>MAFF</v>
      </c>
    </row>
    <row r="45" spans="1:35" s="607" customFormat="1" ht="46.5" outlineLevel="1">
      <c r="A45" s="307"/>
      <c r="B45" s="669" t="s">
        <v>1451</v>
      </c>
      <c r="C45" s="669" t="s">
        <v>33</v>
      </c>
      <c r="D45" s="701"/>
      <c r="E45" s="307" t="s">
        <v>540</v>
      </c>
      <c r="F45" s="615"/>
      <c r="G45" s="2158" t="s">
        <v>1185</v>
      </c>
      <c r="H45" s="2231" t="s">
        <v>837</v>
      </c>
      <c r="I45" s="2450">
        <f t="shared" si="59"/>
        <v>1.2</v>
      </c>
      <c r="J45" s="1734">
        <v>0</v>
      </c>
      <c r="K45" s="1734">
        <v>1</v>
      </c>
      <c r="L45" s="1734">
        <v>1</v>
      </c>
      <c r="M45" s="1734">
        <v>0</v>
      </c>
      <c r="N45" s="731">
        <f t="shared" si="60"/>
        <v>2</v>
      </c>
      <c r="O45" s="2442">
        <f t="shared" si="61"/>
        <v>0</v>
      </c>
      <c r="P45" s="2442">
        <f>($I45*K45)</f>
        <v>1.2</v>
      </c>
      <c r="Q45" s="2442">
        <f>($I45*L45)</f>
        <v>1.2</v>
      </c>
      <c r="R45" s="2442">
        <f>($I45*M45)</f>
        <v>0</v>
      </c>
      <c r="S45" s="2443">
        <f t="shared" si="50"/>
        <v>2.4</v>
      </c>
      <c r="T45" s="599">
        <f>IFERROR(INDEX('Annex 2_Code'!I$8:I$33,MATCH('Annex 3_MAFF'!$AG45,'Annex 2_Code'!$G$8:$G$33,0)),"")</f>
        <v>0</v>
      </c>
      <c r="U45" s="599">
        <f>IFERROR(INDEX('Annex 2_Code'!J$8:J$33,MATCH('Annex 3_MAFF'!$AG45,'Annex 2_Code'!$G$8:$G$33,0)),"")</f>
        <v>0</v>
      </c>
      <c r="V45" s="599">
        <f>IFERROR(INDEX('Annex 2_Code'!K$8:K$33,MATCH('Annex 3_MAFF'!$AG45,'Annex 2_Code'!$G$8:$G$33,0)),"")</f>
        <v>1</v>
      </c>
      <c r="W45" s="599">
        <f>IFERROR(INDEX('Annex 2_Code'!L$8:L$33,MATCH('Annex 3_MAFF'!$AG45,'Annex 2_Code'!$G$8:$G$33,0)),"")</f>
        <v>0</v>
      </c>
      <c r="X45" s="599">
        <f>IFERROR(INDEX('Annex 2_Code'!M$8:M$33,MATCH('Annex 3_MAFF'!$AG45,'Annex 2_Code'!$G$8:$G$33,0)),"")</f>
        <v>0</v>
      </c>
      <c r="Y45" s="647">
        <f t="shared" si="51"/>
        <v>0</v>
      </c>
      <c r="Z45" s="600">
        <f t="shared" si="52"/>
        <v>0</v>
      </c>
      <c r="AA45" s="600">
        <f t="shared" si="53"/>
        <v>2.4</v>
      </c>
      <c r="AB45" s="600">
        <f t="shared" si="54"/>
        <v>0</v>
      </c>
      <c r="AC45" s="601">
        <f t="shared" si="55"/>
        <v>0</v>
      </c>
      <c r="AD45" s="602">
        <f t="shared" si="56"/>
        <v>2.4</v>
      </c>
      <c r="AE45" s="602">
        <f t="shared" si="57"/>
        <v>0</v>
      </c>
      <c r="AF45" s="605" t="s">
        <v>293</v>
      </c>
      <c r="AG45" s="605" t="s">
        <v>201</v>
      </c>
      <c r="AH45" s="605" t="str">
        <f>IFERROR(INDEX('Annex 2_Code'!$J$114:$J$126,MATCH('Annex 3_MAFF'!AF45,'Annex 2_Code'!$G$114:$G$126,0)),"")</f>
        <v>MAFF-GDA</v>
      </c>
      <c r="AI45" s="624" t="str">
        <f t="shared" si="58"/>
        <v>MAFF</v>
      </c>
    </row>
    <row r="46" spans="1:35" s="607" customFormat="1" ht="60.75" outlineLevel="1">
      <c r="A46" s="307"/>
      <c r="B46" s="669" t="s">
        <v>1451</v>
      </c>
      <c r="C46" s="669" t="s">
        <v>33</v>
      </c>
      <c r="D46" s="701"/>
      <c r="E46" s="307" t="s">
        <v>584</v>
      </c>
      <c r="F46" s="615"/>
      <c r="G46" s="2158" t="s">
        <v>1186</v>
      </c>
      <c r="H46" s="2231" t="s">
        <v>837</v>
      </c>
      <c r="I46" s="2450">
        <f t="shared" si="59"/>
        <v>1.2</v>
      </c>
      <c r="J46" s="1734">
        <v>1</v>
      </c>
      <c r="K46" s="1734">
        <v>1</v>
      </c>
      <c r="L46" s="1734">
        <v>1</v>
      </c>
      <c r="M46" s="1734">
        <v>0</v>
      </c>
      <c r="N46" s="731">
        <f t="shared" si="60"/>
        <v>3</v>
      </c>
      <c r="O46" s="2442">
        <f t="shared" si="61"/>
        <v>1.2</v>
      </c>
      <c r="P46" s="2442">
        <f t="shared" si="61"/>
        <v>1.2</v>
      </c>
      <c r="Q46" s="2442">
        <f t="shared" si="61"/>
        <v>1.2</v>
      </c>
      <c r="R46" s="2442">
        <f t="shared" si="61"/>
        <v>0</v>
      </c>
      <c r="S46" s="2443">
        <f t="shared" si="50"/>
        <v>3.5999999999999996</v>
      </c>
      <c r="T46" s="599">
        <f>IFERROR(INDEX('Annex 2_Code'!I$8:I$33,MATCH('Annex 3_MAFF'!$AG46,'Annex 2_Code'!$G$8:$G$33,0)),"")</f>
        <v>0</v>
      </c>
      <c r="U46" s="599">
        <f>IFERROR(INDEX('Annex 2_Code'!J$8:J$33,MATCH('Annex 3_MAFF'!$AG46,'Annex 2_Code'!$G$8:$G$33,0)),"")</f>
        <v>0</v>
      </c>
      <c r="V46" s="599">
        <f>IFERROR(INDEX('Annex 2_Code'!K$8:K$33,MATCH('Annex 3_MAFF'!$AG46,'Annex 2_Code'!$G$8:$G$33,0)),"")</f>
        <v>1</v>
      </c>
      <c r="W46" s="599">
        <f>IFERROR(INDEX('Annex 2_Code'!L$8:L$33,MATCH('Annex 3_MAFF'!$AG46,'Annex 2_Code'!$G$8:$G$33,0)),"")</f>
        <v>0</v>
      </c>
      <c r="X46" s="599">
        <f>IFERROR(INDEX('Annex 2_Code'!M$8:M$33,MATCH('Annex 3_MAFF'!$AG46,'Annex 2_Code'!$G$8:$G$33,0)),"")</f>
        <v>0</v>
      </c>
      <c r="Y46" s="647">
        <f t="shared" si="51"/>
        <v>0</v>
      </c>
      <c r="Z46" s="600">
        <f t="shared" si="52"/>
        <v>0</v>
      </c>
      <c r="AA46" s="600">
        <f t="shared" si="53"/>
        <v>3.5999999999999996</v>
      </c>
      <c r="AB46" s="600">
        <f t="shared" si="54"/>
        <v>0</v>
      </c>
      <c r="AC46" s="601">
        <f t="shared" si="55"/>
        <v>0</v>
      </c>
      <c r="AD46" s="602">
        <f t="shared" si="56"/>
        <v>3.5999999999999996</v>
      </c>
      <c r="AE46" s="602">
        <f t="shared" si="57"/>
        <v>0</v>
      </c>
      <c r="AF46" s="605" t="s">
        <v>293</v>
      </c>
      <c r="AG46" s="605" t="s">
        <v>201</v>
      </c>
      <c r="AH46" s="605" t="str">
        <f>IFERROR(INDEX('Annex 2_Code'!$J$114:$J$126,MATCH('Annex 3_MAFF'!AF46,'Annex 2_Code'!$G$114:$G$126,0)),"")</f>
        <v>MAFF-GDA</v>
      </c>
      <c r="AI46" s="624" t="str">
        <f t="shared" si="58"/>
        <v>MAFF</v>
      </c>
    </row>
    <row r="47" spans="1:35" s="607" customFormat="1" ht="46.5" outlineLevel="1">
      <c r="A47" s="307"/>
      <c r="B47" s="669" t="s">
        <v>1451</v>
      </c>
      <c r="C47" s="669" t="s">
        <v>33</v>
      </c>
      <c r="D47" s="701"/>
      <c r="E47" s="307" t="s">
        <v>585</v>
      </c>
      <c r="F47" s="615"/>
      <c r="G47" s="2158" t="s">
        <v>1190</v>
      </c>
      <c r="H47" s="2231" t="s">
        <v>837</v>
      </c>
      <c r="I47" s="2450">
        <f>2600/1000</f>
        <v>2.6</v>
      </c>
      <c r="J47" s="1734">
        <v>0</v>
      </c>
      <c r="K47" s="1734">
        <v>1</v>
      </c>
      <c r="L47" s="1734">
        <v>1</v>
      </c>
      <c r="M47" s="1734">
        <v>0</v>
      </c>
      <c r="N47" s="731">
        <f t="shared" si="60"/>
        <v>2</v>
      </c>
      <c r="O47" s="2442">
        <f t="shared" si="61"/>
        <v>0</v>
      </c>
      <c r="P47" s="2442">
        <f t="shared" si="61"/>
        <v>2.6</v>
      </c>
      <c r="Q47" s="2442">
        <f t="shared" si="61"/>
        <v>2.6</v>
      </c>
      <c r="R47" s="2442">
        <f t="shared" si="61"/>
        <v>0</v>
      </c>
      <c r="S47" s="2443">
        <f t="shared" si="50"/>
        <v>5.2</v>
      </c>
      <c r="T47" s="599">
        <f>IFERROR(INDEX('Annex 2_Code'!I$8:I$33,MATCH('Annex 3_MAFF'!$AG47,'Annex 2_Code'!$G$8:$G$33,0)),"")</f>
        <v>0</v>
      </c>
      <c r="U47" s="599">
        <f>IFERROR(INDEX('Annex 2_Code'!J$8:J$33,MATCH('Annex 3_MAFF'!$AG47,'Annex 2_Code'!$G$8:$G$33,0)),"")</f>
        <v>0</v>
      </c>
      <c r="V47" s="599">
        <f>IFERROR(INDEX('Annex 2_Code'!K$8:K$33,MATCH('Annex 3_MAFF'!$AG47,'Annex 2_Code'!$G$8:$G$33,0)),"")</f>
        <v>1</v>
      </c>
      <c r="W47" s="599">
        <f>IFERROR(INDEX('Annex 2_Code'!L$8:L$33,MATCH('Annex 3_MAFF'!$AG47,'Annex 2_Code'!$G$8:$G$33,0)),"")</f>
        <v>0</v>
      </c>
      <c r="X47" s="599">
        <f>IFERROR(INDEX('Annex 2_Code'!M$8:M$33,MATCH('Annex 3_MAFF'!$AG47,'Annex 2_Code'!$G$8:$G$33,0)),"")</f>
        <v>0</v>
      </c>
      <c r="Y47" s="647">
        <f t="shared" si="51"/>
        <v>0</v>
      </c>
      <c r="Z47" s="600">
        <f t="shared" si="52"/>
        <v>0</v>
      </c>
      <c r="AA47" s="600">
        <f t="shared" si="53"/>
        <v>5.2</v>
      </c>
      <c r="AB47" s="600">
        <f t="shared" si="54"/>
        <v>0</v>
      </c>
      <c r="AC47" s="601">
        <f t="shared" si="55"/>
        <v>0</v>
      </c>
      <c r="AD47" s="602">
        <f t="shared" si="56"/>
        <v>5.2</v>
      </c>
      <c r="AE47" s="602">
        <f t="shared" si="57"/>
        <v>0</v>
      </c>
      <c r="AF47" s="605" t="s">
        <v>293</v>
      </c>
      <c r="AG47" s="605" t="s">
        <v>201</v>
      </c>
      <c r="AH47" s="605" t="str">
        <f>IFERROR(INDEX('Annex 2_Code'!$J$114:$J$126,MATCH('Annex 3_MAFF'!AF47,'Annex 2_Code'!$G$114:$G$126,0)),"")</f>
        <v>MAFF-GDA</v>
      </c>
      <c r="AI47" s="624" t="str">
        <f t="shared" si="58"/>
        <v>MAFF</v>
      </c>
    </row>
    <row r="48" spans="1:35" s="607" customFormat="1" ht="46.5" outlineLevel="1">
      <c r="A48" s="307"/>
      <c r="B48" s="669" t="s">
        <v>1451</v>
      </c>
      <c r="C48" s="669" t="s">
        <v>33</v>
      </c>
      <c r="D48" s="701"/>
      <c r="E48" s="307" t="s">
        <v>586</v>
      </c>
      <c r="F48" s="1941"/>
      <c r="G48" s="2233" t="s">
        <v>1453</v>
      </c>
      <c r="H48" s="2234" t="s">
        <v>837</v>
      </c>
      <c r="I48" s="2450">
        <f t="shared" ref="I48:I49" si="62">2600/1000</f>
        <v>2.6</v>
      </c>
      <c r="J48" s="1734">
        <v>1</v>
      </c>
      <c r="K48" s="1734">
        <v>0</v>
      </c>
      <c r="L48" s="1734">
        <v>1</v>
      </c>
      <c r="M48" s="1734">
        <v>0</v>
      </c>
      <c r="N48" s="731">
        <f t="shared" si="60"/>
        <v>2</v>
      </c>
      <c r="O48" s="2442">
        <f t="shared" si="61"/>
        <v>2.6</v>
      </c>
      <c r="P48" s="2442">
        <f t="shared" si="61"/>
        <v>0</v>
      </c>
      <c r="Q48" s="2454">
        <f t="shared" si="61"/>
        <v>2.6</v>
      </c>
      <c r="R48" s="2442">
        <f t="shared" si="61"/>
        <v>0</v>
      </c>
      <c r="S48" s="2443">
        <f t="shared" si="50"/>
        <v>5.2</v>
      </c>
      <c r="T48" s="599">
        <f>IFERROR(INDEX('Annex 2_Code'!I$8:I$33,MATCH('Annex 3_MAFF'!$AG48,'Annex 2_Code'!$G$8:$G$33,0)),"")</f>
        <v>0</v>
      </c>
      <c r="U48" s="599">
        <f>IFERROR(INDEX('Annex 2_Code'!J$8:J$33,MATCH('Annex 3_MAFF'!$AG48,'Annex 2_Code'!$G$8:$G$33,0)),"")</f>
        <v>0</v>
      </c>
      <c r="V48" s="599">
        <f>IFERROR(INDEX('Annex 2_Code'!K$8:K$33,MATCH('Annex 3_MAFF'!$AG48,'Annex 2_Code'!$G$8:$G$33,0)),"")</f>
        <v>1</v>
      </c>
      <c r="W48" s="599">
        <f>IFERROR(INDEX('Annex 2_Code'!L$8:L$33,MATCH('Annex 3_MAFF'!$AG48,'Annex 2_Code'!$G$8:$G$33,0)),"")</f>
        <v>0</v>
      </c>
      <c r="X48" s="599">
        <f>IFERROR(INDEX('Annex 2_Code'!M$8:M$33,MATCH('Annex 3_MAFF'!$AG48,'Annex 2_Code'!$G$8:$G$33,0)),"")</f>
        <v>0</v>
      </c>
      <c r="Y48" s="647">
        <f t="shared" si="51"/>
        <v>0</v>
      </c>
      <c r="Z48" s="600">
        <f t="shared" si="52"/>
        <v>0</v>
      </c>
      <c r="AA48" s="600">
        <f t="shared" si="53"/>
        <v>5.2</v>
      </c>
      <c r="AB48" s="600">
        <f t="shared" si="54"/>
        <v>0</v>
      </c>
      <c r="AC48" s="601">
        <f t="shared" si="55"/>
        <v>0</v>
      </c>
      <c r="AD48" s="602">
        <f t="shared" si="56"/>
        <v>5.2</v>
      </c>
      <c r="AE48" s="602">
        <f t="shared" si="57"/>
        <v>0</v>
      </c>
      <c r="AF48" s="605" t="s">
        <v>293</v>
      </c>
      <c r="AG48" s="605" t="s">
        <v>201</v>
      </c>
      <c r="AH48" s="605" t="str">
        <f>IFERROR(INDEX('Annex 2_Code'!$J$114:$J$126,MATCH('Annex 3_MAFF'!AF48,'Annex 2_Code'!$G$114:$G$126,0)),"")</f>
        <v>MAFF-GDA</v>
      </c>
      <c r="AI48" s="624" t="str">
        <f t="shared" si="58"/>
        <v>MAFF</v>
      </c>
    </row>
    <row r="49" spans="1:36" s="607" customFormat="1" ht="46.5" outlineLevel="1">
      <c r="A49" s="307"/>
      <c r="B49" s="669" t="s">
        <v>1451</v>
      </c>
      <c r="C49" s="669" t="s">
        <v>33</v>
      </c>
      <c r="D49" s="701"/>
      <c r="E49" s="307" t="s">
        <v>809</v>
      </c>
      <c r="F49" s="615"/>
      <c r="G49" s="2233" t="s">
        <v>1191</v>
      </c>
      <c r="H49" s="1454" t="s">
        <v>837</v>
      </c>
      <c r="I49" s="2450">
        <f t="shared" si="62"/>
        <v>2.6</v>
      </c>
      <c r="J49" s="1734">
        <v>1</v>
      </c>
      <c r="K49" s="1734">
        <v>0</v>
      </c>
      <c r="L49" s="1734">
        <v>1</v>
      </c>
      <c r="M49" s="1734">
        <v>0</v>
      </c>
      <c r="N49" s="621">
        <f t="shared" si="60"/>
        <v>2</v>
      </c>
      <c r="O49" s="2454">
        <f t="shared" si="61"/>
        <v>2.6</v>
      </c>
      <c r="P49" s="2454">
        <f>($I49*K49)</f>
        <v>0</v>
      </c>
      <c r="Q49" s="2454">
        <f t="shared" si="61"/>
        <v>2.6</v>
      </c>
      <c r="R49" s="2454">
        <f t="shared" si="61"/>
        <v>0</v>
      </c>
      <c r="S49" s="2443">
        <f t="shared" si="50"/>
        <v>5.2</v>
      </c>
      <c r="T49" s="599">
        <f>IFERROR(INDEX('Annex 2_Code'!I$8:I$33,MATCH('Annex 3_MAFF'!$AG49,'Annex 2_Code'!$G$8:$G$33,0)),"")</f>
        <v>0</v>
      </c>
      <c r="U49" s="599">
        <f>IFERROR(INDEX('Annex 2_Code'!J$8:J$33,MATCH('Annex 3_MAFF'!$AG49,'Annex 2_Code'!$G$8:$G$33,0)),"")</f>
        <v>0</v>
      </c>
      <c r="V49" s="599">
        <f>IFERROR(INDEX('Annex 2_Code'!K$8:K$33,MATCH('Annex 3_MAFF'!$AG49,'Annex 2_Code'!$G$8:$G$33,0)),"")</f>
        <v>1</v>
      </c>
      <c r="W49" s="599">
        <f>IFERROR(INDEX('Annex 2_Code'!L$8:L$33,MATCH('Annex 3_MAFF'!$AG49,'Annex 2_Code'!$G$8:$G$33,0)),"")</f>
        <v>0</v>
      </c>
      <c r="X49" s="599">
        <f>IFERROR(INDEX('Annex 2_Code'!M$8:M$33,MATCH('Annex 3_MAFF'!$AG49,'Annex 2_Code'!$G$8:$G$33,0)),"")</f>
        <v>0</v>
      </c>
      <c r="Y49" s="647">
        <f t="shared" si="51"/>
        <v>0</v>
      </c>
      <c r="Z49" s="600">
        <f t="shared" si="52"/>
        <v>0</v>
      </c>
      <c r="AA49" s="600">
        <f t="shared" si="53"/>
        <v>5.2</v>
      </c>
      <c r="AB49" s="600">
        <f t="shared" si="54"/>
        <v>0</v>
      </c>
      <c r="AC49" s="601">
        <f t="shared" si="55"/>
        <v>0</v>
      </c>
      <c r="AD49" s="602">
        <f t="shared" si="56"/>
        <v>5.2</v>
      </c>
      <c r="AE49" s="602">
        <f t="shared" si="57"/>
        <v>0</v>
      </c>
      <c r="AF49" s="605" t="s">
        <v>293</v>
      </c>
      <c r="AG49" s="605" t="s">
        <v>201</v>
      </c>
      <c r="AH49" s="605" t="str">
        <f>IFERROR(INDEX('Annex 2_Code'!$J$114:$J$126,MATCH('Annex 3_MAFF'!AF49,'Annex 2_Code'!$G$114:$G$126,0)),"")</f>
        <v>MAFF-GDA</v>
      </c>
      <c r="AI49" s="624" t="str">
        <f t="shared" si="58"/>
        <v>MAFF</v>
      </c>
    </row>
    <row r="50" spans="1:36" s="607" customFormat="1" ht="69.75" outlineLevel="1">
      <c r="A50" s="587"/>
      <c r="B50" s="669" t="s">
        <v>1451</v>
      </c>
      <c r="C50" s="669" t="s">
        <v>33</v>
      </c>
      <c r="D50" s="701"/>
      <c r="E50" s="307" t="s">
        <v>851</v>
      </c>
      <c r="F50" s="615"/>
      <c r="G50" s="2233" t="s">
        <v>1177</v>
      </c>
      <c r="H50" s="1454" t="s">
        <v>837</v>
      </c>
      <c r="I50" s="2451">
        <f>5000/1000</f>
        <v>5</v>
      </c>
      <c r="J50" s="1734">
        <v>0</v>
      </c>
      <c r="K50" s="1734">
        <v>1</v>
      </c>
      <c r="L50" s="1734">
        <v>1</v>
      </c>
      <c r="M50" s="1734">
        <v>0</v>
      </c>
      <c r="N50" s="621">
        <f t="shared" si="60"/>
        <v>2</v>
      </c>
      <c r="O50" s="2454">
        <f t="shared" si="61"/>
        <v>0</v>
      </c>
      <c r="P50" s="2454">
        <f t="shared" si="61"/>
        <v>5</v>
      </c>
      <c r="Q50" s="2454">
        <f>L50*I50</f>
        <v>5</v>
      </c>
      <c r="R50" s="2454">
        <v>0</v>
      </c>
      <c r="S50" s="2443">
        <f t="shared" si="50"/>
        <v>10</v>
      </c>
      <c r="T50" s="599">
        <f>IFERROR(INDEX('Annex 2_Code'!I$8:I$33,MATCH('Annex 3_MAFF'!$AG50,'Annex 2_Code'!$G$8:$G$33,0)),"")</f>
        <v>0</v>
      </c>
      <c r="U50" s="599">
        <f>IFERROR(INDEX('Annex 2_Code'!J$8:J$33,MATCH('Annex 3_MAFF'!$AG50,'Annex 2_Code'!$G$8:$G$33,0)),"")</f>
        <v>0</v>
      </c>
      <c r="V50" s="599">
        <f>IFERROR(INDEX('Annex 2_Code'!K$8:K$33,MATCH('Annex 3_MAFF'!$AG50,'Annex 2_Code'!$G$8:$G$33,0)),"")</f>
        <v>1</v>
      </c>
      <c r="W50" s="599">
        <f>IFERROR(INDEX('Annex 2_Code'!L$8:L$33,MATCH('Annex 3_MAFF'!$AG50,'Annex 2_Code'!$G$8:$G$33,0)),"")</f>
        <v>0</v>
      </c>
      <c r="X50" s="599">
        <f>IFERROR(INDEX('Annex 2_Code'!M$8:M$33,MATCH('Annex 3_MAFF'!$AG50,'Annex 2_Code'!$G$8:$G$33,0)),"")</f>
        <v>0</v>
      </c>
      <c r="Y50" s="647">
        <f t="shared" si="51"/>
        <v>0</v>
      </c>
      <c r="Z50" s="600">
        <f t="shared" si="52"/>
        <v>0</v>
      </c>
      <c r="AA50" s="600">
        <f t="shared" si="53"/>
        <v>10</v>
      </c>
      <c r="AB50" s="600">
        <f t="shared" si="54"/>
        <v>0</v>
      </c>
      <c r="AC50" s="601">
        <f t="shared" si="55"/>
        <v>0</v>
      </c>
      <c r="AD50" s="602">
        <f t="shared" si="56"/>
        <v>10</v>
      </c>
      <c r="AE50" s="602">
        <f t="shared" si="57"/>
        <v>0</v>
      </c>
      <c r="AF50" s="605" t="s">
        <v>293</v>
      </c>
      <c r="AG50" s="605" t="s">
        <v>201</v>
      </c>
      <c r="AH50" s="605" t="str">
        <f>IFERROR(INDEX('Annex 2_Code'!$J$114:$J$126,MATCH('Annex 3_MAFF'!AF50,'Annex 2_Code'!$G$114:$G$126,0)),"")</f>
        <v>MAFF-GDA</v>
      </c>
      <c r="AI50" s="624" t="str">
        <f t="shared" si="58"/>
        <v>MAFF</v>
      </c>
    </row>
    <row r="51" spans="1:36" s="607" customFormat="1" ht="69.75" outlineLevel="1">
      <c r="A51" s="587"/>
      <c r="B51" s="669" t="s">
        <v>1451</v>
      </c>
      <c r="C51" s="669" t="s">
        <v>33</v>
      </c>
      <c r="D51" s="701"/>
      <c r="E51" s="307" t="s">
        <v>810</v>
      </c>
      <c r="F51" s="615"/>
      <c r="G51" s="2233" t="s">
        <v>1178</v>
      </c>
      <c r="H51" s="1454" t="s">
        <v>837</v>
      </c>
      <c r="I51" s="2451">
        <f>5000/1000</f>
        <v>5</v>
      </c>
      <c r="J51" s="1734">
        <v>0</v>
      </c>
      <c r="K51" s="1734">
        <v>1</v>
      </c>
      <c r="L51" s="1734">
        <v>1</v>
      </c>
      <c r="M51" s="1734">
        <v>0</v>
      </c>
      <c r="N51" s="731">
        <f t="shared" si="60"/>
        <v>2</v>
      </c>
      <c r="O51" s="2442">
        <f t="shared" si="61"/>
        <v>0</v>
      </c>
      <c r="P51" s="2442">
        <f>($I51*K51)</f>
        <v>5</v>
      </c>
      <c r="Q51" s="2442">
        <f>($I51*L51)</f>
        <v>5</v>
      </c>
      <c r="R51" s="2442">
        <f>($I51*M51)</f>
        <v>0</v>
      </c>
      <c r="S51" s="2443">
        <f t="shared" si="50"/>
        <v>10</v>
      </c>
      <c r="T51" s="599">
        <f>IFERROR(INDEX('Annex 2_Code'!I$8:I$33,MATCH('Annex 3_MAFF'!$AG51,'Annex 2_Code'!$G$8:$G$33,0)),"")</f>
        <v>0</v>
      </c>
      <c r="U51" s="599">
        <f>IFERROR(INDEX('Annex 2_Code'!J$8:J$33,MATCH('Annex 3_MAFF'!$AG51,'Annex 2_Code'!$G$8:$G$33,0)),"")</f>
        <v>0</v>
      </c>
      <c r="V51" s="599">
        <f>IFERROR(INDEX('Annex 2_Code'!K$8:K$33,MATCH('Annex 3_MAFF'!$AG51,'Annex 2_Code'!$G$8:$G$33,0)),"")</f>
        <v>1</v>
      </c>
      <c r="W51" s="599">
        <f>IFERROR(INDEX('Annex 2_Code'!L$8:L$33,MATCH('Annex 3_MAFF'!$AG51,'Annex 2_Code'!$G$8:$G$33,0)),"")</f>
        <v>0</v>
      </c>
      <c r="X51" s="599">
        <f>IFERROR(INDEX('Annex 2_Code'!M$8:M$33,MATCH('Annex 3_MAFF'!$AG51,'Annex 2_Code'!$G$8:$G$33,0)),"")</f>
        <v>0</v>
      </c>
      <c r="Y51" s="647">
        <f t="shared" si="51"/>
        <v>0</v>
      </c>
      <c r="Z51" s="600">
        <f t="shared" si="52"/>
        <v>0</v>
      </c>
      <c r="AA51" s="600">
        <f t="shared" si="53"/>
        <v>10</v>
      </c>
      <c r="AB51" s="600">
        <f t="shared" si="54"/>
        <v>0</v>
      </c>
      <c r="AC51" s="601">
        <f t="shared" si="55"/>
        <v>0</v>
      </c>
      <c r="AD51" s="602">
        <f t="shared" si="56"/>
        <v>10</v>
      </c>
      <c r="AE51" s="602">
        <f t="shared" si="57"/>
        <v>0</v>
      </c>
      <c r="AF51" s="605" t="s">
        <v>293</v>
      </c>
      <c r="AG51" s="605" t="s">
        <v>201</v>
      </c>
      <c r="AH51" s="605" t="str">
        <f>IFERROR(INDEX('Annex 2_Code'!$J$114:$J$126,MATCH('Annex 3_MAFF'!AF51,'Annex 2_Code'!$G$114:$G$126,0)),"")</f>
        <v>MAFF-GDA</v>
      </c>
      <c r="AI51" s="624" t="str">
        <f t="shared" si="58"/>
        <v>MAFF</v>
      </c>
    </row>
    <row r="52" spans="1:36" s="607" customFormat="1" ht="46.5" outlineLevel="1">
      <c r="A52" s="587"/>
      <c r="B52" s="669" t="s">
        <v>1451</v>
      </c>
      <c r="C52" s="669" t="s">
        <v>33</v>
      </c>
      <c r="D52" s="701"/>
      <c r="E52" s="307" t="s">
        <v>811</v>
      </c>
      <c r="F52" s="1923"/>
      <c r="G52" s="2235" t="s">
        <v>1179</v>
      </c>
      <c r="H52" s="2236" t="s">
        <v>837</v>
      </c>
      <c r="I52" s="2452">
        <f>1200/1000</f>
        <v>1.2</v>
      </c>
      <c r="J52" s="1734">
        <v>0</v>
      </c>
      <c r="K52" s="1734">
        <v>1</v>
      </c>
      <c r="L52" s="1734">
        <v>1</v>
      </c>
      <c r="M52" s="1734">
        <v>1</v>
      </c>
      <c r="N52" s="731">
        <f t="shared" si="60"/>
        <v>3</v>
      </c>
      <c r="O52" s="2442">
        <f t="shared" si="61"/>
        <v>0</v>
      </c>
      <c r="P52" s="2442">
        <f t="shared" si="61"/>
        <v>1.2</v>
      </c>
      <c r="Q52" s="2442">
        <f t="shared" si="61"/>
        <v>1.2</v>
      </c>
      <c r="R52" s="2442">
        <f t="shared" si="61"/>
        <v>1.2</v>
      </c>
      <c r="S52" s="2443">
        <f t="shared" ref="S52:S55" si="63">SUM(O52:R52)</f>
        <v>3.5999999999999996</v>
      </c>
      <c r="T52" s="599">
        <f>IFERROR(INDEX('Annex 2_Code'!I$8:I$33,MATCH('Annex 3_MAFF'!$AG52,'Annex 2_Code'!$G$8:$G$33,0)),"")</f>
        <v>0</v>
      </c>
      <c r="U52" s="599">
        <f>IFERROR(INDEX('Annex 2_Code'!J$8:J$33,MATCH('Annex 3_MAFF'!$AG52,'Annex 2_Code'!$G$8:$G$33,0)),"")</f>
        <v>0</v>
      </c>
      <c r="V52" s="599">
        <f>IFERROR(INDEX('Annex 2_Code'!K$8:K$33,MATCH('Annex 3_MAFF'!$AG52,'Annex 2_Code'!$G$8:$G$33,0)),"")</f>
        <v>1</v>
      </c>
      <c r="W52" s="599">
        <f>IFERROR(INDEX('Annex 2_Code'!L$8:L$33,MATCH('Annex 3_MAFF'!$AG52,'Annex 2_Code'!$G$8:$G$33,0)),"")</f>
        <v>0</v>
      </c>
      <c r="X52" s="599">
        <f>IFERROR(INDEX('Annex 2_Code'!M$8:M$33,MATCH('Annex 3_MAFF'!$AG52,'Annex 2_Code'!$G$8:$G$33,0)),"")</f>
        <v>0</v>
      </c>
      <c r="Y52" s="647">
        <f t="shared" si="51"/>
        <v>0</v>
      </c>
      <c r="Z52" s="600">
        <f t="shared" si="52"/>
        <v>0</v>
      </c>
      <c r="AA52" s="600">
        <f t="shared" si="53"/>
        <v>3.5999999999999996</v>
      </c>
      <c r="AB52" s="600">
        <f t="shared" si="54"/>
        <v>0</v>
      </c>
      <c r="AC52" s="601">
        <f t="shared" si="55"/>
        <v>0</v>
      </c>
      <c r="AD52" s="602">
        <f t="shared" si="56"/>
        <v>3.5999999999999996</v>
      </c>
      <c r="AE52" s="602">
        <f t="shared" si="57"/>
        <v>0</v>
      </c>
      <c r="AF52" s="605" t="s">
        <v>293</v>
      </c>
      <c r="AG52" s="605" t="s">
        <v>201</v>
      </c>
      <c r="AH52" s="605" t="str">
        <f>IFERROR(INDEX('Annex 2_Code'!$J$114:$J$126,MATCH('Annex 3_MAFF'!AF52,'Annex 2_Code'!$G$114:$G$126,0)),"")</f>
        <v>MAFF-GDA</v>
      </c>
      <c r="AI52" s="624" t="str">
        <f t="shared" si="58"/>
        <v>MAFF</v>
      </c>
    </row>
    <row r="53" spans="1:36" s="607" customFormat="1" ht="46.5" outlineLevel="1">
      <c r="A53" s="307"/>
      <c r="B53" s="669" t="s">
        <v>1451</v>
      </c>
      <c r="C53" s="669" t="s">
        <v>33</v>
      </c>
      <c r="D53" s="701"/>
      <c r="E53" s="307" t="s">
        <v>812</v>
      </c>
      <c r="F53" s="1923"/>
      <c r="G53" s="2235" t="s">
        <v>1187</v>
      </c>
      <c r="H53" s="2236" t="s">
        <v>837</v>
      </c>
      <c r="I53" s="2452">
        <f>1200/1000</f>
        <v>1.2</v>
      </c>
      <c r="J53" s="1734">
        <v>1</v>
      </c>
      <c r="K53" s="1734">
        <v>1</v>
      </c>
      <c r="L53" s="1734">
        <v>1</v>
      </c>
      <c r="M53" s="1734">
        <v>0</v>
      </c>
      <c r="N53" s="731">
        <f t="shared" si="60"/>
        <v>3</v>
      </c>
      <c r="O53" s="2442">
        <f t="shared" si="61"/>
        <v>1.2</v>
      </c>
      <c r="P53" s="2442">
        <f t="shared" si="61"/>
        <v>1.2</v>
      </c>
      <c r="Q53" s="2442">
        <f t="shared" si="61"/>
        <v>1.2</v>
      </c>
      <c r="R53" s="2442">
        <f t="shared" si="61"/>
        <v>0</v>
      </c>
      <c r="S53" s="2443">
        <f t="shared" si="63"/>
        <v>3.5999999999999996</v>
      </c>
      <c r="T53" s="599">
        <f>IFERROR(INDEX('Annex 2_Code'!I$8:I$33,MATCH('Annex 3_MAFF'!$AG53,'Annex 2_Code'!$G$8:$G$33,0)),"")</f>
        <v>0</v>
      </c>
      <c r="U53" s="599">
        <f>IFERROR(INDEX('Annex 2_Code'!J$8:J$33,MATCH('Annex 3_MAFF'!$AG53,'Annex 2_Code'!$G$8:$G$33,0)),"")</f>
        <v>0</v>
      </c>
      <c r="V53" s="599">
        <f>IFERROR(INDEX('Annex 2_Code'!K$8:K$33,MATCH('Annex 3_MAFF'!$AG53,'Annex 2_Code'!$G$8:$G$33,0)),"")</f>
        <v>1</v>
      </c>
      <c r="W53" s="599">
        <f>IFERROR(INDEX('Annex 2_Code'!L$8:L$33,MATCH('Annex 3_MAFF'!$AG53,'Annex 2_Code'!$G$8:$G$33,0)),"")</f>
        <v>0</v>
      </c>
      <c r="X53" s="599">
        <f>IFERROR(INDEX('Annex 2_Code'!M$8:M$33,MATCH('Annex 3_MAFF'!$AG53,'Annex 2_Code'!$G$8:$G$33,0)),"")</f>
        <v>0</v>
      </c>
      <c r="Y53" s="647">
        <f t="shared" si="51"/>
        <v>0</v>
      </c>
      <c r="Z53" s="600">
        <f t="shared" si="52"/>
        <v>0</v>
      </c>
      <c r="AA53" s="600">
        <f t="shared" si="53"/>
        <v>3.5999999999999996</v>
      </c>
      <c r="AB53" s="600">
        <f t="shared" si="54"/>
        <v>0</v>
      </c>
      <c r="AC53" s="601">
        <f t="shared" si="55"/>
        <v>0</v>
      </c>
      <c r="AD53" s="602">
        <f t="shared" si="56"/>
        <v>3.5999999999999996</v>
      </c>
      <c r="AE53" s="602">
        <f t="shared" si="57"/>
        <v>0</v>
      </c>
      <c r="AF53" s="605" t="s">
        <v>293</v>
      </c>
      <c r="AG53" s="605" t="s">
        <v>201</v>
      </c>
      <c r="AH53" s="605" t="str">
        <f>IFERROR(INDEX('Annex 2_Code'!$J$114:$J$126,MATCH('Annex 3_MAFF'!AF53,'Annex 2_Code'!$G$114:$G$126,0)),"")</f>
        <v>MAFF-GDA</v>
      </c>
      <c r="AI53" s="624" t="str">
        <f t="shared" si="58"/>
        <v>MAFF</v>
      </c>
    </row>
    <row r="54" spans="1:36" s="607" customFormat="1" ht="46.5" outlineLevel="1">
      <c r="A54" s="307"/>
      <c r="B54" s="669" t="s">
        <v>1451</v>
      </c>
      <c r="C54" s="669" t="s">
        <v>33</v>
      </c>
      <c r="D54" s="701"/>
      <c r="E54" s="307" t="s">
        <v>813</v>
      </c>
      <c r="F54" s="1923"/>
      <c r="G54" s="2235" t="s">
        <v>1188</v>
      </c>
      <c r="H54" s="2236" t="s">
        <v>837</v>
      </c>
      <c r="I54" s="2452">
        <f>5000/1000</f>
        <v>5</v>
      </c>
      <c r="J54" s="1734">
        <v>1</v>
      </c>
      <c r="K54" s="1734">
        <v>1</v>
      </c>
      <c r="L54" s="1734">
        <v>1</v>
      </c>
      <c r="M54" s="1734">
        <v>1</v>
      </c>
      <c r="N54" s="731">
        <f t="shared" si="60"/>
        <v>4</v>
      </c>
      <c r="O54" s="2442">
        <f t="shared" si="61"/>
        <v>5</v>
      </c>
      <c r="P54" s="2442">
        <f t="shared" si="61"/>
        <v>5</v>
      </c>
      <c r="Q54" s="2442">
        <f t="shared" si="61"/>
        <v>5</v>
      </c>
      <c r="R54" s="2442">
        <f t="shared" si="61"/>
        <v>5</v>
      </c>
      <c r="S54" s="2443">
        <f t="shared" si="63"/>
        <v>20</v>
      </c>
      <c r="T54" s="599">
        <f>IFERROR(INDEX('Annex 2_Code'!I$8:I$33,MATCH('Annex 3_MAFF'!$AG54,'Annex 2_Code'!$G$8:$G$33,0)),"")</f>
        <v>0</v>
      </c>
      <c r="U54" s="599">
        <f>IFERROR(INDEX('Annex 2_Code'!J$8:J$33,MATCH('Annex 3_MAFF'!$AG54,'Annex 2_Code'!$G$8:$G$33,0)),"")</f>
        <v>0</v>
      </c>
      <c r="V54" s="599">
        <f>IFERROR(INDEX('Annex 2_Code'!K$8:K$33,MATCH('Annex 3_MAFF'!$AG54,'Annex 2_Code'!$G$8:$G$33,0)),"")</f>
        <v>1</v>
      </c>
      <c r="W54" s="599">
        <f>IFERROR(INDEX('Annex 2_Code'!L$8:L$33,MATCH('Annex 3_MAFF'!$AG54,'Annex 2_Code'!$G$8:$G$33,0)),"")</f>
        <v>0</v>
      </c>
      <c r="X54" s="599">
        <f>IFERROR(INDEX('Annex 2_Code'!M$8:M$33,MATCH('Annex 3_MAFF'!$AG54,'Annex 2_Code'!$G$8:$G$33,0)),"")</f>
        <v>0</v>
      </c>
      <c r="Y54" s="647">
        <f t="shared" si="51"/>
        <v>0</v>
      </c>
      <c r="Z54" s="600">
        <f t="shared" si="52"/>
        <v>0</v>
      </c>
      <c r="AA54" s="600">
        <f t="shared" si="53"/>
        <v>20</v>
      </c>
      <c r="AB54" s="600">
        <f t="shared" si="54"/>
        <v>0</v>
      </c>
      <c r="AC54" s="601">
        <f t="shared" si="55"/>
        <v>0</v>
      </c>
      <c r="AD54" s="602">
        <f t="shared" si="56"/>
        <v>20</v>
      </c>
      <c r="AE54" s="602">
        <f t="shared" si="57"/>
        <v>0</v>
      </c>
      <c r="AF54" s="605" t="s">
        <v>293</v>
      </c>
      <c r="AG54" s="605" t="s">
        <v>201</v>
      </c>
      <c r="AH54" s="605" t="str">
        <f>IFERROR(INDEX('Annex 2_Code'!$J$114:$J$126,MATCH('Annex 3_MAFF'!AF54,'Annex 2_Code'!$G$114:$G$126,0)),"")</f>
        <v>MAFF-GDA</v>
      </c>
      <c r="AI54" s="624" t="str">
        <f t="shared" si="58"/>
        <v>MAFF</v>
      </c>
    </row>
    <row r="55" spans="1:36" s="607" customFormat="1" ht="46.5" outlineLevel="1">
      <c r="A55" s="307"/>
      <c r="B55" s="669" t="s">
        <v>1451</v>
      </c>
      <c r="C55" s="669" t="s">
        <v>33</v>
      </c>
      <c r="D55" s="701"/>
      <c r="E55" s="307" t="s">
        <v>814</v>
      </c>
      <c r="F55" s="1923"/>
      <c r="G55" s="2235" t="s">
        <v>1189</v>
      </c>
      <c r="H55" s="2236" t="s">
        <v>837</v>
      </c>
      <c r="I55" s="2452">
        <f>5000/1000</f>
        <v>5</v>
      </c>
      <c r="J55" s="1734">
        <v>1</v>
      </c>
      <c r="K55" s="1734">
        <v>1</v>
      </c>
      <c r="L55" s="1734">
        <v>1</v>
      </c>
      <c r="M55" s="1734">
        <v>1</v>
      </c>
      <c r="N55" s="731">
        <f t="shared" si="60"/>
        <v>4</v>
      </c>
      <c r="O55" s="2442">
        <f t="shared" si="61"/>
        <v>5</v>
      </c>
      <c r="P55" s="2442">
        <f t="shared" si="61"/>
        <v>5</v>
      </c>
      <c r="Q55" s="2442">
        <f t="shared" si="61"/>
        <v>5</v>
      </c>
      <c r="R55" s="2442">
        <f t="shared" si="61"/>
        <v>5</v>
      </c>
      <c r="S55" s="2443">
        <f t="shared" si="63"/>
        <v>20</v>
      </c>
      <c r="T55" s="599">
        <f>IFERROR(INDEX('Annex 2_Code'!I$8:I$33,MATCH('Annex 3_MAFF'!$AG55,'Annex 2_Code'!$G$8:$G$33,0)),"")</f>
        <v>0</v>
      </c>
      <c r="U55" s="599">
        <f>IFERROR(INDEX('Annex 2_Code'!J$8:J$33,MATCH('Annex 3_MAFF'!$AG55,'Annex 2_Code'!$G$8:$G$33,0)),"")</f>
        <v>0</v>
      </c>
      <c r="V55" s="599">
        <f>IFERROR(INDEX('Annex 2_Code'!K$8:K$33,MATCH('Annex 3_MAFF'!$AG55,'Annex 2_Code'!$G$8:$G$33,0)),"")</f>
        <v>1</v>
      </c>
      <c r="W55" s="599">
        <f>IFERROR(INDEX('Annex 2_Code'!L$8:L$33,MATCH('Annex 3_MAFF'!$AG55,'Annex 2_Code'!$G$8:$G$33,0)),"")</f>
        <v>0</v>
      </c>
      <c r="X55" s="599">
        <f>IFERROR(INDEX('Annex 2_Code'!M$8:M$33,MATCH('Annex 3_MAFF'!$AG55,'Annex 2_Code'!$G$8:$G$33,0)),"")</f>
        <v>0</v>
      </c>
      <c r="Y55" s="647">
        <f t="shared" si="51"/>
        <v>0</v>
      </c>
      <c r="Z55" s="600">
        <f t="shared" si="52"/>
        <v>0</v>
      </c>
      <c r="AA55" s="600">
        <f t="shared" si="53"/>
        <v>20</v>
      </c>
      <c r="AB55" s="600">
        <f t="shared" si="54"/>
        <v>0</v>
      </c>
      <c r="AC55" s="601">
        <f t="shared" si="55"/>
        <v>0</v>
      </c>
      <c r="AD55" s="602">
        <f t="shared" si="56"/>
        <v>20</v>
      </c>
      <c r="AE55" s="602">
        <f t="shared" si="57"/>
        <v>0</v>
      </c>
      <c r="AF55" s="605" t="s">
        <v>293</v>
      </c>
      <c r="AG55" s="605" t="s">
        <v>201</v>
      </c>
      <c r="AH55" s="605" t="str">
        <f>IFERROR(INDEX('Annex 2_Code'!$J$114:$J$126,MATCH('Annex 3_MAFF'!AF55,'Annex 2_Code'!$G$114:$G$126,0)),"")</f>
        <v>MAFF-GDA</v>
      </c>
      <c r="AI55" s="624" t="str">
        <f t="shared" si="58"/>
        <v>MAFF</v>
      </c>
    </row>
    <row r="56" spans="1:36" s="607" customFormat="1" ht="29.25" customHeight="1">
      <c r="A56" s="587"/>
      <c r="B56" s="669"/>
      <c r="C56" s="669"/>
      <c r="D56" s="691"/>
      <c r="E56" s="692"/>
      <c r="F56" s="692" t="s">
        <v>583</v>
      </c>
      <c r="G56" s="693"/>
      <c r="H56" s="703"/>
      <c r="I56" s="2453">
        <f>SUM(I43:I55)</f>
        <v>35</v>
      </c>
      <c r="J56" s="696">
        <f t="shared" ref="J56:P56" si="64">SUM(J43:J55)</f>
        <v>6</v>
      </c>
      <c r="K56" s="696">
        <f t="shared" si="64"/>
        <v>14</v>
      </c>
      <c r="L56" s="696">
        <f t="shared" si="64"/>
        <v>12</v>
      </c>
      <c r="M56" s="696">
        <f t="shared" si="64"/>
        <v>3</v>
      </c>
      <c r="N56" s="697">
        <f t="shared" si="64"/>
        <v>35</v>
      </c>
      <c r="O56" s="2455">
        <f>SUM(O43:O55)</f>
        <v>17.600000000000001</v>
      </c>
      <c r="P56" s="2455">
        <f t="shared" si="64"/>
        <v>33.4</v>
      </c>
      <c r="Q56" s="2455">
        <f>SUM(Q43:Q55)</f>
        <v>33.799999999999997</v>
      </c>
      <c r="R56" s="2455">
        <f>SUM(R43:R55)</f>
        <v>11.2</v>
      </c>
      <c r="S56" s="2446">
        <f>SUM(S43:S55)</f>
        <v>96</v>
      </c>
      <c r="T56" s="599" t="str">
        <f>IFERROR(INDEX('Annex 2_Code'!I$8:I$33,MATCH('Annex 3_MAFF'!$AG56,'Annex 2_Code'!$G$8:$G$33,0)),"")</f>
        <v/>
      </c>
      <c r="U56" s="599" t="str">
        <f>IFERROR(INDEX('Annex 2_Code'!J$8:J$33,MATCH('Annex 3_MAFF'!$AG56,'Annex 2_Code'!$G$8:$G$33,0)),"")</f>
        <v/>
      </c>
      <c r="V56" s="599" t="str">
        <f>IFERROR(INDEX('Annex 2_Code'!K$8:K$33,MATCH('Annex 3_MAFF'!$AG56,'Annex 2_Code'!$G$8:$G$33,0)),"")</f>
        <v/>
      </c>
      <c r="W56" s="599" t="str">
        <f>IFERROR(INDEX('Annex 2_Code'!L$8:L$33,MATCH('Annex 3_MAFF'!$AG56,'Annex 2_Code'!$G$8:$G$33,0)),"")</f>
        <v/>
      </c>
      <c r="X56" s="599" t="str">
        <f>IFERROR(INDEX('Annex 2_Code'!M$8:M$33,MATCH('Annex 3_MAFF'!$AG56,'Annex 2_Code'!$G$8:$G$33,0)),"")</f>
        <v/>
      </c>
      <c r="Y56" s="647" t="str">
        <f t="shared" ref="Y56:AC56" si="65">IFERROR($S56*T56,"")</f>
        <v/>
      </c>
      <c r="Z56" s="600" t="str">
        <f t="shared" si="65"/>
        <v/>
      </c>
      <c r="AA56" s="600" t="str">
        <f t="shared" si="65"/>
        <v/>
      </c>
      <c r="AB56" s="600" t="str">
        <f t="shared" si="65"/>
        <v/>
      </c>
      <c r="AC56" s="601" t="str">
        <f t="shared" si="65"/>
        <v/>
      </c>
      <c r="AD56" s="602"/>
      <c r="AE56" s="602"/>
      <c r="AF56" s="605"/>
      <c r="AG56" s="604"/>
      <c r="AH56" s="605" t="str">
        <f>IFERROR(INDEX('Annex 2_Code'!$J$114:$J$126,MATCH('Annex 3_MAFF'!AF56,'Annex 2_Code'!$G$114:$G$126,0)),"")</f>
        <v/>
      </c>
      <c r="AI56" s="624" t="str">
        <f>IF(ISNUMBER(FIND("-",AH56,1))=FALSE,LEFT(AH56,LEN(AH56)),LEFT(AH56,(FIND("-",AH56,1))-1))</f>
        <v/>
      </c>
    </row>
    <row r="57" spans="1:36" s="607" customFormat="1" ht="38.25">
      <c r="A57" s="587"/>
      <c r="B57" s="669"/>
      <c r="C57" s="669"/>
      <c r="D57" s="1597"/>
      <c r="E57" s="1624" t="s">
        <v>398</v>
      </c>
      <c r="F57" s="1773" t="s">
        <v>12</v>
      </c>
      <c r="G57" s="1796" t="s">
        <v>819</v>
      </c>
      <c r="H57" s="677"/>
      <c r="I57" s="572"/>
      <c r="J57" s="619"/>
      <c r="K57" s="620"/>
      <c r="L57" s="620"/>
      <c r="M57" s="620"/>
      <c r="N57" s="731"/>
      <c r="O57" s="2456"/>
      <c r="P57" s="2456"/>
      <c r="Q57" s="2456"/>
      <c r="R57" s="2456"/>
      <c r="S57" s="2448">
        <f>SUM(O56:R56)</f>
        <v>96</v>
      </c>
      <c r="T57" s="599"/>
      <c r="U57" s="599"/>
      <c r="V57" s="599"/>
      <c r="W57" s="599"/>
      <c r="X57" s="599"/>
      <c r="Y57" s="647">
        <f t="shared" ref="Y57:AC61" si="66">IFERROR($S57*T57,"")</f>
        <v>0</v>
      </c>
      <c r="Z57" s="600">
        <f t="shared" si="66"/>
        <v>0</v>
      </c>
      <c r="AA57" s="600">
        <f t="shared" si="66"/>
        <v>0</v>
      </c>
      <c r="AB57" s="600">
        <f t="shared" si="66"/>
        <v>0</v>
      </c>
      <c r="AC57" s="601">
        <f t="shared" si="66"/>
        <v>0</v>
      </c>
      <c r="AD57" s="602">
        <f>SUM(Y57:AC57)</f>
        <v>0</v>
      </c>
      <c r="AE57" s="602">
        <f>AD57-S57</f>
        <v>-96</v>
      </c>
      <c r="AF57" s="605"/>
      <c r="AG57" s="604"/>
      <c r="AH57" s="605"/>
      <c r="AI57" s="624"/>
      <c r="AJ57" s="607" t="s">
        <v>452</v>
      </c>
    </row>
    <row r="58" spans="1:36" s="607" customFormat="1" ht="44.25" customHeight="1" outlineLevel="1">
      <c r="A58" s="587"/>
      <c r="B58" s="2154" t="s">
        <v>1463</v>
      </c>
      <c r="C58" s="669" t="s">
        <v>41</v>
      </c>
      <c r="D58" s="701"/>
      <c r="E58" s="307" t="s">
        <v>542</v>
      </c>
      <c r="F58" s="615"/>
      <c r="G58" s="2237" t="s">
        <v>609</v>
      </c>
      <c r="H58" s="726" t="s">
        <v>392</v>
      </c>
      <c r="I58" s="2458">
        <f>500/1000</f>
        <v>0.5</v>
      </c>
      <c r="J58" s="619">
        <v>0</v>
      </c>
      <c r="K58" s="620">
        <v>0</v>
      </c>
      <c r="L58" s="620">
        <v>1</v>
      </c>
      <c r="M58" s="620">
        <v>1</v>
      </c>
      <c r="N58" s="1735">
        <f>SUM(J58:M58)</f>
        <v>2</v>
      </c>
      <c r="O58" s="2442">
        <f>($I$58*J58)</f>
        <v>0</v>
      </c>
      <c r="P58" s="2442">
        <f>($I$58*K58)</f>
        <v>0</v>
      </c>
      <c r="Q58" s="2442">
        <f>L58*I58</f>
        <v>0.5</v>
      </c>
      <c r="R58" s="2442">
        <f>($I$58*M58)</f>
        <v>0.5</v>
      </c>
      <c r="S58" s="2443">
        <f>SUM(O58:R58)</f>
        <v>1</v>
      </c>
      <c r="T58" s="599">
        <f>IFERROR(INDEX('Annex 2_Code'!I$8:I$33,MATCH('Annex 3_MAFF'!$AG58,'Annex 2_Code'!$G$8:$G$33,0)),"")</f>
        <v>0</v>
      </c>
      <c r="U58" s="599">
        <f>IFERROR(INDEX('Annex 2_Code'!J$8:J$33,MATCH('Annex 3_MAFF'!$AG58,'Annex 2_Code'!$G$8:$G$33,0)),"")</f>
        <v>0</v>
      </c>
      <c r="V58" s="599">
        <f>IFERROR(INDEX('Annex 2_Code'!K$8:K$33,MATCH('Annex 3_MAFF'!$AG58,'Annex 2_Code'!$G$8:$G$33,0)),"")</f>
        <v>1</v>
      </c>
      <c r="W58" s="599">
        <f>IFERROR(INDEX('Annex 2_Code'!L$8:L$33,MATCH('Annex 3_MAFF'!$AG58,'Annex 2_Code'!$G$8:$G$33,0)),"")</f>
        <v>0</v>
      </c>
      <c r="X58" s="599">
        <f>IFERROR(INDEX('Annex 2_Code'!M$8:M$33,MATCH('Annex 3_MAFF'!$AG58,'Annex 2_Code'!$G$8:$G$33,0)),"")</f>
        <v>0</v>
      </c>
      <c r="Y58" s="647">
        <f t="shared" si="66"/>
        <v>0</v>
      </c>
      <c r="Z58" s="600">
        <f t="shared" si="66"/>
        <v>0</v>
      </c>
      <c r="AA58" s="600">
        <f t="shared" si="66"/>
        <v>1</v>
      </c>
      <c r="AB58" s="600">
        <f t="shared" si="66"/>
        <v>0</v>
      </c>
      <c r="AC58" s="601">
        <f t="shared" si="66"/>
        <v>0</v>
      </c>
      <c r="AD58" s="602">
        <f t="shared" ref="AD58:AD79" si="67">SUM(Y58:AC58)</f>
        <v>1</v>
      </c>
      <c r="AE58" s="602">
        <f t="shared" ref="AE58:AE79" si="68">AD58-S58</f>
        <v>0</v>
      </c>
      <c r="AF58" s="605" t="s">
        <v>293</v>
      </c>
      <c r="AG58" s="605" t="s">
        <v>203</v>
      </c>
      <c r="AH58" s="605" t="str">
        <f>IFERROR(INDEX('Annex 2_Code'!$J$114:$J$126,MATCH('Annex 3_MAFF'!AF58,'Annex 2_Code'!$G$114:$G$126,0)),"")</f>
        <v>MAFF-GDA</v>
      </c>
      <c r="AI58" s="624" t="str">
        <f>IF(ISNUMBER(FIND("-",AH58,1))=FALSE,LEFT(AH58,LEN(AH58)),LEFT(AH58,(FIND("-",AH58,1))-1))</f>
        <v>MAFF</v>
      </c>
    </row>
    <row r="59" spans="1:36" s="607" customFormat="1" ht="48.75" customHeight="1" outlineLevel="1">
      <c r="A59" s="587"/>
      <c r="B59" s="2154" t="s">
        <v>1463</v>
      </c>
      <c r="C59" s="669" t="s">
        <v>41</v>
      </c>
      <c r="D59" s="701"/>
      <c r="E59" s="307" t="s">
        <v>543</v>
      </c>
      <c r="F59" s="615"/>
      <c r="G59" s="2237" t="s">
        <v>610</v>
      </c>
      <c r="H59" s="726" t="s">
        <v>392</v>
      </c>
      <c r="I59" s="2458">
        <f>5000/1000</f>
        <v>5</v>
      </c>
      <c r="J59" s="619">
        <v>0</v>
      </c>
      <c r="K59" s="620">
        <v>0</v>
      </c>
      <c r="L59" s="620">
        <v>1</v>
      </c>
      <c r="M59" s="620">
        <v>1</v>
      </c>
      <c r="N59" s="1735">
        <f>SUM(J59:M59)</f>
        <v>2</v>
      </c>
      <c r="O59" s="2442">
        <f>($I$59*J59)</f>
        <v>0</v>
      </c>
      <c r="P59" s="2442">
        <v>0</v>
      </c>
      <c r="Q59" s="2442">
        <f>($I$59*L59)</f>
        <v>5</v>
      </c>
      <c r="R59" s="2442">
        <f>($I$59*M59)</f>
        <v>5</v>
      </c>
      <c r="S59" s="2443">
        <f>SUM(O59:R59)</f>
        <v>10</v>
      </c>
      <c r="T59" s="599">
        <f>IFERROR(INDEX('Annex 2_Code'!I$8:I$33,MATCH('Annex 3_MAFF'!$AG59,'Annex 2_Code'!$G$8:$G$33,0)),"")</f>
        <v>0</v>
      </c>
      <c r="U59" s="599">
        <f>IFERROR(INDEX('Annex 2_Code'!J$8:J$33,MATCH('Annex 3_MAFF'!$AG59,'Annex 2_Code'!$G$8:$G$33,0)),"")</f>
        <v>0</v>
      </c>
      <c r="V59" s="599">
        <f>IFERROR(INDEX('Annex 2_Code'!K$8:K$33,MATCH('Annex 3_MAFF'!$AG59,'Annex 2_Code'!$G$8:$G$33,0)),"")</f>
        <v>1</v>
      </c>
      <c r="W59" s="599">
        <f>IFERROR(INDEX('Annex 2_Code'!L$8:L$33,MATCH('Annex 3_MAFF'!$AG59,'Annex 2_Code'!$G$8:$G$33,0)),"")</f>
        <v>0</v>
      </c>
      <c r="X59" s="599">
        <f>IFERROR(INDEX('Annex 2_Code'!M$8:M$33,MATCH('Annex 3_MAFF'!$AG59,'Annex 2_Code'!$G$8:$G$33,0)),"")</f>
        <v>0</v>
      </c>
      <c r="Y59" s="647">
        <f t="shared" si="66"/>
        <v>0</v>
      </c>
      <c r="Z59" s="600">
        <f t="shared" si="66"/>
        <v>0</v>
      </c>
      <c r="AA59" s="600">
        <f t="shared" si="66"/>
        <v>10</v>
      </c>
      <c r="AB59" s="600">
        <f t="shared" si="66"/>
        <v>0</v>
      </c>
      <c r="AC59" s="601">
        <f t="shared" si="66"/>
        <v>0</v>
      </c>
      <c r="AD59" s="602">
        <f t="shared" si="67"/>
        <v>10</v>
      </c>
      <c r="AE59" s="602">
        <f t="shared" si="68"/>
        <v>0</v>
      </c>
      <c r="AF59" s="605" t="s">
        <v>293</v>
      </c>
      <c r="AG59" s="605" t="s">
        <v>203</v>
      </c>
      <c r="AH59" s="605" t="str">
        <f>IFERROR(INDEX('Annex 2_Code'!$J$114:$J$126,MATCH('Annex 3_MAFF'!AF59,'Annex 2_Code'!$G$114:$G$126,0)),"")</f>
        <v>MAFF-GDA</v>
      </c>
      <c r="AI59" s="624" t="str">
        <f>IF(ISNUMBER(FIND("-",AH59,1))=FALSE,LEFT(AH59,LEN(AH59)),LEFT(AH59,(FIND("-",AH59,1))-1))</f>
        <v>MAFF</v>
      </c>
    </row>
    <row r="60" spans="1:36" s="607" customFormat="1" ht="49.5" customHeight="1" outlineLevel="1">
      <c r="A60" s="587"/>
      <c r="B60" s="2154" t="s">
        <v>1463</v>
      </c>
      <c r="C60" s="669" t="s">
        <v>41</v>
      </c>
      <c r="D60" s="701"/>
      <c r="E60" s="307" t="s">
        <v>587</v>
      </c>
      <c r="F60" s="615"/>
      <c r="G60" s="2237" t="s">
        <v>611</v>
      </c>
      <c r="H60" s="726" t="s">
        <v>392</v>
      </c>
      <c r="I60" s="2458">
        <f>5000/1000</f>
        <v>5</v>
      </c>
      <c r="J60" s="619">
        <v>0</v>
      </c>
      <c r="K60" s="620">
        <v>0</v>
      </c>
      <c r="L60" s="620">
        <v>0</v>
      </c>
      <c r="M60" s="620">
        <v>1</v>
      </c>
      <c r="N60" s="1735">
        <f>SUM(J60:M60)</f>
        <v>1</v>
      </c>
      <c r="O60" s="2442">
        <f>($I$60*J60)</f>
        <v>0</v>
      </c>
      <c r="P60" s="2442">
        <v>0</v>
      </c>
      <c r="Q60" s="2442">
        <f>($I$60*L60)</f>
        <v>0</v>
      </c>
      <c r="R60" s="2442">
        <f>($I$60*M60)</f>
        <v>5</v>
      </c>
      <c r="S60" s="2443">
        <f>SUM(O60:R60)</f>
        <v>5</v>
      </c>
      <c r="T60" s="599">
        <f>IFERROR(INDEX('Annex 2_Code'!I$8:I$33,MATCH('Annex 3_MAFF'!$AG60,'Annex 2_Code'!$G$8:$G$33,0)),"")</f>
        <v>0</v>
      </c>
      <c r="U60" s="599">
        <f>IFERROR(INDEX('Annex 2_Code'!J$8:J$33,MATCH('Annex 3_MAFF'!$AG60,'Annex 2_Code'!$G$8:$G$33,0)),"")</f>
        <v>0</v>
      </c>
      <c r="V60" s="599">
        <f>IFERROR(INDEX('Annex 2_Code'!K$8:K$33,MATCH('Annex 3_MAFF'!$AG60,'Annex 2_Code'!$G$8:$G$33,0)),"")</f>
        <v>1</v>
      </c>
      <c r="W60" s="599">
        <f>IFERROR(INDEX('Annex 2_Code'!L$8:L$33,MATCH('Annex 3_MAFF'!$AG60,'Annex 2_Code'!$G$8:$G$33,0)),"")</f>
        <v>0</v>
      </c>
      <c r="X60" s="599">
        <f>IFERROR(INDEX('Annex 2_Code'!M$8:M$33,MATCH('Annex 3_MAFF'!$AG60,'Annex 2_Code'!$G$8:$G$33,0)),"")</f>
        <v>0</v>
      </c>
      <c r="Y60" s="647">
        <f t="shared" si="66"/>
        <v>0</v>
      </c>
      <c r="Z60" s="600">
        <f t="shared" si="66"/>
        <v>0</v>
      </c>
      <c r="AA60" s="600">
        <f t="shared" si="66"/>
        <v>5</v>
      </c>
      <c r="AB60" s="600">
        <f t="shared" si="66"/>
        <v>0</v>
      </c>
      <c r="AC60" s="601">
        <f t="shared" si="66"/>
        <v>0</v>
      </c>
      <c r="AD60" s="602">
        <f>SUM(Y60:AC60)</f>
        <v>5</v>
      </c>
      <c r="AE60" s="602">
        <f>AD60-S60</f>
        <v>0</v>
      </c>
      <c r="AF60" s="605" t="s">
        <v>293</v>
      </c>
      <c r="AG60" s="605" t="s">
        <v>203</v>
      </c>
      <c r="AH60" s="605" t="str">
        <f>IFERROR(INDEX('Annex 2_Code'!$J$114:$J$126,MATCH('Annex 3_MAFF'!AF60,'Annex 2_Code'!$G$114:$G$126,0)),"")</f>
        <v>MAFF-GDA</v>
      </c>
      <c r="AI60" s="624" t="str">
        <f>IF(ISNUMBER(FIND("-",AH60,1))=FALSE,LEFT(AH60,LEN(AH60)),LEFT(AH60,(FIND("-",AH60,1))-1))</f>
        <v>MAFF</v>
      </c>
    </row>
    <row r="61" spans="1:36" s="607" customFormat="1" ht="63.75" customHeight="1" outlineLevel="1">
      <c r="A61" s="587"/>
      <c r="B61" s="2154" t="s">
        <v>1463</v>
      </c>
      <c r="C61" s="669" t="s">
        <v>41</v>
      </c>
      <c r="D61" s="701"/>
      <c r="E61" s="307" t="s">
        <v>1211</v>
      </c>
      <c r="F61" s="615"/>
      <c r="G61" s="2237" t="s">
        <v>926</v>
      </c>
      <c r="H61" s="726" t="s">
        <v>795</v>
      </c>
      <c r="I61" s="2458">
        <f>3000/1000</f>
        <v>3</v>
      </c>
      <c r="J61" s="619">
        <v>0</v>
      </c>
      <c r="K61" s="620">
        <v>0</v>
      </c>
      <c r="L61" s="620">
        <v>0</v>
      </c>
      <c r="M61" s="620">
        <v>1</v>
      </c>
      <c r="N61" s="1735">
        <f>SUM(J61:M61)</f>
        <v>1</v>
      </c>
      <c r="O61" s="2442">
        <f>($I$61*J61)</f>
        <v>0</v>
      </c>
      <c r="P61" s="2442">
        <f>($I$61*K61)</f>
        <v>0</v>
      </c>
      <c r="Q61" s="2442">
        <f>($I$61*L61)</f>
        <v>0</v>
      </c>
      <c r="R61" s="2442">
        <f>($I$61*M61)</f>
        <v>3</v>
      </c>
      <c r="S61" s="2443">
        <f>SUM(O61:R61)</f>
        <v>3</v>
      </c>
      <c r="T61" s="599">
        <f>IFERROR(INDEX('Annex 2_Code'!I$8:I$33,MATCH('Annex 3_MAFF'!$AG61,'Annex 2_Code'!$G$8:$G$33,0)),"")</f>
        <v>0</v>
      </c>
      <c r="U61" s="599">
        <f>IFERROR(INDEX('Annex 2_Code'!J$8:J$33,MATCH('Annex 3_MAFF'!$AG61,'Annex 2_Code'!$G$8:$G$33,0)),"")</f>
        <v>0</v>
      </c>
      <c r="V61" s="599">
        <f>IFERROR(INDEX('Annex 2_Code'!K$8:K$33,MATCH('Annex 3_MAFF'!$AG61,'Annex 2_Code'!$G$8:$G$33,0)),"")</f>
        <v>1</v>
      </c>
      <c r="W61" s="599">
        <f>IFERROR(INDEX('Annex 2_Code'!L$8:L$33,MATCH('Annex 3_MAFF'!$AG61,'Annex 2_Code'!$G$8:$G$33,0)),"")</f>
        <v>0</v>
      </c>
      <c r="X61" s="599">
        <f>IFERROR(INDEX('Annex 2_Code'!M$8:M$33,MATCH('Annex 3_MAFF'!$AG61,'Annex 2_Code'!$G$8:$G$33,0)),"")</f>
        <v>0</v>
      </c>
      <c r="Y61" s="647">
        <f t="shared" si="66"/>
        <v>0</v>
      </c>
      <c r="Z61" s="600">
        <f t="shared" si="66"/>
        <v>0</v>
      </c>
      <c r="AA61" s="600">
        <f t="shared" si="66"/>
        <v>3</v>
      </c>
      <c r="AB61" s="600">
        <f t="shared" si="66"/>
        <v>0</v>
      </c>
      <c r="AC61" s="601">
        <f t="shared" si="66"/>
        <v>0</v>
      </c>
      <c r="AD61" s="602">
        <f t="shared" si="67"/>
        <v>3</v>
      </c>
      <c r="AE61" s="602">
        <f t="shared" si="68"/>
        <v>0</v>
      </c>
      <c r="AF61" s="605" t="s">
        <v>293</v>
      </c>
      <c r="AG61" s="605" t="s">
        <v>203</v>
      </c>
      <c r="AH61" s="605" t="str">
        <f>IFERROR(INDEX('Annex 2_Code'!$J$114:$J$126,MATCH('Annex 3_MAFF'!AF61,'Annex 2_Code'!$G$114:$G$126,0)),"")</f>
        <v>MAFF-GDA</v>
      </c>
      <c r="AI61" s="624" t="str">
        <f>IF(ISNUMBER(FIND("-",AH61,1))=FALSE,LEFT(AH61,LEN(AH61)),LEFT(AH61,(FIND("-",AH61,1))-1))</f>
        <v>MAFF</v>
      </c>
    </row>
    <row r="62" spans="1:36" s="607" customFormat="1" ht="21.75" customHeight="1">
      <c r="A62" s="587"/>
      <c r="B62" s="659"/>
      <c r="C62" s="669"/>
      <c r="D62" s="704"/>
      <c r="E62" s="591" t="s">
        <v>583</v>
      </c>
      <c r="F62" s="592"/>
      <c r="G62" s="577"/>
      <c r="H62" s="708"/>
      <c r="I62" s="705"/>
      <c r="J62" s="1385">
        <f t="shared" ref="J62:R62" si="69">SUM(J58:J61)</f>
        <v>0</v>
      </c>
      <c r="K62" s="1700">
        <f t="shared" si="69"/>
        <v>0</v>
      </c>
      <c r="L62" s="1700">
        <f t="shared" si="69"/>
        <v>2</v>
      </c>
      <c r="M62" s="1700">
        <f t="shared" si="69"/>
        <v>4</v>
      </c>
      <c r="N62" s="1386">
        <f t="shared" si="69"/>
        <v>6</v>
      </c>
      <c r="O62" s="2459">
        <f t="shared" si="69"/>
        <v>0</v>
      </c>
      <c r="P62" s="2459">
        <f t="shared" si="69"/>
        <v>0</v>
      </c>
      <c r="Q62" s="2459">
        <f t="shared" si="69"/>
        <v>5.5</v>
      </c>
      <c r="R62" s="2459">
        <f t="shared" si="69"/>
        <v>13.5</v>
      </c>
      <c r="S62" s="2460">
        <f>SUM(S58:S61)</f>
        <v>19</v>
      </c>
      <c r="T62" s="599"/>
      <c r="U62" s="599"/>
      <c r="V62" s="599"/>
      <c r="W62" s="599"/>
      <c r="X62" s="599"/>
      <c r="Y62" s="647"/>
      <c r="Z62" s="600"/>
      <c r="AA62" s="600"/>
      <c r="AB62" s="600"/>
      <c r="AC62" s="601"/>
      <c r="AD62" s="602">
        <f>SUM(Y62:AC62)</f>
        <v>0</v>
      </c>
      <c r="AE62" s="602">
        <f t="shared" si="68"/>
        <v>-19</v>
      </c>
      <c r="AF62" s="605"/>
      <c r="AG62" s="604"/>
      <c r="AH62" s="605"/>
      <c r="AI62" s="624"/>
    </row>
    <row r="63" spans="1:36" s="607" customFormat="1" ht="66" customHeight="1">
      <c r="A63" s="587"/>
      <c r="B63" s="669"/>
      <c r="C63" s="669"/>
      <c r="D63" s="1597"/>
      <c r="E63" s="1624" t="s">
        <v>399</v>
      </c>
      <c r="F63" s="1797"/>
      <c r="G63" s="1796" t="s">
        <v>818</v>
      </c>
      <c r="H63" s="709"/>
      <c r="I63" s="1741"/>
      <c r="J63" s="670"/>
      <c r="K63" s="671"/>
      <c r="L63" s="671"/>
      <c r="M63" s="671"/>
      <c r="N63" s="731"/>
      <c r="O63" s="2456"/>
      <c r="P63" s="2456" t="s">
        <v>12</v>
      </c>
      <c r="Q63" s="2456"/>
      <c r="R63" s="2456"/>
      <c r="S63" s="2448">
        <f>SUM(O62:R62)</f>
        <v>19</v>
      </c>
      <c r="T63" s="599"/>
      <c r="U63" s="599"/>
      <c r="V63" s="599"/>
      <c r="W63" s="599"/>
      <c r="X63" s="599"/>
      <c r="Y63" s="647">
        <f>IFERROR($S63*T63,"")</f>
        <v>0</v>
      </c>
      <c r="Z63" s="600">
        <f>IFERROR($S63*U63,"")</f>
        <v>0</v>
      </c>
      <c r="AA63" s="600">
        <f>IFERROR($S63*V63,"")</f>
        <v>0</v>
      </c>
      <c r="AB63" s="600">
        <f>IFERROR($S63*W63,"")</f>
        <v>0</v>
      </c>
      <c r="AC63" s="601">
        <f>IFERROR($S63*X63,"")</f>
        <v>0</v>
      </c>
      <c r="AD63" s="602">
        <f t="shared" si="67"/>
        <v>0</v>
      </c>
      <c r="AE63" s="602">
        <f t="shared" si="68"/>
        <v>-19</v>
      </c>
      <c r="AF63" s="605"/>
      <c r="AG63" s="604"/>
      <c r="AH63" s="605"/>
      <c r="AI63" s="624"/>
    </row>
    <row r="64" spans="1:36" s="625" customFormat="1" ht="51" customHeight="1" outlineLevel="1">
      <c r="A64" s="307"/>
      <c r="B64" s="2154" t="s">
        <v>1463</v>
      </c>
      <c r="C64" s="669" t="s">
        <v>41</v>
      </c>
      <c r="D64" s="701"/>
      <c r="E64" s="307" t="s">
        <v>541</v>
      </c>
      <c r="F64" s="626"/>
      <c r="G64" s="2237" t="s">
        <v>588</v>
      </c>
      <c r="H64" s="2296" t="s">
        <v>996</v>
      </c>
      <c r="I64" s="2458">
        <v>1</v>
      </c>
      <c r="J64" s="619">
        <v>0</v>
      </c>
      <c r="K64" s="620">
        <v>0</v>
      </c>
      <c r="L64" s="620">
        <v>1</v>
      </c>
      <c r="M64" s="620">
        <v>1</v>
      </c>
      <c r="N64" s="731">
        <f>SUM(J64:M64)</f>
        <v>2</v>
      </c>
      <c r="O64" s="2442">
        <f>($I$64*J64)</f>
        <v>0</v>
      </c>
      <c r="P64" s="2442">
        <v>0</v>
      </c>
      <c r="Q64" s="2442">
        <f>($I$64*L64)</f>
        <v>1</v>
      </c>
      <c r="R64" s="2442">
        <f>($I$64*M64)</f>
        <v>1</v>
      </c>
      <c r="S64" s="2443">
        <f>SUM(O64:R64)</f>
        <v>2</v>
      </c>
      <c r="T64" s="599">
        <f>IFERROR(INDEX('Annex 2_Code'!I$8:I$33,MATCH('Annex 3_MAFF'!$AG64,'Annex 2_Code'!$G$8:$G$33,0)),"")</f>
        <v>0</v>
      </c>
      <c r="U64" s="599">
        <f>IFERROR(INDEX('Annex 2_Code'!J$8:J$33,MATCH('Annex 3_MAFF'!$AG64,'Annex 2_Code'!$G$8:$G$33,0)),"")</f>
        <v>0</v>
      </c>
      <c r="V64" s="599">
        <f>IFERROR(INDEX('Annex 2_Code'!K$8:K$33,MATCH('Annex 3_MAFF'!$AG64,'Annex 2_Code'!$G$8:$G$33,0)),"")</f>
        <v>1</v>
      </c>
      <c r="W64" s="599">
        <f>IFERROR(INDEX('Annex 2_Code'!L$8:L$33,MATCH('Annex 3_MAFF'!$AG64,'Annex 2_Code'!$G$8:$G$33,0)),"")</f>
        <v>0</v>
      </c>
      <c r="X64" s="599">
        <f>IFERROR(INDEX('Annex 2_Code'!M$8:M$33,MATCH('Annex 3_MAFF'!$AG64,'Annex 2_Code'!$G$8:$G$33,0)),"")</f>
        <v>0</v>
      </c>
      <c r="Y64" s="647"/>
      <c r="Z64" s="600">
        <f t="shared" ref="Z64:Z81" si="70">IFERROR($S64*U64,"")</f>
        <v>0</v>
      </c>
      <c r="AA64" s="600">
        <f t="shared" ref="AA64:AA81" si="71">IFERROR($S64*V64,"")</f>
        <v>2</v>
      </c>
      <c r="AB64" s="600">
        <f t="shared" ref="AB64:AB81" si="72">IFERROR($S64*W64,"")</f>
        <v>0</v>
      </c>
      <c r="AC64" s="601">
        <f t="shared" ref="AC64:AC81" si="73">IFERROR($S64*X64,"")</f>
        <v>0</v>
      </c>
      <c r="AD64" s="602">
        <f t="shared" si="67"/>
        <v>2</v>
      </c>
      <c r="AE64" s="602">
        <f t="shared" si="68"/>
        <v>0</v>
      </c>
      <c r="AF64" s="605" t="s">
        <v>293</v>
      </c>
      <c r="AG64" s="605" t="s">
        <v>203</v>
      </c>
      <c r="AH64" s="605" t="str">
        <f>IFERROR(INDEX('Annex 2_Code'!$J$114:$J$126,MATCH('Annex 3_MAFF'!AF64,'Annex 2_Code'!$G$114:$G$126,0)),"")</f>
        <v>MAFF-GDA</v>
      </c>
      <c r="AI64" s="624" t="str">
        <f>IF(ISNUMBER(FIND("-",AH64,1))=FALSE,LEFT(AH64,LEN(AH64)),LEFT(AH64,(FIND("-",AH64,1))-1))</f>
        <v>MAFF</v>
      </c>
    </row>
    <row r="65" spans="1:35" s="625" customFormat="1" ht="45.75" customHeight="1" outlineLevel="1">
      <c r="A65" s="587"/>
      <c r="B65" s="2154" t="s">
        <v>1463</v>
      </c>
      <c r="C65" s="669" t="s">
        <v>41</v>
      </c>
      <c r="D65" s="701"/>
      <c r="E65" s="307" t="s">
        <v>546</v>
      </c>
      <c r="F65" s="626"/>
      <c r="G65" s="2237" t="s">
        <v>589</v>
      </c>
      <c r="H65" s="2297" t="s">
        <v>1510</v>
      </c>
      <c r="I65" s="2458">
        <v>6</v>
      </c>
      <c r="J65" s="619">
        <v>0</v>
      </c>
      <c r="K65" s="620">
        <v>0</v>
      </c>
      <c r="L65" s="620">
        <v>1</v>
      </c>
      <c r="M65" s="620">
        <v>1</v>
      </c>
      <c r="N65" s="731">
        <f>SUM(J65:M65)</f>
        <v>2</v>
      </c>
      <c r="O65" s="2442">
        <f>($I$65*J65)</f>
        <v>0</v>
      </c>
      <c r="P65" s="2442">
        <v>0</v>
      </c>
      <c r="Q65" s="2442">
        <f>($I$65*L65)</f>
        <v>6</v>
      </c>
      <c r="R65" s="2442">
        <f>($I$65*M65)</f>
        <v>6</v>
      </c>
      <c r="S65" s="2443">
        <f>SUM(O65:R65)</f>
        <v>12</v>
      </c>
      <c r="T65" s="599">
        <f>IFERROR(INDEX('Annex 2_Code'!I$8:I$33,MATCH('Annex 3_MAFF'!$AG65,'Annex 2_Code'!$G$8:$G$33,0)),"")</f>
        <v>0</v>
      </c>
      <c r="U65" s="599">
        <f>IFERROR(INDEX('Annex 2_Code'!J$8:J$33,MATCH('Annex 3_MAFF'!$AG65,'Annex 2_Code'!$G$8:$G$33,0)),"")</f>
        <v>0</v>
      </c>
      <c r="V65" s="599">
        <f>IFERROR(INDEX('Annex 2_Code'!K$8:K$33,MATCH('Annex 3_MAFF'!$AG65,'Annex 2_Code'!$G$8:$G$33,0)),"")</f>
        <v>1</v>
      </c>
      <c r="W65" s="599">
        <f>IFERROR(INDEX('Annex 2_Code'!L$8:L$33,MATCH('Annex 3_MAFF'!$AG65,'Annex 2_Code'!$G$8:$G$33,0)),"")</f>
        <v>0</v>
      </c>
      <c r="X65" s="599">
        <f>IFERROR(INDEX('Annex 2_Code'!M$8:M$33,MATCH('Annex 3_MAFF'!$AG65,'Annex 2_Code'!$G$8:$G$33,0)),"")</f>
        <v>0</v>
      </c>
      <c r="Y65" s="647"/>
      <c r="Z65" s="600">
        <f t="shared" si="70"/>
        <v>0</v>
      </c>
      <c r="AA65" s="600">
        <f t="shared" si="71"/>
        <v>12</v>
      </c>
      <c r="AB65" s="600">
        <f t="shared" si="72"/>
        <v>0</v>
      </c>
      <c r="AC65" s="601">
        <f t="shared" si="73"/>
        <v>0</v>
      </c>
      <c r="AD65" s="602">
        <f t="shared" si="67"/>
        <v>12</v>
      </c>
      <c r="AE65" s="602">
        <f t="shared" si="68"/>
        <v>0</v>
      </c>
      <c r="AF65" s="605" t="s">
        <v>293</v>
      </c>
      <c r="AG65" s="605" t="s">
        <v>203</v>
      </c>
      <c r="AH65" s="605" t="str">
        <f>IFERROR(INDEX('Annex 2_Code'!$J$114:$J$126,MATCH('Annex 3_MAFF'!AF65,'Annex 2_Code'!$G$114:$G$126,0)),"")</f>
        <v>MAFF-GDA</v>
      </c>
      <c r="AI65" s="624" t="str">
        <f>IF(ISNUMBER(FIND("-",AH65,1))=FALSE,LEFT(AH65,LEN(AH65)),LEFT(AH65,(FIND("-",AH65,1))-1))</f>
        <v>MAFF</v>
      </c>
    </row>
    <row r="66" spans="1:35" s="607" customFormat="1" ht="49.5" customHeight="1" outlineLevel="1">
      <c r="A66" s="587"/>
      <c r="B66" s="2154" t="s">
        <v>1463</v>
      </c>
      <c r="C66" s="669" t="s">
        <v>41</v>
      </c>
      <c r="D66" s="701"/>
      <c r="E66" s="307" t="s">
        <v>547</v>
      </c>
      <c r="F66" s="615"/>
      <c r="G66" s="2237" t="s">
        <v>612</v>
      </c>
      <c r="H66" s="2297" t="s">
        <v>1510</v>
      </c>
      <c r="I66" s="2458">
        <v>7</v>
      </c>
      <c r="J66" s="619">
        <v>0</v>
      </c>
      <c r="K66" s="620">
        <v>0</v>
      </c>
      <c r="L66" s="620">
        <v>0</v>
      </c>
      <c r="M66" s="620">
        <v>1</v>
      </c>
      <c r="N66" s="731">
        <f>SUM(J66:M66)</f>
        <v>1</v>
      </c>
      <c r="O66" s="2442">
        <f>($I$66*J66)</f>
        <v>0</v>
      </c>
      <c r="P66" s="2442">
        <f>($I$66*L66)</f>
        <v>0</v>
      </c>
      <c r="Q66" s="2442">
        <f>($I$66*L66)</f>
        <v>0</v>
      </c>
      <c r="R66" s="2442">
        <f>($I$66*M66)</f>
        <v>7</v>
      </c>
      <c r="S66" s="2443">
        <f>SUM(O66:R66)</f>
        <v>7</v>
      </c>
      <c r="T66" s="599">
        <f>IFERROR(INDEX('Annex 2_Code'!I$8:I$33,MATCH('Annex 3_MAFF'!$AG66,'Annex 2_Code'!$G$8:$G$33,0)),"")</f>
        <v>0</v>
      </c>
      <c r="U66" s="599">
        <f>IFERROR(INDEX('Annex 2_Code'!J$8:J$33,MATCH('Annex 3_MAFF'!$AG66,'Annex 2_Code'!$G$8:$G$33,0)),"")</f>
        <v>0</v>
      </c>
      <c r="V66" s="599">
        <f>IFERROR(INDEX('Annex 2_Code'!K$8:K$33,MATCH('Annex 3_MAFF'!$AG66,'Annex 2_Code'!$G$8:$G$33,0)),"")</f>
        <v>1</v>
      </c>
      <c r="W66" s="599">
        <f>IFERROR(INDEX('Annex 2_Code'!L$8:L$33,MATCH('Annex 3_MAFF'!$AG66,'Annex 2_Code'!$G$8:$G$33,0)),"")</f>
        <v>0</v>
      </c>
      <c r="X66" s="599">
        <f>IFERROR(INDEX('Annex 2_Code'!M$8:M$33,MATCH('Annex 3_MAFF'!$AG66,'Annex 2_Code'!$G$8:$G$33,0)),"")</f>
        <v>0</v>
      </c>
      <c r="Y66" s="647"/>
      <c r="Z66" s="600">
        <f>IFERROR($S66*U66,"")</f>
        <v>0</v>
      </c>
      <c r="AA66" s="600">
        <f>IFERROR($S66*V66,"")</f>
        <v>7</v>
      </c>
      <c r="AB66" s="600">
        <f>IFERROR($S66*W66,"")</f>
        <v>0</v>
      </c>
      <c r="AC66" s="601">
        <f>IFERROR($S66*X66,"")</f>
        <v>0</v>
      </c>
      <c r="AD66" s="602">
        <f>SUM(Y66:AC66)</f>
        <v>7</v>
      </c>
      <c r="AE66" s="602">
        <f>AD66-S66</f>
        <v>0</v>
      </c>
      <c r="AF66" s="605" t="s">
        <v>293</v>
      </c>
      <c r="AG66" s="605" t="s">
        <v>203</v>
      </c>
      <c r="AH66" s="605" t="str">
        <f>IFERROR(INDEX('Annex 2_Code'!$J$114:$J$126,MATCH('Annex 3_MAFF'!AF66,'Annex 2_Code'!$G$114:$G$126,0)),"")</f>
        <v>MAFF-GDA</v>
      </c>
      <c r="AI66" s="624" t="str">
        <f>IF(ISNUMBER(FIND("-",AH66,1))=FALSE,LEFT(AH66,LEN(AH66)),LEFT(AH66,(FIND("-",AH66,1))-1))</f>
        <v>MAFF</v>
      </c>
    </row>
    <row r="67" spans="1:35" s="607" customFormat="1" ht="37.5" outlineLevel="1">
      <c r="A67" s="587"/>
      <c r="B67" s="2154" t="s">
        <v>1463</v>
      </c>
      <c r="C67" s="669" t="s">
        <v>41</v>
      </c>
      <c r="D67" s="701"/>
      <c r="E67" s="307" t="s">
        <v>548</v>
      </c>
      <c r="F67" s="615"/>
      <c r="G67" s="2237" t="s">
        <v>927</v>
      </c>
      <c r="H67" s="2238" t="s">
        <v>1081</v>
      </c>
      <c r="I67" s="2458">
        <f>3000/1000</f>
        <v>3</v>
      </c>
      <c r="J67" s="619">
        <v>0</v>
      </c>
      <c r="K67" s="620">
        <v>0</v>
      </c>
      <c r="L67" s="620">
        <v>0</v>
      </c>
      <c r="M67" s="620">
        <v>1</v>
      </c>
      <c r="N67" s="731">
        <f>SUM(J67:M67)</f>
        <v>1</v>
      </c>
      <c r="O67" s="2442">
        <f>($I$67*J67)</f>
        <v>0</v>
      </c>
      <c r="P67" s="2442">
        <f>($I$67*K67)</f>
        <v>0</v>
      </c>
      <c r="Q67" s="2442">
        <f>($I$67*L67)</f>
        <v>0</v>
      </c>
      <c r="R67" s="2442">
        <f>($I$67*M67)</f>
        <v>3</v>
      </c>
      <c r="S67" s="2443">
        <f>SUM(O67:R67)</f>
        <v>3</v>
      </c>
      <c r="T67" s="599">
        <f>IFERROR(INDEX('Annex 2_Code'!I$8:I$33,MATCH('Annex 3_MAFF'!$AG67,'Annex 2_Code'!$G$8:$G$33,0)),"")</f>
        <v>0</v>
      </c>
      <c r="U67" s="599">
        <f>IFERROR(INDEX('Annex 2_Code'!J$8:J$33,MATCH('Annex 3_MAFF'!$AG67,'Annex 2_Code'!$G$8:$G$33,0)),"")</f>
        <v>0</v>
      </c>
      <c r="V67" s="599">
        <f>IFERROR(INDEX('Annex 2_Code'!K$8:K$33,MATCH('Annex 3_MAFF'!$AG67,'Annex 2_Code'!$G$8:$G$33,0)),"")</f>
        <v>1</v>
      </c>
      <c r="W67" s="599">
        <f>IFERROR(INDEX('Annex 2_Code'!L$8:L$33,MATCH('Annex 3_MAFF'!$AG67,'Annex 2_Code'!$G$8:$G$33,0)),"")</f>
        <v>0</v>
      </c>
      <c r="X67" s="599">
        <f>IFERROR(INDEX('Annex 2_Code'!M$8:M$33,MATCH('Annex 3_MAFF'!$AG67,'Annex 2_Code'!$G$8:$G$33,0)),"")</f>
        <v>0</v>
      </c>
      <c r="Y67" s="647"/>
      <c r="Z67" s="600">
        <f t="shared" si="70"/>
        <v>0</v>
      </c>
      <c r="AA67" s="600">
        <f t="shared" si="71"/>
        <v>3</v>
      </c>
      <c r="AB67" s="600">
        <f t="shared" si="72"/>
        <v>0</v>
      </c>
      <c r="AC67" s="601">
        <f t="shared" si="73"/>
        <v>0</v>
      </c>
      <c r="AD67" s="602">
        <f t="shared" si="67"/>
        <v>3</v>
      </c>
      <c r="AE67" s="602">
        <f t="shared" si="68"/>
        <v>0</v>
      </c>
      <c r="AF67" s="605" t="s">
        <v>293</v>
      </c>
      <c r="AG67" s="605" t="s">
        <v>203</v>
      </c>
      <c r="AH67" s="605" t="str">
        <f>IFERROR(INDEX('Annex 2_Code'!$J$114:$J$126,MATCH('Annex 3_MAFF'!AF67,'Annex 2_Code'!$G$114:$G$126,0)),"")</f>
        <v>MAFF-GDA</v>
      </c>
      <c r="AI67" s="624" t="str">
        <f>IF(ISNUMBER(FIND("-",AH67,1))=FALSE,LEFT(AH67,LEN(AH67)),LEFT(AH67,(FIND("-",AH67,1))-1))</f>
        <v>MAFF</v>
      </c>
    </row>
    <row r="68" spans="1:35" s="607" customFormat="1" ht="21.75" customHeight="1">
      <c r="A68" s="240"/>
      <c r="B68" s="588"/>
      <c r="C68" s="710"/>
      <c r="D68" s="704"/>
      <c r="E68" s="591" t="s">
        <v>583</v>
      </c>
      <c r="F68" s="577"/>
      <c r="G68" s="711"/>
      <c r="H68" s="708"/>
      <c r="I68" s="712"/>
      <c r="J68" s="594">
        <f t="shared" ref="J68:Q68" si="74">SUM(J64:J67)</f>
        <v>0</v>
      </c>
      <c r="K68" s="595">
        <f t="shared" si="74"/>
        <v>0</v>
      </c>
      <c r="L68" s="595">
        <f t="shared" si="74"/>
        <v>2</v>
      </c>
      <c r="M68" s="595">
        <f t="shared" si="74"/>
        <v>4</v>
      </c>
      <c r="N68" s="596">
        <f>SUM(N64:N67)</f>
        <v>6</v>
      </c>
      <c r="O68" s="2459">
        <f>SUM(O64:O67)</f>
        <v>0</v>
      </c>
      <c r="P68" s="2459">
        <f t="shared" si="74"/>
        <v>0</v>
      </c>
      <c r="Q68" s="2459">
        <f t="shared" si="74"/>
        <v>7</v>
      </c>
      <c r="R68" s="2459">
        <f>SUM(R64:R67)</f>
        <v>17</v>
      </c>
      <c r="S68" s="2460">
        <f>SUM(S64:S67)</f>
        <v>24</v>
      </c>
      <c r="T68" s="713"/>
      <c r="U68" s="713"/>
      <c r="V68" s="713"/>
      <c r="W68" s="713"/>
      <c r="X68" s="713"/>
      <c r="Y68" s="1399"/>
      <c r="Z68" s="666"/>
      <c r="AA68" s="666"/>
      <c r="AB68" s="666"/>
      <c r="AC68" s="667"/>
      <c r="AD68" s="634">
        <f t="shared" si="67"/>
        <v>0</v>
      </c>
      <c r="AE68" s="634">
        <f t="shared" si="68"/>
        <v>-24</v>
      </c>
      <c r="AF68" s="604"/>
      <c r="AG68" s="604"/>
      <c r="AH68" s="604"/>
      <c r="AI68" s="606"/>
    </row>
    <row r="69" spans="1:35" s="607" customFormat="1" ht="46.5">
      <c r="A69" s="587"/>
      <c r="B69" s="669"/>
      <c r="C69" s="669"/>
      <c r="D69" s="1597"/>
      <c r="E69" s="1624" t="s">
        <v>544</v>
      </c>
      <c r="F69" s="1773"/>
      <c r="G69" s="1795" t="s">
        <v>590</v>
      </c>
      <c r="H69" s="1365"/>
      <c r="I69" s="1741"/>
      <c r="J69" s="670"/>
      <c r="K69" s="671"/>
      <c r="L69" s="671"/>
      <c r="M69" s="671"/>
      <c r="N69" s="731"/>
      <c r="O69" s="2456"/>
      <c r="P69" s="2456"/>
      <c r="Q69" s="2456"/>
      <c r="R69" s="2456"/>
      <c r="S69" s="2448">
        <f>SUM(O68:R68)</f>
        <v>24</v>
      </c>
      <c r="T69" s="599"/>
      <c r="U69" s="599"/>
      <c r="V69" s="599"/>
      <c r="W69" s="599"/>
      <c r="X69" s="599"/>
      <c r="Y69" s="647"/>
      <c r="Z69" s="600"/>
      <c r="AA69" s="600"/>
      <c r="AB69" s="600"/>
      <c r="AC69" s="601"/>
      <c r="AD69" s="602"/>
      <c r="AE69" s="602"/>
      <c r="AF69" s="605"/>
      <c r="AG69" s="604"/>
      <c r="AH69" s="605"/>
      <c r="AI69" s="624"/>
    </row>
    <row r="70" spans="1:35" s="625" customFormat="1" ht="45" customHeight="1" outlineLevel="1">
      <c r="A70" s="587"/>
      <c r="B70" s="2154" t="s">
        <v>1463</v>
      </c>
      <c r="C70" s="669" t="s">
        <v>41</v>
      </c>
      <c r="D70" s="701"/>
      <c r="E70" s="307" t="s">
        <v>549</v>
      </c>
      <c r="F70" s="626"/>
      <c r="G70" s="2158" t="s">
        <v>1181</v>
      </c>
      <c r="H70" s="2296" t="s">
        <v>996</v>
      </c>
      <c r="I70" s="727">
        <v>1</v>
      </c>
      <c r="J70" s="619">
        <v>0</v>
      </c>
      <c r="K70" s="620">
        <v>0</v>
      </c>
      <c r="L70" s="620">
        <v>1</v>
      </c>
      <c r="M70" s="620">
        <v>1</v>
      </c>
      <c r="N70" s="731">
        <f>SUM(J70:M70)</f>
        <v>2</v>
      </c>
      <c r="O70" s="1572">
        <f>($I$70*J70)</f>
        <v>0</v>
      </c>
      <c r="P70" s="1572">
        <f>($I$70*K70)</f>
        <v>0</v>
      </c>
      <c r="Q70" s="1572">
        <f>L70*I70</f>
        <v>1</v>
      </c>
      <c r="R70" s="2461">
        <f>($I$70*M70)</f>
        <v>1</v>
      </c>
      <c r="S70" s="2389">
        <f>SUM(O70:R70)</f>
        <v>2</v>
      </c>
      <c r="T70" s="599">
        <f>IFERROR(INDEX('Annex 2_Code'!I$8:I$33,MATCH('Annex 3_MAFF'!$AG70,'Annex 2_Code'!$G$8:$G$33,0)),"")</f>
        <v>0</v>
      </c>
      <c r="U70" s="599">
        <f>IFERROR(INDEX('Annex 2_Code'!J$8:J$33,MATCH('Annex 3_MAFF'!$AG70,'Annex 2_Code'!$G$8:$G$33,0)),"")</f>
        <v>0</v>
      </c>
      <c r="V70" s="599">
        <f>IFERROR(INDEX('Annex 2_Code'!K$8:K$33,MATCH('Annex 3_MAFF'!$AG70,'Annex 2_Code'!$G$8:$G$33,0)),"")</f>
        <v>1</v>
      </c>
      <c r="W70" s="599">
        <f>IFERROR(INDEX('Annex 2_Code'!L$8:L$33,MATCH('Annex 3_MAFF'!$AG70,'Annex 2_Code'!$G$8:$G$33,0)),"")</f>
        <v>0</v>
      </c>
      <c r="X70" s="599">
        <f>IFERROR(INDEX('Annex 2_Code'!M$8:M$33,MATCH('Annex 3_MAFF'!$AG70,'Annex 2_Code'!$G$8:$G$33,0)),"")</f>
        <v>0</v>
      </c>
      <c r="Y70" s="647"/>
      <c r="Z70" s="600">
        <f t="shared" si="70"/>
        <v>0</v>
      </c>
      <c r="AA70" s="600">
        <f t="shared" si="71"/>
        <v>2</v>
      </c>
      <c r="AB70" s="600">
        <f t="shared" si="72"/>
        <v>0</v>
      </c>
      <c r="AC70" s="601">
        <f t="shared" si="73"/>
        <v>0</v>
      </c>
      <c r="AD70" s="602">
        <f t="shared" si="67"/>
        <v>2</v>
      </c>
      <c r="AE70" s="602">
        <f t="shared" si="68"/>
        <v>0</v>
      </c>
      <c r="AF70" s="605" t="s">
        <v>293</v>
      </c>
      <c r="AG70" s="605" t="s">
        <v>203</v>
      </c>
      <c r="AH70" s="605" t="str">
        <f>IFERROR(INDEX('Annex 2_Code'!$J$114:$J$126,MATCH('Annex 3_MAFF'!AF70,'Annex 2_Code'!$G$114:$G$126,0)),"")</f>
        <v>MAFF-GDA</v>
      </c>
      <c r="AI70" s="624" t="str">
        <f t="shared" ref="AI70:AI80" si="75">IF(ISNUMBER(FIND("-",AH70,1))=FALSE,LEFT(AH70,LEN(AH70)),LEFT(AH70,(FIND("-",AH70,1))-1))</f>
        <v>MAFF</v>
      </c>
    </row>
    <row r="71" spans="1:35" s="625" customFormat="1" ht="43.5" customHeight="1" outlineLevel="1">
      <c r="A71" s="307"/>
      <c r="B71" s="2154" t="s">
        <v>1463</v>
      </c>
      <c r="C71" s="669" t="s">
        <v>41</v>
      </c>
      <c r="D71" s="701"/>
      <c r="E71" s="307" t="s">
        <v>550</v>
      </c>
      <c r="F71" s="626"/>
      <c r="G71" s="2158" t="s">
        <v>1182</v>
      </c>
      <c r="H71" s="2297" t="s">
        <v>1510</v>
      </c>
      <c r="I71" s="727">
        <v>6</v>
      </c>
      <c r="J71" s="619">
        <v>0</v>
      </c>
      <c r="K71" s="620">
        <v>0</v>
      </c>
      <c r="L71" s="620">
        <v>1</v>
      </c>
      <c r="M71" s="620">
        <v>1</v>
      </c>
      <c r="N71" s="731">
        <f>SUM(J71:M71)</f>
        <v>2</v>
      </c>
      <c r="O71" s="1572">
        <f>($I$71*J71)</f>
        <v>0</v>
      </c>
      <c r="P71" s="1572">
        <f>($I$71*K71)</f>
        <v>0</v>
      </c>
      <c r="Q71" s="1572">
        <f>($I$71*L71)</f>
        <v>6</v>
      </c>
      <c r="R71" s="1572">
        <f>($I$71*M71)</f>
        <v>6</v>
      </c>
      <c r="S71" s="1356">
        <f>SUM(O71:R71)</f>
        <v>12</v>
      </c>
      <c r="T71" s="599">
        <f>IFERROR(INDEX('Annex 2_Code'!I$8:I$33,MATCH('Annex 3_MAFF'!$AG71,'Annex 2_Code'!$G$8:$G$33,0)),"")</f>
        <v>0</v>
      </c>
      <c r="U71" s="599">
        <f>IFERROR(INDEX('Annex 2_Code'!J$8:J$33,MATCH('Annex 3_MAFF'!$AG71,'Annex 2_Code'!$G$8:$G$33,0)),"")</f>
        <v>0</v>
      </c>
      <c r="V71" s="599">
        <f>IFERROR(INDEX('Annex 2_Code'!K$8:K$33,MATCH('Annex 3_MAFF'!$AG71,'Annex 2_Code'!$G$8:$G$33,0)),"")</f>
        <v>1</v>
      </c>
      <c r="W71" s="599">
        <f>IFERROR(INDEX('Annex 2_Code'!L$8:L$33,MATCH('Annex 3_MAFF'!$AG71,'Annex 2_Code'!$G$8:$G$33,0)),"")</f>
        <v>0</v>
      </c>
      <c r="X71" s="599">
        <f>IFERROR(INDEX('Annex 2_Code'!M$8:M$33,MATCH('Annex 3_MAFF'!$AG71,'Annex 2_Code'!$G$8:$G$33,0)),"")</f>
        <v>0</v>
      </c>
      <c r="Y71" s="647"/>
      <c r="Z71" s="600">
        <f t="shared" si="70"/>
        <v>0</v>
      </c>
      <c r="AA71" s="600">
        <f t="shared" si="71"/>
        <v>12</v>
      </c>
      <c r="AB71" s="600">
        <f t="shared" si="72"/>
        <v>0</v>
      </c>
      <c r="AC71" s="601">
        <f t="shared" si="73"/>
        <v>0</v>
      </c>
      <c r="AD71" s="602">
        <f t="shared" si="67"/>
        <v>12</v>
      </c>
      <c r="AE71" s="602">
        <f t="shared" si="68"/>
        <v>0</v>
      </c>
      <c r="AF71" s="605" t="s">
        <v>293</v>
      </c>
      <c r="AG71" s="605" t="s">
        <v>203</v>
      </c>
      <c r="AH71" s="605" t="str">
        <f>IFERROR(INDEX('Annex 2_Code'!$J$114:$J$126,MATCH('Annex 3_MAFF'!AF71,'Annex 2_Code'!$G$114:$G$126,0)),"")</f>
        <v>MAFF-GDA</v>
      </c>
      <c r="AI71" s="624" t="str">
        <f t="shared" si="75"/>
        <v>MAFF</v>
      </c>
    </row>
    <row r="72" spans="1:35" s="607" customFormat="1" ht="44.25" customHeight="1" outlineLevel="1">
      <c r="A72" s="307"/>
      <c r="B72" s="2154" t="s">
        <v>1463</v>
      </c>
      <c r="C72" s="669" t="s">
        <v>41</v>
      </c>
      <c r="D72" s="701"/>
      <c r="E72" s="307" t="s">
        <v>551</v>
      </c>
      <c r="F72" s="615"/>
      <c r="G72" s="2239" t="s">
        <v>1180</v>
      </c>
      <c r="H72" s="2297" t="s">
        <v>1510</v>
      </c>
      <c r="I72" s="727">
        <v>7</v>
      </c>
      <c r="J72" s="619">
        <v>0</v>
      </c>
      <c r="K72" s="620">
        <v>0</v>
      </c>
      <c r="L72" s="620">
        <v>0</v>
      </c>
      <c r="M72" s="620">
        <v>1</v>
      </c>
      <c r="N72" s="731">
        <f>SUM(J72:M72)</f>
        <v>1</v>
      </c>
      <c r="O72" s="1572">
        <f>($I$72*J72)</f>
        <v>0</v>
      </c>
      <c r="P72" s="1572">
        <f>($I$72*K72)</f>
        <v>0</v>
      </c>
      <c r="Q72" s="1572">
        <f>($I$72*L72)</f>
        <v>0</v>
      </c>
      <c r="R72" s="1572">
        <f>($I$72*M72)</f>
        <v>7</v>
      </c>
      <c r="S72" s="1356">
        <f>SUM(O72:R72)</f>
        <v>7</v>
      </c>
      <c r="T72" s="599">
        <f>IFERROR(INDEX('Annex 2_Code'!I$8:I$33,MATCH('Annex 3_MAFF'!$AG72,'Annex 2_Code'!$G$8:$G$33,0)),"")</f>
        <v>0</v>
      </c>
      <c r="U72" s="599">
        <f>IFERROR(INDEX('Annex 2_Code'!J$8:J$33,MATCH('Annex 3_MAFF'!$AG72,'Annex 2_Code'!$G$8:$G$33,0)),"")</f>
        <v>0</v>
      </c>
      <c r="V72" s="599">
        <f>IFERROR(INDEX('Annex 2_Code'!K$8:K$33,MATCH('Annex 3_MAFF'!$AG72,'Annex 2_Code'!$G$8:$G$33,0)),"")</f>
        <v>1</v>
      </c>
      <c r="W72" s="599">
        <f>IFERROR(INDEX('Annex 2_Code'!L$8:L$33,MATCH('Annex 3_MAFF'!$AG72,'Annex 2_Code'!$G$8:$G$33,0)),"")</f>
        <v>0</v>
      </c>
      <c r="X72" s="599">
        <f>IFERROR(INDEX('Annex 2_Code'!M$8:M$33,MATCH('Annex 3_MAFF'!$AG72,'Annex 2_Code'!$G$8:$G$33,0)),"")</f>
        <v>0</v>
      </c>
      <c r="Y72" s="647"/>
      <c r="Z72" s="600">
        <f>IFERROR($S72*U72,"")</f>
        <v>0</v>
      </c>
      <c r="AA72" s="600">
        <f>IFERROR($S72*V72,"")</f>
        <v>7</v>
      </c>
      <c r="AB72" s="600">
        <f>IFERROR($S72*W72,"")</f>
        <v>0</v>
      </c>
      <c r="AC72" s="601">
        <f>IFERROR($S72*X72,"")</f>
        <v>0</v>
      </c>
      <c r="AD72" s="602">
        <f>SUM(Y72:AC72)</f>
        <v>7</v>
      </c>
      <c r="AE72" s="602">
        <f>AD72-S72</f>
        <v>0</v>
      </c>
      <c r="AF72" s="605" t="s">
        <v>293</v>
      </c>
      <c r="AG72" s="605" t="s">
        <v>203</v>
      </c>
      <c r="AH72" s="605" t="str">
        <f>IFERROR(INDEX('Annex 2_Code'!$J$114:$J$126,MATCH('Annex 3_MAFF'!AF72,'Annex 2_Code'!$G$114:$G$126,0)),"")</f>
        <v>MAFF-GDA</v>
      </c>
      <c r="AI72" s="624" t="str">
        <f t="shared" si="75"/>
        <v>MAFF</v>
      </c>
    </row>
    <row r="73" spans="1:35" s="625" customFormat="1" ht="39" customHeight="1" outlineLevel="1">
      <c r="A73" s="307"/>
      <c r="B73" s="2154" t="s">
        <v>1463</v>
      </c>
      <c r="C73" s="669" t="s">
        <v>41</v>
      </c>
      <c r="D73" s="701"/>
      <c r="E73" s="307" t="s">
        <v>552</v>
      </c>
      <c r="F73" s="626"/>
      <c r="G73" s="2158" t="s">
        <v>1183</v>
      </c>
      <c r="H73" s="2238" t="s">
        <v>1081</v>
      </c>
      <c r="I73" s="727">
        <f>3000/1000</f>
        <v>3</v>
      </c>
      <c r="J73" s="619">
        <v>0</v>
      </c>
      <c r="K73" s="620">
        <v>0</v>
      </c>
      <c r="L73" s="620">
        <v>0</v>
      </c>
      <c r="M73" s="620">
        <v>1</v>
      </c>
      <c r="N73" s="731">
        <f>SUM(J73:M73)</f>
        <v>1</v>
      </c>
      <c r="O73" s="1572">
        <f>($I$73*J73)</f>
        <v>0</v>
      </c>
      <c r="P73" s="1572">
        <f>($I$73*K73)</f>
        <v>0</v>
      </c>
      <c r="Q73" s="1572">
        <f>($I$73*L73)</f>
        <v>0</v>
      </c>
      <c r="R73" s="1572">
        <f>($I$73*M73)</f>
        <v>3</v>
      </c>
      <c r="S73" s="1356">
        <f>SUM(O73:R73)</f>
        <v>3</v>
      </c>
      <c r="T73" s="599">
        <f>IFERROR(INDEX('Annex 2_Code'!I$8:I$33,MATCH('Annex 3_MAFF'!$AG73,'Annex 2_Code'!$G$8:$G$33,0)),"")</f>
        <v>0</v>
      </c>
      <c r="U73" s="599">
        <f>IFERROR(INDEX('Annex 2_Code'!J$8:J$33,MATCH('Annex 3_MAFF'!$AG73,'Annex 2_Code'!$G$8:$G$33,0)),"")</f>
        <v>0</v>
      </c>
      <c r="V73" s="599">
        <f>IFERROR(INDEX('Annex 2_Code'!K$8:K$33,MATCH('Annex 3_MAFF'!$AG73,'Annex 2_Code'!$G$8:$G$33,0)),"")</f>
        <v>1</v>
      </c>
      <c r="W73" s="599">
        <f>IFERROR(INDEX('Annex 2_Code'!L$8:L$33,MATCH('Annex 3_MAFF'!$AG73,'Annex 2_Code'!$G$8:$G$33,0)),"")</f>
        <v>0</v>
      </c>
      <c r="X73" s="599">
        <f>IFERROR(INDEX('Annex 2_Code'!M$8:M$33,MATCH('Annex 3_MAFF'!$AG73,'Annex 2_Code'!$G$8:$G$33,0)),"")</f>
        <v>0</v>
      </c>
      <c r="Y73" s="647"/>
      <c r="Z73" s="600">
        <f t="shared" si="70"/>
        <v>0</v>
      </c>
      <c r="AA73" s="600">
        <f t="shared" si="71"/>
        <v>3</v>
      </c>
      <c r="AB73" s="600">
        <f t="shared" si="72"/>
        <v>0</v>
      </c>
      <c r="AC73" s="601">
        <f t="shared" si="73"/>
        <v>0</v>
      </c>
      <c r="AD73" s="602">
        <f t="shared" si="67"/>
        <v>3</v>
      </c>
      <c r="AE73" s="602">
        <f t="shared" si="68"/>
        <v>0</v>
      </c>
      <c r="AF73" s="605" t="s">
        <v>293</v>
      </c>
      <c r="AG73" s="605" t="s">
        <v>203</v>
      </c>
      <c r="AH73" s="605" t="str">
        <f>IFERROR(INDEX('Annex 2_Code'!$J$114:$J$126,MATCH('Annex 3_MAFF'!AF73,'Annex 2_Code'!$G$114:$G$126,0)),"")</f>
        <v>MAFF-GDA</v>
      </c>
      <c r="AI73" s="624" t="str">
        <f t="shared" si="75"/>
        <v>MAFF</v>
      </c>
    </row>
    <row r="74" spans="1:35" s="607" customFormat="1" ht="30" customHeight="1">
      <c r="A74" s="240"/>
      <c r="B74" s="588"/>
      <c r="C74" s="710"/>
      <c r="D74" s="704" t="s">
        <v>583</v>
      </c>
      <c r="E74" s="592"/>
      <c r="F74" s="577"/>
      <c r="G74" s="711"/>
      <c r="H74" s="714"/>
      <c r="I74" s="712"/>
      <c r="J74" s="594">
        <f t="shared" ref="J74:S74" si="76">SUM(J70:J73)</f>
        <v>0</v>
      </c>
      <c r="K74" s="595">
        <f t="shared" si="76"/>
        <v>0</v>
      </c>
      <c r="L74" s="595">
        <f t="shared" si="76"/>
        <v>2</v>
      </c>
      <c r="M74" s="595">
        <f t="shared" si="76"/>
        <v>4</v>
      </c>
      <c r="N74" s="596">
        <f t="shared" si="76"/>
        <v>6</v>
      </c>
      <c r="O74" s="706">
        <f t="shared" si="76"/>
        <v>0</v>
      </c>
      <c r="P74" s="706">
        <f t="shared" si="76"/>
        <v>0</v>
      </c>
      <c r="Q74" s="706">
        <f t="shared" si="76"/>
        <v>7</v>
      </c>
      <c r="R74" s="706">
        <f t="shared" si="76"/>
        <v>17</v>
      </c>
      <c r="S74" s="2462">
        <f t="shared" si="76"/>
        <v>24</v>
      </c>
      <c r="T74" s="713" t="str">
        <f>IFERROR(INDEX('Annex 2_Code'!I$8:I$33,MATCH('Annex 3_MAFF'!$AG74,'Annex 2_Code'!$G$8:$G$33,0)),"")</f>
        <v/>
      </c>
      <c r="U74" s="713" t="str">
        <f>IFERROR(INDEX('Annex 2_Code'!J$8:J$33,MATCH('Annex 3_MAFF'!$AG74,'Annex 2_Code'!$G$8:$G$33,0)),"")</f>
        <v/>
      </c>
      <c r="V74" s="713" t="str">
        <f>IFERROR(INDEX('Annex 2_Code'!K$8:K$33,MATCH('Annex 3_MAFF'!$AG74,'Annex 2_Code'!$G$8:$G$33,0)),"")</f>
        <v/>
      </c>
      <c r="W74" s="713" t="str">
        <f>IFERROR(INDEX('Annex 2_Code'!L$8:L$33,MATCH('Annex 3_MAFF'!$AG74,'Annex 2_Code'!$G$8:$G$33,0)),"")</f>
        <v/>
      </c>
      <c r="X74" s="713" t="str">
        <f>IFERROR(INDEX('Annex 2_Code'!M$8:M$33,MATCH('Annex 3_MAFF'!$AG74,'Annex 2_Code'!$G$8:$G$33,0)),"")</f>
        <v/>
      </c>
      <c r="Y74" s="1399"/>
      <c r="Z74" s="666" t="str">
        <f t="shared" si="70"/>
        <v/>
      </c>
      <c r="AA74" s="666" t="str">
        <f t="shared" si="71"/>
        <v/>
      </c>
      <c r="AB74" s="666" t="str">
        <f t="shared" si="72"/>
        <v/>
      </c>
      <c r="AC74" s="667" t="str">
        <f t="shared" si="73"/>
        <v/>
      </c>
      <c r="AD74" s="634">
        <f t="shared" si="67"/>
        <v>0</v>
      </c>
      <c r="AE74" s="634">
        <f>AD74-S74</f>
        <v>-24</v>
      </c>
      <c r="AF74" s="604"/>
      <c r="AG74" s="604"/>
      <c r="AH74" s="604" t="str">
        <f>IFERROR(INDEX('Annex 2_Code'!$J$114:$J$126,MATCH('Annex 3_MAFF'!AF74,'Annex 2_Code'!$G$114:$G$126,0)),"")</f>
        <v/>
      </c>
      <c r="AI74" s="606" t="str">
        <f t="shared" si="75"/>
        <v/>
      </c>
    </row>
    <row r="75" spans="1:35" s="607" customFormat="1" ht="70.5" customHeight="1">
      <c r="A75" s="587"/>
      <c r="B75" s="669"/>
      <c r="C75" s="669"/>
      <c r="D75" s="1885"/>
      <c r="E75" s="1886" t="s">
        <v>545</v>
      </c>
      <c r="F75" s="1887"/>
      <c r="G75" s="1888" t="s">
        <v>1193</v>
      </c>
      <c r="H75" s="1365"/>
      <c r="I75" s="1741"/>
      <c r="J75" s="670"/>
      <c r="K75" s="671"/>
      <c r="L75" s="671"/>
      <c r="M75" s="671"/>
      <c r="N75" s="731"/>
      <c r="O75" s="702"/>
      <c r="P75" s="702"/>
      <c r="Q75" s="702"/>
      <c r="R75" s="1742"/>
      <c r="S75" s="1695">
        <f>SUM(O74:R74)</f>
        <v>24</v>
      </c>
      <c r="T75" s="599" t="str">
        <f>IFERROR(INDEX('Annex 2_Code'!I$8:I$33,MATCH('Annex 3_MAFF'!$AG75,'Annex 2_Code'!$G$8:$G$33,0)),"")</f>
        <v/>
      </c>
      <c r="U75" s="599" t="str">
        <f>IFERROR(INDEX('Annex 2_Code'!J$8:J$33,MATCH('Annex 3_MAFF'!$AG75,'Annex 2_Code'!$G$8:$G$33,0)),"")</f>
        <v/>
      </c>
      <c r="V75" s="599" t="str">
        <f>IFERROR(INDEX('Annex 2_Code'!K$8:K$33,MATCH('Annex 3_MAFF'!$AG75,'Annex 2_Code'!$G$8:$G$33,0)),"")</f>
        <v/>
      </c>
      <c r="W75" s="599" t="str">
        <f>IFERROR(INDEX('Annex 2_Code'!L$8:L$33,MATCH('Annex 3_MAFF'!$AG75,'Annex 2_Code'!$G$8:$G$33,0)),"")</f>
        <v/>
      </c>
      <c r="X75" s="599" t="str">
        <f>IFERROR(INDEX('Annex 2_Code'!M$8:M$33,MATCH('Annex 3_MAFF'!$AG75,'Annex 2_Code'!$G$8:$G$33,0)),"")</f>
        <v/>
      </c>
      <c r="Y75" s="647"/>
      <c r="Z75" s="600" t="str">
        <f t="shared" si="70"/>
        <v/>
      </c>
      <c r="AA75" s="600" t="str">
        <f t="shared" si="71"/>
        <v/>
      </c>
      <c r="AB75" s="600" t="str">
        <f t="shared" si="72"/>
        <v/>
      </c>
      <c r="AC75" s="601" t="str">
        <f t="shared" si="73"/>
        <v/>
      </c>
      <c r="AD75" s="602">
        <f t="shared" si="67"/>
        <v>0</v>
      </c>
      <c r="AE75" s="602">
        <f t="shared" si="68"/>
        <v>-24</v>
      </c>
      <c r="AF75" s="605"/>
      <c r="AG75" s="604"/>
      <c r="AH75" s="605" t="str">
        <f>IFERROR(INDEX('Annex 2_Code'!$J$114:$J$126,MATCH('Annex 3_MAFF'!AF75,'Annex 2_Code'!$G$114:$G$126,0)),"")</f>
        <v/>
      </c>
      <c r="AI75" s="624" t="str">
        <f t="shared" si="75"/>
        <v/>
      </c>
    </row>
    <row r="76" spans="1:35" s="607" customFormat="1" ht="51" customHeight="1" outlineLevel="1">
      <c r="A76" s="587"/>
      <c r="B76" s="2154" t="s">
        <v>1463</v>
      </c>
      <c r="C76" s="669" t="s">
        <v>41</v>
      </c>
      <c r="D76" s="2155"/>
      <c r="E76" s="882" t="s">
        <v>553</v>
      </c>
      <c r="F76" s="2240"/>
      <c r="G76" s="2158" t="s">
        <v>1194</v>
      </c>
      <c r="H76" s="2296" t="s">
        <v>996</v>
      </c>
      <c r="I76" s="727">
        <v>1</v>
      </c>
      <c r="J76" s="619">
        <v>0</v>
      </c>
      <c r="K76" s="620">
        <v>0</v>
      </c>
      <c r="L76" s="620">
        <v>1</v>
      </c>
      <c r="M76" s="620">
        <v>1</v>
      </c>
      <c r="N76" s="731">
        <f>SUM(J76:M76)</f>
        <v>2</v>
      </c>
      <c r="O76" s="1572">
        <f>($I$76*J76)</f>
        <v>0</v>
      </c>
      <c r="P76" s="1572">
        <f>($I$76*K76)</f>
        <v>0</v>
      </c>
      <c r="Q76" s="1572">
        <f>L76*I76</f>
        <v>1</v>
      </c>
      <c r="R76" s="1572">
        <f>($I$76*M76)</f>
        <v>1</v>
      </c>
      <c r="S76" s="1356">
        <f>SUM(O76:R76)</f>
        <v>2</v>
      </c>
      <c r="T76" s="599">
        <f>IFERROR(INDEX('Annex 2_Code'!I$8:I$33,MATCH('Annex 3_MAFF'!$AG76,'Annex 2_Code'!$G$8:$G$33,0)),"")</f>
        <v>0</v>
      </c>
      <c r="U76" s="599">
        <f>IFERROR(INDEX('Annex 2_Code'!J$8:J$33,MATCH('Annex 3_MAFF'!$AG76,'Annex 2_Code'!$G$8:$G$33,0)),"")</f>
        <v>0</v>
      </c>
      <c r="V76" s="599">
        <f>IFERROR(INDEX('Annex 2_Code'!K$8:K$33,MATCH('Annex 3_MAFF'!$AG76,'Annex 2_Code'!$G$8:$G$33,0)),"")</f>
        <v>1</v>
      </c>
      <c r="W76" s="599">
        <f>IFERROR(INDEX('Annex 2_Code'!L$8:L$33,MATCH('Annex 3_MAFF'!$AG76,'Annex 2_Code'!$G$8:$G$33,0)),"")</f>
        <v>0</v>
      </c>
      <c r="X76" s="599">
        <f>IFERROR(INDEX('Annex 2_Code'!M$8:M$33,MATCH('Annex 3_MAFF'!$AG76,'Annex 2_Code'!$G$8:$G$33,0)),"")</f>
        <v>0</v>
      </c>
      <c r="Y76" s="647">
        <f t="shared" ref="Y76:Y81" si="77">IFERROR($S76*T76,"")</f>
        <v>0</v>
      </c>
      <c r="Z76" s="600">
        <f t="shared" si="70"/>
        <v>0</v>
      </c>
      <c r="AA76" s="600">
        <f t="shared" si="71"/>
        <v>2</v>
      </c>
      <c r="AB76" s="600">
        <f t="shared" si="72"/>
        <v>0</v>
      </c>
      <c r="AC76" s="601">
        <f t="shared" si="73"/>
        <v>0</v>
      </c>
      <c r="AD76" s="602">
        <f t="shared" si="67"/>
        <v>2</v>
      </c>
      <c r="AE76" s="602">
        <f t="shared" si="68"/>
        <v>0</v>
      </c>
      <c r="AF76" s="605" t="s">
        <v>293</v>
      </c>
      <c r="AG76" s="605" t="s">
        <v>203</v>
      </c>
      <c r="AH76" s="605" t="str">
        <f>IFERROR(INDEX('Annex 2_Code'!$J$114:$J$126,MATCH('Annex 3_MAFF'!AF76,'Annex 2_Code'!$G$114:$G$126,0)),"")</f>
        <v>MAFF-GDA</v>
      </c>
      <c r="AI76" s="624" t="str">
        <f t="shared" si="75"/>
        <v>MAFF</v>
      </c>
    </row>
    <row r="77" spans="1:35" s="607" customFormat="1" ht="53.25" customHeight="1" outlineLevel="1">
      <c r="A77" s="587"/>
      <c r="B77" s="2154" t="s">
        <v>1463</v>
      </c>
      <c r="C77" s="669" t="s">
        <v>41</v>
      </c>
      <c r="D77" s="2155"/>
      <c r="E77" s="882" t="s">
        <v>554</v>
      </c>
      <c r="F77" s="2240"/>
      <c r="G77" s="2158" t="s">
        <v>1195</v>
      </c>
      <c r="H77" s="2297" t="s">
        <v>1510</v>
      </c>
      <c r="I77" s="727">
        <v>6</v>
      </c>
      <c r="J77" s="619">
        <v>0</v>
      </c>
      <c r="K77" s="620">
        <v>0</v>
      </c>
      <c r="L77" s="620">
        <v>1</v>
      </c>
      <c r="M77" s="620">
        <v>1</v>
      </c>
      <c r="N77" s="731">
        <f>SUM(J77:M77)</f>
        <v>2</v>
      </c>
      <c r="O77" s="1572">
        <f>($I$77*J77)</f>
        <v>0</v>
      </c>
      <c r="P77" s="1572">
        <f>($I$77*K77)</f>
        <v>0</v>
      </c>
      <c r="Q77" s="1572">
        <f>($I$77*L77)</f>
        <v>6</v>
      </c>
      <c r="R77" s="1572">
        <f>($I$77*M77)</f>
        <v>6</v>
      </c>
      <c r="S77" s="1356">
        <f>SUM(O77:R77)</f>
        <v>12</v>
      </c>
      <c r="T77" s="599">
        <f>IFERROR(INDEX('Annex 2_Code'!I$8:I$33,MATCH('Annex 3_MAFF'!$AG77,'Annex 2_Code'!$G$8:$G$33,0)),"")</f>
        <v>0</v>
      </c>
      <c r="U77" s="599">
        <f>IFERROR(INDEX('Annex 2_Code'!J$8:J$33,MATCH('Annex 3_MAFF'!$AG77,'Annex 2_Code'!$G$8:$G$33,0)),"")</f>
        <v>0</v>
      </c>
      <c r="V77" s="599">
        <f>IFERROR(INDEX('Annex 2_Code'!K$8:K$33,MATCH('Annex 3_MAFF'!$AG77,'Annex 2_Code'!$G$8:$G$33,0)),"")</f>
        <v>1</v>
      </c>
      <c r="W77" s="599">
        <f>IFERROR(INDEX('Annex 2_Code'!L$8:L$33,MATCH('Annex 3_MAFF'!$AG77,'Annex 2_Code'!$G$8:$G$33,0)),"")</f>
        <v>0</v>
      </c>
      <c r="X77" s="599">
        <f>IFERROR(INDEX('Annex 2_Code'!M$8:M$33,MATCH('Annex 3_MAFF'!$AG77,'Annex 2_Code'!$G$8:$G$33,0)),"")</f>
        <v>0</v>
      </c>
      <c r="Y77" s="647">
        <f t="shared" si="77"/>
        <v>0</v>
      </c>
      <c r="Z77" s="600">
        <f t="shared" si="70"/>
        <v>0</v>
      </c>
      <c r="AA77" s="600">
        <f t="shared" si="71"/>
        <v>12</v>
      </c>
      <c r="AB77" s="600">
        <f t="shared" si="72"/>
        <v>0</v>
      </c>
      <c r="AC77" s="601">
        <f t="shared" si="73"/>
        <v>0</v>
      </c>
      <c r="AD77" s="602">
        <f t="shared" si="67"/>
        <v>12</v>
      </c>
      <c r="AE77" s="602">
        <f t="shared" si="68"/>
        <v>0</v>
      </c>
      <c r="AF77" s="605" t="s">
        <v>293</v>
      </c>
      <c r="AG77" s="605" t="s">
        <v>203</v>
      </c>
      <c r="AH77" s="605" t="str">
        <f>IFERROR(INDEX('Annex 2_Code'!$J$114:$J$126,MATCH('Annex 3_MAFF'!AF77,'Annex 2_Code'!$G$114:$G$126,0)),"")</f>
        <v>MAFF-GDA</v>
      </c>
      <c r="AI77" s="624" t="str">
        <f t="shared" si="75"/>
        <v>MAFF</v>
      </c>
    </row>
    <row r="78" spans="1:35" s="607" customFormat="1" ht="45" customHeight="1" outlineLevel="1">
      <c r="A78" s="587"/>
      <c r="B78" s="2154" t="s">
        <v>1463</v>
      </c>
      <c r="C78" s="669" t="s">
        <v>41</v>
      </c>
      <c r="D78" s="2155"/>
      <c r="E78" s="882" t="s">
        <v>555</v>
      </c>
      <c r="F78" s="2240"/>
      <c r="G78" s="2158" t="s">
        <v>1196</v>
      </c>
      <c r="H78" s="2297" t="s">
        <v>1510</v>
      </c>
      <c r="I78" s="727">
        <v>7</v>
      </c>
      <c r="J78" s="619">
        <v>0</v>
      </c>
      <c r="K78" s="620">
        <v>0</v>
      </c>
      <c r="L78" s="620">
        <v>0</v>
      </c>
      <c r="M78" s="620">
        <v>1</v>
      </c>
      <c r="N78" s="731">
        <f>SUM(J78:M78)</f>
        <v>1</v>
      </c>
      <c r="O78" s="1572">
        <f>($I$78*J78)</f>
        <v>0</v>
      </c>
      <c r="P78" s="1572">
        <f>($I$78*K78)</f>
        <v>0</v>
      </c>
      <c r="Q78" s="1572">
        <f>($I$78*L78)</f>
        <v>0</v>
      </c>
      <c r="R78" s="1572">
        <f>($I$78*M78)</f>
        <v>7</v>
      </c>
      <c r="S78" s="1356">
        <f>SUM(O78:R78)</f>
        <v>7</v>
      </c>
      <c r="T78" s="599">
        <f>IFERROR(INDEX('Annex 2_Code'!I$8:I$33,MATCH('Annex 3_MAFF'!$AG78,'Annex 2_Code'!$G$8:$G$33,0)),"")</f>
        <v>0</v>
      </c>
      <c r="U78" s="599">
        <f>IFERROR(INDEX('Annex 2_Code'!J$8:J$33,MATCH('Annex 3_MAFF'!$AG78,'Annex 2_Code'!$G$8:$G$33,0)),"")</f>
        <v>0</v>
      </c>
      <c r="V78" s="599">
        <f>IFERROR(INDEX('Annex 2_Code'!K$8:K$33,MATCH('Annex 3_MAFF'!$AG78,'Annex 2_Code'!$G$8:$G$33,0)),"")</f>
        <v>1</v>
      </c>
      <c r="W78" s="599">
        <f>IFERROR(INDEX('Annex 2_Code'!L$8:L$33,MATCH('Annex 3_MAFF'!$AG78,'Annex 2_Code'!$G$8:$G$33,0)),"")</f>
        <v>0</v>
      </c>
      <c r="X78" s="599">
        <f>IFERROR(INDEX('Annex 2_Code'!M$8:M$33,MATCH('Annex 3_MAFF'!$AG78,'Annex 2_Code'!$G$8:$G$33,0)),"")</f>
        <v>0</v>
      </c>
      <c r="Y78" s="647">
        <f t="shared" si="77"/>
        <v>0</v>
      </c>
      <c r="Z78" s="600">
        <f>IFERROR($S78*U78,"")</f>
        <v>0</v>
      </c>
      <c r="AA78" s="600">
        <f>IFERROR($S78*V78,"")</f>
        <v>7</v>
      </c>
      <c r="AB78" s="600">
        <f>IFERROR($S78*W78,"")</f>
        <v>0</v>
      </c>
      <c r="AC78" s="601">
        <f>IFERROR($S78*X78,"")</f>
        <v>0</v>
      </c>
      <c r="AD78" s="602">
        <f>SUM(Y78:AC78)</f>
        <v>7</v>
      </c>
      <c r="AE78" s="602">
        <f>AD78-S78</f>
        <v>0</v>
      </c>
      <c r="AF78" s="605" t="s">
        <v>293</v>
      </c>
      <c r="AG78" s="605" t="s">
        <v>203</v>
      </c>
      <c r="AH78" s="605" t="str">
        <f>IFERROR(INDEX('Annex 2_Code'!$J$114:$J$126,MATCH('Annex 3_MAFF'!AF78,'Annex 2_Code'!$G$114:$G$126,0)),"")</f>
        <v>MAFF-GDA</v>
      </c>
      <c r="AI78" s="624" t="str">
        <f t="shared" si="75"/>
        <v>MAFF</v>
      </c>
    </row>
    <row r="79" spans="1:35" s="607" customFormat="1" ht="46.5" customHeight="1" outlineLevel="1">
      <c r="A79" s="307"/>
      <c r="B79" s="2154" t="s">
        <v>1463</v>
      </c>
      <c r="C79" s="669" t="s">
        <v>41</v>
      </c>
      <c r="D79" s="2155"/>
      <c r="E79" s="882" t="s">
        <v>556</v>
      </c>
      <c r="F79" s="2240"/>
      <c r="G79" s="2158" t="s">
        <v>1197</v>
      </c>
      <c r="H79" s="2238" t="s">
        <v>1081</v>
      </c>
      <c r="I79" s="727">
        <v>3</v>
      </c>
      <c r="J79" s="619">
        <v>0</v>
      </c>
      <c r="K79" s="620">
        <v>0</v>
      </c>
      <c r="L79" s="620">
        <v>0</v>
      </c>
      <c r="M79" s="620">
        <v>1</v>
      </c>
      <c r="N79" s="731">
        <f>SUM(J79:M79)</f>
        <v>1</v>
      </c>
      <c r="O79" s="1572">
        <f>($I$79*J79)</f>
        <v>0</v>
      </c>
      <c r="P79" s="1572">
        <f>($I$79*K79)</f>
        <v>0</v>
      </c>
      <c r="Q79" s="1572">
        <f>($I$79*L79)</f>
        <v>0</v>
      </c>
      <c r="R79" s="1572">
        <f>($I$79*M79)</f>
        <v>3</v>
      </c>
      <c r="S79" s="1356">
        <f>SUM(O79:R79)</f>
        <v>3</v>
      </c>
      <c r="T79" s="599">
        <f>IFERROR(INDEX('Annex 2_Code'!I$8:I$33,MATCH('Annex 3_MAFF'!$AG79,'Annex 2_Code'!$G$8:$G$33,0)),"")</f>
        <v>0</v>
      </c>
      <c r="U79" s="599">
        <f>IFERROR(INDEX('Annex 2_Code'!J$8:J$33,MATCH('Annex 3_MAFF'!$AG79,'Annex 2_Code'!$G$8:$G$33,0)),"")</f>
        <v>0</v>
      </c>
      <c r="V79" s="599">
        <f>IFERROR(INDEX('Annex 2_Code'!K$8:K$33,MATCH('Annex 3_MAFF'!$AG79,'Annex 2_Code'!$G$8:$G$33,0)),"")</f>
        <v>1</v>
      </c>
      <c r="W79" s="599">
        <f>IFERROR(INDEX('Annex 2_Code'!L$8:L$33,MATCH('Annex 3_MAFF'!$AG79,'Annex 2_Code'!$G$8:$G$33,0)),"")</f>
        <v>0</v>
      </c>
      <c r="X79" s="599">
        <f>IFERROR(INDEX('Annex 2_Code'!M$8:M$33,MATCH('Annex 3_MAFF'!$AG79,'Annex 2_Code'!$G$8:$G$33,0)),"")</f>
        <v>0</v>
      </c>
      <c r="Y79" s="647">
        <f t="shared" si="77"/>
        <v>0</v>
      </c>
      <c r="Z79" s="600">
        <f t="shared" si="70"/>
        <v>0</v>
      </c>
      <c r="AA79" s="600">
        <f t="shared" si="71"/>
        <v>3</v>
      </c>
      <c r="AB79" s="600">
        <f t="shared" si="72"/>
        <v>0</v>
      </c>
      <c r="AC79" s="601">
        <f t="shared" si="73"/>
        <v>0</v>
      </c>
      <c r="AD79" s="602">
        <f t="shared" si="67"/>
        <v>3</v>
      </c>
      <c r="AE79" s="602">
        <f t="shared" si="68"/>
        <v>0</v>
      </c>
      <c r="AF79" s="605" t="s">
        <v>293</v>
      </c>
      <c r="AG79" s="605" t="s">
        <v>203</v>
      </c>
      <c r="AH79" s="605" t="str">
        <f>IFERROR(INDEX('Annex 2_Code'!$J$114:$J$126,MATCH('Annex 3_MAFF'!AF79,'Annex 2_Code'!$G$114:$G$126,0)),"")</f>
        <v>MAFF-GDA</v>
      </c>
      <c r="AI79" s="624" t="str">
        <f t="shared" si="75"/>
        <v>MAFF</v>
      </c>
    </row>
    <row r="80" spans="1:35" s="607" customFormat="1" ht="21.75" customHeight="1">
      <c r="A80" s="240"/>
      <c r="B80" s="588"/>
      <c r="C80" s="710"/>
      <c r="D80" s="1889" t="s">
        <v>1198</v>
      </c>
      <c r="E80" s="1890"/>
      <c r="F80" s="1891"/>
      <c r="G80" s="1892"/>
      <c r="H80" s="714"/>
      <c r="I80" s="712"/>
      <c r="J80" s="594">
        <f>SUM(J73:J75)</f>
        <v>0</v>
      </c>
      <c r="K80" s="595">
        <f>SUM(K73:K75)</f>
        <v>0</v>
      </c>
      <c r="L80" s="595">
        <f>SUM(L73:L75)</f>
        <v>2</v>
      </c>
      <c r="M80" s="595">
        <f>SUM(M73:M75)</f>
        <v>5</v>
      </c>
      <c r="N80" s="596">
        <f t="shared" ref="N80:S80" si="78">SUM(N76:N79)</f>
        <v>6</v>
      </c>
      <c r="O80" s="706">
        <f t="shared" si="78"/>
        <v>0</v>
      </c>
      <c r="P80" s="706">
        <f t="shared" si="78"/>
        <v>0</v>
      </c>
      <c r="Q80" s="706">
        <f t="shared" si="78"/>
        <v>7</v>
      </c>
      <c r="R80" s="706">
        <f t="shared" si="78"/>
        <v>17</v>
      </c>
      <c r="S80" s="1408">
        <f t="shared" si="78"/>
        <v>24</v>
      </c>
      <c r="T80" s="713"/>
      <c r="U80" s="713"/>
      <c r="V80" s="713"/>
      <c r="W80" s="713"/>
      <c r="X80" s="713"/>
      <c r="Y80" s="1399">
        <f t="shared" si="77"/>
        <v>0</v>
      </c>
      <c r="Z80" s="666">
        <f t="shared" si="70"/>
        <v>0</v>
      </c>
      <c r="AA80" s="666">
        <f t="shared" si="71"/>
        <v>0</v>
      </c>
      <c r="AB80" s="666">
        <f t="shared" si="72"/>
        <v>0</v>
      </c>
      <c r="AC80" s="667">
        <f t="shared" si="73"/>
        <v>0</v>
      </c>
      <c r="AD80" s="634"/>
      <c r="AE80" s="634"/>
      <c r="AF80" s="604"/>
      <c r="AG80" s="604"/>
      <c r="AH80" s="604" t="str">
        <f>IFERROR(INDEX('Annex 2_Code'!$J$114:$J$126,MATCH('Annex 3_MAFF'!AF80,'Annex 2_Code'!$G$114:$G$126,0)),"")</f>
        <v/>
      </c>
      <c r="AI80" s="606" t="str">
        <f t="shared" si="75"/>
        <v/>
      </c>
    </row>
    <row r="81" spans="1:35" s="690" customFormat="1" ht="69.75">
      <c r="A81" s="240"/>
      <c r="B81" s="588"/>
      <c r="C81" s="710"/>
      <c r="D81" s="1893"/>
      <c r="E81" s="1887" t="s">
        <v>621</v>
      </c>
      <c r="F81" s="1894"/>
      <c r="G81" s="1895" t="s">
        <v>1094</v>
      </c>
      <c r="H81" s="1393"/>
      <c r="I81" s="1394"/>
      <c r="J81" s="1395"/>
      <c r="K81" s="1396"/>
      <c r="L81" s="1396"/>
      <c r="M81" s="1396"/>
      <c r="N81" s="689"/>
      <c r="O81" s="1367"/>
      <c r="P81" s="1367"/>
      <c r="Q81" s="1367"/>
      <c r="R81" s="1367"/>
      <c r="S81" s="1695">
        <f>SUM(O80:R80)</f>
        <v>24</v>
      </c>
      <c r="T81" s="713"/>
      <c r="U81" s="713"/>
      <c r="V81" s="713"/>
      <c r="W81" s="713"/>
      <c r="X81" s="713"/>
      <c r="Y81" s="1399">
        <f t="shared" si="77"/>
        <v>0</v>
      </c>
      <c r="Z81" s="666">
        <f t="shared" si="70"/>
        <v>0</v>
      </c>
      <c r="AA81" s="666">
        <f t="shared" si="71"/>
        <v>0</v>
      </c>
      <c r="AB81" s="666">
        <f t="shared" si="72"/>
        <v>0</v>
      </c>
      <c r="AC81" s="667">
        <f t="shared" si="73"/>
        <v>0</v>
      </c>
      <c r="AD81" s="634"/>
      <c r="AE81" s="634"/>
      <c r="AF81" s="604"/>
      <c r="AG81" s="604"/>
      <c r="AH81" s="604"/>
      <c r="AI81" s="606"/>
    </row>
    <row r="82" spans="1:35" s="1879" customFormat="1" ht="64.5" customHeight="1">
      <c r="A82" s="1875"/>
      <c r="B82" s="669" t="s">
        <v>1451</v>
      </c>
      <c r="C82" s="1460" t="s">
        <v>41</v>
      </c>
      <c r="D82" s="1896"/>
      <c r="E82" s="1897" t="s">
        <v>622</v>
      </c>
      <c r="F82" s="1898"/>
      <c r="G82" s="1899" t="s">
        <v>1171</v>
      </c>
      <c r="H82" s="1883" t="s">
        <v>832</v>
      </c>
      <c r="I82" s="1740">
        <f>7000/1000</f>
        <v>7</v>
      </c>
      <c r="J82" s="1734">
        <v>0</v>
      </c>
      <c r="K82" s="1734">
        <v>1</v>
      </c>
      <c r="L82" s="1734">
        <v>1</v>
      </c>
      <c r="M82" s="1734">
        <v>0</v>
      </c>
      <c r="N82" s="1878">
        <f t="shared" ref="N82:N87" si="79">SUM(J82:M82)</f>
        <v>2</v>
      </c>
      <c r="O82" s="1519">
        <f t="shared" ref="O82:R83" si="80">($I$82*J82)</f>
        <v>0</v>
      </c>
      <c r="P82" s="1519">
        <f t="shared" si="80"/>
        <v>7</v>
      </c>
      <c r="Q82" s="1519">
        <f t="shared" si="80"/>
        <v>7</v>
      </c>
      <c r="R82" s="1519">
        <f t="shared" si="80"/>
        <v>0</v>
      </c>
      <c r="S82" s="1428">
        <f t="shared" ref="S82:S87" si="81">SUM(O82:R82)</f>
        <v>14</v>
      </c>
      <c r="T82" s="1372">
        <f>IFERROR(INDEX('Annex 2_Code'!I$8:I$33,MATCH('Annex 3_MAFF'!$AG82,'Annex 2_Code'!$G$8:$G$33,0)),"")</f>
        <v>0</v>
      </c>
      <c r="U82" s="1372">
        <f>IFERROR(INDEX('Annex 2_Code'!J$8:J$33,MATCH('Annex 3_MAFF'!$AG82,'Annex 2_Code'!$G$8:$G$33,0)),"")</f>
        <v>0</v>
      </c>
      <c r="V82" s="1372">
        <f>IFERROR(INDEX('Annex 2_Code'!K$8:K$33,MATCH('Annex 3_MAFF'!$AG82,'Annex 2_Code'!$G$8:$G$33,0)),"")</f>
        <v>1</v>
      </c>
      <c r="W82" s="1372">
        <f>IFERROR(INDEX('Annex 2_Code'!L$8:L$33,MATCH('Annex 3_MAFF'!$AG82,'Annex 2_Code'!$G$8:$G$33,0)),"")</f>
        <v>0</v>
      </c>
      <c r="X82" s="1372">
        <f>IFERROR(INDEX('Annex 2_Code'!M$8:M$33,MATCH('Annex 3_MAFF'!$AG82,'Annex 2_Code'!$G$8:$G$33,0)),"")</f>
        <v>0</v>
      </c>
      <c r="Y82" s="1463">
        <f t="shared" ref="Y82:Y89" si="82">IFERROR($S82*T82,"")</f>
        <v>0</v>
      </c>
      <c r="Z82" s="1373">
        <f t="shared" ref="Z82:Z89" si="83">IFERROR($S82*U82,"")</f>
        <v>0</v>
      </c>
      <c r="AA82" s="1373">
        <f t="shared" ref="AA82:AA89" si="84">IFERROR($S82*V82,"")</f>
        <v>14</v>
      </c>
      <c r="AB82" s="1373">
        <f t="shared" ref="AB82:AB89" si="85">IFERROR($S82*W82,"")</f>
        <v>0</v>
      </c>
      <c r="AC82" s="1374">
        <f t="shared" ref="AC82:AC89" si="86">IFERROR($S82*X82,"")</f>
        <v>0</v>
      </c>
      <c r="AD82" s="1375">
        <f t="shared" ref="AD82:AD89" si="87">SUM(Y82:AC82)</f>
        <v>14</v>
      </c>
      <c r="AE82" s="1375">
        <f t="shared" ref="AE82:AE89" si="88">AD82-S82</f>
        <v>0</v>
      </c>
      <c r="AF82" s="1376" t="s">
        <v>293</v>
      </c>
      <c r="AG82" s="605" t="s">
        <v>201</v>
      </c>
      <c r="AH82" s="1376" t="s">
        <v>372</v>
      </c>
      <c r="AI82" s="1377" t="s">
        <v>13</v>
      </c>
    </row>
    <row r="83" spans="1:35" s="1860" customFormat="1" ht="64.5" customHeight="1">
      <c r="A83" s="240"/>
      <c r="B83" s="669" t="s">
        <v>1451</v>
      </c>
      <c r="C83" s="1460" t="s">
        <v>41</v>
      </c>
      <c r="D83" s="1896"/>
      <c r="E83" s="1897" t="s">
        <v>623</v>
      </c>
      <c r="F83" s="1898"/>
      <c r="G83" s="1899" t="s">
        <v>1095</v>
      </c>
      <c r="H83" s="1736" t="s">
        <v>832</v>
      </c>
      <c r="I83" s="1740">
        <f t="shared" ref="I83:I85" si="89">7000/1000</f>
        <v>7</v>
      </c>
      <c r="J83" s="1737">
        <v>0</v>
      </c>
      <c r="K83" s="1737">
        <v>0</v>
      </c>
      <c r="L83" s="1737">
        <v>1</v>
      </c>
      <c r="M83" s="1737">
        <v>0</v>
      </c>
      <c r="N83" s="698">
        <f t="shared" ref="N83" si="90">SUM(J83:M83)</f>
        <v>1</v>
      </c>
      <c r="O83" s="1519">
        <f t="shared" si="80"/>
        <v>0</v>
      </c>
      <c r="P83" s="1519">
        <f t="shared" si="80"/>
        <v>0</v>
      </c>
      <c r="Q83" s="1519">
        <f t="shared" si="80"/>
        <v>7</v>
      </c>
      <c r="R83" s="1519">
        <f t="shared" si="80"/>
        <v>0</v>
      </c>
      <c r="S83" s="1428">
        <f t="shared" ref="S83" si="91">SUM(O83:R83)</f>
        <v>7</v>
      </c>
      <c r="T83" s="1372">
        <f>IFERROR(INDEX('Annex 2_Code'!I$8:I$33,MATCH('Annex 3_MAFF'!$AG83,'Annex 2_Code'!$G$8:$G$33,0)),"")</f>
        <v>0</v>
      </c>
      <c r="U83" s="1372">
        <f>IFERROR(INDEX('Annex 2_Code'!J$8:J$33,MATCH('Annex 3_MAFF'!$AG83,'Annex 2_Code'!$G$8:$G$33,0)),"")</f>
        <v>0</v>
      </c>
      <c r="V83" s="1372">
        <f>IFERROR(INDEX('Annex 2_Code'!K$8:K$33,MATCH('Annex 3_MAFF'!$AG83,'Annex 2_Code'!$G$8:$G$33,0)),"")</f>
        <v>1</v>
      </c>
      <c r="W83" s="1372">
        <f>IFERROR(INDEX('Annex 2_Code'!L$8:L$33,MATCH('Annex 3_MAFF'!$AG83,'Annex 2_Code'!$G$8:$G$33,0)),"")</f>
        <v>0</v>
      </c>
      <c r="X83" s="1372">
        <f>IFERROR(INDEX('Annex 2_Code'!M$8:M$33,MATCH('Annex 3_MAFF'!$AG83,'Annex 2_Code'!$G$8:$G$33,0)),"")</f>
        <v>0</v>
      </c>
      <c r="Y83" s="1463">
        <f t="shared" ref="Y83" si="92">IFERROR($S83*T83,"")</f>
        <v>0</v>
      </c>
      <c r="Z83" s="1373">
        <f t="shared" ref="Z83" si="93">IFERROR($S83*U83,"")</f>
        <v>0</v>
      </c>
      <c r="AA83" s="1373">
        <f t="shared" ref="AA83" si="94">IFERROR($S83*V83,"")</f>
        <v>7</v>
      </c>
      <c r="AB83" s="1373">
        <f t="shared" ref="AB83" si="95">IFERROR($S83*W83,"")</f>
        <v>0</v>
      </c>
      <c r="AC83" s="1374">
        <f t="shared" ref="AC83" si="96">IFERROR($S83*X83,"")</f>
        <v>0</v>
      </c>
      <c r="AD83" s="1375">
        <f t="shared" ref="AD83" si="97">SUM(Y83:AC83)</f>
        <v>7</v>
      </c>
      <c r="AE83" s="1375">
        <f t="shared" ref="AE83" si="98">AD83-S83</f>
        <v>0</v>
      </c>
      <c r="AF83" s="1376" t="s">
        <v>293</v>
      </c>
      <c r="AG83" s="605" t="s">
        <v>201</v>
      </c>
      <c r="AH83" s="1376" t="s">
        <v>372</v>
      </c>
      <c r="AI83" s="1377" t="s">
        <v>13</v>
      </c>
    </row>
    <row r="84" spans="1:35" s="1860" customFormat="1" ht="92.25" customHeight="1">
      <c r="A84" s="240"/>
      <c r="B84" s="669" t="s">
        <v>1451</v>
      </c>
      <c r="C84" s="669" t="s">
        <v>41</v>
      </c>
      <c r="D84" s="1896"/>
      <c r="E84" s="1897" t="s">
        <v>624</v>
      </c>
      <c r="F84" s="1898"/>
      <c r="G84" s="1899" t="s">
        <v>1096</v>
      </c>
      <c r="H84" s="1736" t="s">
        <v>832</v>
      </c>
      <c r="I84" s="1740">
        <f t="shared" si="89"/>
        <v>7</v>
      </c>
      <c r="J84" s="1737">
        <v>0</v>
      </c>
      <c r="K84" s="1737">
        <v>0</v>
      </c>
      <c r="L84" s="1737">
        <v>1</v>
      </c>
      <c r="M84" s="1737">
        <v>0</v>
      </c>
      <c r="N84" s="698">
        <f t="shared" si="79"/>
        <v>1</v>
      </c>
      <c r="O84" s="1572">
        <f>($I$84*J84)</f>
        <v>0</v>
      </c>
      <c r="P84" s="1572">
        <f>($I$84*K84)</f>
        <v>0</v>
      </c>
      <c r="Q84" s="1572">
        <f>($I$84*L84)</f>
        <v>7</v>
      </c>
      <c r="R84" s="1572">
        <f>($I$84*M84)</f>
        <v>0</v>
      </c>
      <c r="S84" s="1428">
        <f t="shared" si="81"/>
        <v>7</v>
      </c>
      <c r="T84" s="763">
        <f>IFERROR(INDEX('Annex 2_Code'!I$8:I$33,MATCH('Annex 3_MAFF'!$AG84,'Annex 2_Code'!$G$8:$G$33,0)),"")</f>
        <v>0</v>
      </c>
      <c r="U84" s="763">
        <f>IFERROR(INDEX('Annex 2_Code'!J$8:J$33,MATCH('Annex 3_MAFF'!$AG84,'Annex 2_Code'!$G$8:$G$33,0)),"")</f>
        <v>0</v>
      </c>
      <c r="V84" s="763">
        <f>IFERROR(INDEX('Annex 2_Code'!K$8:K$33,MATCH('Annex 3_MAFF'!$AG84,'Annex 2_Code'!$G$8:$G$33,0)),"")</f>
        <v>1</v>
      </c>
      <c r="W84" s="763">
        <f>IFERROR(INDEX('Annex 2_Code'!L$8:L$33,MATCH('Annex 3_MAFF'!$AG84,'Annex 2_Code'!$G$8:$G$33,0)),"")</f>
        <v>0</v>
      </c>
      <c r="X84" s="763">
        <f>IFERROR(INDEX('Annex 2_Code'!M$8:M$33,MATCH('Annex 3_MAFF'!$AG84,'Annex 2_Code'!$G$8:$G$33,0)),"")</f>
        <v>0</v>
      </c>
      <c r="Y84" s="1745">
        <f t="shared" si="82"/>
        <v>0</v>
      </c>
      <c r="Z84" s="807">
        <f t="shared" si="83"/>
        <v>0</v>
      </c>
      <c r="AA84" s="807">
        <f t="shared" si="84"/>
        <v>7</v>
      </c>
      <c r="AB84" s="807">
        <f t="shared" si="85"/>
        <v>0</v>
      </c>
      <c r="AC84" s="808">
        <f t="shared" si="86"/>
        <v>0</v>
      </c>
      <c r="AD84" s="764">
        <f t="shared" si="87"/>
        <v>7</v>
      </c>
      <c r="AE84" s="764">
        <f t="shared" si="88"/>
        <v>0</v>
      </c>
      <c r="AF84" s="1376" t="s">
        <v>293</v>
      </c>
      <c r="AG84" s="605" t="s">
        <v>201</v>
      </c>
      <c r="AH84" s="605" t="s">
        <v>372</v>
      </c>
      <c r="AI84" s="646" t="s">
        <v>13</v>
      </c>
    </row>
    <row r="85" spans="1:35" s="1860" customFormat="1" ht="93">
      <c r="A85" s="240"/>
      <c r="B85" s="669" t="s">
        <v>1451</v>
      </c>
      <c r="C85" s="669" t="s">
        <v>41</v>
      </c>
      <c r="D85" s="1896"/>
      <c r="E85" s="1897" t="s">
        <v>625</v>
      </c>
      <c r="F85" s="1898"/>
      <c r="G85" s="1899" t="s">
        <v>1083</v>
      </c>
      <c r="H85" s="1736" t="s">
        <v>832</v>
      </c>
      <c r="I85" s="1740">
        <f t="shared" si="89"/>
        <v>7</v>
      </c>
      <c r="J85" s="1737">
        <v>0</v>
      </c>
      <c r="K85" s="1737">
        <v>0</v>
      </c>
      <c r="L85" s="1737">
        <v>1</v>
      </c>
      <c r="M85" s="1737">
        <v>0</v>
      </c>
      <c r="N85" s="698">
        <f t="shared" si="79"/>
        <v>1</v>
      </c>
      <c r="O85" s="1572">
        <f>($I$85*J85)</f>
        <v>0</v>
      </c>
      <c r="P85" s="1572">
        <f>($I$85*K85)</f>
        <v>0</v>
      </c>
      <c r="Q85" s="1572">
        <f>($I$85*L85)</f>
        <v>7</v>
      </c>
      <c r="R85" s="1572">
        <f>($I$85*M85)</f>
        <v>0</v>
      </c>
      <c r="S85" s="1428">
        <f t="shared" si="81"/>
        <v>7</v>
      </c>
      <c r="T85" s="763">
        <f>IFERROR(INDEX('Annex 2_Code'!I$8:I$33,MATCH('Annex 3_MAFF'!$AG85,'Annex 2_Code'!$G$8:$G$33,0)),"")</f>
        <v>0</v>
      </c>
      <c r="U85" s="763">
        <f>IFERROR(INDEX('Annex 2_Code'!J$8:J$33,MATCH('Annex 3_MAFF'!$AG85,'Annex 2_Code'!$G$8:$G$33,0)),"")</f>
        <v>0</v>
      </c>
      <c r="V85" s="763">
        <f>IFERROR(INDEX('Annex 2_Code'!K$8:K$33,MATCH('Annex 3_MAFF'!$AG85,'Annex 2_Code'!$G$8:$G$33,0)),"")</f>
        <v>1</v>
      </c>
      <c r="W85" s="763">
        <f>IFERROR(INDEX('Annex 2_Code'!L$8:L$33,MATCH('Annex 3_MAFF'!$AG85,'Annex 2_Code'!$G$8:$G$33,0)),"")</f>
        <v>0</v>
      </c>
      <c r="X85" s="763">
        <f>IFERROR(INDEX('Annex 2_Code'!M$8:M$33,MATCH('Annex 3_MAFF'!$AG85,'Annex 2_Code'!$G$8:$G$33,0)),"")</f>
        <v>0</v>
      </c>
      <c r="Y85" s="1745">
        <f t="shared" si="82"/>
        <v>0</v>
      </c>
      <c r="Z85" s="807">
        <f t="shared" si="83"/>
        <v>0</v>
      </c>
      <c r="AA85" s="807">
        <f t="shared" si="84"/>
        <v>7</v>
      </c>
      <c r="AB85" s="807">
        <f t="shared" si="85"/>
        <v>0</v>
      </c>
      <c r="AC85" s="808">
        <f t="shared" si="86"/>
        <v>0</v>
      </c>
      <c r="AD85" s="764">
        <f t="shared" si="87"/>
        <v>7</v>
      </c>
      <c r="AE85" s="764">
        <f t="shared" si="88"/>
        <v>0</v>
      </c>
      <c r="AF85" s="1376" t="s">
        <v>293</v>
      </c>
      <c r="AG85" s="605" t="s">
        <v>201</v>
      </c>
      <c r="AH85" s="605" t="s">
        <v>372</v>
      </c>
      <c r="AI85" s="646" t="s">
        <v>13</v>
      </c>
    </row>
    <row r="86" spans="1:35" s="1860" customFormat="1" ht="46.5">
      <c r="A86" s="240"/>
      <c r="B86" s="669" t="s">
        <v>1451</v>
      </c>
      <c r="C86" s="669" t="s">
        <v>41</v>
      </c>
      <c r="D86" s="1900"/>
      <c r="E86" s="1897" t="s">
        <v>1209</v>
      </c>
      <c r="F86" s="1901"/>
      <c r="G86" s="1884" t="s">
        <v>1084</v>
      </c>
      <c r="H86" s="1454" t="s">
        <v>832</v>
      </c>
      <c r="I86" s="1740">
        <f>7000/1000</f>
        <v>7</v>
      </c>
      <c r="J86" s="1734">
        <v>0</v>
      </c>
      <c r="K86" s="1734">
        <v>0</v>
      </c>
      <c r="L86" s="1734">
        <v>1</v>
      </c>
      <c r="M86" s="1734">
        <v>0</v>
      </c>
      <c r="N86" s="1735">
        <f t="shared" si="79"/>
        <v>1</v>
      </c>
      <c r="O86" s="1572">
        <f>($I$86*J86)</f>
        <v>0</v>
      </c>
      <c r="P86" s="1572">
        <f>($I$86*K86)</f>
        <v>0</v>
      </c>
      <c r="Q86" s="1572">
        <f>($I$86*L86)</f>
        <v>7</v>
      </c>
      <c r="R86" s="1572">
        <f>($I$86*M86)</f>
        <v>0</v>
      </c>
      <c r="S86" s="1428">
        <f t="shared" si="81"/>
        <v>7</v>
      </c>
      <c r="T86" s="763">
        <f>IFERROR(INDEX('Annex 2_Code'!I$8:I$33,MATCH('Annex 3_MAFF'!$AG86,'Annex 2_Code'!$G$8:$G$33,0)),"")</f>
        <v>0</v>
      </c>
      <c r="U86" s="763">
        <f>IFERROR(INDEX('Annex 2_Code'!J$8:J$33,MATCH('Annex 3_MAFF'!$AG86,'Annex 2_Code'!$G$8:$G$33,0)),"")</f>
        <v>0</v>
      </c>
      <c r="V86" s="763">
        <f>IFERROR(INDEX('Annex 2_Code'!K$8:K$33,MATCH('Annex 3_MAFF'!$AG86,'Annex 2_Code'!$G$8:$G$33,0)),"")</f>
        <v>1</v>
      </c>
      <c r="W86" s="763">
        <f>IFERROR(INDEX('Annex 2_Code'!L$8:L$33,MATCH('Annex 3_MAFF'!$AG86,'Annex 2_Code'!$G$8:$G$33,0)),"")</f>
        <v>0</v>
      </c>
      <c r="X86" s="763">
        <f>IFERROR(INDEX('Annex 2_Code'!M$8:M$33,MATCH('Annex 3_MAFF'!$AG86,'Annex 2_Code'!$G$8:$G$33,0)),"")</f>
        <v>0</v>
      </c>
      <c r="Y86" s="1745">
        <f t="shared" si="82"/>
        <v>0</v>
      </c>
      <c r="Z86" s="807">
        <f t="shared" si="83"/>
        <v>0</v>
      </c>
      <c r="AA86" s="807">
        <f t="shared" si="84"/>
        <v>7</v>
      </c>
      <c r="AB86" s="807">
        <f t="shared" si="85"/>
        <v>0</v>
      </c>
      <c r="AC86" s="808">
        <f t="shared" si="86"/>
        <v>0</v>
      </c>
      <c r="AD86" s="764">
        <f t="shared" si="87"/>
        <v>7</v>
      </c>
      <c r="AE86" s="764">
        <f t="shared" si="88"/>
        <v>0</v>
      </c>
      <c r="AF86" s="1376" t="s">
        <v>293</v>
      </c>
      <c r="AG86" s="605" t="s">
        <v>201</v>
      </c>
      <c r="AH86" s="605" t="s">
        <v>372</v>
      </c>
      <c r="AI86" s="646" t="s">
        <v>13</v>
      </c>
    </row>
    <row r="87" spans="1:35" s="1378" customFormat="1" ht="69.75">
      <c r="A87" s="1518"/>
      <c r="B87" s="669" t="s">
        <v>1451</v>
      </c>
      <c r="C87" s="669" t="s">
        <v>41</v>
      </c>
      <c r="D87" s="1900"/>
      <c r="E87" s="1897" t="s">
        <v>1210</v>
      </c>
      <c r="F87" s="1901"/>
      <c r="G87" s="1884" t="s">
        <v>1192</v>
      </c>
      <c r="H87" s="1730" t="s">
        <v>848</v>
      </c>
      <c r="I87" s="1739">
        <v>0.25</v>
      </c>
      <c r="J87" s="1734">
        <v>0</v>
      </c>
      <c r="K87" s="1734">
        <v>0</v>
      </c>
      <c r="L87" s="1734">
        <v>24</v>
      </c>
      <c r="M87" s="1734">
        <f>6*4</f>
        <v>24</v>
      </c>
      <c r="N87" s="1735">
        <f t="shared" si="79"/>
        <v>48</v>
      </c>
      <c r="O87" s="1572">
        <f>($I$87*J87)</f>
        <v>0</v>
      </c>
      <c r="P87" s="1572">
        <f>($I$87*K87)</f>
        <v>0</v>
      </c>
      <c r="Q87" s="1572">
        <f>L87*I87</f>
        <v>6</v>
      </c>
      <c r="R87" s="1572">
        <f>($I$87*M87)</f>
        <v>6</v>
      </c>
      <c r="S87" s="1428">
        <f t="shared" si="81"/>
        <v>12</v>
      </c>
      <c r="T87" s="599">
        <f>IFERROR(INDEX('Annex 2_Code'!I$8:I$33,MATCH('Annex 3_MAFF'!$AG87,'Annex 2_Code'!$G$8:$G$33,0)),"")</f>
        <v>0</v>
      </c>
      <c r="U87" s="599">
        <f>IFERROR(INDEX('Annex 2_Code'!J$8:J$33,MATCH('Annex 3_MAFF'!$AG87,'Annex 2_Code'!$G$8:$G$33,0)),"")</f>
        <v>0</v>
      </c>
      <c r="V87" s="599">
        <f>IFERROR(INDEX('Annex 2_Code'!K$8:K$33,MATCH('Annex 3_MAFF'!$AG87,'Annex 2_Code'!$G$8:$G$33,0)),"")</f>
        <v>1</v>
      </c>
      <c r="W87" s="599">
        <f>IFERROR(INDEX('Annex 2_Code'!L$8:L$33,MATCH('Annex 3_MAFF'!$AG87,'Annex 2_Code'!$G$8:$G$33,0)),"")</f>
        <v>0</v>
      </c>
      <c r="X87" s="599">
        <f>IFERROR(INDEX('Annex 2_Code'!M$8:M$33,MATCH('Annex 3_MAFF'!$AG87,'Annex 2_Code'!$G$8:$G$33,0)),"")</f>
        <v>0</v>
      </c>
      <c r="Y87" s="647">
        <f t="shared" si="82"/>
        <v>0</v>
      </c>
      <c r="Z87" s="600">
        <f t="shared" si="83"/>
        <v>0</v>
      </c>
      <c r="AA87" s="600">
        <f t="shared" si="84"/>
        <v>12</v>
      </c>
      <c r="AB87" s="600">
        <f t="shared" si="85"/>
        <v>0</v>
      </c>
      <c r="AC87" s="601">
        <f t="shared" si="86"/>
        <v>0</v>
      </c>
      <c r="AD87" s="602">
        <f t="shared" si="87"/>
        <v>12</v>
      </c>
      <c r="AE87" s="602">
        <f t="shared" si="88"/>
        <v>0</v>
      </c>
      <c r="AF87" s="1376" t="s">
        <v>293</v>
      </c>
      <c r="AG87" s="605" t="s">
        <v>201</v>
      </c>
      <c r="AH87" s="605" t="s">
        <v>372</v>
      </c>
      <c r="AI87" s="624" t="s">
        <v>13</v>
      </c>
    </row>
    <row r="88" spans="1:35" s="690" customFormat="1" ht="33.75" customHeight="1">
      <c r="A88" s="240"/>
      <c r="B88" s="659"/>
      <c r="C88" s="669"/>
      <c r="D88" s="1893"/>
      <c r="E88" s="1902" t="s">
        <v>626</v>
      </c>
      <c r="F88" s="1903"/>
      <c r="G88" s="1895" t="s">
        <v>849</v>
      </c>
      <c r="H88" s="1398"/>
      <c r="I88" s="1397"/>
      <c r="J88" s="1387"/>
      <c r="K88" s="1387"/>
      <c r="L88" s="1387"/>
      <c r="M88" s="1387"/>
      <c r="N88" s="689"/>
      <c r="O88" s="702"/>
      <c r="P88" s="702"/>
      <c r="Q88" s="702"/>
      <c r="R88" s="702"/>
      <c r="S88" s="1415"/>
      <c r="T88" s="599" t="str">
        <f>IFERROR(INDEX('Annex 2_Code'!I$8:I$33,MATCH('Annex 3_MAFF'!$AG88,'Annex 2_Code'!$G$8:$G$33,0)),"")</f>
        <v/>
      </c>
      <c r="U88" s="599" t="str">
        <f>IFERROR(INDEX('Annex 2_Code'!J$8:J$33,MATCH('Annex 3_MAFF'!$AG88,'Annex 2_Code'!$G$8:$G$33,0)),"")</f>
        <v/>
      </c>
      <c r="V88" s="599" t="str">
        <f>IFERROR(INDEX('Annex 2_Code'!K$8:K$33,MATCH('Annex 3_MAFF'!$AG88,'Annex 2_Code'!$G$8:$G$33,0)),"")</f>
        <v/>
      </c>
      <c r="W88" s="599" t="str">
        <f>IFERROR(INDEX('Annex 2_Code'!L$8:L$33,MATCH('Annex 3_MAFF'!$AG88,'Annex 2_Code'!$G$8:$G$33,0)),"")</f>
        <v/>
      </c>
      <c r="X88" s="599" t="str">
        <f>IFERROR(INDEX('Annex 2_Code'!M$8:M$33,MATCH('Annex 3_MAFF'!$AG88,'Annex 2_Code'!$G$8:$G$33,0)),"")</f>
        <v/>
      </c>
      <c r="Y88" s="647" t="str">
        <f t="shared" si="82"/>
        <v/>
      </c>
      <c r="Z88" s="600" t="str">
        <f t="shared" si="83"/>
        <v/>
      </c>
      <c r="AA88" s="600" t="str">
        <f t="shared" si="84"/>
        <v/>
      </c>
      <c r="AB88" s="600" t="str">
        <f t="shared" si="85"/>
        <v/>
      </c>
      <c r="AC88" s="601" t="str">
        <f t="shared" si="86"/>
        <v/>
      </c>
      <c r="AD88" s="602">
        <f t="shared" si="87"/>
        <v>0</v>
      </c>
      <c r="AE88" s="602">
        <f t="shared" si="88"/>
        <v>0</v>
      </c>
      <c r="AF88" s="1376"/>
      <c r="AG88" s="605"/>
      <c r="AH88" s="605"/>
      <c r="AI88" s="624"/>
    </row>
    <row r="89" spans="1:35" s="1879" customFormat="1" ht="46.5">
      <c r="A89" s="1875"/>
      <c r="B89" s="669" t="s">
        <v>1451</v>
      </c>
      <c r="C89" s="1460" t="s">
        <v>41</v>
      </c>
      <c r="D89" s="1896"/>
      <c r="E89" s="2463" t="s">
        <v>1618</v>
      </c>
      <c r="F89" s="1898"/>
      <c r="G89" s="1899" t="s">
        <v>1200</v>
      </c>
      <c r="H89" s="1876" t="s">
        <v>850</v>
      </c>
      <c r="I89" s="1880">
        <v>8</v>
      </c>
      <c r="J89" s="1877">
        <v>0</v>
      </c>
      <c r="K89" s="1877">
        <v>1</v>
      </c>
      <c r="L89" s="1877">
        <v>0</v>
      </c>
      <c r="M89" s="1881">
        <v>0</v>
      </c>
      <c r="N89" s="1878">
        <f>SUM(J89:M89)</f>
        <v>1</v>
      </c>
      <c r="O89" s="1882">
        <f>($I$89*J89)</f>
        <v>0</v>
      </c>
      <c r="P89" s="1882">
        <f>($I$89*K89)</f>
        <v>8</v>
      </c>
      <c r="Q89" s="1882">
        <f>($I$89*L89)</f>
        <v>0</v>
      </c>
      <c r="R89" s="1882">
        <f>($I$89*M89)</f>
        <v>0</v>
      </c>
      <c r="S89" s="1415">
        <f>SUM(O89:R89)</f>
        <v>8</v>
      </c>
      <c r="T89" s="1372">
        <f>IFERROR(INDEX('Annex 2_Code'!I$8:I$33,MATCH('Annex 3_MAFF'!$AG89,'Annex 2_Code'!$G$8:$G$33,0)),"")</f>
        <v>0</v>
      </c>
      <c r="U89" s="1372">
        <f>IFERROR(INDEX('Annex 2_Code'!J$8:J$33,MATCH('Annex 3_MAFF'!$AG89,'Annex 2_Code'!$G$8:$G$33,0)),"")</f>
        <v>0</v>
      </c>
      <c r="V89" s="1372">
        <f>IFERROR(INDEX('Annex 2_Code'!K$8:K$33,MATCH('Annex 3_MAFF'!$AG89,'Annex 2_Code'!$G$8:$G$33,0)),"")</f>
        <v>1</v>
      </c>
      <c r="W89" s="1372">
        <f>IFERROR(INDEX('Annex 2_Code'!L$8:L$33,MATCH('Annex 3_MAFF'!$AG89,'Annex 2_Code'!$G$8:$G$33,0)),"")</f>
        <v>0</v>
      </c>
      <c r="X89" s="1372">
        <f>IFERROR(INDEX('Annex 2_Code'!M$8:M$33,MATCH('Annex 3_MAFF'!$AG89,'Annex 2_Code'!$G$8:$G$33,0)),"")</f>
        <v>0</v>
      </c>
      <c r="Y89" s="1463">
        <f t="shared" si="82"/>
        <v>0</v>
      </c>
      <c r="Z89" s="1373">
        <f t="shared" si="83"/>
        <v>0</v>
      </c>
      <c r="AA89" s="1373">
        <f t="shared" si="84"/>
        <v>8</v>
      </c>
      <c r="AB89" s="1373">
        <f t="shared" si="85"/>
        <v>0</v>
      </c>
      <c r="AC89" s="1374">
        <f t="shared" si="86"/>
        <v>0</v>
      </c>
      <c r="AD89" s="1375">
        <f t="shared" si="87"/>
        <v>8</v>
      </c>
      <c r="AE89" s="1375">
        <f t="shared" si="88"/>
        <v>0</v>
      </c>
      <c r="AF89" s="1376" t="s">
        <v>293</v>
      </c>
      <c r="AG89" s="605" t="s">
        <v>201</v>
      </c>
      <c r="AH89" s="1376" t="s">
        <v>372</v>
      </c>
      <c r="AI89" s="1377" t="s">
        <v>13</v>
      </c>
    </row>
    <row r="90" spans="1:35" s="1457" customFormat="1" ht="21.75" customHeight="1">
      <c r="A90" s="1456"/>
      <c r="B90" s="659"/>
      <c r="C90" s="669"/>
      <c r="D90" s="1904"/>
      <c r="E90" s="1905"/>
      <c r="F90" s="1906"/>
      <c r="G90" s="1907" t="s">
        <v>815</v>
      </c>
      <c r="H90" s="1400"/>
      <c r="I90" s="1401">
        <f>SUM(I82:I86)</f>
        <v>35</v>
      </c>
      <c r="J90" s="1402">
        <f t="shared" ref="J90:R90" si="99">SUM(J82:J89)</f>
        <v>0</v>
      </c>
      <c r="K90" s="1402">
        <f t="shared" si="99"/>
        <v>2</v>
      </c>
      <c r="L90" s="1402">
        <f t="shared" si="99"/>
        <v>29</v>
      </c>
      <c r="M90" s="1402">
        <f t="shared" si="99"/>
        <v>24</v>
      </c>
      <c r="N90" s="1401">
        <f>SUM(N82:N89)</f>
        <v>55</v>
      </c>
      <c r="O90" s="1555">
        <f t="shared" si="99"/>
        <v>0</v>
      </c>
      <c r="P90" s="1555">
        <f t="shared" si="99"/>
        <v>15</v>
      </c>
      <c r="Q90" s="1555">
        <f t="shared" si="99"/>
        <v>41</v>
      </c>
      <c r="R90" s="1555">
        <f t="shared" si="99"/>
        <v>6</v>
      </c>
      <c r="S90" s="1416">
        <f>SUM(S82:S89)</f>
        <v>62</v>
      </c>
      <c r="T90" s="1750"/>
      <c r="U90" s="1750"/>
      <c r="V90" s="1750"/>
      <c r="W90" s="1750"/>
      <c r="X90" s="1750"/>
      <c r="Y90" s="1751"/>
      <c r="Z90" s="1752"/>
      <c r="AA90" s="1752"/>
      <c r="AB90" s="1752"/>
      <c r="AC90" s="1753"/>
      <c r="AD90" s="1433"/>
      <c r="AE90" s="1433"/>
      <c r="AF90" s="1754"/>
      <c r="AG90" s="604"/>
      <c r="AH90" s="1754"/>
      <c r="AI90" s="1755"/>
    </row>
    <row r="91" spans="1:35" s="1457" customFormat="1" ht="21.75" customHeight="1">
      <c r="A91" s="1456"/>
      <c r="B91" s="659"/>
      <c r="C91" s="669"/>
      <c r="D91" s="1893"/>
      <c r="E91" s="1887" t="s">
        <v>816</v>
      </c>
      <c r="F91" s="1894"/>
      <c r="G91" s="1908" t="s">
        <v>1199</v>
      </c>
      <c r="H91" s="1370"/>
      <c r="I91" s="653"/>
      <c r="J91" s="1368"/>
      <c r="K91" s="1369"/>
      <c r="L91" s="1369"/>
      <c r="M91" s="1369"/>
      <c r="N91" s="689"/>
      <c r="O91" s="1458"/>
      <c r="P91" s="1458"/>
      <c r="Q91" s="1458"/>
      <c r="R91" s="1458"/>
      <c r="S91" s="1415"/>
      <c r="T91" s="1750"/>
      <c r="U91" s="1750"/>
      <c r="V91" s="1750"/>
      <c r="W91" s="1750"/>
      <c r="X91" s="1750"/>
      <c r="Y91" s="1751"/>
      <c r="Z91" s="1752"/>
      <c r="AA91" s="1752"/>
      <c r="AB91" s="1752"/>
      <c r="AC91" s="1753"/>
      <c r="AD91" s="1433"/>
      <c r="AE91" s="1433"/>
      <c r="AF91" s="1754"/>
      <c r="AG91" s="604"/>
      <c r="AH91" s="1754"/>
      <c r="AI91" s="1755"/>
    </row>
    <row r="92" spans="1:35" s="1378" customFormat="1" ht="46.5">
      <c r="A92" s="1518"/>
      <c r="B92" s="669" t="s">
        <v>1451</v>
      </c>
      <c r="C92" s="669" t="s">
        <v>41</v>
      </c>
      <c r="D92" s="1900"/>
      <c r="E92" s="1909" t="s">
        <v>817</v>
      </c>
      <c r="F92" s="1910"/>
      <c r="G92" s="1884" t="s">
        <v>1085</v>
      </c>
      <c r="H92" s="1454" t="s">
        <v>837</v>
      </c>
      <c r="I92" s="1733">
        <v>3</v>
      </c>
      <c r="J92" s="1734">
        <v>0</v>
      </c>
      <c r="K92" s="1734">
        <v>0</v>
      </c>
      <c r="L92" s="1734">
        <v>2</v>
      </c>
      <c r="M92" s="1734">
        <v>2</v>
      </c>
      <c r="N92" s="1735">
        <f>SUM(J92:M92)</f>
        <v>4</v>
      </c>
      <c r="O92" s="1572">
        <f>($I$92*J92)</f>
        <v>0</v>
      </c>
      <c r="P92" s="1572">
        <f>($I$92*K92)</f>
        <v>0</v>
      </c>
      <c r="Q92" s="1572">
        <f>($I$92*L92)</f>
        <v>6</v>
      </c>
      <c r="R92" s="1519">
        <f>($I$92*M92)</f>
        <v>6</v>
      </c>
      <c r="S92" s="1418">
        <f>SUM(O92:R92)</f>
        <v>12</v>
      </c>
      <c r="T92" s="599">
        <f>IFERROR(INDEX('Annex 2_Code'!I$8:I$33,MATCH('Annex 3_MAFF'!$AG92,'Annex 2_Code'!$G$8:$G$33,0)),"")</f>
        <v>0</v>
      </c>
      <c r="U92" s="599">
        <f>IFERROR(INDEX('Annex 2_Code'!J$8:J$33,MATCH('Annex 3_MAFF'!$AG92,'Annex 2_Code'!$G$8:$G$33,0)),"")</f>
        <v>0</v>
      </c>
      <c r="V92" s="599">
        <f>IFERROR(INDEX('Annex 2_Code'!K$8:K$33,MATCH('Annex 3_MAFF'!$AG92,'Annex 2_Code'!$G$8:$G$33,0)),"")</f>
        <v>1</v>
      </c>
      <c r="W92" s="599">
        <f>IFERROR(INDEX('Annex 2_Code'!L$8:L$33,MATCH('Annex 3_MAFF'!$AG92,'Annex 2_Code'!$G$8:$G$33,0)),"")</f>
        <v>0</v>
      </c>
      <c r="X92" s="599">
        <f>IFERROR(INDEX('Annex 2_Code'!M$8:M$33,MATCH('Annex 3_MAFF'!$AG92,'Annex 2_Code'!$G$8:$G$33,0)),"")</f>
        <v>0</v>
      </c>
      <c r="Y92" s="647">
        <f>IFERROR($S92*T92,"")</f>
        <v>0</v>
      </c>
      <c r="Z92" s="600">
        <f>IFERROR($S92*U92,"")</f>
        <v>0</v>
      </c>
      <c r="AA92" s="600">
        <f>IFERROR($S92*V92,"")</f>
        <v>12</v>
      </c>
      <c r="AB92" s="600">
        <f>IFERROR($S92*W92,"")</f>
        <v>0</v>
      </c>
      <c r="AC92" s="601">
        <f>IFERROR($S92*X92,"")</f>
        <v>0</v>
      </c>
      <c r="AD92" s="602">
        <f>SUM(Y92:AC92)</f>
        <v>12</v>
      </c>
      <c r="AE92" s="602">
        <f>AD92-S92</f>
        <v>0</v>
      </c>
      <c r="AF92" s="1376" t="s">
        <v>293</v>
      </c>
      <c r="AG92" s="605" t="s">
        <v>201</v>
      </c>
      <c r="AH92" s="605" t="s">
        <v>372</v>
      </c>
      <c r="AI92" s="624" t="s">
        <v>13</v>
      </c>
    </row>
    <row r="93" spans="1:35" s="1457" customFormat="1" ht="21.75" customHeight="1">
      <c r="A93" s="1456"/>
      <c r="B93" s="1701"/>
      <c r="C93" s="1701"/>
      <c r="D93" s="1904"/>
      <c r="E93" s="1905"/>
      <c r="F93" s="1906"/>
      <c r="G93" s="1907" t="s">
        <v>815</v>
      </c>
      <c r="H93" s="1459"/>
      <c r="I93" s="1401">
        <f t="shared" ref="I93:N93" si="100">SUM(I92:I92)</f>
        <v>3</v>
      </c>
      <c r="J93" s="1402">
        <f t="shared" si="100"/>
        <v>0</v>
      </c>
      <c r="K93" s="1402">
        <f t="shared" si="100"/>
        <v>0</v>
      </c>
      <c r="L93" s="1402">
        <f t="shared" si="100"/>
        <v>2</v>
      </c>
      <c r="M93" s="1402">
        <f t="shared" si="100"/>
        <v>2</v>
      </c>
      <c r="N93" s="1401">
        <f t="shared" si="100"/>
        <v>4</v>
      </c>
      <c r="O93" s="1555">
        <f>SUM(O92)</f>
        <v>0</v>
      </c>
      <c r="P93" s="1555">
        <f>SUM(P92)</f>
        <v>0</v>
      </c>
      <c r="Q93" s="1555">
        <f>SUM(Q92)</f>
        <v>6</v>
      </c>
      <c r="R93" s="1555">
        <f>SUM(R92)</f>
        <v>6</v>
      </c>
      <c r="S93" s="1416">
        <f>SUM(S92)</f>
        <v>12</v>
      </c>
      <c r="T93" s="1750"/>
      <c r="U93" s="1750"/>
      <c r="V93" s="1750"/>
      <c r="W93" s="1750"/>
      <c r="X93" s="1750"/>
      <c r="Y93" s="1751"/>
      <c r="Z93" s="1752"/>
      <c r="AA93" s="1752"/>
      <c r="AB93" s="1752"/>
      <c r="AC93" s="1753"/>
      <c r="AD93" s="1433"/>
      <c r="AE93" s="1433"/>
      <c r="AF93" s="1754"/>
      <c r="AG93" s="604"/>
      <c r="AH93" s="1754"/>
      <c r="AI93" s="1755"/>
    </row>
    <row r="94" spans="1:35" s="607" customFormat="1" ht="16.5">
      <c r="A94" s="587"/>
      <c r="B94" s="613" t="s">
        <v>54</v>
      </c>
      <c r="C94" s="613"/>
      <c r="D94" s="608" t="s">
        <v>688</v>
      </c>
      <c r="E94" s="609"/>
      <c r="F94" s="610"/>
      <c r="G94" s="611"/>
      <c r="H94" s="627"/>
      <c r="I94" s="628"/>
      <c r="J94" s="629">
        <f>SUM(J93,J90,J80,J74,J68,J62,J56,J41,)</f>
        <v>6.2</v>
      </c>
      <c r="K94" s="630">
        <f t="shared" ref="K94:M94" si="101">SUM(K93,K90,K80,K74,K68,K62,K56,K41,)</f>
        <v>19</v>
      </c>
      <c r="L94" s="630">
        <f t="shared" si="101"/>
        <v>52</v>
      </c>
      <c r="M94" s="630">
        <f t="shared" si="101"/>
        <v>46</v>
      </c>
      <c r="N94" s="631">
        <f>SUM(J94:M94)</f>
        <v>123.2</v>
      </c>
      <c r="O94" s="629">
        <f>SUM(O93,O90,O80,O74,O68,O62,O56,O41,)</f>
        <v>28.969100000000005</v>
      </c>
      <c r="P94" s="630">
        <f t="shared" ref="P94" si="102">SUM(P93,P90,P80,P74,P68,P62,P56,P41,)</f>
        <v>346.17999999999995</v>
      </c>
      <c r="Q94" s="630">
        <f t="shared" ref="Q94" si="103">SUM(Q93,Q90,Q80,Q74,Q68,Q62,Q56,Q41,)</f>
        <v>206.3</v>
      </c>
      <c r="R94" s="630">
        <f t="shared" ref="R94:S94" si="104">SUM(R93,R90,R80,R74,R68,R62,R56,R41,)</f>
        <v>87.7</v>
      </c>
      <c r="S94" s="2464">
        <f t="shared" si="104"/>
        <v>669.14909999999998</v>
      </c>
      <c r="T94" s="599" t="str">
        <f>IFERROR(INDEX('Annex 2_Code'!I$8:I$33,MATCH('Annex 3_MAFF'!$AG94,'Annex 2_Code'!$G$8:$G$33,0)),"")</f>
        <v/>
      </c>
      <c r="U94" s="599" t="str">
        <f>IFERROR(INDEX('Annex 2_Code'!J$8:J$33,MATCH('Annex 3_MAFF'!$AG94,'Annex 2_Code'!$G$8:$G$33,0)),"")</f>
        <v/>
      </c>
      <c r="V94" s="599" t="str">
        <f>IFERROR(INDEX('Annex 2_Code'!K$8:K$33,MATCH('Annex 3_MAFF'!$AG94,'Annex 2_Code'!$G$8:$G$33,0)),"")</f>
        <v/>
      </c>
      <c r="W94" s="599" t="str">
        <f>IFERROR(INDEX('Annex 2_Code'!L$8:L$33,MATCH('Annex 3_MAFF'!$AG94,'Annex 2_Code'!$G$8:$G$33,0)),"")</f>
        <v/>
      </c>
      <c r="X94" s="802" t="str">
        <f>IFERROR(INDEX('Annex 2_Code'!M$8:M$33,MATCH('Annex 3_MAFF'!$AG94,'Annex 2_Code'!$G$8:$G$33,0)),"")</f>
        <v/>
      </c>
      <c r="Y94" s="1746"/>
      <c r="Z94" s="1747"/>
      <c r="AA94" s="1747"/>
      <c r="AB94" s="1747"/>
      <c r="AC94" s="1748"/>
      <c r="AD94" s="634"/>
      <c r="AE94" s="602">
        <f>AD94-S94</f>
        <v>-669.14909999999998</v>
      </c>
      <c r="AF94" s="604"/>
      <c r="AG94" s="604"/>
      <c r="AH94" s="605" t="str">
        <f>IFERROR(INDEX('Annex 2_Code'!$J$114:$J$126,MATCH('Annex 3_MAFF'!AF94,'Annex 2_Code'!$G$114:$G$126,0)),"")</f>
        <v/>
      </c>
      <c r="AI94" s="624" t="str">
        <f t="shared" ref="AI94:AI123" si="105">IF(ISNUMBER(FIND("-",AH94,1))=FALSE,LEFT(AH94,LEN(AH94)),LEFT(AH94,(FIND("-",AH94,1))-1))</f>
        <v/>
      </c>
    </row>
    <row r="95" spans="1:35" s="607" customFormat="1" ht="87" customHeight="1">
      <c r="A95" s="587"/>
      <c r="B95" s="659" t="s">
        <v>54</v>
      </c>
      <c r="C95" s="613"/>
      <c r="D95" s="2632" t="s">
        <v>620</v>
      </c>
      <c r="E95" s="2633"/>
      <c r="F95" s="2633"/>
      <c r="G95" s="2633"/>
      <c r="H95" s="2633"/>
      <c r="I95" s="2634"/>
      <c r="J95" s="619"/>
      <c r="K95" s="620"/>
      <c r="L95" s="2151"/>
      <c r="M95" s="620"/>
      <c r="N95" s="621"/>
      <c r="O95" s="622"/>
      <c r="P95" s="623"/>
      <c r="Q95" s="623"/>
      <c r="R95" s="715"/>
      <c r="S95" s="2435">
        <f>SUM(O94:R94)</f>
        <v>669.14910000000009</v>
      </c>
      <c r="T95" s="599" t="str">
        <f>IFERROR(INDEX('Annex 2_Code'!I$8:I$33,MATCH('Annex 3_MAFF'!$AG95,'Annex 2_Code'!$G$8:$G$33,0)),"")</f>
        <v/>
      </c>
      <c r="U95" s="599" t="str">
        <f>IFERROR(INDEX('Annex 2_Code'!J$8:J$33,MATCH('Annex 3_MAFF'!$AG95,'Annex 2_Code'!$G$8:$G$33,0)),"")</f>
        <v/>
      </c>
      <c r="V95" s="599" t="str">
        <f>IFERROR(INDEX('Annex 2_Code'!K$8:K$33,MATCH('Annex 3_MAFF'!$AG95,'Annex 2_Code'!$G$8:$G$33,0)),"")</f>
        <v/>
      </c>
      <c r="W95" s="599" t="str">
        <f>IFERROR(INDEX('Annex 2_Code'!L$8:L$33,MATCH('Annex 3_MAFF'!$AG95,'Annex 2_Code'!$G$8:$G$33,0)),"")</f>
        <v/>
      </c>
      <c r="X95" s="599" t="str">
        <f>IFERROR(INDEX('Annex 2_Code'!M$8:M$33,MATCH('Annex 3_MAFF'!$AG95,'Annex 2_Code'!$G$8:$G$33,0)),"")</f>
        <v/>
      </c>
      <c r="Y95" s="647"/>
      <c r="Z95" s="600"/>
      <c r="AA95" s="600" t="str">
        <f>IFERROR($S95*V95,"")</f>
        <v/>
      </c>
      <c r="AB95" s="600"/>
      <c r="AC95" s="601"/>
      <c r="AD95" s="602">
        <f t="shared" ref="AD95:AD121" si="106">SUM(Y95:AC95)</f>
        <v>0</v>
      </c>
      <c r="AE95" s="602"/>
      <c r="AF95" s="604"/>
      <c r="AG95" s="604"/>
      <c r="AH95" s="605"/>
      <c r="AI95" s="624"/>
    </row>
    <row r="96" spans="1:35" s="607" customFormat="1" ht="33" customHeight="1">
      <c r="A96" s="587"/>
      <c r="B96" s="659" t="s">
        <v>54</v>
      </c>
      <c r="C96" s="613"/>
      <c r="D96" s="1794"/>
      <c r="E96" s="1774" t="s">
        <v>1112</v>
      </c>
      <c r="F96" s="1774"/>
      <c r="G96" s="1776" t="s">
        <v>1113</v>
      </c>
      <c r="H96" s="617"/>
      <c r="I96" s="618"/>
      <c r="J96" s="619"/>
      <c r="K96" s="620"/>
      <c r="L96" s="620"/>
      <c r="M96" s="620"/>
      <c r="N96" s="621"/>
      <c r="O96" s="622"/>
      <c r="P96" s="623"/>
      <c r="Q96" s="623"/>
      <c r="R96" s="623"/>
      <c r="S96" s="1418"/>
      <c r="T96" s="713" t="str">
        <f>IFERROR(INDEX('Annex 2_Code'!I$8:I$33,MATCH('Annex 3_MAFF'!$AG96,'Annex 2_Code'!$G$8:$G$33,0)),"")</f>
        <v/>
      </c>
      <c r="U96" s="713" t="str">
        <f>IFERROR(INDEX('Annex 2_Code'!J$8:J$33,MATCH('Annex 3_MAFF'!$AG96,'Annex 2_Code'!$G$8:$G$33,0)),"")</f>
        <v/>
      </c>
      <c r="V96" s="713" t="str">
        <f>IFERROR(INDEX('Annex 2_Code'!K$8:K$33,MATCH('Annex 3_MAFF'!$AG96,'Annex 2_Code'!$G$8:$G$33,0)),"")</f>
        <v/>
      </c>
      <c r="W96" s="713" t="str">
        <f>IFERROR(INDEX('Annex 2_Code'!L$8:L$33,MATCH('Annex 3_MAFF'!$AG96,'Annex 2_Code'!$G$8:$G$33,0)),"")</f>
        <v/>
      </c>
      <c r="X96" s="713" t="str">
        <f>IFERROR(INDEX('Annex 2_Code'!M$8:M$33,MATCH('Annex 3_MAFF'!$AG96,'Annex 2_Code'!$G$8:$G$33,0)),"")</f>
        <v/>
      </c>
      <c r="Y96" s="647" t="str">
        <f t="shared" ref="Y96:Y122" si="107">IFERROR($S96*T96,"")</f>
        <v/>
      </c>
      <c r="Z96" s="600" t="str">
        <f t="shared" ref="Z96:Z123" si="108">IFERROR($S96*U96,"")</f>
        <v/>
      </c>
      <c r="AA96" s="600" t="str">
        <f>IFERROR($S96*V96,"")</f>
        <v/>
      </c>
      <c r="AB96" s="600" t="str">
        <f t="shared" ref="AB96:AB123" si="109">IFERROR($S96*W96,"")</f>
        <v/>
      </c>
      <c r="AC96" s="601" t="str">
        <f>IFERROR($S96*X96,"")</f>
        <v/>
      </c>
      <c r="AD96" s="602">
        <f t="shared" si="106"/>
        <v>0</v>
      </c>
      <c r="AE96" s="602">
        <f t="shared" ref="AE96:AE122" si="110">AD96-S96</f>
        <v>0</v>
      </c>
      <c r="AF96" s="604"/>
      <c r="AG96" s="604"/>
      <c r="AH96" s="605" t="str">
        <f>IFERROR(INDEX('Annex 2_Code'!$J$114:$J$126,MATCH('Annex 3_MAFF'!AF96,'Annex 2_Code'!$G$114:$G$126,0)),"")</f>
        <v/>
      </c>
      <c r="AI96" s="624" t="str">
        <f t="shared" si="105"/>
        <v/>
      </c>
    </row>
    <row r="97" spans="1:36" s="2172" customFormat="1" ht="41.45" customHeight="1" outlineLevel="1">
      <c r="A97" s="2165"/>
      <c r="B97" s="659" t="s">
        <v>1474</v>
      </c>
      <c r="C97" s="1391" t="s">
        <v>126</v>
      </c>
      <c r="D97" s="2166"/>
      <c r="E97" s="882" t="s">
        <v>592</v>
      </c>
      <c r="F97" s="2162"/>
      <c r="G97" s="2397" t="s">
        <v>1619</v>
      </c>
      <c r="H97" s="2163" t="s">
        <v>558</v>
      </c>
      <c r="I97" s="2519">
        <f>(1330/1000)</f>
        <v>1.33</v>
      </c>
      <c r="J97" s="2518">
        <v>50</v>
      </c>
      <c r="K97" s="1551">
        <v>250</v>
      </c>
      <c r="L97" s="1551">
        <v>250</v>
      </c>
      <c r="M97" s="1551">
        <v>200</v>
      </c>
      <c r="N97" s="2167">
        <f>SUM(J97:M97)</f>
        <v>750</v>
      </c>
      <c r="O97" s="2168">
        <f>($I97*J97)</f>
        <v>66.5</v>
      </c>
      <c r="P97" s="2169">
        <f>($I97*K97)</f>
        <v>332.5</v>
      </c>
      <c r="Q97" s="2169">
        <f>($I97*L97)</f>
        <v>332.5</v>
      </c>
      <c r="R97" s="2169">
        <f>($I97*M97)</f>
        <v>266</v>
      </c>
      <c r="S97" s="1356">
        <f>SUM(O97:R97)</f>
        <v>997.5</v>
      </c>
      <c r="T97" s="1545">
        <f>IFERROR(INDEX('Annex 2_Code'!I$8:I$33,MATCH('Annex 3_MAFF'!$AG97,'Annex 2_Code'!$G$8:$G$33,0)),"")</f>
        <v>0</v>
      </c>
      <c r="U97" s="1545">
        <f>IFERROR(INDEX('Annex 2_Code'!J$8:J$33,MATCH('Annex 3_MAFF'!$AG97,'Annex 2_Code'!$G$8:$G$33,0)),"")</f>
        <v>0</v>
      </c>
      <c r="V97" s="2399">
        <v>0.57599999999999996</v>
      </c>
      <c r="W97" s="2399">
        <v>0.312</v>
      </c>
      <c r="X97" s="2399">
        <v>0.112</v>
      </c>
      <c r="Y97" s="1549">
        <f t="shared" si="107"/>
        <v>0</v>
      </c>
      <c r="Z97" s="1546">
        <f>IFERROR($S97*U97,"")</f>
        <v>0</v>
      </c>
      <c r="AA97" s="1546">
        <f t="shared" ref="AA97:AC100" si="111">IFERROR($S97*V97,"")</f>
        <v>574.55999999999995</v>
      </c>
      <c r="AB97" s="1546">
        <f t="shared" si="111"/>
        <v>311.22000000000003</v>
      </c>
      <c r="AC97" s="1547">
        <f t="shared" si="111"/>
        <v>111.72</v>
      </c>
      <c r="AD97" s="1548">
        <f t="shared" si="106"/>
        <v>997.5</v>
      </c>
      <c r="AE97" s="1548">
        <f t="shared" si="110"/>
        <v>0</v>
      </c>
      <c r="AF97" s="2170" t="s">
        <v>187</v>
      </c>
      <c r="AG97" s="605" t="s">
        <v>187</v>
      </c>
      <c r="AH97" s="2170" t="str">
        <f>IFERROR(INDEX('Annex 2_Code'!$J$114:$J$126,MATCH('Annex 3_MAFF'!AF97,'Annex 2_Code'!$G$114:$G$126,0)),"")</f>
        <v>MAFF-GDAHP</v>
      </c>
      <c r="AI97" s="2171" t="str">
        <f>IF(ISNUMBER(FIND("-",AH97,1))=FALSE,LEFT(AH97,LEN(AH97)),LEFT(AH97,(FIND("-",AH97,1))-1))</f>
        <v>MAFF</v>
      </c>
      <c r="AJ97" s="2172" t="s">
        <v>448</v>
      </c>
    </row>
    <row r="98" spans="1:36" s="2172" customFormat="1" ht="41.45" customHeight="1" outlineLevel="1">
      <c r="A98" s="2165"/>
      <c r="B98" s="659" t="s">
        <v>1474</v>
      </c>
      <c r="C98" s="1391" t="s">
        <v>126</v>
      </c>
      <c r="D98" s="2166"/>
      <c r="E98" s="882" t="s">
        <v>593</v>
      </c>
      <c r="F98" s="2162"/>
      <c r="G98" s="2398" t="s">
        <v>1620</v>
      </c>
      <c r="H98" s="2163" t="s">
        <v>558</v>
      </c>
      <c r="I98" s="2519">
        <f>(1330/1000)</f>
        <v>1.33</v>
      </c>
      <c r="J98" s="2518">
        <v>50</v>
      </c>
      <c r="K98" s="1551">
        <v>250</v>
      </c>
      <c r="L98" s="1551">
        <v>250</v>
      </c>
      <c r="M98" s="1551">
        <v>200</v>
      </c>
      <c r="N98" s="2167">
        <f t="shared" ref="N98:N99" si="112">SUM(J98:M98)</f>
        <v>750</v>
      </c>
      <c r="O98" s="2168">
        <f t="shared" ref="O98:O99" si="113">($I98*J98)</f>
        <v>66.5</v>
      </c>
      <c r="P98" s="2169">
        <f t="shared" ref="P98:P99" si="114">($I98*K98)</f>
        <v>332.5</v>
      </c>
      <c r="Q98" s="2169">
        <f t="shared" ref="Q98:Q99" si="115">($I98*L98)</f>
        <v>332.5</v>
      </c>
      <c r="R98" s="2169">
        <f t="shared" ref="R98:R99" si="116">($I98*M98)</f>
        <v>266</v>
      </c>
      <c r="S98" s="1356">
        <f t="shared" ref="S98:S99" si="117">SUM(O98:R98)</f>
        <v>997.5</v>
      </c>
      <c r="T98" s="1545">
        <v>0</v>
      </c>
      <c r="U98" s="1545">
        <v>0</v>
      </c>
      <c r="V98" s="2399">
        <v>0.57599999999999996</v>
      </c>
      <c r="W98" s="2399">
        <v>0.312</v>
      </c>
      <c r="X98" s="2399">
        <v>0.112</v>
      </c>
      <c r="Y98" s="1549">
        <f t="shared" ref="Y98:Y99" si="118">IFERROR($S98*T98,"")</f>
        <v>0</v>
      </c>
      <c r="Z98" s="1546">
        <f t="shared" ref="Z98:Z99" si="119">IFERROR($S98*U98,"")</f>
        <v>0</v>
      </c>
      <c r="AA98" s="1546">
        <f t="shared" ref="AA98:AA99" si="120">IFERROR($S98*V98,"")</f>
        <v>574.55999999999995</v>
      </c>
      <c r="AB98" s="1546">
        <f t="shared" ref="AB98:AB99" si="121">IFERROR($S98*W98,"")</f>
        <v>311.22000000000003</v>
      </c>
      <c r="AC98" s="1547">
        <f t="shared" ref="AC98:AC99" si="122">IFERROR($S98*X98,"")</f>
        <v>111.72</v>
      </c>
      <c r="AD98" s="1548">
        <f t="shared" ref="AD98:AD99" si="123">SUM(Y98:AC98)</f>
        <v>997.5</v>
      </c>
      <c r="AE98" s="1548">
        <f t="shared" ref="AE98:AE99" si="124">AD98-S98</f>
        <v>0</v>
      </c>
      <c r="AF98" s="2170" t="s">
        <v>187</v>
      </c>
      <c r="AG98" s="605" t="s">
        <v>187</v>
      </c>
      <c r="AH98" s="2170" t="str">
        <f>IFERROR(INDEX('Annex 2_Code'!$J$114:$J$126,MATCH('Annex 3_MAFF'!AF98,'Annex 2_Code'!$G$114:$G$126,0)),"")</f>
        <v>MAFF-GDAHP</v>
      </c>
      <c r="AI98" s="2171" t="str">
        <f t="shared" ref="AI98:AI99" si="125">IF(ISNUMBER(FIND("-",AH98,1))=FALSE,LEFT(AH98,LEN(AH98)),LEFT(AH98,(FIND("-",AH98,1))-1))</f>
        <v>MAFF</v>
      </c>
    </row>
    <row r="99" spans="1:36" s="2172" customFormat="1" ht="41.45" customHeight="1" outlineLevel="1">
      <c r="A99" s="2165"/>
      <c r="B99" s="659" t="s">
        <v>1474</v>
      </c>
      <c r="C99" s="1391" t="s">
        <v>126</v>
      </c>
      <c r="D99" s="2166"/>
      <c r="E99" s="882" t="s">
        <v>619</v>
      </c>
      <c r="F99" s="2164"/>
      <c r="G99" s="2397" t="s">
        <v>1621</v>
      </c>
      <c r="H99" s="2163" t="s">
        <v>558</v>
      </c>
      <c r="I99" s="2519">
        <f>(1330/1000)</f>
        <v>1.33</v>
      </c>
      <c r="J99" s="2518">
        <v>50</v>
      </c>
      <c r="K99" s="1551">
        <v>250</v>
      </c>
      <c r="L99" s="1551">
        <v>250</v>
      </c>
      <c r="M99" s="1551">
        <v>200</v>
      </c>
      <c r="N99" s="2167">
        <f t="shared" si="112"/>
        <v>750</v>
      </c>
      <c r="O99" s="2168">
        <f t="shared" si="113"/>
        <v>66.5</v>
      </c>
      <c r="P99" s="2169">
        <f t="shared" si="114"/>
        <v>332.5</v>
      </c>
      <c r="Q99" s="2169">
        <f t="shared" si="115"/>
        <v>332.5</v>
      </c>
      <c r="R99" s="2169">
        <f t="shared" si="116"/>
        <v>266</v>
      </c>
      <c r="S99" s="1356">
        <f t="shared" si="117"/>
        <v>997.5</v>
      </c>
      <c r="T99" s="1545">
        <v>0</v>
      </c>
      <c r="U99" s="1545">
        <v>0</v>
      </c>
      <c r="V99" s="2399">
        <v>0.57599999999999996</v>
      </c>
      <c r="W99" s="2399">
        <v>0.312</v>
      </c>
      <c r="X99" s="2399">
        <v>0.112</v>
      </c>
      <c r="Y99" s="1549">
        <f t="shared" si="118"/>
        <v>0</v>
      </c>
      <c r="Z99" s="1546">
        <f t="shared" si="119"/>
        <v>0</v>
      </c>
      <c r="AA99" s="1546">
        <f t="shared" si="120"/>
        <v>574.55999999999995</v>
      </c>
      <c r="AB99" s="1546">
        <f t="shared" si="121"/>
        <v>311.22000000000003</v>
      </c>
      <c r="AC99" s="1547">
        <f t="shared" si="122"/>
        <v>111.72</v>
      </c>
      <c r="AD99" s="1548">
        <f t="shared" si="123"/>
        <v>997.5</v>
      </c>
      <c r="AE99" s="1548">
        <f t="shared" si="124"/>
        <v>0</v>
      </c>
      <c r="AF99" s="2170" t="s">
        <v>187</v>
      </c>
      <c r="AG99" s="605" t="s">
        <v>187</v>
      </c>
      <c r="AH99" s="2170" t="str">
        <f>IFERROR(INDEX('Annex 2_Code'!$J$114:$J$126,MATCH('Annex 3_MAFF'!AF99,'Annex 2_Code'!$G$114:$G$126,0)),"")</f>
        <v>MAFF-GDAHP</v>
      </c>
      <c r="AI99" s="2171" t="str">
        <f t="shared" si="125"/>
        <v>MAFF</v>
      </c>
    </row>
    <row r="100" spans="1:36" s="2172" customFormat="1" ht="41.45" customHeight="1" outlineLevel="1">
      <c r="A100" s="2165"/>
      <c r="B100" s="659" t="s">
        <v>1474</v>
      </c>
      <c r="C100" s="1391" t="s">
        <v>126</v>
      </c>
      <c r="D100" s="2166"/>
      <c r="E100" s="882" t="s">
        <v>618</v>
      </c>
      <c r="F100" s="2164"/>
      <c r="G100" s="2397" t="s">
        <v>1622</v>
      </c>
      <c r="H100" s="2163" t="s">
        <v>558</v>
      </c>
      <c r="I100" s="2519">
        <f>(1330/1000)</f>
        <v>1.33</v>
      </c>
      <c r="J100" s="2518">
        <v>50</v>
      </c>
      <c r="K100" s="1551">
        <v>250</v>
      </c>
      <c r="L100" s="1551">
        <v>250</v>
      </c>
      <c r="M100" s="1551">
        <v>200</v>
      </c>
      <c r="N100" s="2167">
        <f>SUM(J100:M100)</f>
        <v>750</v>
      </c>
      <c r="O100" s="2169">
        <f>($I$100*J100)</f>
        <v>66.5</v>
      </c>
      <c r="P100" s="2169">
        <f>($I$100*K100)</f>
        <v>332.5</v>
      </c>
      <c r="Q100" s="2169">
        <f>($I$100*L100)</f>
        <v>332.5</v>
      </c>
      <c r="R100" s="2169">
        <f>($I$100*M100)</f>
        <v>266</v>
      </c>
      <c r="S100" s="1356">
        <f>SUM(O100:R100)</f>
        <v>997.5</v>
      </c>
      <c r="T100" s="1545">
        <v>0</v>
      </c>
      <c r="U100" s="1545">
        <v>0</v>
      </c>
      <c r="V100" s="2399">
        <v>0.57599999999999996</v>
      </c>
      <c r="W100" s="2399">
        <v>0.312</v>
      </c>
      <c r="X100" s="2399">
        <v>0.112</v>
      </c>
      <c r="Y100" s="1549">
        <f t="shared" si="107"/>
        <v>0</v>
      </c>
      <c r="Z100" s="1546">
        <f>IFERROR($S100*U100,"")</f>
        <v>0</v>
      </c>
      <c r="AA100" s="1546">
        <f t="shared" si="111"/>
        <v>574.55999999999995</v>
      </c>
      <c r="AB100" s="1546">
        <f t="shared" si="111"/>
        <v>311.22000000000003</v>
      </c>
      <c r="AC100" s="1547">
        <f t="shared" si="111"/>
        <v>111.72</v>
      </c>
      <c r="AD100" s="1548">
        <f t="shared" si="106"/>
        <v>997.5</v>
      </c>
      <c r="AE100" s="1548">
        <f t="shared" si="110"/>
        <v>0</v>
      </c>
      <c r="AF100" s="2170" t="s">
        <v>187</v>
      </c>
      <c r="AG100" s="605" t="s">
        <v>188</v>
      </c>
      <c r="AH100" s="2170" t="str">
        <f>IFERROR(INDEX('Annex 2_Code'!$J$114:$J$126,MATCH('Annex 3_MAFF'!AF100,'Annex 2_Code'!$G$114:$G$126,0)),"")</f>
        <v>MAFF-GDAHP</v>
      </c>
      <c r="AI100" s="2171" t="str">
        <f>IF(ISNUMBER(FIND("-",AH100,1))=FALSE,LEFT(AH100,LEN(AH100)),LEFT(AH100,(FIND("-",AH100,1))-1))</f>
        <v>MAFF</v>
      </c>
    </row>
    <row r="101" spans="1:36" s="607" customFormat="1" ht="29.25" customHeight="1">
      <c r="A101" s="240"/>
      <c r="B101" s="588" t="s">
        <v>54</v>
      </c>
      <c r="C101" s="710"/>
      <c r="D101" s="590"/>
      <c r="E101" s="591" t="s">
        <v>583</v>
      </c>
      <c r="F101" s="592"/>
      <c r="G101" s="716"/>
      <c r="H101" s="593" t="s">
        <v>54</v>
      </c>
      <c r="I101" s="717" t="s">
        <v>54</v>
      </c>
      <c r="J101" s="594">
        <f t="shared" ref="J101:R101" si="126">SUM(J97:J100)</f>
        <v>200</v>
      </c>
      <c r="K101" s="595">
        <f t="shared" si="126"/>
        <v>1000</v>
      </c>
      <c r="L101" s="595">
        <f t="shared" si="126"/>
        <v>1000</v>
      </c>
      <c r="M101" s="595">
        <f t="shared" si="126"/>
        <v>800</v>
      </c>
      <c r="N101" s="596">
        <f t="shared" si="126"/>
        <v>3000</v>
      </c>
      <c r="O101" s="597">
        <f t="shared" si="126"/>
        <v>266</v>
      </c>
      <c r="P101" s="598">
        <f t="shared" si="126"/>
        <v>1330</v>
      </c>
      <c r="Q101" s="598">
        <f t="shared" si="126"/>
        <v>1330</v>
      </c>
      <c r="R101" s="598">
        <f t="shared" si="126"/>
        <v>1064</v>
      </c>
      <c r="S101" s="1409">
        <f>SUM(S97:S100)</f>
        <v>3990</v>
      </c>
      <c r="T101" s="713" t="str">
        <f>IFERROR(INDEX('Annex 2_Code'!I$8:I$33,MATCH('Annex 3_MAFF'!$AG101,'Annex 2_Code'!$G$8:$G$33,0)),"")</f>
        <v/>
      </c>
      <c r="U101" s="713" t="str">
        <f>IFERROR(INDEX('Annex 2_Code'!J$8:J$33,MATCH('Annex 3_MAFF'!$AG101,'Annex 2_Code'!$G$8:$G$33,0)),"")</f>
        <v/>
      </c>
      <c r="V101" s="718" t="str">
        <f>IFERROR(INDEX('Annex 2_Code'!K$8:K$33,MATCH('Annex 3_MAFF'!$AG101,'Annex 2_Code'!$G$8:$G$33,0)),"")</f>
        <v/>
      </c>
      <c r="W101" s="718" t="str">
        <f>IFERROR(INDEX('Annex 2_Code'!L$8:L$33,MATCH('Annex 3_MAFF'!$AG101,'Annex 2_Code'!$G$8:$G$33,0)),"")</f>
        <v/>
      </c>
      <c r="X101" s="718" t="str">
        <f>IFERROR(INDEX('Annex 2_Code'!M$8:M$33,MATCH('Annex 3_MAFF'!$AG101,'Annex 2_Code'!$G$8:$G$33,0)),"")</f>
        <v/>
      </c>
      <c r="Y101" s="1399" t="str">
        <f t="shared" si="107"/>
        <v/>
      </c>
      <c r="Z101" s="666" t="str">
        <f t="shared" si="108"/>
        <v/>
      </c>
      <c r="AA101" s="666" t="str">
        <f t="shared" ref="AA101:AA127" si="127">IFERROR($S101*V101,"")</f>
        <v/>
      </c>
      <c r="AB101" s="666" t="str">
        <f t="shared" si="109"/>
        <v/>
      </c>
      <c r="AC101" s="667"/>
      <c r="AD101" s="662">
        <f t="shared" si="106"/>
        <v>0</v>
      </c>
      <c r="AE101" s="662">
        <f t="shared" si="110"/>
        <v>-3990</v>
      </c>
      <c r="AF101" s="604"/>
      <c r="AG101" s="604"/>
      <c r="AH101" s="604" t="str">
        <f>IFERROR(INDEX('Annex 2_Code'!$J$114:$J$126,MATCH('Annex 3_MAFF'!AF101,'Annex 2_Code'!$G$114:$G$126,0)),"")</f>
        <v/>
      </c>
      <c r="AI101" s="606" t="str">
        <f t="shared" si="105"/>
        <v/>
      </c>
    </row>
    <row r="102" spans="1:36" s="607" customFormat="1" ht="33" customHeight="1">
      <c r="A102" s="587"/>
      <c r="B102" s="669"/>
      <c r="C102" s="669"/>
      <c r="D102" s="1597"/>
      <c r="E102" s="1792" t="s">
        <v>1114</v>
      </c>
      <c r="F102" s="1792"/>
      <c r="G102" s="1793" t="s">
        <v>1115</v>
      </c>
      <c r="H102" s="726"/>
      <c r="I102" s="572"/>
      <c r="J102" s="619"/>
      <c r="K102" s="620"/>
      <c r="L102" s="620"/>
      <c r="M102" s="620"/>
      <c r="N102" s="731"/>
      <c r="O102" s="622"/>
      <c r="P102" s="623"/>
      <c r="Q102" s="623"/>
      <c r="R102" s="1340"/>
      <c r="S102" s="1695">
        <f>SUM(O101:R101)</f>
        <v>3990</v>
      </c>
      <c r="T102" s="599" t="str">
        <f>IFERROR(INDEX('Annex 2_Code'!I$8:I$33,MATCH('Annex 3_MAFF'!$AG102,'Annex 2_Code'!$G$8:$G$33,0)),"")</f>
        <v/>
      </c>
      <c r="U102" s="599" t="str">
        <f>IFERROR(INDEX('Annex 2_Code'!J$8:J$33,MATCH('Annex 3_MAFF'!$AG102,'Annex 2_Code'!$G$8:$G$33,0)),"")</f>
        <v/>
      </c>
      <c r="V102" s="599" t="str">
        <f>IFERROR(INDEX('Annex 2_Code'!K$8:K$33,MATCH('Annex 3_MAFF'!$AG102,'Annex 2_Code'!$G$8:$G$33,0)),"")</f>
        <v/>
      </c>
      <c r="W102" s="599" t="str">
        <f>IFERROR(INDEX('Annex 2_Code'!L$8:L$33,MATCH('Annex 3_MAFF'!$AG102,'Annex 2_Code'!$G$8:$G$33,0)),"")</f>
        <v/>
      </c>
      <c r="X102" s="599" t="str">
        <f>IFERROR(INDEX('Annex 2_Code'!M$8:M$33,MATCH('Annex 3_MAFF'!$AG102,'Annex 2_Code'!$G$8:$G$33,0)),"")</f>
        <v/>
      </c>
      <c r="Y102" s="647" t="str">
        <f t="shared" si="107"/>
        <v/>
      </c>
      <c r="Z102" s="600" t="str">
        <f t="shared" si="108"/>
        <v/>
      </c>
      <c r="AA102" s="600" t="str">
        <f t="shared" si="127"/>
        <v/>
      </c>
      <c r="AB102" s="600" t="str">
        <f t="shared" si="109"/>
        <v/>
      </c>
      <c r="AC102" s="601" t="str">
        <f t="shared" ref="AC102:AC140" si="128">IFERROR($S102*X102,"")</f>
        <v/>
      </c>
      <c r="AD102" s="602">
        <f t="shared" si="106"/>
        <v>0</v>
      </c>
      <c r="AE102" s="602">
        <f t="shared" si="110"/>
        <v>-3990</v>
      </c>
      <c r="AF102" s="605"/>
      <c r="AG102" s="605"/>
      <c r="AH102" s="605" t="str">
        <f>IFERROR(INDEX('Annex 2_Code'!$J$114:$J$126,MATCH('Annex 3_MAFF'!AF102,'Annex 2_Code'!$G$114:$G$126,0)),"")</f>
        <v/>
      </c>
      <c r="AI102" s="624" t="str">
        <f t="shared" si="105"/>
        <v/>
      </c>
    </row>
    <row r="103" spans="1:36" s="607" customFormat="1" ht="60.75" customHeight="1" outlineLevel="1">
      <c r="A103" s="725"/>
      <c r="B103" s="669" t="s">
        <v>1451</v>
      </c>
      <c r="C103" s="669" t="s">
        <v>41</v>
      </c>
      <c r="D103" s="701"/>
      <c r="E103" s="307" t="s">
        <v>464</v>
      </c>
      <c r="F103" s="615"/>
      <c r="G103" s="616" t="s">
        <v>1511</v>
      </c>
      <c r="H103" s="677" t="s">
        <v>594</v>
      </c>
      <c r="I103" s="727">
        <v>0.5</v>
      </c>
      <c r="J103" s="619">
        <v>0</v>
      </c>
      <c r="K103" s="620">
        <v>8</v>
      </c>
      <c r="L103" s="620">
        <v>4</v>
      </c>
      <c r="M103" s="620">
        <v>0</v>
      </c>
      <c r="N103" s="731">
        <f t="shared" ref="N103:N111" si="129">SUM(J103:M103)</f>
        <v>12</v>
      </c>
      <c r="O103" s="622">
        <f t="shared" ref="O103:O114" si="130">($I103*J103)</f>
        <v>0</v>
      </c>
      <c r="P103" s="623">
        <f>($I103*K103)</f>
        <v>4</v>
      </c>
      <c r="Q103" s="623">
        <f>($I103*L103)</f>
        <v>2</v>
      </c>
      <c r="R103" s="623">
        <f t="shared" ref="R103:R114" si="131">($I103*M103)</f>
        <v>0</v>
      </c>
      <c r="S103" s="1356">
        <f t="shared" ref="S103:S114" si="132">SUM(O103:R103)</f>
        <v>6</v>
      </c>
      <c r="T103" s="763">
        <f>IFERROR(INDEX('Annex 2_Code'!I$8:I$33,MATCH('Annex 3_MAFF'!$AG103,'Annex 2_Code'!$G$8:$G$33,0)),"")</f>
        <v>0</v>
      </c>
      <c r="U103" s="763">
        <f>IFERROR(INDEX('Annex 2_Code'!J$8:J$33,MATCH('Annex 3_MAFF'!$AG103,'Annex 2_Code'!$G$8:$G$33,0)),"")</f>
        <v>0</v>
      </c>
      <c r="V103" s="763">
        <f>IFERROR(INDEX('Annex 2_Code'!K$8:K$33,MATCH('Annex 3_MAFF'!$AG103,'Annex 2_Code'!$G$8:$G$33,0)),"")</f>
        <v>1</v>
      </c>
      <c r="W103" s="763">
        <f>IFERROR(INDEX('Annex 2_Code'!L$8:L$33,MATCH('Annex 3_MAFF'!$AG103,'Annex 2_Code'!$G$8:$G$33,0)),"")</f>
        <v>0</v>
      </c>
      <c r="X103" s="763">
        <f>IFERROR(INDEX('Annex 2_Code'!M$8:M$33,MATCH('Annex 3_MAFF'!$AG103,'Annex 2_Code'!$G$8:$G$33,0)),"")</f>
        <v>0</v>
      </c>
      <c r="Y103" s="1745">
        <f t="shared" si="107"/>
        <v>0</v>
      </c>
      <c r="Z103" s="807">
        <f t="shared" si="108"/>
        <v>0</v>
      </c>
      <c r="AA103" s="807">
        <f t="shared" si="127"/>
        <v>6</v>
      </c>
      <c r="AB103" s="807">
        <f t="shared" si="109"/>
        <v>0</v>
      </c>
      <c r="AC103" s="808">
        <f t="shared" si="128"/>
        <v>0</v>
      </c>
      <c r="AD103" s="764">
        <f t="shared" si="106"/>
        <v>6</v>
      </c>
      <c r="AE103" s="764">
        <f t="shared" si="110"/>
        <v>0</v>
      </c>
      <c r="AF103" s="605" t="s">
        <v>187</v>
      </c>
      <c r="AG103" s="605" t="s">
        <v>201</v>
      </c>
      <c r="AH103" s="605" t="str">
        <f>IFERROR(INDEX('Annex 2_Code'!$J$114:$J$126,MATCH('Annex 3_MAFF'!AF103,'Annex 2_Code'!$G$114:$G$126,0)),"")</f>
        <v>MAFF-GDAHP</v>
      </c>
      <c r="AI103" s="646" t="str">
        <f t="shared" si="105"/>
        <v>MAFF</v>
      </c>
      <c r="AJ103" s="607" t="s">
        <v>456</v>
      </c>
    </row>
    <row r="104" spans="1:36" s="607" customFormat="1" ht="46.5" outlineLevel="1">
      <c r="A104" s="587"/>
      <c r="B104" s="669" t="s">
        <v>1451</v>
      </c>
      <c r="C104" s="669" t="s">
        <v>33</v>
      </c>
      <c r="D104" s="701"/>
      <c r="E104" s="307" t="s">
        <v>465</v>
      </c>
      <c r="F104" s="615"/>
      <c r="G104" s="616" t="s">
        <v>1080</v>
      </c>
      <c r="H104" s="677" t="s">
        <v>595</v>
      </c>
      <c r="I104" s="727">
        <v>6</v>
      </c>
      <c r="J104" s="619">
        <v>1</v>
      </c>
      <c r="K104" s="620">
        <v>1</v>
      </c>
      <c r="L104" s="620">
        <v>1</v>
      </c>
      <c r="M104" s="620">
        <v>1</v>
      </c>
      <c r="N104" s="731">
        <f t="shared" si="129"/>
        <v>4</v>
      </c>
      <c r="O104" s="622">
        <f t="shared" si="130"/>
        <v>6</v>
      </c>
      <c r="P104" s="623">
        <f t="shared" ref="P104:P114" si="133">($I104*K104)</f>
        <v>6</v>
      </c>
      <c r="Q104" s="623">
        <f t="shared" ref="Q104:Q114" si="134">($I104*L104)</f>
        <v>6</v>
      </c>
      <c r="R104" s="623">
        <f t="shared" si="131"/>
        <v>6</v>
      </c>
      <c r="S104" s="1356">
        <f t="shared" si="132"/>
        <v>24</v>
      </c>
      <c r="T104" s="763">
        <f>IFERROR(INDEX('Annex 2_Code'!I$8:I$33,MATCH('Annex 3_MAFF'!$AG104,'Annex 2_Code'!$G$8:$G$33,0)),"")</f>
        <v>0</v>
      </c>
      <c r="U104" s="763">
        <f>IFERROR(INDEX('Annex 2_Code'!J$8:J$33,MATCH('Annex 3_MAFF'!$AG104,'Annex 2_Code'!$G$8:$G$33,0)),"")</f>
        <v>0</v>
      </c>
      <c r="V104" s="763">
        <f>IFERROR(INDEX('Annex 2_Code'!K$8:K$33,MATCH('Annex 3_MAFF'!$AG104,'Annex 2_Code'!$G$8:$G$33,0)),"")</f>
        <v>1</v>
      </c>
      <c r="W104" s="763">
        <f>IFERROR(INDEX('Annex 2_Code'!L$8:L$33,MATCH('Annex 3_MAFF'!$AG104,'Annex 2_Code'!$G$8:$G$33,0)),"")</f>
        <v>0</v>
      </c>
      <c r="X104" s="763">
        <f>IFERROR(INDEX('Annex 2_Code'!M$8:M$33,MATCH('Annex 3_MAFF'!$AG104,'Annex 2_Code'!$G$8:$G$33,0)),"")</f>
        <v>0</v>
      </c>
      <c r="Y104" s="1745">
        <f t="shared" si="107"/>
        <v>0</v>
      </c>
      <c r="Z104" s="807">
        <f t="shared" si="108"/>
        <v>0</v>
      </c>
      <c r="AA104" s="807">
        <f t="shared" si="127"/>
        <v>24</v>
      </c>
      <c r="AB104" s="807">
        <f t="shared" si="109"/>
        <v>0</v>
      </c>
      <c r="AC104" s="808">
        <f t="shared" si="128"/>
        <v>0</v>
      </c>
      <c r="AD104" s="764">
        <f t="shared" si="106"/>
        <v>24</v>
      </c>
      <c r="AE104" s="764">
        <f t="shared" si="110"/>
        <v>0</v>
      </c>
      <c r="AF104" s="605" t="s">
        <v>187</v>
      </c>
      <c r="AG104" s="605" t="s">
        <v>201</v>
      </c>
      <c r="AH104" s="605" t="str">
        <f>IFERROR(INDEX('Annex 2_Code'!$J$114:$J$126,MATCH('Annex 3_MAFF'!AF104,'Annex 2_Code'!$G$114:$G$126,0)),"")</f>
        <v>MAFF-GDAHP</v>
      </c>
      <c r="AI104" s="646" t="str">
        <f t="shared" si="105"/>
        <v>MAFF</v>
      </c>
      <c r="AJ104" s="607" t="s">
        <v>456</v>
      </c>
    </row>
    <row r="105" spans="1:36" s="607" customFormat="1" ht="46.5" outlineLevel="1">
      <c r="A105" s="725"/>
      <c r="B105" s="669" t="s">
        <v>1451</v>
      </c>
      <c r="C105" s="669" t="s">
        <v>41</v>
      </c>
      <c r="D105" s="701"/>
      <c r="E105" s="307" t="s">
        <v>466</v>
      </c>
      <c r="F105" s="615"/>
      <c r="G105" s="616" t="s">
        <v>1512</v>
      </c>
      <c r="H105" s="677" t="s">
        <v>1077</v>
      </c>
      <c r="I105" s="727">
        <v>0.15</v>
      </c>
      <c r="J105" s="620">
        <v>0</v>
      </c>
      <c r="K105" s="620">
        <v>20</v>
      </c>
      <c r="L105" s="620">
        <v>20</v>
      </c>
      <c r="M105" s="620">
        <v>0</v>
      </c>
      <c r="N105" s="731">
        <f t="shared" si="129"/>
        <v>40</v>
      </c>
      <c r="O105" s="622">
        <f t="shared" si="130"/>
        <v>0</v>
      </c>
      <c r="P105" s="623">
        <f t="shared" si="133"/>
        <v>3</v>
      </c>
      <c r="Q105" s="623">
        <f t="shared" si="134"/>
        <v>3</v>
      </c>
      <c r="R105" s="623">
        <f t="shared" si="131"/>
        <v>0</v>
      </c>
      <c r="S105" s="1356">
        <f t="shared" si="132"/>
        <v>6</v>
      </c>
      <c r="T105" s="763">
        <f>IFERROR(INDEX('Annex 2_Code'!I$8:I$33,MATCH('Annex 3_MAFF'!$AG105,'Annex 2_Code'!$G$8:$G$33,0)),"")</f>
        <v>0</v>
      </c>
      <c r="U105" s="763">
        <f>IFERROR(INDEX('Annex 2_Code'!J$8:J$33,MATCH('Annex 3_MAFF'!$AG105,'Annex 2_Code'!$G$8:$G$33,0)),"")</f>
        <v>0</v>
      </c>
      <c r="V105" s="763">
        <f>IFERROR(INDEX('Annex 2_Code'!K$8:K$33,MATCH('Annex 3_MAFF'!$AG105,'Annex 2_Code'!$G$8:$G$33,0)),"")</f>
        <v>1</v>
      </c>
      <c r="W105" s="763">
        <f>IFERROR(INDEX('Annex 2_Code'!L$8:L$33,MATCH('Annex 3_MAFF'!$AG105,'Annex 2_Code'!$G$8:$G$33,0)),"")</f>
        <v>0</v>
      </c>
      <c r="X105" s="763">
        <f>IFERROR(INDEX('Annex 2_Code'!M$8:M$33,MATCH('Annex 3_MAFF'!$AG105,'Annex 2_Code'!$G$8:$G$33,0)),"")</f>
        <v>0</v>
      </c>
      <c r="Y105" s="1745">
        <f t="shared" si="107"/>
        <v>0</v>
      </c>
      <c r="Z105" s="807">
        <f t="shared" si="108"/>
        <v>0</v>
      </c>
      <c r="AA105" s="807">
        <f t="shared" si="127"/>
        <v>6</v>
      </c>
      <c r="AB105" s="807">
        <f t="shared" si="109"/>
        <v>0</v>
      </c>
      <c r="AC105" s="808">
        <f t="shared" si="128"/>
        <v>0</v>
      </c>
      <c r="AD105" s="764">
        <f t="shared" si="106"/>
        <v>6</v>
      </c>
      <c r="AE105" s="764">
        <f t="shared" si="110"/>
        <v>0</v>
      </c>
      <c r="AF105" s="605" t="s">
        <v>187</v>
      </c>
      <c r="AG105" s="605" t="s">
        <v>201</v>
      </c>
      <c r="AH105" s="605" t="str">
        <f>IFERROR(INDEX('Annex 2_Code'!$J$114:$J$126,MATCH('Annex 3_MAFF'!AF105,'Annex 2_Code'!$G$114:$G$126,0)),"")</f>
        <v>MAFF-GDAHP</v>
      </c>
      <c r="AI105" s="646" t="str">
        <f t="shared" si="105"/>
        <v>MAFF</v>
      </c>
      <c r="AJ105" s="607" t="s">
        <v>456</v>
      </c>
    </row>
    <row r="106" spans="1:36" s="1378" customFormat="1" ht="41.25" customHeight="1" outlineLevel="1">
      <c r="A106" s="1380"/>
      <c r="B106" s="669" t="s">
        <v>1451</v>
      </c>
      <c r="C106" s="669" t="s">
        <v>33</v>
      </c>
      <c r="D106" s="701"/>
      <c r="E106" s="307" t="s">
        <v>467</v>
      </c>
      <c r="F106" s="615"/>
      <c r="G106" s="2237" t="s">
        <v>1513</v>
      </c>
      <c r="H106" s="677" t="s">
        <v>1077</v>
      </c>
      <c r="I106" s="727">
        <v>1.5</v>
      </c>
      <c r="J106" s="619">
        <v>0</v>
      </c>
      <c r="K106" s="620">
        <v>8</v>
      </c>
      <c r="L106" s="620">
        <v>0</v>
      </c>
      <c r="M106" s="620">
        <v>0</v>
      </c>
      <c r="N106" s="731">
        <f t="shared" si="129"/>
        <v>8</v>
      </c>
      <c r="O106" s="622">
        <f t="shared" ref="O106:R107" si="135">($I106*J106)</f>
        <v>0</v>
      </c>
      <c r="P106" s="623">
        <f t="shared" si="135"/>
        <v>12</v>
      </c>
      <c r="Q106" s="623">
        <f t="shared" si="135"/>
        <v>0</v>
      </c>
      <c r="R106" s="623">
        <f t="shared" si="135"/>
        <v>0</v>
      </c>
      <c r="S106" s="1356">
        <f>SUM(O106:R106)</f>
        <v>12</v>
      </c>
      <c r="T106" s="763">
        <f>IFERROR(INDEX('Annex 2_Code'!I$8:I$33,MATCH('Annex 3_MAFF'!$AG106,'Annex 2_Code'!$G$8:$G$33,0)),"")</f>
        <v>0</v>
      </c>
      <c r="U106" s="763">
        <f>IFERROR(INDEX('Annex 2_Code'!J$8:J$33,MATCH('Annex 3_MAFF'!$AG106,'Annex 2_Code'!$G$8:$G$33,0)),"")</f>
        <v>0</v>
      </c>
      <c r="V106" s="763">
        <f>IFERROR(INDEX('Annex 2_Code'!K$8:K$33,MATCH('Annex 3_MAFF'!$AG106,'Annex 2_Code'!$G$8:$G$33,0)),"")</f>
        <v>1</v>
      </c>
      <c r="W106" s="763">
        <f>IFERROR(INDEX('Annex 2_Code'!L$8:L$33,MATCH('Annex 3_MAFF'!$AG106,'Annex 2_Code'!$G$8:$G$33,0)),"")</f>
        <v>0</v>
      </c>
      <c r="X106" s="763">
        <f>IFERROR(INDEX('Annex 2_Code'!M$8:M$33,MATCH('Annex 3_MAFF'!$AG106,'Annex 2_Code'!$G$8:$G$33,0)),"")</f>
        <v>0</v>
      </c>
      <c r="Y106" s="1745">
        <f t="shared" si="107"/>
        <v>0</v>
      </c>
      <c r="Z106" s="807">
        <f t="shared" si="108"/>
        <v>0</v>
      </c>
      <c r="AA106" s="807">
        <f t="shared" si="127"/>
        <v>12</v>
      </c>
      <c r="AB106" s="807">
        <f t="shared" si="109"/>
        <v>0</v>
      </c>
      <c r="AC106" s="808">
        <f t="shared" si="128"/>
        <v>0</v>
      </c>
      <c r="AD106" s="764">
        <f t="shared" si="106"/>
        <v>12</v>
      </c>
      <c r="AE106" s="764">
        <f t="shared" si="110"/>
        <v>0</v>
      </c>
      <c r="AF106" s="605" t="s">
        <v>187</v>
      </c>
      <c r="AG106" s="605" t="s">
        <v>201</v>
      </c>
      <c r="AH106" s="605" t="str">
        <f>IFERROR(INDEX('Annex 2_Code'!$J$114:$J$126,MATCH('Annex 3_MAFF'!AF106,'Annex 2_Code'!$G$114:$G$126,0)),"")</f>
        <v>MAFF-GDAHP</v>
      </c>
      <c r="AI106" s="646" t="str">
        <f>IF(ISNUMBER(FIND("-",AH106,1))=FALSE,LEFT(AH106,LEN(AH106)),LEFT(AH106,(FIND("-",AH106,1))-1))</f>
        <v>MAFF</v>
      </c>
    </row>
    <row r="107" spans="1:36" s="1364" customFormat="1" ht="60.75" outlineLevel="1">
      <c r="A107" s="1357"/>
      <c r="B107" s="669" t="s">
        <v>1451</v>
      </c>
      <c r="C107" s="669" t="s">
        <v>33</v>
      </c>
      <c r="D107" s="701"/>
      <c r="E107" s="307" t="s">
        <v>468</v>
      </c>
      <c r="F107" s="615"/>
      <c r="G107" s="616" t="s">
        <v>1078</v>
      </c>
      <c r="H107" s="677" t="s">
        <v>1077</v>
      </c>
      <c r="I107" s="727">
        <v>1.5</v>
      </c>
      <c r="J107" s="619">
        <v>0</v>
      </c>
      <c r="K107" s="620">
        <v>4</v>
      </c>
      <c r="L107" s="620">
        <v>4</v>
      </c>
      <c r="M107" s="620">
        <v>0</v>
      </c>
      <c r="N107" s="731">
        <f t="shared" si="129"/>
        <v>8</v>
      </c>
      <c r="O107" s="622">
        <f t="shared" si="135"/>
        <v>0</v>
      </c>
      <c r="P107" s="623">
        <f t="shared" si="135"/>
        <v>6</v>
      </c>
      <c r="Q107" s="623">
        <f t="shared" si="135"/>
        <v>6</v>
      </c>
      <c r="R107" s="623">
        <f t="shared" si="135"/>
        <v>0</v>
      </c>
      <c r="S107" s="1356">
        <f>SUM(O107:R107)</f>
        <v>12</v>
      </c>
      <c r="T107" s="763">
        <f>IFERROR(INDEX('Annex 2_Code'!I$8:I$33,MATCH('Annex 3_MAFF'!$AG107,'Annex 2_Code'!$G$8:$G$33,0)),"")</f>
        <v>0</v>
      </c>
      <c r="U107" s="763">
        <f>IFERROR(INDEX('Annex 2_Code'!J$8:J$33,MATCH('Annex 3_MAFF'!$AG107,'Annex 2_Code'!$G$8:$G$33,0)),"")</f>
        <v>0</v>
      </c>
      <c r="V107" s="763">
        <f>IFERROR(INDEX('Annex 2_Code'!K$8:K$33,MATCH('Annex 3_MAFF'!$AG107,'Annex 2_Code'!$G$8:$G$33,0)),"")</f>
        <v>1</v>
      </c>
      <c r="W107" s="763">
        <f>IFERROR(INDEX('Annex 2_Code'!L$8:L$33,MATCH('Annex 3_MAFF'!$AG107,'Annex 2_Code'!$G$8:$G$33,0)),"")</f>
        <v>0</v>
      </c>
      <c r="X107" s="763">
        <f>IFERROR(INDEX('Annex 2_Code'!M$8:M$33,MATCH('Annex 3_MAFF'!$AG107,'Annex 2_Code'!$G$8:$G$33,0)),"")</f>
        <v>0</v>
      </c>
      <c r="Y107" s="1745">
        <f t="shared" si="107"/>
        <v>0</v>
      </c>
      <c r="Z107" s="807">
        <f>IFERROR($S107*U107,"")</f>
        <v>0</v>
      </c>
      <c r="AA107" s="807">
        <f t="shared" si="127"/>
        <v>12</v>
      </c>
      <c r="AB107" s="807">
        <f>IFERROR($S107*W107,"")</f>
        <v>0</v>
      </c>
      <c r="AC107" s="808">
        <f t="shared" si="128"/>
        <v>0</v>
      </c>
      <c r="AD107" s="764">
        <f t="shared" si="106"/>
        <v>12</v>
      </c>
      <c r="AE107" s="764">
        <f t="shared" si="110"/>
        <v>0</v>
      </c>
      <c r="AF107" s="605" t="s">
        <v>187</v>
      </c>
      <c r="AG107" s="605" t="s">
        <v>201</v>
      </c>
      <c r="AH107" s="605" t="str">
        <f>IFERROR(INDEX('Annex 2_Code'!$J$114:$J$126,MATCH('Annex 3_MAFF'!AF107,'Annex 2_Code'!$G$114:$G$126,0)),"")</f>
        <v>MAFF-GDAHP</v>
      </c>
      <c r="AI107" s="646" t="str">
        <f>IF(ISNUMBER(FIND("-",AH107,1))=FALSE,LEFT(AH107,LEN(AH107)),LEFT(AH107,(FIND("-",AH107,1))-1))</f>
        <v>MAFF</v>
      </c>
      <c r="AJ107" s="1364" t="s">
        <v>456</v>
      </c>
    </row>
    <row r="108" spans="1:36" s="728" customFormat="1" ht="42.6" customHeight="1" outlineLevel="1">
      <c r="A108" s="1863"/>
      <c r="B108" s="669" t="s">
        <v>1451</v>
      </c>
      <c r="C108" s="669" t="s">
        <v>33</v>
      </c>
      <c r="D108" s="2298"/>
      <c r="E108" s="307" t="s">
        <v>469</v>
      </c>
      <c r="F108" s="615"/>
      <c r="G108" s="616" t="s">
        <v>1514</v>
      </c>
      <c r="H108" s="677" t="s">
        <v>594</v>
      </c>
      <c r="I108" s="2299">
        <v>1.5</v>
      </c>
      <c r="J108" s="2300">
        <v>0</v>
      </c>
      <c r="K108" s="2301">
        <v>4</v>
      </c>
      <c r="L108" s="2301">
        <v>4</v>
      </c>
      <c r="M108" s="2301">
        <v>0</v>
      </c>
      <c r="N108" s="2302">
        <f t="shared" si="129"/>
        <v>8</v>
      </c>
      <c r="O108" s="2303">
        <f>($I108*J108)</f>
        <v>0</v>
      </c>
      <c r="P108" s="2304">
        <f t="shared" si="133"/>
        <v>6</v>
      </c>
      <c r="Q108" s="2304">
        <f t="shared" si="134"/>
        <v>6</v>
      </c>
      <c r="R108" s="2304">
        <f t="shared" si="131"/>
        <v>0</v>
      </c>
      <c r="S108" s="2338">
        <f t="shared" si="132"/>
        <v>12</v>
      </c>
      <c r="T108" s="2305">
        <f>IFERROR(INDEX('Annex 2_Code'!I$8:I$33,MATCH('Annex 3_MAFF'!$AG108,'Annex 2_Code'!$G$8:$G$33,0)),"")</f>
        <v>0</v>
      </c>
      <c r="U108" s="2305">
        <f>IFERROR(INDEX('Annex 2_Code'!J$8:J$33,MATCH('Annex 3_MAFF'!$AG108,'Annex 2_Code'!$G$8:$G$33,0)),"")</f>
        <v>0</v>
      </c>
      <c r="V108" s="2305">
        <f>IFERROR(INDEX('Annex 2_Code'!K$8:K$33,MATCH('Annex 3_MAFF'!$AG108,'Annex 2_Code'!$G$8:$G$33,0)),"")</f>
        <v>1</v>
      </c>
      <c r="W108" s="2305">
        <f>IFERROR(INDEX('Annex 2_Code'!L$8:L$33,MATCH('Annex 3_MAFF'!$AG108,'Annex 2_Code'!$G$8:$G$33,0)),"")</f>
        <v>0</v>
      </c>
      <c r="X108" s="2305">
        <f>IFERROR(INDEX('Annex 2_Code'!M$8:M$33,MATCH('Annex 3_MAFF'!$AG108,'Annex 2_Code'!$G$8:$G$33,0)),"")</f>
        <v>0</v>
      </c>
      <c r="Y108" s="2306">
        <f t="shared" si="107"/>
        <v>0</v>
      </c>
      <c r="Z108" s="2307">
        <f t="shared" si="108"/>
        <v>0</v>
      </c>
      <c r="AA108" s="2307">
        <f t="shared" si="127"/>
        <v>12</v>
      </c>
      <c r="AB108" s="2307">
        <f t="shared" si="109"/>
        <v>0</v>
      </c>
      <c r="AC108" s="2308">
        <f t="shared" si="128"/>
        <v>0</v>
      </c>
      <c r="AD108" s="2309">
        <f t="shared" si="106"/>
        <v>12</v>
      </c>
      <c r="AE108" s="2309">
        <f t="shared" si="110"/>
        <v>0</v>
      </c>
      <c r="AF108" s="605" t="s">
        <v>187</v>
      </c>
      <c r="AG108" s="605" t="s">
        <v>201</v>
      </c>
      <c r="AH108" s="2310" t="str">
        <f>IFERROR(INDEX('Annex 2_Code'!$J$114:$J$126,MATCH('Annex 3_MAFF'!AF108,'Annex 2_Code'!$G$114:$G$126,0)),"")</f>
        <v>MAFF-GDAHP</v>
      </c>
      <c r="AI108" s="646" t="str">
        <f t="shared" si="105"/>
        <v>MAFF</v>
      </c>
      <c r="AJ108" s="728" t="s">
        <v>456</v>
      </c>
    </row>
    <row r="109" spans="1:36" s="1862" customFormat="1" ht="93" outlineLevel="1">
      <c r="A109" s="1861"/>
      <c r="B109" s="669" t="s">
        <v>1451</v>
      </c>
      <c r="C109" s="669" t="s">
        <v>33</v>
      </c>
      <c r="D109" s="2298"/>
      <c r="E109" s="307" t="s">
        <v>470</v>
      </c>
      <c r="F109" s="615"/>
      <c r="G109" s="1922" t="s">
        <v>1139</v>
      </c>
      <c r="H109" s="677" t="s">
        <v>594</v>
      </c>
      <c r="I109" s="2299">
        <v>1.5</v>
      </c>
      <c r="J109" s="2300">
        <v>0</v>
      </c>
      <c r="K109" s="2301">
        <v>4</v>
      </c>
      <c r="L109" s="2301">
        <v>4</v>
      </c>
      <c r="M109" s="2301">
        <v>0</v>
      </c>
      <c r="N109" s="2302">
        <f>SUM(J109:M109)</f>
        <v>8</v>
      </c>
      <c r="O109" s="2303">
        <f>($I109*J109)</f>
        <v>0</v>
      </c>
      <c r="P109" s="2304">
        <f>($I109*K109)</f>
        <v>6</v>
      </c>
      <c r="Q109" s="2304">
        <f>($I109*L109)</f>
        <v>6</v>
      </c>
      <c r="R109" s="2304">
        <f>($I109*M109)</f>
        <v>0</v>
      </c>
      <c r="S109" s="2338">
        <f>SUM(O109:R109)</f>
        <v>12</v>
      </c>
      <c r="T109" s="763">
        <f>IFERROR(INDEX('Annex 2_Code'!I$8:I$33,MATCH('Annex 3_MAFF'!$AG109,'Annex 2_Code'!$G$8:$G$33,0)),"")</f>
        <v>0</v>
      </c>
      <c r="U109" s="763">
        <f>IFERROR(INDEX('Annex 2_Code'!J$8:J$33,MATCH('Annex 3_MAFF'!$AG109,'Annex 2_Code'!$G$8:$G$33,0)),"")</f>
        <v>0</v>
      </c>
      <c r="V109" s="763">
        <f>IFERROR(INDEX('Annex 2_Code'!K$8:K$33,MATCH('Annex 3_MAFF'!$AG109,'Annex 2_Code'!$G$8:$G$33,0)),"")</f>
        <v>1</v>
      </c>
      <c r="W109" s="763">
        <f>IFERROR(INDEX('Annex 2_Code'!L$8:L$33,MATCH('Annex 3_MAFF'!$AG109,'Annex 2_Code'!$G$8:$G$33,0)),"")</f>
        <v>0</v>
      </c>
      <c r="X109" s="763">
        <f>IFERROR(INDEX('Annex 2_Code'!M$8:M$33,MATCH('Annex 3_MAFF'!$AG109,'Annex 2_Code'!$G$8:$G$33,0)),"")</f>
        <v>0</v>
      </c>
      <c r="Y109" s="1745">
        <f t="shared" si="107"/>
        <v>0</v>
      </c>
      <c r="Z109" s="807">
        <f t="shared" si="108"/>
        <v>0</v>
      </c>
      <c r="AA109" s="807">
        <f t="shared" si="127"/>
        <v>12</v>
      </c>
      <c r="AB109" s="807">
        <f t="shared" si="109"/>
        <v>0</v>
      </c>
      <c r="AC109" s="808">
        <f t="shared" si="128"/>
        <v>0</v>
      </c>
      <c r="AD109" s="764">
        <f t="shared" si="106"/>
        <v>12</v>
      </c>
      <c r="AE109" s="764">
        <f t="shared" si="110"/>
        <v>0</v>
      </c>
      <c r="AF109" s="605" t="s">
        <v>187</v>
      </c>
      <c r="AG109" s="605" t="s">
        <v>201</v>
      </c>
      <c r="AH109" s="605" t="str">
        <f>IFERROR(INDEX('Annex 2_Code'!$J$114:$J$126,MATCH('Annex 3_MAFF'!AF109,'Annex 2_Code'!$G$114:$G$126,0)),"")</f>
        <v>MAFF-GDAHP</v>
      </c>
      <c r="AI109" s="646" t="str">
        <f t="shared" si="105"/>
        <v>MAFF</v>
      </c>
    </row>
    <row r="110" spans="1:36" s="607" customFormat="1" ht="46.5" outlineLevel="1">
      <c r="A110" s="587"/>
      <c r="B110" s="669" t="s">
        <v>1451</v>
      </c>
      <c r="C110" s="669" t="s">
        <v>33</v>
      </c>
      <c r="D110" s="701"/>
      <c r="E110" s="307" t="s">
        <v>471</v>
      </c>
      <c r="F110" s="615"/>
      <c r="G110" s="616" t="s">
        <v>596</v>
      </c>
      <c r="H110" s="677" t="s">
        <v>594</v>
      </c>
      <c r="I110" s="2278">
        <v>6</v>
      </c>
      <c r="J110" s="654">
        <v>0</v>
      </c>
      <c r="K110" s="655">
        <v>2</v>
      </c>
      <c r="L110" s="655">
        <v>2</v>
      </c>
      <c r="M110" s="655">
        <v>0</v>
      </c>
      <c r="N110" s="1735">
        <f t="shared" si="129"/>
        <v>4</v>
      </c>
      <c r="O110" s="622">
        <f t="shared" si="130"/>
        <v>0</v>
      </c>
      <c r="P110" s="623">
        <f t="shared" si="133"/>
        <v>12</v>
      </c>
      <c r="Q110" s="623">
        <f t="shared" si="134"/>
        <v>12</v>
      </c>
      <c r="R110" s="623">
        <f t="shared" si="131"/>
        <v>0</v>
      </c>
      <c r="S110" s="1356">
        <f t="shared" si="132"/>
        <v>24</v>
      </c>
      <c r="T110" s="763">
        <f>IFERROR(INDEX('Annex 2_Code'!I$8:I$33,MATCH('Annex 3_MAFF'!$AG110,'Annex 2_Code'!$G$8:$G$33,0)),"")</f>
        <v>0</v>
      </c>
      <c r="U110" s="763">
        <f>IFERROR(INDEX('Annex 2_Code'!J$8:J$33,MATCH('Annex 3_MAFF'!$AG110,'Annex 2_Code'!$G$8:$G$33,0)),"")</f>
        <v>0</v>
      </c>
      <c r="V110" s="763">
        <f>IFERROR(INDEX('Annex 2_Code'!K$8:K$33,MATCH('Annex 3_MAFF'!$AG110,'Annex 2_Code'!$G$8:$G$33,0)),"")</f>
        <v>1</v>
      </c>
      <c r="W110" s="763">
        <f>IFERROR(INDEX('Annex 2_Code'!L$8:L$33,MATCH('Annex 3_MAFF'!$AG110,'Annex 2_Code'!$G$8:$G$33,0)),"")</f>
        <v>0</v>
      </c>
      <c r="X110" s="763">
        <f>IFERROR(INDEX('Annex 2_Code'!M$8:M$33,MATCH('Annex 3_MAFF'!$AG110,'Annex 2_Code'!$G$8:$G$33,0)),"")</f>
        <v>0</v>
      </c>
      <c r="Y110" s="1745">
        <f t="shared" si="107"/>
        <v>0</v>
      </c>
      <c r="Z110" s="807">
        <f t="shared" ref="Z110:Z116" si="136">IFERROR($S110*U110,"")</f>
        <v>0</v>
      </c>
      <c r="AA110" s="807">
        <f t="shared" si="127"/>
        <v>24</v>
      </c>
      <c r="AB110" s="807">
        <f t="shared" ref="AB110:AB116" si="137">IFERROR($S110*W110,"")</f>
        <v>0</v>
      </c>
      <c r="AC110" s="808">
        <f t="shared" si="128"/>
        <v>0</v>
      </c>
      <c r="AD110" s="764">
        <f t="shared" si="106"/>
        <v>24</v>
      </c>
      <c r="AE110" s="764">
        <f t="shared" si="110"/>
        <v>0</v>
      </c>
      <c r="AF110" s="605" t="s">
        <v>187</v>
      </c>
      <c r="AG110" s="605" t="s">
        <v>201</v>
      </c>
      <c r="AH110" s="605" t="str">
        <f>IFERROR(INDEX('Annex 2_Code'!$J$114:$J$126,MATCH('Annex 3_MAFF'!AF110,'Annex 2_Code'!$G$114:$G$126,0)),"")</f>
        <v>MAFF-GDAHP</v>
      </c>
      <c r="AI110" s="646" t="str">
        <f t="shared" ref="AI110:AI116" si="138">IF(ISNUMBER(FIND("-",AH110,1))=FALSE,LEFT(AH110,LEN(AH110)),LEFT(AH110,(FIND("-",AH110,1))-1))</f>
        <v>MAFF</v>
      </c>
      <c r="AJ110" s="607" t="s">
        <v>456</v>
      </c>
    </row>
    <row r="111" spans="1:36" s="607" customFormat="1" ht="37.5" outlineLevel="1">
      <c r="A111" s="587"/>
      <c r="B111" s="669" t="s">
        <v>1451</v>
      </c>
      <c r="C111" s="669" t="s">
        <v>33</v>
      </c>
      <c r="D111" s="701"/>
      <c r="E111" s="307" t="s">
        <v>472</v>
      </c>
      <c r="F111" s="649"/>
      <c r="G111" s="616" t="s">
        <v>1079</v>
      </c>
      <c r="H111" s="677" t="s">
        <v>594</v>
      </c>
      <c r="I111" s="727">
        <v>8</v>
      </c>
      <c r="J111" s="619">
        <v>4</v>
      </c>
      <c r="K111" s="620">
        <v>0</v>
      </c>
      <c r="L111" s="620">
        <v>0</v>
      </c>
      <c r="M111" s="620">
        <v>0</v>
      </c>
      <c r="N111" s="731">
        <f t="shared" si="129"/>
        <v>4</v>
      </c>
      <c r="O111" s="622">
        <f t="shared" si="130"/>
        <v>32</v>
      </c>
      <c r="P111" s="623">
        <f t="shared" si="133"/>
        <v>0</v>
      </c>
      <c r="Q111" s="623">
        <f t="shared" si="134"/>
        <v>0</v>
      </c>
      <c r="R111" s="623">
        <f t="shared" si="131"/>
        <v>0</v>
      </c>
      <c r="S111" s="1356">
        <f t="shared" si="132"/>
        <v>32</v>
      </c>
      <c r="T111" s="763">
        <f>IFERROR(INDEX('Annex 2_Code'!I$8:I$33,MATCH('Annex 3_MAFF'!$AG111,'Annex 2_Code'!$G$8:$G$33,0)),"")</f>
        <v>0</v>
      </c>
      <c r="U111" s="763">
        <f>IFERROR(INDEX('Annex 2_Code'!J$8:J$33,MATCH('Annex 3_MAFF'!$AG111,'Annex 2_Code'!$G$8:$G$33,0)),"")</f>
        <v>0</v>
      </c>
      <c r="V111" s="763">
        <f>IFERROR(INDEX('Annex 2_Code'!K$8:K$33,MATCH('Annex 3_MAFF'!$AG111,'Annex 2_Code'!$G$8:$G$33,0)),"")</f>
        <v>1</v>
      </c>
      <c r="W111" s="763">
        <f>IFERROR(INDEX('Annex 2_Code'!L$8:L$33,MATCH('Annex 3_MAFF'!$AG111,'Annex 2_Code'!$G$8:$G$33,0)),"")</f>
        <v>0</v>
      </c>
      <c r="X111" s="763">
        <f>IFERROR(INDEX('Annex 2_Code'!M$8:M$33,MATCH('Annex 3_MAFF'!$AG111,'Annex 2_Code'!$G$8:$G$33,0)),"")</f>
        <v>0</v>
      </c>
      <c r="Y111" s="1745">
        <f t="shared" si="107"/>
        <v>0</v>
      </c>
      <c r="Z111" s="807">
        <f t="shared" si="136"/>
        <v>0</v>
      </c>
      <c r="AA111" s="807">
        <f t="shared" si="127"/>
        <v>32</v>
      </c>
      <c r="AB111" s="807">
        <f t="shared" si="137"/>
        <v>0</v>
      </c>
      <c r="AC111" s="808">
        <f t="shared" si="128"/>
        <v>0</v>
      </c>
      <c r="AD111" s="764">
        <f t="shared" si="106"/>
        <v>32</v>
      </c>
      <c r="AE111" s="764">
        <f t="shared" si="110"/>
        <v>0</v>
      </c>
      <c r="AF111" s="605" t="s">
        <v>187</v>
      </c>
      <c r="AG111" s="605" t="s">
        <v>201</v>
      </c>
      <c r="AH111" s="605" t="str">
        <f>IFERROR(INDEX('Annex 2_Code'!$J$114:$J$126,MATCH('Annex 3_MAFF'!AF111,'Annex 2_Code'!$G$114:$G$126,0)),"")</f>
        <v>MAFF-GDAHP</v>
      </c>
      <c r="AI111" s="646" t="str">
        <f t="shared" si="138"/>
        <v>MAFF</v>
      </c>
    </row>
    <row r="112" spans="1:36" s="1378" customFormat="1" ht="65.25" customHeight="1" outlineLevel="1">
      <c r="A112" s="1371"/>
      <c r="B112" s="669" t="s">
        <v>1451</v>
      </c>
      <c r="C112" s="669" t="s">
        <v>33</v>
      </c>
      <c r="D112" s="701"/>
      <c r="E112" s="307" t="s">
        <v>821</v>
      </c>
      <c r="F112" s="649"/>
      <c r="G112" s="2311" t="s">
        <v>1515</v>
      </c>
      <c r="H112" s="709" t="s">
        <v>1077</v>
      </c>
      <c r="I112" s="572">
        <v>0.9</v>
      </c>
      <c r="J112" s="619">
        <v>2</v>
      </c>
      <c r="K112" s="620">
        <v>2</v>
      </c>
      <c r="L112" s="620">
        <v>2</v>
      </c>
      <c r="M112" s="620">
        <v>2</v>
      </c>
      <c r="N112" s="731">
        <f>SUM(J112:M112)</f>
        <v>8</v>
      </c>
      <c r="O112" s="622">
        <f>($I112*J112)</f>
        <v>1.8</v>
      </c>
      <c r="P112" s="623">
        <f t="shared" si="133"/>
        <v>1.8</v>
      </c>
      <c r="Q112" s="623">
        <f t="shared" si="134"/>
        <v>1.8</v>
      </c>
      <c r="R112" s="623">
        <f t="shared" si="131"/>
        <v>1.8</v>
      </c>
      <c r="S112" s="1356">
        <f t="shared" si="132"/>
        <v>7.2</v>
      </c>
      <c r="T112" s="763">
        <f>IFERROR(INDEX('Annex 2_Code'!I$8:I$33,MATCH('Annex 3_MAFF'!$AG112,'Annex 2_Code'!$G$8:$G$33,0)),"")</f>
        <v>0</v>
      </c>
      <c r="U112" s="763">
        <f>IFERROR(INDEX('Annex 2_Code'!J$8:J$33,MATCH('Annex 3_MAFF'!$AG112,'Annex 2_Code'!$G$8:$G$33,0)),"")</f>
        <v>0</v>
      </c>
      <c r="V112" s="763">
        <f>IFERROR(INDEX('Annex 2_Code'!K$8:K$33,MATCH('Annex 3_MAFF'!$AG112,'Annex 2_Code'!$G$8:$G$33,0)),"")</f>
        <v>1</v>
      </c>
      <c r="W112" s="763">
        <f>IFERROR(INDEX('Annex 2_Code'!L$8:L$33,MATCH('Annex 3_MAFF'!$AG112,'Annex 2_Code'!$G$8:$G$33,0)),"")</f>
        <v>0</v>
      </c>
      <c r="X112" s="763">
        <f>IFERROR(INDEX('Annex 2_Code'!M$8:M$33,MATCH('Annex 3_MAFF'!$AG112,'Annex 2_Code'!$G$8:$G$33,0)),"")</f>
        <v>0</v>
      </c>
      <c r="Y112" s="1745">
        <f t="shared" si="107"/>
        <v>0</v>
      </c>
      <c r="Z112" s="807">
        <f t="shared" si="136"/>
        <v>0</v>
      </c>
      <c r="AA112" s="807">
        <f t="shared" si="127"/>
        <v>7.2</v>
      </c>
      <c r="AB112" s="807">
        <f t="shared" si="137"/>
        <v>0</v>
      </c>
      <c r="AC112" s="808">
        <f t="shared" si="128"/>
        <v>0</v>
      </c>
      <c r="AD112" s="764">
        <f t="shared" si="106"/>
        <v>7.2</v>
      </c>
      <c r="AE112" s="764">
        <f t="shared" si="110"/>
        <v>0</v>
      </c>
      <c r="AF112" s="605" t="s">
        <v>187</v>
      </c>
      <c r="AG112" s="605" t="s">
        <v>201</v>
      </c>
      <c r="AH112" s="605" t="str">
        <f>IFERROR(INDEX('Annex 2_Code'!$J$114:$J$126,MATCH('Annex 3_MAFF'!AF112,'Annex 2_Code'!$G$114:$G$126,0)),"")</f>
        <v>MAFF-GDAHP</v>
      </c>
      <c r="AI112" s="646" t="str">
        <f t="shared" si="138"/>
        <v>MAFF</v>
      </c>
    </row>
    <row r="113" spans="1:36" s="1378" customFormat="1" ht="91.7" customHeight="1" outlineLevel="1">
      <c r="A113" s="1371"/>
      <c r="B113" s="669" t="s">
        <v>1451</v>
      </c>
      <c r="C113" s="669" t="s">
        <v>33</v>
      </c>
      <c r="D113" s="701"/>
      <c r="E113" s="307" t="s">
        <v>822</v>
      </c>
      <c r="F113" s="649"/>
      <c r="G113" s="1732" t="s">
        <v>1117</v>
      </c>
      <c r="H113" s="709" t="s">
        <v>1074</v>
      </c>
      <c r="I113" s="787">
        <v>2.5</v>
      </c>
      <c r="J113" s="620">
        <v>1</v>
      </c>
      <c r="K113" s="620">
        <v>1</v>
      </c>
      <c r="L113" s="620">
        <v>1</v>
      </c>
      <c r="M113" s="620">
        <v>1</v>
      </c>
      <c r="N113" s="731">
        <f>SUM(J113:M113)</f>
        <v>4</v>
      </c>
      <c r="O113" s="622">
        <f>($I113*J113)</f>
        <v>2.5</v>
      </c>
      <c r="P113" s="623">
        <f t="shared" si="133"/>
        <v>2.5</v>
      </c>
      <c r="Q113" s="623">
        <f t="shared" si="134"/>
        <v>2.5</v>
      </c>
      <c r="R113" s="623">
        <f t="shared" si="131"/>
        <v>2.5</v>
      </c>
      <c r="S113" s="1356">
        <f>SUM(O113:R113)</f>
        <v>10</v>
      </c>
      <c r="T113" s="763">
        <f>IFERROR(INDEX('Annex 2_Code'!I$8:I$33,MATCH('Annex 3_MAFF'!$AG113,'Annex 2_Code'!$G$8:$G$33,0)),"")</f>
        <v>0</v>
      </c>
      <c r="U113" s="763">
        <f>IFERROR(INDEX('Annex 2_Code'!J$8:J$33,MATCH('Annex 3_MAFF'!$AG113,'Annex 2_Code'!$G$8:$G$33,0)),"")</f>
        <v>0</v>
      </c>
      <c r="V113" s="763">
        <f>IFERROR(INDEX('Annex 2_Code'!K$8:K$33,MATCH('Annex 3_MAFF'!$AG113,'Annex 2_Code'!$G$8:$G$33,0)),"")</f>
        <v>1</v>
      </c>
      <c r="W113" s="763">
        <f>IFERROR(INDEX('Annex 2_Code'!L$8:L$33,MATCH('Annex 3_MAFF'!$AG113,'Annex 2_Code'!$G$8:$G$33,0)),"")</f>
        <v>0</v>
      </c>
      <c r="X113" s="763">
        <f>IFERROR(INDEX('Annex 2_Code'!M$8:M$33,MATCH('Annex 3_MAFF'!$AG113,'Annex 2_Code'!$G$8:$G$33,0)),"")</f>
        <v>0</v>
      </c>
      <c r="Y113" s="1745">
        <f t="shared" si="107"/>
        <v>0</v>
      </c>
      <c r="Z113" s="807">
        <f t="shared" si="136"/>
        <v>0</v>
      </c>
      <c r="AA113" s="807">
        <f t="shared" si="127"/>
        <v>10</v>
      </c>
      <c r="AB113" s="807">
        <f t="shared" si="137"/>
        <v>0</v>
      </c>
      <c r="AC113" s="808">
        <f t="shared" si="128"/>
        <v>0</v>
      </c>
      <c r="AD113" s="764">
        <f t="shared" si="106"/>
        <v>10</v>
      </c>
      <c r="AE113" s="764">
        <f t="shared" si="110"/>
        <v>0</v>
      </c>
      <c r="AF113" s="605" t="s">
        <v>187</v>
      </c>
      <c r="AG113" s="605" t="s">
        <v>201</v>
      </c>
      <c r="AH113" s="605" t="str">
        <f>IFERROR(INDEX('Annex 2_Code'!$J$114:$J$126,MATCH('Annex 3_MAFF'!AF113,'Annex 2_Code'!$G$114:$G$126,0)),"")</f>
        <v>MAFF-GDAHP</v>
      </c>
      <c r="AI113" s="646" t="str">
        <f t="shared" si="138"/>
        <v>MAFF</v>
      </c>
    </row>
    <row r="114" spans="1:36" s="607" customFormat="1" ht="93" outlineLevel="1">
      <c r="A114" s="587"/>
      <c r="B114" s="669" t="s">
        <v>1451</v>
      </c>
      <c r="C114" s="669" t="s">
        <v>33</v>
      </c>
      <c r="D114" s="701"/>
      <c r="E114" s="307" t="s">
        <v>823</v>
      </c>
      <c r="F114" s="649"/>
      <c r="G114" s="1728" t="s">
        <v>834</v>
      </c>
      <c r="H114" s="677" t="s">
        <v>594</v>
      </c>
      <c r="I114" s="727">
        <v>8</v>
      </c>
      <c r="J114" s="619">
        <v>4</v>
      </c>
      <c r="K114" s="620">
        <v>0</v>
      </c>
      <c r="L114" s="620">
        <v>0</v>
      </c>
      <c r="M114" s="620">
        <v>0</v>
      </c>
      <c r="N114" s="731">
        <f t="shared" ref="N114:N116" si="139">SUM(J114:M114)</f>
        <v>4</v>
      </c>
      <c r="O114" s="622">
        <f t="shared" si="130"/>
        <v>32</v>
      </c>
      <c r="P114" s="623">
        <f t="shared" si="133"/>
        <v>0</v>
      </c>
      <c r="Q114" s="623">
        <f t="shared" si="134"/>
        <v>0</v>
      </c>
      <c r="R114" s="623">
        <f t="shared" si="131"/>
        <v>0</v>
      </c>
      <c r="S114" s="1356">
        <f t="shared" si="132"/>
        <v>32</v>
      </c>
      <c r="T114" s="763">
        <f>IFERROR(INDEX('Annex 2_Code'!I$8:I$33,MATCH('Annex 3_MAFF'!$AG114,'Annex 2_Code'!$G$8:$G$33,0)),"")</f>
        <v>0</v>
      </c>
      <c r="U114" s="763">
        <f>IFERROR(INDEX('Annex 2_Code'!J$8:J$33,MATCH('Annex 3_MAFF'!$AG114,'Annex 2_Code'!$G$8:$G$33,0)),"")</f>
        <v>0</v>
      </c>
      <c r="V114" s="763">
        <f>IFERROR(INDEX('Annex 2_Code'!K$8:K$33,MATCH('Annex 3_MAFF'!$AG114,'Annex 2_Code'!$G$8:$G$33,0)),"")</f>
        <v>1</v>
      </c>
      <c r="W114" s="763">
        <f>IFERROR(INDEX('Annex 2_Code'!L$8:L$33,MATCH('Annex 3_MAFF'!$AG114,'Annex 2_Code'!$G$8:$G$33,0)),"")</f>
        <v>0</v>
      </c>
      <c r="X114" s="763">
        <f>IFERROR(INDEX('Annex 2_Code'!M$8:M$33,MATCH('Annex 3_MAFF'!$AG114,'Annex 2_Code'!$G$8:$G$33,0)),"")</f>
        <v>0</v>
      </c>
      <c r="Y114" s="1745">
        <f t="shared" si="107"/>
        <v>0</v>
      </c>
      <c r="Z114" s="807">
        <f t="shared" si="136"/>
        <v>0</v>
      </c>
      <c r="AA114" s="807">
        <f t="shared" si="127"/>
        <v>32</v>
      </c>
      <c r="AB114" s="807">
        <f t="shared" si="137"/>
        <v>0</v>
      </c>
      <c r="AC114" s="808">
        <f t="shared" si="128"/>
        <v>0</v>
      </c>
      <c r="AD114" s="764">
        <f t="shared" si="106"/>
        <v>32</v>
      </c>
      <c r="AE114" s="764">
        <f t="shared" si="110"/>
        <v>0</v>
      </c>
      <c r="AF114" s="605" t="s">
        <v>187</v>
      </c>
      <c r="AG114" s="605" t="s">
        <v>201</v>
      </c>
      <c r="AH114" s="605" t="str">
        <f>IFERROR(INDEX('Annex 2_Code'!$J$114:$J$126,MATCH('Annex 3_MAFF'!AF114,'Annex 2_Code'!$G$114:$G$126,0)),"")</f>
        <v>MAFF-GDAHP</v>
      </c>
      <c r="AI114" s="646" t="str">
        <f t="shared" si="138"/>
        <v>MAFF</v>
      </c>
    </row>
    <row r="115" spans="1:36" s="607" customFormat="1" ht="47.45" customHeight="1" outlineLevel="1">
      <c r="A115" s="587"/>
      <c r="B115" s="669" t="s">
        <v>1451</v>
      </c>
      <c r="C115" s="669" t="s">
        <v>33</v>
      </c>
      <c r="D115" s="701"/>
      <c r="E115" s="307" t="s">
        <v>824</v>
      </c>
      <c r="F115" s="649"/>
      <c r="G115" s="1728" t="s">
        <v>835</v>
      </c>
      <c r="H115" s="677" t="s">
        <v>594</v>
      </c>
      <c r="I115" s="727">
        <v>8</v>
      </c>
      <c r="J115" s="619">
        <v>4</v>
      </c>
      <c r="K115" s="620">
        <v>0</v>
      </c>
      <c r="L115" s="620">
        <v>0</v>
      </c>
      <c r="M115" s="620">
        <v>0</v>
      </c>
      <c r="N115" s="731">
        <f t="shared" si="139"/>
        <v>4</v>
      </c>
      <c r="O115" s="622">
        <f t="shared" ref="O115:R116" si="140">($I115*J115)</f>
        <v>32</v>
      </c>
      <c r="P115" s="623">
        <f t="shared" si="140"/>
        <v>0</v>
      </c>
      <c r="Q115" s="623">
        <f t="shared" si="140"/>
        <v>0</v>
      </c>
      <c r="R115" s="623">
        <f t="shared" si="140"/>
        <v>0</v>
      </c>
      <c r="S115" s="1356">
        <f>SUM(O115:R115)</f>
        <v>32</v>
      </c>
      <c r="T115" s="763">
        <f>IFERROR(INDEX('Annex 2_Code'!I$8:I$33,MATCH('Annex 3_MAFF'!$AG115,'Annex 2_Code'!$G$8:$G$33,0)),"")</f>
        <v>0</v>
      </c>
      <c r="U115" s="763">
        <f>IFERROR(INDEX('Annex 2_Code'!J$8:J$33,MATCH('Annex 3_MAFF'!$AG115,'Annex 2_Code'!$G$8:$G$33,0)),"")</f>
        <v>0</v>
      </c>
      <c r="V115" s="763">
        <f>IFERROR(INDEX('Annex 2_Code'!K$8:K$33,MATCH('Annex 3_MAFF'!$AG115,'Annex 2_Code'!$G$8:$G$33,0)),"")</f>
        <v>1</v>
      </c>
      <c r="W115" s="763">
        <f>IFERROR(INDEX('Annex 2_Code'!L$8:L$33,MATCH('Annex 3_MAFF'!$AG115,'Annex 2_Code'!$G$8:$G$33,0)),"")</f>
        <v>0</v>
      </c>
      <c r="X115" s="763">
        <f>IFERROR(INDEX('Annex 2_Code'!M$8:M$33,MATCH('Annex 3_MAFF'!$AG115,'Annex 2_Code'!$G$8:$G$33,0)),"")</f>
        <v>0</v>
      </c>
      <c r="Y115" s="1745">
        <f t="shared" si="107"/>
        <v>0</v>
      </c>
      <c r="Z115" s="807">
        <f t="shared" si="136"/>
        <v>0</v>
      </c>
      <c r="AA115" s="807">
        <f t="shared" si="127"/>
        <v>32</v>
      </c>
      <c r="AB115" s="807">
        <f t="shared" si="137"/>
        <v>0</v>
      </c>
      <c r="AC115" s="808">
        <f t="shared" si="128"/>
        <v>0</v>
      </c>
      <c r="AD115" s="764">
        <f t="shared" si="106"/>
        <v>32</v>
      </c>
      <c r="AE115" s="764">
        <f t="shared" si="110"/>
        <v>0</v>
      </c>
      <c r="AF115" s="605" t="s">
        <v>187</v>
      </c>
      <c r="AG115" s="605" t="s">
        <v>201</v>
      </c>
      <c r="AH115" s="605" t="str">
        <f>IFERROR(INDEX('Annex 2_Code'!$J$114:$J$126,MATCH('Annex 3_MAFF'!AF115,'Annex 2_Code'!$G$114:$G$126,0)),"")</f>
        <v>MAFF-GDAHP</v>
      </c>
      <c r="AI115" s="646" t="str">
        <f t="shared" si="138"/>
        <v>MAFF</v>
      </c>
    </row>
    <row r="116" spans="1:36" s="1378" customFormat="1" ht="93" outlineLevel="1">
      <c r="A116" s="1371"/>
      <c r="B116" s="669" t="s">
        <v>1451</v>
      </c>
      <c r="C116" s="669" t="s">
        <v>33</v>
      </c>
      <c r="D116" s="701"/>
      <c r="E116" s="307" t="s">
        <v>825</v>
      </c>
      <c r="F116" s="649"/>
      <c r="G116" s="1728" t="s">
        <v>836</v>
      </c>
      <c r="H116" s="677" t="s">
        <v>1071</v>
      </c>
      <c r="I116" s="572">
        <v>8</v>
      </c>
      <c r="J116" s="619">
        <v>1</v>
      </c>
      <c r="K116" s="620">
        <v>1</v>
      </c>
      <c r="L116" s="620">
        <v>1</v>
      </c>
      <c r="M116" s="620">
        <v>1</v>
      </c>
      <c r="N116" s="731">
        <f t="shared" si="139"/>
        <v>4</v>
      </c>
      <c r="O116" s="622">
        <f t="shared" si="140"/>
        <v>8</v>
      </c>
      <c r="P116" s="623">
        <f t="shared" si="140"/>
        <v>8</v>
      </c>
      <c r="Q116" s="623">
        <f t="shared" si="140"/>
        <v>8</v>
      </c>
      <c r="R116" s="623">
        <f t="shared" si="140"/>
        <v>8</v>
      </c>
      <c r="S116" s="1356">
        <f>SUM(O116:R116)</f>
        <v>32</v>
      </c>
      <c r="T116" s="763">
        <f>IFERROR(INDEX('Annex 2_Code'!I$8:I$33,MATCH('Annex 3_MAFF'!$AG116,'Annex 2_Code'!$G$8:$G$33,0)),"")</f>
        <v>0</v>
      </c>
      <c r="U116" s="763">
        <f>IFERROR(INDEX('Annex 2_Code'!J$8:J$33,MATCH('Annex 3_MAFF'!$AG116,'Annex 2_Code'!$G$8:$G$33,0)),"")</f>
        <v>0</v>
      </c>
      <c r="V116" s="763">
        <f>IFERROR(INDEX('Annex 2_Code'!K$8:K$33,MATCH('Annex 3_MAFF'!$AG116,'Annex 2_Code'!$G$8:$G$33,0)),"")</f>
        <v>1</v>
      </c>
      <c r="W116" s="763">
        <f>IFERROR(INDEX('Annex 2_Code'!L$8:L$33,MATCH('Annex 3_MAFF'!$AG116,'Annex 2_Code'!$G$8:$G$33,0)),"")</f>
        <v>0</v>
      </c>
      <c r="X116" s="763">
        <f>IFERROR(INDEX('Annex 2_Code'!M$8:M$33,MATCH('Annex 3_MAFF'!$AG116,'Annex 2_Code'!$G$8:$G$33,0)),"")</f>
        <v>0</v>
      </c>
      <c r="Y116" s="1745">
        <f t="shared" si="107"/>
        <v>0</v>
      </c>
      <c r="Z116" s="807">
        <f t="shared" si="136"/>
        <v>0</v>
      </c>
      <c r="AA116" s="807">
        <f t="shared" si="127"/>
        <v>32</v>
      </c>
      <c r="AB116" s="807">
        <f t="shared" si="137"/>
        <v>0</v>
      </c>
      <c r="AC116" s="808">
        <f t="shared" si="128"/>
        <v>0</v>
      </c>
      <c r="AD116" s="764">
        <f t="shared" si="106"/>
        <v>32</v>
      </c>
      <c r="AE116" s="764">
        <f t="shared" si="110"/>
        <v>0</v>
      </c>
      <c r="AF116" s="605" t="s">
        <v>187</v>
      </c>
      <c r="AG116" s="605" t="s">
        <v>201</v>
      </c>
      <c r="AH116" s="605" t="str">
        <f>IFERROR(INDEX('Annex 2_Code'!$J$114:$J$126,MATCH('Annex 3_MAFF'!AF116,'Annex 2_Code'!$G$114:$G$126,0)),"")</f>
        <v>MAFF-GDAHP</v>
      </c>
      <c r="AI116" s="646" t="str">
        <f t="shared" si="138"/>
        <v>MAFF</v>
      </c>
    </row>
    <row r="117" spans="1:36" s="607" customFormat="1" ht="23.25">
      <c r="A117" s="587"/>
      <c r="B117" s="659" t="s">
        <v>54</v>
      </c>
      <c r="C117" s="669"/>
      <c r="D117" s="730"/>
      <c r="E117" s="2631" t="s">
        <v>597</v>
      </c>
      <c r="F117" s="2631"/>
      <c r="G117" s="2631"/>
      <c r="H117" s="722" t="s">
        <v>54</v>
      </c>
      <c r="I117" s="723" t="s">
        <v>54</v>
      </c>
      <c r="J117" s="594">
        <f t="shared" ref="J117:R117" si="141">SUM(J103:J116)</f>
        <v>17</v>
      </c>
      <c r="K117" s="595">
        <f t="shared" si="141"/>
        <v>55</v>
      </c>
      <c r="L117" s="595">
        <f t="shared" si="141"/>
        <v>43</v>
      </c>
      <c r="M117" s="595">
        <f t="shared" si="141"/>
        <v>5</v>
      </c>
      <c r="N117" s="2153">
        <f t="shared" si="141"/>
        <v>120</v>
      </c>
      <c r="O117" s="597">
        <f t="shared" si="141"/>
        <v>114.3</v>
      </c>
      <c r="P117" s="598">
        <f t="shared" si="141"/>
        <v>67.3</v>
      </c>
      <c r="Q117" s="598">
        <f t="shared" si="141"/>
        <v>53.3</v>
      </c>
      <c r="R117" s="598">
        <f t="shared" si="141"/>
        <v>18.3</v>
      </c>
      <c r="S117" s="1409">
        <f>SUM(S103:S116)</f>
        <v>253.2</v>
      </c>
      <c r="T117" s="599" t="str">
        <f>IFERROR(INDEX('Annex 2_Code'!I$8:I$33,MATCH('Annex 3_MAFF'!$AG117,'Annex 2_Code'!$G$8:$G$33,0)),"")</f>
        <v/>
      </c>
      <c r="U117" s="599" t="str">
        <f>IFERROR(INDEX('Annex 2_Code'!J$8:J$33,MATCH('Annex 3_MAFF'!$AG117,'Annex 2_Code'!$G$8:$G$33,0)),"")</f>
        <v/>
      </c>
      <c r="V117" s="599" t="str">
        <f>IFERROR(INDEX('Annex 2_Code'!K$8:K$33,MATCH('Annex 3_MAFF'!$AG117,'Annex 2_Code'!$G$8:$G$33,0)),"")</f>
        <v/>
      </c>
      <c r="W117" s="599" t="str">
        <f>IFERROR(INDEX('Annex 2_Code'!L$8:L$33,MATCH('Annex 3_MAFF'!$AG117,'Annex 2_Code'!$G$8:$G$33,0)),"")</f>
        <v/>
      </c>
      <c r="X117" s="599" t="str">
        <f>IFERROR(INDEX('Annex 2_Code'!M$8:M$33,MATCH('Annex 3_MAFF'!$AG117,'Annex 2_Code'!$G$8:$G$33,0)),"")</f>
        <v/>
      </c>
      <c r="Y117" s="647" t="str">
        <f t="shared" si="107"/>
        <v/>
      </c>
      <c r="Z117" s="600" t="str">
        <f t="shared" si="108"/>
        <v/>
      </c>
      <c r="AA117" s="600" t="str">
        <f t="shared" si="127"/>
        <v/>
      </c>
      <c r="AB117" s="600" t="str">
        <f t="shared" si="109"/>
        <v/>
      </c>
      <c r="AC117" s="601" t="str">
        <f t="shared" si="128"/>
        <v/>
      </c>
      <c r="AD117" s="602">
        <f t="shared" si="106"/>
        <v>0</v>
      </c>
      <c r="AE117" s="602">
        <f t="shared" si="110"/>
        <v>-253.2</v>
      </c>
      <c r="AF117" s="605"/>
      <c r="AG117" s="605"/>
      <c r="AH117" s="605" t="str">
        <f>IFERROR(INDEX('Annex 2_Code'!$J$114:$J$126,MATCH('Annex 3_MAFF'!AF117,'Annex 2_Code'!$G$114:$G$126,0)),"")</f>
        <v/>
      </c>
      <c r="AI117" s="624" t="str">
        <f t="shared" si="105"/>
        <v/>
      </c>
    </row>
    <row r="118" spans="1:36" s="607" customFormat="1" ht="36" customHeight="1">
      <c r="A118" s="587"/>
      <c r="B118" s="659"/>
      <c r="C118" s="669"/>
      <c r="D118" s="1766"/>
      <c r="E118" s="1792" t="s">
        <v>1124</v>
      </c>
      <c r="F118" s="1792"/>
      <c r="G118" s="1793" t="s">
        <v>1125</v>
      </c>
      <c r="H118" s="726"/>
      <c r="I118" s="572"/>
      <c r="J118" s="619"/>
      <c r="K118" s="620"/>
      <c r="L118" s="620"/>
      <c r="M118" s="620"/>
      <c r="N118" s="621"/>
      <c r="O118" s="622"/>
      <c r="P118" s="623"/>
      <c r="Q118" s="623"/>
      <c r="R118" s="715"/>
      <c r="S118" s="1695">
        <f>SUM(O117:R117)</f>
        <v>253.2</v>
      </c>
      <c r="T118" s="599" t="str">
        <f>IFERROR(INDEX('Annex 2_Code'!I$8:I$33,MATCH('Annex 3_MAFF'!$AG118,'Annex 2_Code'!$G$8:$G$33,0)),"")</f>
        <v/>
      </c>
      <c r="U118" s="599" t="str">
        <f>IFERROR(INDEX('Annex 2_Code'!J$8:J$33,MATCH('Annex 3_MAFF'!$AG118,'Annex 2_Code'!$G$8:$G$33,0)),"")</f>
        <v/>
      </c>
      <c r="V118" s="599" t="str">
        <f>IFERROR(INDEX('Annex 2_Code'!K$8:K$33,MATCH('Annex 3_MAFF'!$AG118,'Annex 2_Code'!$G$8:$G$33,0)),"")</f>
        <v/>
      </c>
      <c r="W118" s="599" t="str">
        <f>IFERROR(INDEX('Annex 2_Code'!L$8:L$33,MATCH('Annex 3_MAFF'!$AG118,'Annex 2_Code'!$G$8:$G$33,0)),"")</f>
        <v/>
      </c>
      <c r="X118" s="599" t="str">
        <f>IFERROR(INDEX('Annex 2_Code'!M$8:M$33,MATCH('Annex 3_MAFF'!$AG118,'Annex 2_Code'!$G$8:$G$33,0)),"")</f>
        <v/>
      </c>
      <c r="Y118" s="647" t="str">
        <f t="shared" si="107"/>
        <v/>
      </c>
      <c r="Z118" s="600" t="str">
        <f t="shared" si="108"/>
        <v/>
      </c>
      <c r="AA118" s="600" t="str">
        <f t="shared" si="127"/>
        <v/>
      </c>
      <c r="AB118" s="600" t="str">
        <f t="shared" si="109"/>
        <v/>
      </c>
      <c r="AC118" s="601" t="str">
        <f t="shared" si="128"/>
        <v/>
      </c>
      <c r="AD118" s="602">
        <f t="shared" si="106"/>
        <v>0</v>
      </c>
      <c r="AE118" s="602">
        <f t="shared" si="110"/>
        <v>-253.2</v>
      </c>
      <c r="AF118" s="605"/>
      <c r="AG118" s="605"/>
      <c r="AH118" s="605" t="str">
        <f>IFERROR(INDEX('Annex 2_Code'!$J$114:$J$126,MATCH('Annex 3_MAFF'!AF118,'Annex 2_Code'!$G$114:$G$126,0)),"")</f>
        <v/>
      </c>
      <c r="AI118" s="624" t="str">
        <f t="shared" si="105"/>
        <v/>
      </c>
    </row>
    <row r="119" spans="1:36" s="1939" customFormat="1" ht="46.5" outlineLevel="1">
      <c r="A119" s="1930"/>
      <c r="B119" s="669" t="s">
        <v>1451</v>
      </c>
      <c r="C119" s="669" t="s">
        <v>41</v>
      </c>
      <c r="D119" s="701"/>
      <c r="E119" s="307" t="s">
        <v>473</v>
      </c>
      <c r="F119" s="615"/>
      <c r="G119" s="616" t="s">
        <v>1516</v>
      </c>
      <c r="H119" s="677" t="s">
        <v>598</v>
      </c>
      <c r="I119" s="727">
        <v>3.5</v>
      </c>
      <c r="J119" s="619">
        <v>0</v>
      </c>
      <c r="K119" s="620">
        <v>1</v>
      </c>
      <c r="L119" s="620">
        <v>1</v>
      </c>
      <c r="M119" s="620">
        <v>0</v>
      </c>
      <c r="N119" s="731">
        <f t="shared" ref="N119:N125" si="142">SUM(J119:M119)</f>
        <v>2</v>
      </c>
      <c r="O119" s="622">
        <f t="shared" ref="O119:R125" si="143">($I119*J119)</f>
        <v>0</v>
      </c>
      <c r="P119" s="623">
        <f t="shared" si="143"/>
        <v>3.5</v>
      </c>
      <c r="Q119" s="623">
        <f t="shared" si="143"/>
        <v>3.5</v>
      </c>
      <c r="R119" s="623">
        <f>($I119*M119)</f>
        <v>0</v>
      </c>
      <c r="S119" s="1356">
        <f t="shared" ref="S119:S125" si="144">SUM(O119:R119)</f>
        <v>7</v>
      </c>
      <c r="T119" s="763">
        <f>IFERROR(INDEX('Annex 2_Code'!I$8:I$33,MATCH('Annex 3_MAFF'!$AG119,'Annex 2_Code'!$G$8:$G$33,0)),"")</f>
        <v>0</v>
      </c>
      <c r="U119" s="763">
        <f>IFERROR(INDEX('Annex 2_Code'!J$8:J$33,MATCH('Annex 3_MAFF'!$AG119,'Annex 2_Code'!$G$8:$G$33,0)),"")</f>
        <v>0</v>
      </c>
      <c r="V119" s="763">
        <f>IFERROR(INDEX('Annex 2_Code'!K$8:K$33,MATCH('Annex 3_MAFF'!$AG119,'Annex 2_Code'!$G$8:$G$33,0)),"")</f>
        <v>1</v>
      </c>
      <c r="W119" s="763">
        <f>IFERROR(INDEX('Annex 2_Code'!L$8:L$33,MATCH('Annex 3_MAFF'!$AG119,'Annex 2_Code'!$G$8:$G$33,0)),"")</f>
        <v>0</v>
      </c>
      <c r="X119" s="763">
        <f>IFERROR(INDEX('Annex 2_Code'!M$8:M$33,MATCH('Annex 3_MAFF'!$AG119,'Annex 2_Code'!$G$8:$G$33,0)),"")</f>
        <v>0</v>
      </c>
      <c r="Y119" s="1745">
        <f t="shared" si="107"/>
        <v>0</v>
      </c>
      <c r="Z119" s="807">
        <f t="shared" si="108"/>
        <v>0</v>
      </c>
      <c r="AA119" s="807">
        <f t="shared" si="127"/>
        <v>7</v>
      </c>
      <c r="AB119" s="807">
        <f t="shared" si="109"/>
        <v>0</v>
      </c>
      <c r="AC119" s="808">
        <f t="shared" si="128"/>
        <v>0</v>
      </c>
      <c r="AD119" s="764">
        <f t="shared" si="106"/>
        <v>7</v>
      </c>
      <c r="AE119" s="764">
        <f t="shared" si="110"/>
        <v>0</v>
      </c>
      <c r="AF119" s="605" t="s">
        <v>187</v>
      </c>
      <c r="AG119" s="605" t="s">
        <v>201</v>
      </c>
      <c r="AH119" s="605" t="str">
        <f>IFERROR(INDEX('Annex 2_Code'!$J$114:$J$126,MATCH('Annex 3_MAFF'!AF119,'Annex 2_Code'!$G$114:$G$126,0)),"")</f>
        <v>MAFF-GDAHP</v>
      </c>
      <c r="AI119" s="646" t="str">
        <f t="shared" si="105"/>
        <v>MAFF</v>
      </c>
      <c r="AJ119" s="683" t="s">
        <v>449</v>
      </c>
    </row>
    <row r="120" spans="1:36" s="1939" customFormat="1" ht="72" customHeight="1" outlineLevel="1">
      <c r="A120" s="1930"/>
      <c r="B120" s="669" t="s">
        <v>1451</v>
      </c>
      <c r="C120" s="669" t="s">
        <v>41</v>
      </c>
      <c r="D120" s="701"/>
      <c r="E120" s="307" t="s">
        <v>474</v>
      </c>
      <c r="F120" s="615"/>
      <c r="G120" s="616" t="s">
        <v>1517</v>
      </c>
      <c r="H120" s="677" t="s">
        <v>1518</v>
      </c>
      <c r="I120" s="727">
        <v>3.5</v>
      </c>
      <c r="J120" s="619">
        <v>0</v>
      </c>
      <c r="K120" s="620">
        <v>1</v>
      </c>
      <c r="L120" s="620">
        <v>1</v>
      </c>
      <c r="M120" s="620">
        <v>0</v>
      </c>
      <c r="N120" s="731">
        <f t="shared" si="142"/>
        <v>2</v>
      </c>
      <c r="O120" s="622">
        <f t="shared" si="143"/>
        <v>0</v>
      </c>
      <c r="P120" s="623">
        <f t="shared" si="143"/>
        <v>3.5</v>
      </c>
      <c r="Q120" s="623">
        <f t="shared" si="143"/>
        <v>3.5</v>
      </c>
      <c r="R120" s="623">
        <f t="shared" si="143"/>
        <v>0</v>
      </c>
      <c r="S120" s="1356">
        <f t="shared" si="144"/>
        <v>7</v>
      </c>
      <c r="T120" s="763">
        <f>IFERROR(INDEX('Annex 2_Code'!I$8:I$33,MATCH('Annex 3_MAFF'!$AG120,'Annex 2_Code'!$G$8:$G$33,0)),"")</f>
        <v>0</v>
      </c>
      <c r="U120" s="763">
        <f>IFERROR(INDEX('Annex 2_Code'!J$8:J$33,MATCH('Annex 3_MAFF'!$AG120,'Annex 2_Code'!$G$8:$G$33,0)),"")</f>
        <v>0</v>
      </c>
      <c r="V120" s="763">
        <f>IFERROR(INDEX('Annex 2_Code'!K$8:K$33,MATCH('Annex 3_MAFF'!$AG120,'Annex 2_Code'!$G$8:$G$33,0)),"")</f>
        <v>1</v>
      </c>
      <c r="W120" s="763">
        <f>IFERROR(INDEX('Annex 2_Code'!L$8:L$33,MATCH('Annex 3_MAFF'!$AG120,'Annex 2_Code'!$G$8:$G$33,0)),"")</f>
        <v>0</v>
      </c>
      <c r="X120" s="763">
        <f>IFERROR(INDEX('Annex 2_Code'!M$8:M$33,MATCH('Annex 3_MAFF'!$AG120,'Annex 2_Code'!$G$8:$G$33,0)),"")</f>
        <v>0</v>
      </c>
      <c r="Y120" s="1745">
        <f t="shared" si="107"/>
        <v>0</v>
      </c>
      <c r="Z120" s="807">
        <f>IFERROR($S120*U120,"")</f>
        <v>0</v>
      </c>
      <c r="AA120" s="807">
        <f t="shared" si="127"/>
        <v>7</v>
      </c>
      <c r="AB120" s="807">
        <f>IFERROR($S120*W120,"")</f>
        <v>0</v>
      </c>
      <c r="AC120" s="808">
        <f t="shared" si="128"/>
        <v>0</v>
      </c>
      <c r="AD120" s="764">
        <f t="shared" si="106"/>
        <v>7</v>
      </c>
      <c r="AE120" s="764">
        <f t="shared" si="110"/>
        <v>0</v>
      </c>
      <c r="AF120" s="605" t="s">
        <v>187</v>
      </c>
      <c r="AG120" s="605" t="s">
        <v>201</v>
      </c>
      <c r="AH120" s="605" t="str">
        <f>IFERROR(INDEX('Annex 2_Code'!$J$114:$J$126,MATCH('Annex 3_MAFF'!AF120,'Annex 2_Code'!$G$114:$G$126,0)),"")</f>
        <v>MAFF-GDAHP</v>
      </c>
      <c r="AI120" s="646" t="str">
        <f t="shared" si="105"/>
        <v>MAFF</v>
      </c>
      <c r="AJ120" s="683" t="s">
        <v>449</v>
      </c>
    </row>
    <row r="121" spans="1:36" s="607" customFormat="1" ht="54.75" customHeight="1" outlineLevel="1">
      <c r="A121" s="725"/>
      <c r="B121" s="669" t="s">
        <v>1451</v>
      </c>
      <c r="C121" s="669" t="s">
        <v>41</v>
      </c>
      <c r="D121" s="701"/>
      <c r="E121" s="307" t="s">
        <v>475</v>
      </c>
      <c r="F121" s="615"/>
      <c r="G121" s="616" t="s">
        <v>1519</v>
      </c>
      <c r="H121" s="677" t="s">
        <v>1520</v>
      </c>
      <c r="I121" s="727">
        <v>0.15</v>
      </c>
      <c r="J121" s="619">
        <v>150</v>
      </c>
      <c r="K121" s="620">
        <v>300</v>
      </c>
      <c r="L121" s="620">
        <v>300</v>
      </c>
      <c r="M121" s="620">
        <v>250</v>
      </c>
      <c r="N121" s="731">
        <f t="shared" si="142"/>
        <v>1000</v>
      </c>
      <c r="O121" s="622">
        <f t="shared" si="143"/>
        <v>22.5</v>
      </c>
      <c r="P121" s="623">
        <f t="shared" si="143"/>
        <v>45</v>
      </c>
      <c r="Q121" s="623">
        <f t="shared" si="143"/>
        <v>45</v>
      </c>
      <c r="R121" s="623">
        <f t="shared" si="143"/>
        <v>37.5</v>
      </c>
      <c r="S121" s="1356">
        <f t="shared" si="144"/>
        <v>150</v>
      </c>
      <c r="T121" s="763">
        <f>IFERROR(INDEX('Annex 2_Code'!I$8:I$33,MATCH('Annex 3_MAFF'!$AG121,'Annex 2_Code'!$G$8:$G$33,0)),"")</f>
        <v>0</v>
      </c>
      <c r="U121" s="763">
        <f>IFERROR(INDEX('Annex 2_Code'!J$8:J$33,MATCH('Annex 3_MAFF'!$AG121,'Annex 2_Code'!$G$8:$G$33,0)),"")</f>
        <v>0</v>
      </c>
      <c r="V121" s="763">
        <f>IFERROR(INDEX('Annex 2_Code'!K$8:K$33,MATCH('Annex 3_MAFF'!$AG121,'Annex 2_Code'!$G$8:$G$33,0)),"")</f>
        <v>1</v>
      </c>
      <c r="W121" s="763">
        <f>IFERROR(INDEX('Annex 2_Code'!L$8:L$33,MATCH('Annex 3_MAFF'!$AG121,'Annex 2_Code'!$G$8:$G$33,0)),"")</f>
        <v>0</v>
      </c>
      <c r="X121" s="763">
        <f>IFERROR(INDEX('Annex 2_Code'!M$8:M$33,MATCH('Annex 3_MAFF'!$AG121,'Annex 2_Code'!$G$8:$G$33,0)),"")</f>
        <v>0</v>
      </c>
      <c r="Y121" s="1745">
        <f t="shared" si="107"/>
        <v>0</v>
      </c>
      <c r="Z121" s="807">
        <f t="shared" si="108"/>
        <v>0</v>
      </c>
      <c r="AA121" s="807">
        <f t="shared" si="127"/>
        <v>150</v>
      </c>
      <c r="AB121" s="807">
        <f t="shared" si="109"/>
        <v>0</v>
      </c>
      <c r="AC121" s="808">
        <f t="shared" si="128"/>
        <v>0</v>
      </c>
      <c r="AD121" s="764">
        <f t="shared" si="106"/>
        <v>150</v>
      </c>
      <c r="AE121" s="764">
        <f t="shared" si="110"/>
        <v>0</v>
      </c>
      <c r="AF121" s="605" t="s">
        <v>187</v>
      </c>
      <c r="AG121" s="605" t="s">
        <v>201</v>
      </c>
      <c r="AH121" s="605" t="str">
        <f>IFERROR(INDEX('Annex 2_Code'!$J$114:$J$126,MATCH('Annex 3_MAFF'!AF121,'Annex 2_Code'!$G$114:$G$126,0)),"")</f>
        <v>MAFF-GDAHP</v>
      </c>
      <c r="AI121" s="646" t="str">
        <f t="shared" si="105"/>
        <v>MAFF</v>
      </c>
      <c r="AJ121" s="683" t="s">
        <v>456</v>
      </c>
    </row>
    <row r="122" spans="1:36" s="607" customFormat="1" ht="68.25" customHeight="1" outlineLevel="1">
      <c r="A122" s="587"/>
      <c r="B122" s="669" t="s">
        <v>1451</v>
      </c>
      <c r="C122" s="669" t="s">
        <v>33</v>
      </c>
      <c r="D122" s="701"/>
      <c r="E122" s="307" t="s">
        <v>476</v>
      </c>
      <c r="F122" s="615"/>
      <c r="G122" s="616" t="s">
        <v>613</v>
      </c>
      <c r="H122" s="677" t="s">
        <v>595</v>
      </c>
      <c r="I122" s="727">
        <v>7</v>
      </c>
      <c r="J122" s="619">
        <v>4</v>
      </c>
      <c r="K122" s="620">
        <v>0</v>
      </c>
      <c r="L122" s="620">
        <v>0</v>
      </c>
      <c r="M122" s="620">
        <v>0</v>
      </c>
      <c r="N122" s="731">
        <f t="shared" si="142"/>
        <v>4</v>
      </c>
      <c r="O122" s="622">
        <f t="shared" si="143"/>
        <v>28</v>
      </c>
      <c r="P122" s="623">
        <f t="shared" si="143"/>
        <v>0</v>
      </c>
      <c r="Q122" s="623">
        <f t="shared" si="143"/>
        <v>0</v>
      </c>
      <c r="R122" s="623">
        <f t="shared" si="143"/>
        <v>0</v>
      </c>
      <c r="S122" s="1356">
        <f t="shared" si="144"/>
        <v>28</v>
      </c>
      <c r="T122" s="763">
        <f>IFERROR(INDEX('Annex 2_Code'!I$8:I$33,MATCH('Annex 3_MAFF'!$AG122,'Annex 2_Code'!$G$8:$G$33,0)),"")</f>
        <v>0</v>
      </c>
      <c r="U122" s="763">
        <f>IFERROR(INDEX('Annex 2_Code'!J$8:J$33,MATCH('Annex 3_MAFF'!$AG122,'Annex 2_Code'!$G$8:$G$33,0)),"")</f>
        <v>0</v>
      </c>
      <c r="V122" s="763">
        <f>IFERROR(INDEX('Annex 2_Code'!K$8:K$33,MATCH('Annex 3_MAFF'!$AG122,'Annex 2_Code'!$G$8:$G$33,0)),"")</f>
        <v>1</v>
      </c>
      <c r="W122" s="763">
        <f>IFERROR(INDEX('Annex 2_Code'!L$8:L$33,MATCH('Annex 3_MAFF'!$AG122,'Annex 2_Code'!$G$8:$G$33,0)),"")</f>
        <v>0</v>
      </c>
      <c r="X122" s="763">
        <f>IFERROR(INDEX('Annex 2_Code'!M$8:M$33,MATCH('Annex 3_MAFF'!$AG122,'Annex 2_Code'!$G$8:$G$33,0)),"")</f>
        <v>0</v>
      </c>
      <c r="Y122" s="1745">
        <f t="shared" si="107"/>
        <v>0</v>
      </c>
      <c r="Z122" s="807">
        <f t="shared" si="108"/>
        <v>0</v>
      </c>
      <c r="AA122" s="807">
        <f t="shared" si="127"/>
        <v>28</v>
      </c>
      <c r="AB122" s="807">
        <f t="shared" si="109"/>
        <v>0</v>
      </c>
      <c r="AC122" s="808">
        <f t="shared" si="128"/>
        <v>0</v>
      </c>
      <c r="AD122" s="764">
        <f t="shared" ref="AD122:AD142" si="145">SUM(Y122:AC122)</f>
        <v>28</v>
      </c>
      <c r="AE122" s="764">
        <f t="shared" si="110"/>
        <v>0</v>
      </c>
      <c r="AF122" s="605" t="s">
        <v>187</v>
      </c>
      <c r="AG122" s="605" t="s">
        <v>201</v>
      </c>
      <c r="AH122" s="605" t="str">
        <f>IFERROR(INDEX('Annex 2_Code'!$J$114:$J$126,MATCH('Annex 3_MAFF'!AF122,'Annex 2_Code'!$G$114:$G$126,0)),"")</f>
        <v>MAFF-GDAHP</v>
      </c>
      <c r="AI122" s="646" t="str">
        <f t="shared" si="105"/>
        <v>MAFF</v>
      </c>
      <c r="AJ122" s="683" t="s">
        <v>456</v>
      </c>
    </row>
    <row r="123" spans="1:36" s="607" customFormat="1" ht="67.5" customHeight="1" outlineLevel="1">
      <c r="A123" s="725"/>
      <c r="B123" s="669" t="s">
        <v>1451</v>
      </c>
      <c r="C123" s="669" t="s">
        <v>41</v>
      </c>
      <c r="D123" s="701"/>
      <c r="E123" s="307" t="s">
        <v>477</v>
      </c>
      <c r="F123" s="615"/>
      <c r="G123" s="616" t="s">
        <v>1521</v>
      </c>
      <c r="H123" s="677" t="s">
        <v>599</v>
      </c>
      <c r="I123" s="727">
        <v>0.5</v>
      </c>
      <c r="J123" s="619">
        <v>4</v>
      </c>
      <c r="K123" s="620">
        <v>4</v>
      </c>
      <c r="L123" s="620">
        <v>4</v>
      </c>
      <c r="M123" s="620">
        <v>4</v>
      </c>
      <c r="N123" s="731">
        <f t="shared" si="142"/>
        <v>16</v>
      </c>
      <c r="O123" s="622">
        <f t="shared" si="143"/>
        <v>2</v>
      </c>
      <c r="P123" s="623">
        <f t="shared" si="143"/>
        <v>2</v>
      </c>
      <c r="Q123" s="623">
        <f t="shared" si="143"/>
        <v>2</v>
      </c>
      <c r="R123" s="623">
        <f t="shared" si="143"/>
        <v>2</v>
      </c>
      <c r="S123" s="1356">
        <f t="shared" si="144"/>
        <v>8</v>
      </c>
      <c r="T123" s="763">
        <f>IFERROR(INDEX('Annex 2_Code'!I$8:I$33,MATCH('Annex 3_MAFF'!$AG123,'Annex 2_Code'!$G$8:$G$33,0)),"")</f>
        <v>0</v>
      </c>
      <c r="U123" s="763">
        <f>IFERROR(INDEX('Annex 2_Code'!J$8:J$33,MATCH('Annex 3_MAFF'!$AG123,'Annex 2_Code'!$G$8:$G$33,0)),"")</f>
        <v>0</v>
      </c>
      <c r="V123" s="763">
        <f>IFERROR(INDEX('Annex 2_Code'!K$8:K$33,MATCH('Annex 3_MAFF'!$AG123,'Annex 2_Code'!$G$8:$G$33,0)),"")</f>
        <v>1</v>
      </c>
      <c r="W123" s="763">
        <f>IFERROR(INDEX('Annex 2_Code'!L$8:L$33,MATCH('Annex 3_MAFF'!$AG123,'Annex 2_Code'!$G$8:$G$33,0)),"")</f>
        <v>0</v>
      </c>
      <c r="X123" s="763">
        <f>IFERROR(INDEX('Annex 2_Code'!M$8:M$33,MATCH('Annex 3_MAFF'!$AG123,'Annex 2_Code'!$G$8:$G$33,0)),"")</f>
        <v>0</v>
      </c>
      <c r="Y123" s="1745">
        <f t="shared" ref="Y123:Y140" si="146">IFERROR($S123*T123,"")</f>
        <v>0</v>
      </c>
      <c r="Z123" s="807">
        <f t="shared" si="108"/>
        <v>0</v>
      </c>
      <c r="AA123" s="807">
        <f t="shared" si="127"/>
        <v>8</v>
      </c>
      <c r="AB123" s="807">
        <f t="shared" si="109"/>
        <v>0</v>
      </c>
      <c r="AC123" s="808">
        <f t="shared" si="128"/>
        <v>0</v>
      </c>
      <c r="AD123" s="764">
        <f t="shared" si="145"/>
        <v>8</v>
      </c>
      <c r="AE123" s="764">
        <f t="shared" ref="AE123:AE140" si="147">AD123-S123</f>
        <v>0</v>
      </c>
      <c r="AF123" s="605" t="s">
        <v>187</v>
      </c>
      <c r="AG123" s="605" t="s">
        <v>201</v>
      </c>
      <c r="AH123" s="605" t="str">
        <f>IFERROR(INDEX('Annex 2_Code'!$J$114:$J$126,MATCH('Annex 3_MAFF'!AF123,'Annex 2_Code'!$G$114:$G$126,0)),"")</f>
        <v>MAFF-GDAHP</v>
      </c>
      <c r="AI123" s="646" t="str">
        <f t="shared" si="105"/>
        <v>MAFF</v>
      </c>
      <c r="AJ123" s="683" t="s">
        <v>456</v>
      </c>
    </row>
    <row r="124" spans="1:36" s="1939" customFormat="1" ht="37.5" outlineLevel="1">
      <c r="A124" s="1930"/>
      <c r="B124" s="669" t="s">
        <v>1451</v>
      </c>
      <c r="C124" s="669" t="s">
        <v>41</v>
      </c>
      <c r="D124" s="701"/>
      <c r="E124" s="307" t="s">
        <v>478</v>
      </c>
      <c r="F124" s="615"/>
      <c r="G124" s="616" t="s">
        <v>1522</v>
      </c>
      <c r="H124" s="677" t="s">
        <v>1523</v>
      </c>
      <c r="I124" s="727">
        <v>0.6</v>
      </c>
      <c r="J124" s="619">
        <v>0</v>
      </c>
      <c r="K124" s="620">
        <v>10</v>
      </c>
      <c r="L124" s="620">
        <v>0</v>
      </c>
      <c r="M124" s="620">
        <v>0</v>
      </c>
      <c r="N124" s="731">
        <f t="shared" si="142"/>
        <v>10</v>
      </c>
      <c r="O124" s="622">
        <f t="shared" si="143"/>
        <v>0</v>
      </c>
      <c r="P124" s="623">
        <f t="shared" si="143"/>
        <v>6</v>
      </c>
      <c r="Q124" s="623">
        <f t="shared" si="143"/>
        <v>0</v>
      </c>
      <c r="R124" s="623">
        <f t="shared" si="143"/>
        <v>0</v>
      </c>
      <c r="S124" s="1356">
        <f t="shared" si="144"/>
        <v>6</v>
      </c>
      <c r="T124" s="763">
        <f>IFERROR(INDEX('Annex 2_Code'!I$8:I$33,MATCH('Annex 3_MAFF'!$AG124,'Annex 2_Code'!$G$8:$G$33,0)),"")</f>
        <v>0</v>
      </c>
      <c r="U124" s="763">
        <f>IFERROR(INDEX('Annex 2_Code'!J$8:J$33,MATCH('Annex 3_MAFF'!$AG124,'Annex 2_Code'!$G$8:$G$33,0)),"")</f>
        <v>0</v>
      </c>
      <c r="V124" s="763">
        <f>IFERROR(INDEX('Annex 2_Code'!K$8:K$33,MATCH('Annex 3_MAFF'!$AG124,'Annex 2_Code'!$G$8:$G$33,0)),"")</f>
        <v>1</v>
      </c>
      <c r="W124" s="763">
        <f>IFERROR(INDEX('Annex 2_Code'!L$8:L$33,MATCH('Annex 3_MAFF'!$AG124,'Annex 2_Code'!$G$8:$G$33,0)),"")</f>
        <v>0</v>
      </c>
      <c r="X124" s="763">
        <f>IFERROR(INDEX('Annex 2_Code'!M$8:M$33,MATCH('Annex 3_MAFF'!$AG124,'Annex 2_Code'!$G$8:$G$33,0)),"")</f>
        <v>0</v>
      </c>
      <c r="Y124" s="1745">
        <f t="shared" si="146"/>
        <v>0</v>
      </c>
      <c r="Z124" s="807">
        <f t="shared" ref="Z124:Z140" si="148">IFERROR($S124*U124,"")</f>
        <v>0</v>
      </c>
      <c r="AA124" s="807">
        <f t="shared" si="127"/>
        <v>6</v>
      </c>
      <c r="AB124" s="807">
        <f t="shared" ref="AB124:AB133" si="149">IFERROR($S124*W124,"")</f>
        <v>0</v>
      </c>
      <c r="AC124" s="808">
        <f t="shared" si="128"/>
        <v>0</v>
      </c>
      <c r="AD124" s="764">
        <f t="shared" si="145"/>
        <v>6</v>
      </c>
      <c r="AE124" s="764">
        <f t="shared" si="147"/>
        <v>0</v>
      </c>
      <c r="AF124" s="605" t="s">
        <v>187</v>
      </c>
      <c r="AG124" s="605" t="s">
        <v>201</v>
      </c>
      <c r="AH124" s="605" t="str">
        <f>IFERROR(INDEX('Annex 2_Code'!$J$114:$J$126,MATCH('Annex 3_MAFF'!AF124,'Annex 2_Code'!$G$114:$G$126,0)),"")</f>
        <v>MAFF-GDAHP</v>
      </c>
      <c r="AI124" s="646" t="str">
        <f t="shared" ref="AI124:AI142" si="150">IF(ISNUMBER(FIND("-",AH124,1))=FALSE,LEFT(AH124,LEN(AH124)),LEFT(AH124,(FIND("-",AH124,1))-1))</f>
        <v>MAFF</v>
      </c>
      <c r="AJ124" s="683" t="s">
        <v>449</v>
      </c>
    </row>
    <row r="125" spans="1:36" s="1378" customFormat="1" ht="64.5" customHeight="1" outlineLevel="1">
      <c r="A125" s="1371"/>
      <c r="B125" s="669" t="s">
        <v>1451</v>
      </c>
      <c r="C125" s="669" t="s">
        <v>41</v>
      </c>
      <c r="D125" s="701"/>
      <c r="E125" s="307" t="s">
        <v>479</v>
      </c>
      <c r="F125" s="615"/>
      <c r="G125" s="616" t="s">
        <v>1524</v>
      </c>
      <c r="H125" s="677" t="s">
        <v>1525</v>
      </c>
      <c r="I125" s="727">
        <v>0.22</v>
      </c>
      <c r="J125" s="619">
        <v>4</v>
      </c>
      <c r="K125" s="620">
        <v>5</v>
      </c>
      <c r="L125" s="620">
        <v>6</v>
      </c>
      <c r="M125" s="620">
        <v>5</v>
      </c>
      <c r="N125" s="731">
        <f t="shared" si="142"/>
        <v>20</v>
      </c>
      <c r="O125" s="622">
        <f t="shared" si="143"/>
        <v>0.88</v>
      </c>
      <c r="P125" s="623">
        <f t="shared" si="143"/>
        <v>1.1000000000000001</v>
      </c>
      <c r="Q125" s="623">
        <f t="shared" si="143"/>
        <v>1.32</v>
      </c>
      <c r="R125" s="623">
        <f t="shared" si="143"/>
        <v>1.1000000000000001</v>
      </c>
      <c r="S125" s="1356">
        <f t="shared" si="144"/>
        <v>4.4000000000000004</v>
      </c>
      <c r="T125" s="763">
        <f>IFERROR(INDEX('Annex 2_Code'!I$8:I$33,MATCH('Annex 3_MAFF'!$AG125,'Annex 2_Code'!$G$8:$G$33,0)),"")</f>
        <v>0</v>
      </c>
      <c r="U125" s="763">
        <f>IFERROR(INDEX('Annex 2_Code'!J$8:J$33,MATCH('Annex 3_MAFF'!$AG125,'Annex 2_Code'!$G$8:$G$33,0)),"")</f>
        <v>0</v>
      </c>
      <c r="V125" s="763">
        <f>IFERROR(INDEX('Annex 2_Code'!K$8:K$33,MATCH('Annex 3_MAFF'!$AG125,'Annex 2_Code'!$G$8:$G$33,0)),"")</f>
        <v>1</v>
      </c>
      <c r="W125" s="763">
        <f>IFERROR(INDEX('Annex 2_Code'!L$8:L$33,MATCH('Annex 3_MAFF'!$AG125,'Annex 2_Code'!$G$8:$G$33,0)),"")</f>
        <v>0</v>
      </c>
      <c r="X125" s="763">
        <f>IFERROR(INDEX('Annex 2_Code'!M$8:M$33,MATCH('Annex 3_MAFF'!$AG125,'Annex 2_Code'!$G$8:$G$33,0)),"")</f>
        <v>0</v>
      </c>
      <c r="Y125" s="1745">
        <f t="shared" si="146"/>
        <v>0</v>
      </c>
      <c r="Z125" s="807">
        <f t="shared" si="148"/>
        <v>0</v>
      </c>
      <c r="AA125" s="807">
        <f t="shared" si="127"/>
        <v>4.4000000000000004</v>
      </c>
      <c r="AB125" s="807">
        <f t="shared" si="149"/>
        <v>0</v>
      </c>
      <c r="AC125" s="808">
        <f t="shared" si="128"/>
        <v>0</v>
      </c>
      <c r="AD125" s="764">
        <f t="shared" si="145"/>
        <v>4.4000000000000004</v>
      </c>
      <c r="AE125" s="764">
        <f t="shared" si="147"/>
        <v>0</v>
      </c>
      <c r="AF125" s="605" t="s">
        <v>187</v>
      </c>
      <c r="AG125" s="605" t="s">
        <v>201</v>
      </c>
      <c r="AH125" s="605" t="str">
        <f>IFERROR(INDEX('Annex 2_Code'!$J$114:$J$126,MATCH('Annex 3_MAFF'!AF125,'Annex 2_Code'!$G$114:$G$126,0)),"")</f>
        <v>MAFF-GDAHP</v>
      </c>
      <c r="AI125" s="646" t="str">
        <f t="shared" si="150"/>
        <v>MAFF</v>
      </c>
      <c r="AJ125" s="683" t="s">
        <v>450</v>
      </c>
    </row>
    <row r="126" spans="1:36" s="607" customFormat="1" ht="23.25">
      <c r="A126" s="587"/>
      <c r="B126" s="659" t="s">
        <v>54</v>
      </c>
      <c r="C126" s="669"/>
      <c r="D126" s="730"/>
      <c r="E126" s="591" t="s">
        <v>597</v>
      </c>
      <c r="F126" s="592"/>
      <c r="G126" s="721"/>
      <c r="H126" s="722" t="s">
        <v>54</v>
      </c>
      <c r="I126" s="723" t="s">
        <v>54</v>
      </c>
      <c r="J126" s="594">
        <f t="shared" ref="J126:R126" si="151">SUM(J119:J125)</f>
        <v>162</v>
      </c>
      <c r="K126" s="595">
        <f t="shared" si="151"/>
        <v>321</v>
      </c>
      <c r="L126" s="595">
        <f t="shared" si="151"/>
        <v>312</v>
      </c>
      <c r="M126" s="595">
        <f t="shared" si="151"/>
        <v>259</v>
      </c>
      <c r="N126" s="596">
        <f t="shared" si="151"/>
        <v>1054</v>
      </c>
      <c r="O126" s="597">
        <f t="shared" si="151"/>
        <v>53.38</v>
      </c>
      <c r="P126" s="598">
        <f t="shared" si="151"/>
        <v>61.1</v>
      </c>
      <c r="Q126" s="598">
        <f t="shared" si="151"/>
        <v>55.32</v>
      </c>
      <c r="R126" s="598">
        <f t="shared" si="151"/>
        <v>40.6</v>
      </c>
      <c r="S126" s="1409">
        <f>SUM(S119:S125)</f>
        <v>210.4</v>
      </c>
      <c r="T126" s="599" t="str">
        <f>IFERROR(INDEX('Annex 2_Code'!I$8:I$33,MATCH('Annex 3_MAFF'!$AG126,'Annex 2_Code'!$G$8:$G$33,0)),"")</f>
        <v/>
      </c>
      <c r="U126" s="599" t="str">
        <f>IFERROR(INDEX('Annex 2_Code'!J$8:J$33,MATCH('Annex 3_MAFF'!$AG126,'Annex 2_Code'!$G$8:$G$33,0)),"")</f>
        <v/>
      </c>
      <c r="V126" s="599" t="str">
        <f>IFERROR(INDEX('Annex 2_Code'!K$8:K$33,MATCH('Annex 3_MAFF'!$AG126,'Annex 2_Code'!$G$8:$G$33,0)),"")</f>
        <v/>
      </c>
      <c r="W126" s="599" t="str">
        <f>IFERROR(INDEX('Annex 2_Code'!L$8:L$33,MATCH('Annex 3_MAFF'!$AG126,'Annex 2_Code'!$G$8:$G$33,0)),"")</f>
        <v/>
      </c>
      <c r="X126" s="599" t="str">
        <f>IFERROR(INDEX('Annex 2_Code'!M$8:M$33,MATCH('Annex 3_MAFF'!$AG126,'Annex 2_Code'!$G$8:$G$33,0)),"")</f>
        <v/>
      </c>
      <c r="Y126" s="647" t="str">
        <f t="shared" si="146"/>
        <v/>
      </c>
      <c r="Z126" s="600" t="str">
        <f t="shared" si="148"/>
        <v/>
      </c>
      <c r="AA126" s="600" t="str">
        <f t="shared" si="127"/>
        <v/>
      </c>
      <c r="AB126" s="600" t="str">
        <f t="shared" si="149"/>
        <v/>
      </c>
      <c r="AC126" s="601" t="str">
        <f t="shared" si="128"/>
        <v/>
      </c>
      <c r="AD126" s="602">
        <f t="shared" si="145"/>
        <v>0</v>
      </c>
      <c r="AE126" s="602">
        <f t="shared" si="147"/>
        <v>-210.4</v>
      </c>
      <c r="AF126" s="605"/>
      <c r="AG126" s="605"/>
      <c r="AH126" s="605" t="str">
        <f>IFERROR(INDEX('Annex 2_Code'!$J$114:$J$126,MATCH('Annex 3_MAFF'!AF126,'Annex 2_Code'!$G$114:$G$126,0)),"")</f>
        <v/>
      </c>
      <c r="AI126" s="624" t="str">
        <f t="shared" si="150"/>
        <v/>
      </c>
    </row>
    <row r="127" spans="1:36" s="607" customFormat="1" ht="33" customHeight="1">
      <c r="A127" s="587"/>
      <c r="B127" s="669"/>
      <c r="C127" s="669"/>
      <c r="D127" s="1597"/>
      <c r="E127" s="1792" t="s">
        <v>1110</v>
      </c>
      <c r="F127" s="1792"/>
      <c r="G127" s="1793" t="s">
        <v>1111</v>
      </c>
      <c r="H127" s="726"/>
      <c r="I127" s="572"/>
      <c r="J127" s="619"/>
      <c r="K127" s="620"/>
      <c r="L127" s="620"/>
      <c r="M127" s="620"/>
      <c r="N127" s="731"/>
      <c r="O127" s="622"/>
      <c r="P127" s="623"/>
      <c r="Q127" s="623"/>
      <c r="R127" s="1340"/>
      <c r="S127" s="1695">
        <f>SUM(O126:R126)</f>
        <v>210.4</v>
      </c>
      <c r="T127" s="599" t="str">
        <f>IFERROR(INDEX('Annex 2_Code'!I$8:I$33,MATCH('Annex 3_MAFF'!$AG127,'Annex 2_Code'!$G$8:$G$33,0)),"")</f>
        <v/>
      </c>
      <c r="U127" s="599" t="str">
        <f>IFERROR(INDEX('Annex 2_Code'!J$8:J$33,MATCH('Annex 3_MAFF'!$AG127,'Annex 2_Code'!$G$8:$G$33,0)),"")</f>
        <v/>
      </c>
      <c r="V127" s="599" t="str">
        <f>IFERROR(INDEX('Annex 2_Code'!K$8:K$33,MATCH('Annex 3_MAFF'!$AG127,'Annex 2_Code'!$G$8:$G$33,0)),"")</f>
        <v/>
      </c>
      <c r="W127" s="599" t="str">
        <f>IFERROR(INDEX('Annex 2_Code'!L$8:L$33,MATCH('Annex 3_MAFF'!$AG127,'Annex 2_Code'!$G$8:$G$33,0)),"")</f>
        <v/>
      </c>
      <c r="X127" s="599" t="str">
        <f>IFERROR(INDEX('Annex 2_Code'!M$8:M$33,MATCH('Annex 3_MAFF'!$AG127,'Annex 2_Code'!$G$8:$G$33,0)),"")</f>
        <v/>
      </c>
      <c r="Y127" s="647" t="str">
        <f t="shared" si="146"/>
        <v/>
      </c>
      <c r="Z127" s="600" t="str">
        <f t="shared" si="148"/>
        <v/>
      </c>
      <c r="AA127" s="600" t="str">
        <f t="shared" si="127"/>
        <v/>
      </c>
      <c r="AB127" s="600" t="str">
        <f t="shared" si="149"/>
        <v/>
      </c>
      <c r="AC127" s="601" t="str">
        <f t="shared" si="128"/>
        <v/>
      </c>
      <c r="AD127" s="602">
        <f t="shared" si="145"/>
        <v>0</v>
      </c>
      <c r="AE127" s="602">
        <f t="shared" si="147"/>
        <v>-210.4</v>
      </c>
      <c r="AF127" s="605"/>
      <c r="AG127" s="605"/>
      <c r="AH127" s="605" t="str">
        <f>IFERROR(INDEX('Annex 2_Code'!$J$114:$J$126,MATCH('Annex 3_MAFF'!AF127,'Annex 2_Code'!$G$114:$G$126,0)),"")</f>
        <v/>
      </c>
      <c r="AI127" s="624" t="str">
        <f t="shared" si="150"/>
        <v/>
      </c>
    </row>
    <row r="128" spans="1:36" s="607" customFormat="1" ht="60.75" outlineLevel="1">
      <c r="A128" s="725"/>
      <c r="B128" s="669" t="s">
        <v>1451</v>
      </c>
      <c r="C128" s="669" t="s">
        <v>41</v>
      </c>
      <c r="D128" s="701"/>
      <c r="E128" s="307" t="s">
        <v>480</v>
      </c>
      <c r="F128" s="615"/>
      <c r="G128" s="616" t="s">
        <v>1075</v>
      </c>
      <c r="H128" s="677" t="s">
        <v>1076</v>
      </c>
      <c r="I128" s="727">
        <v>0.15</v>
      </c>
      <c r="J128" s="619">
        <v>50</v>
      </c>
      <c r="K128" s="620">
        <v>350</v>
      </c>
      <c r="L128" s="620">
        <v>300</v>
      </c>
      <c r="M128" s="620">
        <v>300</v>
      </c>
      <c r="N128" s="731">
        <f t="shared" ref="N128:N133" si="152">SUM(J128:M128)</f>
        <v>1000</v>
      </c>
      <c r="O128" s="622">
        <f t="shared" ref="O128:R132" si="153">($I128*J128)</f>
        <v>7.5</v>
      </c>
      <c r="P128" s="623">
        <f t="shared" si="153"/>
        <v>52.5</v>
      </c>
      <c r="Q128" s="623">
        <f t="shared" si="153"/>
        <v>45</v>
      </c>
      <c r="R128" s="623">
        <f t="shared" si="153"/>
        <v>45</v>
      </c>
      <c r="S128" s="1356">
        <f t="shared" ref="S128:S132" si="154">SUM(O128:R128)</f>
        <v>150</v>
      </c>
      <c r="T128" s="763">
        <f>IFERROR(INDEX('Annex 2_Code'!I$8:I$33,MATCH('Annex 3_MAFF'!$AG128,'Annex 2_Code'!$G$8:$G$33,0)),"")</f>
        <v>0</v>
      </c>
      <c r="U128" s="763">
        <f>IFERROR(INDEX('Annex 2_Code'!J$8:J$33,MATCH('Annex 3_MAFF'!$AG128,'Annex 2_Code'!$G$8:$G$33,0)),"")</f>
        <v>0</v>
      </c>
      <c r="V128" s="763">
        <f>IFERROR(INDEX('Annex 2_Code'!K$8:K$33,MATCH('Annex 3_MAFF'!$AG128,'Annex 2_Code'!$G$8:$G$33,0)),"")</f>
        <v>1</v>
      </c>
      <c r="W128" s="763">
        <f>IFERROR(INDEX('Annex 2_Code'!L$8:L$33,MATCH('Annex 3_MAFF'!$AG128,'Annex 2_Code'!$G$8:$G$33,0)),"")</f>
        <v>0</v>
      </c>
      <c r="X128" s="763">
        <f>IFERROR(INDEX('Annex 2_Code'!M$8:M$33,MATCH('Annex 3_MAFF'!$AG128,'Annex 2_Code'!$G$8:$G$33,0)),"")</f>
        <v>0</v>
      </c>
      <c r="Y128" s="1745">
        <f t="shared" si="146"/>
        <v>0</v>
      </c>
      <c r="Z128" s="807">
        <f t="shared" si="148"/>
        <v>0</v>
      </c>
      <c r="AA128" s="807">
        <f t="shared" ref="AA128:AA140" si="155">IFERROR($S128*V128,"")</f>
        <v>150</v>
      </c>
      <c r="AB128" s="807">
        <f t="shared" si="149"/>
        <v>0</v>
      </c>
      <c r="AC128" s="808">
        <f t="shared" si="128"/>
        <v>0</v>
      </c>
      <c r="AD128" s="764">
        <f t="shared" si="145"/>
        <v>150</v>
      </c>
      <c r="AE128" s="764">
        <f t="shared" si="147"/>
        <v>0</v>
      </c>
      <c r="AF128" s="605" t="s">
        <v>187</v>
      </c>
      <c r="AG128" s="605" t="s">
        <v>205</v>
      </c>
      <c r="AH128" s="605" t="str">
        <f>IFERROR(INDEX('Annex 2_Code'!$J$114:$J$126,MATCH('Annex 3_MAFF'!AF128,'Annex 2_Code'!$G$114:$G$126,0)),"")</f>
        <v>MAFF-GDAHP</v>
      </c>
      <c r="AI128" s="646" t="str">
        <f t="shared" si="150"/>
        <v>MAFF</v>
      </c>
      <c r="AJ128" s="683" t="s">
        <v>450</v>
      </c>
    </row>
    <row r="129" spans="1:36" s="1568" customFormat="1" ht="46.5" outlineLevel="1">
      <c r="A129" s="1569"/>
      <c r="B129" s="669" t="s">
        <v>1451</v>
      </c>
      <c r="C129" s="669" t="s">
        <v>33</v>
      </c>
      <c r="D129" s="701"/>
      <c r="E129" s="307" t="s">
        <v>481</v>
      </c>
      <c r="F129" s="615"/>
      <c r="G129" s="1922" t="s">
        <v>1158</v>
      </c>
      <c r="H129" s="677" t="s">
        <v>599</v>
      </c>
      <c r="I129" s="794">
        <v>1.5</v>
      </c>
      <c r="J129" s="620">
        <v>4</v>
      </c>
      <c r="K129" s="620">
        <v>4</v>
      </c>
      <c r="L129" s="620">
        <v>4</v>
      </c>
      <c r="M129" s="620">
        <v>4</v>
      </c>
      <c r="N129" s="731">
        <f>SUM(J129:M129)</f>
        <v>16</v>
      </c>
      <c r="O129" s="622">
        <f>($I129*J129)</f>
        <v>6</v>
      </c>
      <c r="P129" s="623">
        <f t="shared" si="153"/>
        <v>6</v>
      </c>
      <c r="Q129" s="623">
        <f t="shared" si="153"/>
        <v>6</v>
      </c>
      <c r="R129" s="623">
        <f t="shared" si="153"/>
        <v>6</v>
      </c>
      <c r="S129" s="1356">
        <f t="shared" si="154"/>
        <v>24</v>
      </c>
      <c r="T129" s="763">
        <f>IFERROR(INDEX('Annex 2_Code'!I$8:I$33,MATCH('Annex 3_MAFF'!$AG129,'Annex 2_Code'!$G$8:$G$33,0)),"")</f>
        <v>0</v>
      </c>
      <c r="U129" s="763">
        <f>IFERROR(INDEX('Annex 2_Code'!J$8:J$33,MATCH('Annex 3_MAFF'!$AG129,'Annex 2_Code'!$G$8:$G$33,0)),"")</f>
        <v>0</v>
      </c>
      <c r="V129" s="763">
        <f>IFERROR(INDEX('Annex 2_Code'!K$8:K$33,MATCH('Annex 3_MAFF'!$AG129,'Annex 2_Code'!$G$8:$G$33,0)),"")</f>
        <v>1</v>
      </c>
      <c r="W129" s="763">
        <f>IFERROR(INDEX('Annex 2_Code'!L$8:L$33,MATCH('Annex 3_MAFF'!$AG129,'Annex 2_Code'!$G$8:$G$33,0)),"")</f>
        <v>0</v>
      </c>
      <c r="X129" s="763">
        <f>IFERROR(INDEX('Annex 2_Code'!M$8:M$33,MATCH('Annex 3_MAFF'!$AG129,'Annex 2_Code'!$G$8:$G$33,0)),"")</f>
        <v>0</v>
      </c>
      <c r="Y129" s="1745">
        <f t="shared" si="146"/>
        <v>0</v>
      </c>
      <c r="Z129" s="807">
        <f t="shared" si="148"/>
        <v>0</v>
      </c>
      <c r="AA129" s="807">
        <f t="shared" si="155"/>
        <v>24</v>
      </c>
      <c r="AB129" s="807">
        <f t="shared" si="149"/>
        <v>0</v>
      </c>
      <c r="AC129" s="808">
        <f t="shared" si="128"/>
        <v>0</v>
      </c>
      <c r="AD129" s="764">
        <f t="shared" si="145"/>
        <v>24</v>
      </c>
      <c r="AE129" s="764">
        <f t="shared" si="147"/>
        <v>0</v>
      </c>
      <c r="AF129" s="605" t="s">
        <v>187</v>
      </c>
      <c r="AG129" s="605" t="s">
        <v>205</v>
      </c>
      <c r="AH129" s="605" t="str">
        <f>IFERROR(INDEX('Annex 2_Code'!$J$114:$J$126,MATCH('Annex 3_MAFF'!AF129,'Annex 2_Code'!$G$114:$G$126,0)),"")</f>
        <v>MAFF-GDAHP</v>
      </c>
      <c r="AI129" s="646" t="str">
        <f t="shared" si="150"/>
        <v>MAFF</v>
      </c>
      <c r="AJ129" s="683"/>
    </row>
    <row r="130" spans="1:36" s="683" customFormat="1" ht="48" customHeight="1" outlineLevel="1">
      <c r="A130" s="587"/>
      <c r="B130" s="669" t="s">
        <v>1451</v>
      </c>
      <c r="C130" s="669" t="s">
        <v>41</v>
      </c>
      <c r="D130" s="701"/>
      <c r="E130" s="307" t="s">
        <v>482</v>
      </c>
      <c r="F130" s="615"/>
      <c r="G130" s="616" t="s">
        <v>831</v>
      </c>
      <c r="H130" s="677" t="s">
        <v>599</v>
      </c>
      <c r="I130" s="727">
        <v>0.3</v>
      </c>
      <c r="J130" s="619">
        <v>12</v>
      </c>
      <c r="K130" s="620">
        <v>12</v>
      </c>
      <c r="L130" s="620">
        <v>12</v>
      </c>
      <c r="M130" s="620">
        <v>12</v>
      </c>
      <c r="N130" s="731">
        <f t="shared" si="152"/>
        <v>48</v>
      </c>
      <c r="O130" s="622">
        <f>($I130*J130)</f>
        <v>3.5999999999999996</v>
      </c>
      <c r="P130" s="623">
        <f t="shared" si="153"/>
        <v>3.5999999999999996</v>
      </c>
      <c r="Q130" s="623">
        <f t="shared" si="153"/>
        <v>3.5999999999999996</v>
      </c>
      <c r="R130" s="623">
        <f t="shared" si="153"/>
        <v>3.5999999999999996</v>
      </c>
      <c r="S130" s="1356">
        <f t="shared" si="154"/>
        <v>14.399999999999999</v>
      </c>
      <c r="T130" s="763">
        <f>IFERROR(INDEX('Annex 2_Code'!I$8:I$33,MATCH('Annex 3_MAFF'!$AG130,'Annex 2_Code'!$G$8:$G$33,0)),"")</f>
        <v>0</v>
      </c>
      <c r="U130" s="763">
        <f>IFERROR(INDEX('Annex 2_Code'!J$8:J$33,MATCH('Annex 3_MAFF'!$AG130,'Annex 2_Code'!$G$8:$G$33,0)),"")</f>
        <v>0</v>
      </c>
      <c r="V130" s="763">
        <f>IFERROR(INDEX('Annex 2_Code'!K$8:K$33,MATCH('Annex 3_MAFF'!$AG130,'Annex 2_Code'!$G$8:$G$33,0)),"")</f>
        <v>1</v>
      </c>
      <c r="W130" s="763">
        <f>IFERROR(INDEX('Annex 2_Code'!L$8:L$33,MATCH('Annex 3_MAFF'!$AG130,'Annex 2_Code'!$G$8:$G$33,0)),"")</f>
        <v>0</v>
      </c>
      <c r="X130" s="763">
        <f>IFERROR(INDEX('Annex 2_Code'!M$8:M$33,MATCH('Annex 3_MAFF'!$AG130,'Annex 2_Code'!$G$8:$G$33,0)),"")</f>
        <v>0</v>
      </c>
      <c r="Y130" s="1745">
        <f t="shared" si="146"/>
        <v>0</v>
      </c>
      <c r="Z130" s="807">
        <f t="shared" si="148"/>
        <v>0</v>
      </c>
      <c r="AA130" s="807">
        <f t="shared" si="155"/>
        <v>14.399999999999999</v>
      </c>
      <c r="AB130" s="807">
        <f t="shared" si="149"/>
        <v>0</v>
      </c>
      <c r="AC130" s="808">
        <f t="shared" si="128"/>
        <v>0</v>
      </c>
      <c r="AD130" s="764">
        <f t="shared" si="145"/>
        <v>14.399999999999999</v>
      </c>
      <c r="AE130" s="764">
        <f t="shared" si="147"/>
        <v>0</v>
      </c>
      <c r="AF130" s="605" t="s">
        <v>187</v>
      </c>
      <c r="AG130" s="605" t="s">
        <v>201</v>
      </c>
      <c r="AH130" s="605" t="str">
        <f>IFERROR(INDEX('Annex 2_Code'!$J$114:$J$126,MATCH('Annex 3_MAFF'!AF130,'Annex 2_Code'!$G$114:$G$126,0)),"")</f>
        <v>MAFF-GDAHP</v>
      </c>
      <c r="AI130" s="646" t="str">
        <f t="shared" si="150"/>
        <v>MAFF</v>
      </c>
      <c r="AJ130" s="683" t="s">
        <v>456</v>
      </c>
    </row>
    <row r="131" spans="1:36" s="607" customFormat="1" ht="55.5" customHeight="1" outlineLevel="1">
      <c r="A131" s="587"/>
      <c r="B131" s="669" t="s">
        <v>1451</v>
      </c>
      <c r="C131" s="669" t="s">
        <v>33</v>
      </c>
      <c r="D131" s="701"/>
      <c r="E131" s="307" t="s">
        <v>483</v>
      </c>
      <c r="F131" s="615"/>
      <c r="G131" s="616" t="s">
        <v>820</v>
      </c>
      <c r="H131" s="677" t="s">
        <v>391</v>
      </c>
      <c r="I131" s="727">
        <v>8</v>
      </c>
      <c r="J131" s="619">
        <v>0</v>
      </c>
      <c r="K131" s="620">
        <v>2</v>
      </c>
      <c r="L131" s="620">
        <v>0</v>
      </c>
      <c r="M131" s="620">
        <v>0</v>
      </c>
      <c r="N131" s="731">
        <f t="shared" si="152"/>
        <v>2</v>
      </c>
      <c r="O131" s="622">
        <f t="shared" si="153"/>
        <v>0</v>
      </c>
      <c r="P131" s="623">
        <f t="shared" si="153"/>
        <v>16</v>
      </c>
      <c r="Q131" s="623">
        <f t="shared" si="153"/>
        <v>0</v>
      </c>
      <c r="R131" s="623">
        <f t="shared" si="153"/>
        <v>0</v>
      </c>
      <c r="S131" s="1356">
        <f t="shared" si="154"/>
        <v>16</v>
      </c>
      <c r="T131" s="763">
        <f>IFERROR(INDEX('Annex 2_Code'!I$8:I$33,MATCH('Annex 3_MAFF'!$AG131,'Annex 2_Code'!$G$8:$G$33,0)),"")</f>
        <v>0</v>
      </c>
      <c r="U131" s="763">
        <f>IFERROR(INDEX('Annex 2_Code'!J$8:J$33,MATCH('Annex 3_MAFF'!$AG131,'Annex 2_Code'!$G$8:$G$33,0)),"")</f>
        <v>0</v>
      </c>
      <c r="V131" s="763">
        <f>IFERROR(INDEX('Annex 2_Code'!K$8:K$33,MATCH('Annex 3_MAFF'!$AG131,'Annex 2_Code'!$G$8:$G$33,0)),"")</f>
        <v>1</v>
      </c>
      <c r="W131" s="763">
        <f>IFERROR(INDEX('Annex 2_Code'!L$8:L$33,MATCH('Annex 3_MAFF'!$AG131,'Annex 2_Code'!$G$8:$G$33,0)),"")</f>
        <v>0</v>
      </c>
      <c r="X131" s="763">
        <f>IFERROR(INDEX('Annex 2_Code'!M$8:M$33,MATCH('Annex 3_MAFF'!$AG131,'Annex 2_Code'!$G$8:$G$33,0)),"")</f>
        <v>0</v>
      </c>
      <c r="Y131" s="1745">
        <f t="shared" si="146"/>
        <v>0</v>
      </c>
      <c r="Z131" s="807">
        <f t="shared" si="148"/>
        <v>0</v>
      </c>
      <c r="AA131" s="807">
        <f t="shared" si="155"/>
        <v>16</v>
      </c>
      <c r="AB131" s="807">
        <f t="shared" si="149"/>
        <v>0</v>
      </c>
      <c r="AC131" s="808">
        <f t="shared" si="128"/>
        <v>0</v>
      </c>
      <c r="AD131" s="764">
        <f t="shared" si="145"/>
        <v>16</v>
      </c>
      <c r="AE131" s="764">
        <f t="shared" si="147"/>
        <v>0</v>
      </c>
      <c r="AF131" s="605" t="s">
        <v>187</v>
      </c>
      <c r="AG131" s="605" t="s">
        <v>201</v>
      </c>
      <c r="AH131" s="605" t="str">
        <f>IFERROR(INDEX('Annex 2_Code'!$J$114:$J$126,MATCH('Annex 3_MAFF'!AF131,'Annex 2_Code'!$G$114:$G$126,0)),"")</f>
        <v>MAFF-GDAHP</v>
      </c>
      <c r="AI131" s="646" t="str">
        <f t="shared" si="150"/>
        <v>MAFF</v>
      </c>
      <c r="AJ131" s="683" t="s">
        <v>449</v>
      </c>
    </row>
    <row r="132" spans="1:36" s="607" customFormat="1" ht="55.5" customHeight="1" outlineLevel="1">
      <c r="A132" s="587"/>
      <c r="B132" s="669" t="s">
        <v>1451</v>
      </c>
      <c r="C132" s="669" t="s">
        <v>33</v>
      </c>
      <c r="D132" s="701"/>
      <c r="E132" s="307" t="s">
        <v>484</v>
      </c>
      <c r="F132" s="615"/>
      <c r="G132" s="1452" t="s">
        <v>1097</v>
      </c>
      <c r="H132" s="709" t="s">
        <v>595</v>
      </c>
      <c r="I132" s="727">
        <v>7</v>
      </c>
      <c r="J132" s="619">
        <v>1</v>
      </c>
      <c r="K132" s="620">
        <v>1</v>
      </c>
      <c r="L132" s="620">
        <v>1</v>
      </c>
      <c r="M132" s="620">
        <v>1</v>
      </c>
      <c r="N132" s="731">
        <f t="shared" si="152"/>
        <v>4</v>
      </c>
      <c r="O132" s="622">
        <f t="shared" si="153"/>
        <v>7</v>
      </c>
      <c r="P132" s="623">
        <f t="shared" si="153"/>
        <v>7</v>
      </c>
      <c r="Q132" s="623">
        <f t="shared" si="153"/>
        <v>7</v>
      </c>
      <c r="R132" s="623">
        <f t="shared" si="153"/>
        <v>7</v>
      </c>
      <c r="S132" s="1356">
        <f t="shared" si="154"/>
        <v>28</v>
      </c>
      <c r="T132" s="763">
        <f>IFERROR(INDEX('Annex 2_Code'!I$8:I$33,MATCH('Annex 3_MAFF'!$AG132,'Annex 2_Code'!$G$8:$G$33,0)),"")</f>
        <v>0</v>
      </c>
      <c r="U132" s="763">
        <f>IFERROR(INDEX('Annex 2_Code'!J$8:J$33,MATCH('Annex 3_MAFF'!$AG132,'Annex 2_Code'!$G$8:$G$33,0)),"")</f>
        <v>0</v>
      </c>
      <c r="V132" s="763">
        <f>IFERROR(INDEX('Annex 2_Code'!K$8:K$33,MATCH('Annex 3_MAFF'!$AG132,'Annex 2_Code'!$G$8:$G$33,0)),"")</f>
        <v>1</v>
      </c>
      <c r="W132" s="763">
        <f>IFERROR(INDEX('Annex 2_Code'!L$8:L$33,MATCH('Annex 3_MAFF'!$AG132,'Annex 2_Code'!$G$8:$G$33,0)),"")</f>
        <v>0</v>
      </c>
      <c r="X132" s="763">
        <f>IFERROR(INDEX('Annex 2_Code'!M$8:M$33,MATCH('Annex 3_MAFF'!$AG132,'Annex 2_Code'!$G$8:$G$33,0)),"")</f>
        <v>0</v>
      </c>
      <c r="Y132" s="1745">
        <f t="shared" si="146"/>
        <v>0</v>
      </c>
      <c r="Z132" s="807">
        <f t="shared" si="148"/>
        <v>0</v>
      </c>
      <c r="AA132" s="807">
        <f t="shared" si="155"/>
        <v>28</v>
      </c>
      <c r="AB132" s="807">
        <f t="shared" si="149"/>
        <v>0</v>
      </c>
      <c r="AC132" s="808">
        <f t="shared" si="128"/>
        <v>0</v>
      </c>
      <c r="AD132" s="764">
        <f t="shared" si="145"/>
        <v>28</v>
      </c>
      <c r="AE132" s="764">
        <f t="shared" si="147"/>
        <v>0</v>
      </c>
      <c r="AF132" s="605" t="s">
        <v>187</v>
      </c>
      <c r="AG132" s="605" t="s">
        <v>201</v>
      </c>
      <c r="AH132" s="605" t="str">
        <f>IFERROR(INDEX('Annex 2_Code'!$J$114:$J$126,MATCH('Annex 3_MAFF'!AF132,'Annex 2_Code'!$G$114:$G$126,0)),"")</f>
        <v>MAFF-GDAHP</v>
      </c>
      <c r="AI132" s="646" t="str">
        <f t="shared" si="150"/>
        <v>MAFF</v>
      </c>
      <c r="AJ132" s="683"/>
    </row>
    <row r="133" spans="1:36" s="1568" customFormat="1" ht="93" outlineLevel="1">
      <c r="A133" s="1569"/>
      <c r="B133" s="669" t="s">
        <v>1451</v>
      </c>
      <c r="C133" s="669" t="s">
        <v>41</v>
      </c>
      <c r="D133" s="701"/>
      <c r="E133" s="307" t="s">
        <v>485</v>
      </c>
      <c r="F133" s="615"/>
      <c r="G133" s="1452" t="s">
        <v>928</v>
      </c>
      <c r="H133" s="966" t="s">
        <v>1526</v>
      </c>
      <c r="I133" s="787">
        <v>2.6</v>
      </c>
      <c r="J133" s="619">
        <v>1</v>
      </c>
      <c r="K133" s="620">
        <v>1</v>
      </c>
      <c r="L133" s="620">
        <v>1</v>
      </c>
      <c r="M133" s="620">
        <v>1</v>
      </c>
      <c r="N133" s="731">
        <f t="shared" si="152"/>
        <v>4</v>
      </c>
      <c r="O133" s="622">
        <f t="shared" ref="O133:R133" si="156">($I133*J133)</f>
        <v>2.6</v>
      </c>
      <c r="P133" s="623">
        <f t="shared" si="156"/>
        <v>2.6</v>
      </c>
      <c r="Q133" s="623">
        <f t="shared" si="156"/>
        <v>2.6</v>
      </c>
      <c r="R133" s="623">
        <f t="shared" si="156"/>
        <v>2.6</v>
      </c>
      <c r="S133" s="1356">
        <f>SUM(O133:R133)</f>
        <v>10.4</v>
      </c>
      <c r="T133" s="763">
        <f>IFERROR(INDEX('Annex 2_Code'!I$8:I$33,MATCH('Annex 3_MAFF'!$AG133,'Annex 2_Code'!$G$8:$G$33,0)),"")</f>
        <v>0</v>
      </c>
      <c r="U133" s="763">
        <f>IFERROR(INDEX('Annex 2_Code'!J$8:J$33,MATCH('Annex 3_MAFF'!$AG133,'Annex 2_Code'!$G$8:$G$33,0)),"")</f>
        <v>0</v>
      </c>
      <c r="V133" s="763">
        <f>IFERROR(INDEX('Annex 2_Code'!K$8:K$33,MATCH('Annex 3_MAFF'!$AG133,'Annex 2_Code'!$G$8:$G$33,0)),"")</f>
        <v>1</v>
      </c>
      <c r="W133" s="763">
        <f>IFERROR(INDEX('Annex 2_Code'!L$8:L$33,MATCH('Annex 3_MAFF'!$AG133,'Annex 2_Code'!$G$8:$G$33,0)),"")</f>
        <v>0</v>
      </c>
      <c r="X133" s="763">
        <f>IFERROR(INDEX('Annex 2_Code'!M$8:M$33,MATCH('Annex 3_MAFF'!$AG133,'Annex 2_Code'!$G$8:$G$33,0)),"")</f>
        <v>0</v>
      </c>
      <c r="Y133" s="1745">
        <f t="shared" si="146"/>
        <v>0</v>
      </c>
      <c r="Z133" s="807">
        <f t="shared" si="148"/>
        <v>0</v>
      </c>
      <c r="AA133" s="807">
        <f t="shared" si="155"/>
        <v>10.4</v>
      </c>
      <c r="AB133" s="807">
        <f t="shared" si="149"/>
        <v>0</v>
      </c>
      <c r="AC133" s="808">
        <f t="shared" si="128"/>
        <v>0</v>
      </c>
      <c r="AD133" s="764">
        <f t="shared" si="145"/>
        <v>10.4</v>
      </c>
      <c r="AE133" s="764">
        <f t="shared" si="147"/>
        <v>0</v>
      </c>
      <c r="AF133" s="605" t="s">
        <v>187</v>
      </c>
      <c r="AG133" s="605" t="s">
        <v>205</v>
      </c>
      <c r="AH133" s="605" t="str">
        <f>IFERROR(INDEX('Annex 2_Code'!$J$114:$J$126,MATCH('Annex 3_MAFF'!AF133,'Annex 2_Code'!$G$114:$G$126,0)),"")</f>
        <v>MAFF-GDAHP</v>
      </c>
      <c r="AI133" s="646" t="str">
        <f t="shared" si="150"/>
        <v>MAFF</v>
      </c>
      <c r="AJ133" s="683"/>
    </row>
    <row r="134" spans="1:36" s="607" customFormat="1" ht="23.25">
      <c r="A134" s="587"/>
      <c r="B134" s="659" t="s">
        <v>54</v>
      </c>
      <c r="C134" s="669"/>
      <c r="D134" s="730"/>
      <c r="E134" s="591" t="s">
        <v>597</v>
      </c>
      <c r="F134" s="592"/>
      <c r="G134" s="721"/>
      <c r="H134" s="722" t="s">
        <v>54</v>
      </c>
      <c r="I134" s="723" t="s">
        <v>54</v>
      </c>
      <c r="J134" s="594">
        <f t="shared" ref="J134:R134" si="157">SUM(J128:J133)</f>
        <v>68</v>
      </c>
      <c r="K134" s="595">
        <f t="shared" si="157"/>
        <v>370</v>
      </c>
      <c r="L134" s="595">
        <f t="shared" si="157"/>
        <v>318</v>
      </c>
      <c r="M134" s="595">
        <f t="shared" si="157"/>
        <v>318</v>
      </c>
      <c r="N134" s="2153">
        <f t="shared" si="157"/>
        <v>1074</v>
      </c>
      <c r="O134" s="597">
        <f t="shared" si="157"/>
        <v>26.700000000000003</v>
      </c>
      <c r="P134" s="598">
        <f t="shared" si="157"/>
        <v>87.699999999999989</v>
      </c>
      <c r="Q134" s="598">
        <f t="shared" si="157"/>
        <v>64.2</v>
      </c>
      <c r="R134" s="598">
        <f t="shared" si="157"/>
        <v>64.2</v>
      </c>
      <c r="S134" s="1409">
        <f>SUM(S128:S133)</f>
        <v>242.8</v>
      </c>
      <c r="T134" s="599" t="str">
        <f>IFERROR(INDEX('Annex 2_Code'!I$8:I$33,MATCH('Annex 3_MAFF'!$AG134,'Annex 2_Code'!$G$8:$G$33,0)),"")</f>
        <v/>
      </c>
      <c r="U134" s="599" t="str">
        <f>IFERROR(INDEX('Annex 2_Code'!J$8:J$33,MATCH('Annex 3_MAFF'!$AG134,'Annex 2_Code'!$G$8:$G$33,0)),"")</f>
        <v/>
      </c>
      <c r="V134" s="599" t="str">
        <f>IFERROR(INDEX('Annex 2_Code'!K$8:K$33,MATCH('Annex 3_MAFF'!$AG134,'Annex 2_Code'!$G$8:$G$33,0)),"")</f>
        <v/>
      </c>
      <c r="W134" s="599" t="str">
        <f>IFERROR(INDEX('Annex 2_Code'!L$8:L$33,MATCH('Annex 3_MAFF'!$AG134,'Annex 2_Code'!$G$8:$G$33,0)),"")</f>
        <v/>
      </c>
      <c r="X134" s="599" t="str">
        <f>IFERROR(INDEX('Annex 2_Code'!M$8:M$33,MATCH('Annex 3_MAFF'!$AG134,'Annex 2_Code'!$G$8:$G$33,0)),"")</f>
        <v/>
      </c>
      <c r="Y134" s="647" t="str">
        <f t="shared" si="146"/>
        <v/>
      </c>
      <c r="Z134" s="600" t="str">
        <f t="shared" si="148"/>
        <v/>
      </c>
      <c r="AA134" s="600" t="str">
        <f t="shared" si="155"/>
        <v/>
      </c>
      <c r="AB134" s="733"/>
      <c r="AC134" s="601" t="str">
        <f t="shared" si="128"/>
        <v/>
      </c>
      <c r="AD134" s="602">
        <f t="shared" si="145"/>
        <v>0</v>
      </c>
      <c r="AE134" s="602">
        <f t="shared" si="147"/>
        <v>-242.8</v>
      </c>
      <c r="AF134" s="605"/>
      <c r="AG134" s="605"/>
      <c r="AH134" s="605" t="str">
        <f>IFERROR(INDEX('Annex 2_Code'!$J$114:$J$126,MATCH('Annex 3_MAFF'!AF134,'Annex 2_Code'!$G$114:$G$126,0)),"")</f>
        <v/>
      </c>
      <c r="AI134" s="624" t="str">
        <f t="shared" si="150"/>
        <v/>
      </c>
    </row>
    <row r="135" spans="1:36" s="607" customFormat="1" ht="36" customHeight="1">
      <c r="A135" s="587"/>
      <c r="B135" s="659"/>
      <c r="C135" s="669"/>
      <c r="D135" s="1597"/>
      <c r="E135" s="1792" t="s">
        <v>1108</v>
      </c>
      <c r="F135" s="1792"/>
      <c r="G135" s="1793" t="s">
        <v>1109</v>
      </c>
      <c r="H135" s="617"/>
      <c r="I135" s="618"/>
      <c r="J135" s="619"/>
      <c r="K135" s="620"/>
      <c r="L135" s="620"/>
      <c r="M135" s="620"/>
      <c r="N135" s="621"/>
      <c r="O135" s="622"/>
      <c r="P135" s="623"/>
      <c r="Q135" s="623"/>
      <c r="R135" s="715"/>
      <c r="S135" s="1695">
        <f>SUM(O134:R134)</f>
        <v>242.8</v>
      </c>
      <c r="T135" s="599" t="str">
        <f>IFERROR(INDEX('Annex 2_Code'!I$8:I$33,MATCH('Annex 3_MAFF'!$AG135,'Annex 2_Code'!$G$8:$G$33,0)),"")</f>
        <v/>
      </c>
      <c r="U135" s="599" t="str">
        <f>IFERROR(INDEX('Annex 2_Code'!J$8:J$33,MATCH('Annex 3_MAFF'!$AG135,'Annex 2_Code'!$G$8:$G$33,0)),"")</f>
        <v/>
      </c>
      <c r="V135" s="599" t="str">
        <f>IFERROR(INDEX('Annex 2_Code'!K$8:K$33,MATCH('Annex 3_MAFF'!$AG135,'Annex 2_Code'!$G$8:$G$33,0)),"")</f>
        <v/>
      </c>
      <c r="W135" s="599" t="str">
        <f>IFERROR(INDEX('Annex 2_Code'!L$8:L$33,MATCH('Annex 3_MAFF'!$AG135,'Annex 2_Code'!$G$8:$G$33,0)),"")</f>
        <v/>
      </c>
      <c r="X135" s="599" t="str">
        <f>IFERROR(INDEX('Annex 2_Code'!M$8:M$33,MATCH('Annex 3_MAFF'!$AG135,'Annex 2_Code'!$G$8:$G$33,0)),"")</f>
        <v/>
      </c>
      <c r="Y135" s="647" t="str">
        <f t="shared" si="146"/>
        <v/>
      </c>
      <c r="Z135" s="600" t="str">
        <f t="shared" si="148"/>
        <v/>
      </c>
      <c r="AA135" s="600" t="str">
        <f t="shared" si="155"/>
        <v/>
      </c>
      <c r="AB135" s="600" t="str">
        <f t="shared" ref="AB135:AB140" si="158">IFERROR($S135*W135,"")</f>
        <v/>
      </c>
      <c r="AC135" s="601" t="str">
        <f t="shared" si="128"/>
        <v/>
      </c>
      <c r="AD135" s="602">
        <f t="shared" si="145"/>
        <v>0</v>
      </c>
      <c r="AE135" s="602">
        <f t="shared" si="147"/>
        <v>-242.8</v>
      </c>
      <c r="AF135" s="605"/>
      <c r="AG135" s="605"/>
      <c r="AH135" s="605" t="str">
        <f>IFERROR(INDEX('Annex 2_Code'!$J$114:$J$126,MATCH('Annex 3_MAFF'!AF135,'Annex 2_Code'!$G$114:$G$126,0)),"")</f>
        <v/>
      </c>
      <c r="AI135" s="624" t="str">
        <f t="shared" si="150"/>
        <v/>
      </c>
    </row>
    <row r="136" spans="1:36" s="607" customFormat="1" ht="41.25" customHeight="1" outlineLevel="1">
      <c r="A136" s="587"/>
      <c r="B136" s="669" t="s">
        <v>1451</v>
      </c>
      <c r="C136" s="669" t="s">
        <v>33</v>
      </c>
      <c r="D136" s="701"/>
      <c r="E136" s="307" t="s">
        <v>745</v>
      </c>
      <c r="F136" s="615"/>
      <c r="G136" s="616" t="s">
        <v>600</v>
      </c>
      <c r="H136" s="677" t="s">
        <v>598</v>
      </c>
      <c r="I136" s="727">
        <v>8</v>
      </c>
      <c r="J136" s="619">
        <v>4</v>
      </c>
      <c r="K136" s="620">
        <v>0</v>
      </c>
      <c r="L136" s="620">
        <v>0</v>
      </c>
      <c r="M136" s="620">
        <v>0</v>
      </c>
      <c r="N136" s="731">
        <f>SUM(J136:M136)</f>
        <v>4</v>
      </c>
      <c r="O136" s="622">
        <f>($I136*J136)</f>
        <v>32</v>
      </c>
      <c r="P136" s="623">
        <f t="shared" ref="P136:R137" si="159">($I136*K136)</f>
        <v>0</v>
      </c>
      <c r="Q136" s="623">
        <f t="shared" si="159"/>
        <v>0</v>
      </c>
      <c r="R136" s="623">
        <f t="shared" si="159"/>
        <v>0</v>
      </c>
      <c r="S136" s="1356">
        <f>SUM(O136:R136)</f>
        <v>32</v>
      </c>
      <c r="T136" s="763">
        <f>IFERROR(INDEX('Annex 2_Code'!I$8:I$33,MATCH('Annex 3_MAFF'!$AG136,'Annex 2_Code'!$G$8:$G$33,0)),"")</f>
        <v>0</v>
      </c>
      <c r="U136" s="763">
        <f>IFERROR(INDEX('Annex 2_Code'!J$8:J$33,MATCH('Annex 3_MAFF'!$AG136,'Annex 2_Code'!$G$8:$G$33,0)),"")</f>
        <v>0</v>
      </c>
      <c r="V136" s="763">
        <f>IFERROR(INDEX('Annex 2_Code'!K$8:K$33,MATCH('Annex 3_MAFF'!$AG136,'Annex 2_Code'!$G$8:$G$33,0)),"")</f>
        <v>1</v>
      </c>
      <c r="W136" s="763">
        <f>IFERROR(INDEX('Annex 2_Code'!L$8:L$33,MATCH('Annex 3_MAFF'!$AG136,'Annex 2_Code'!$G$8:$G$33,0)),"")</f>
        <v>0</v>
      </c>
      <c r="X136" s="763">
        <f>IFERROR(INDEX('Annex 2_Code'!M$8:M$33,MATCH('Annex 3_MAFF'!$AG136,'Annex 2_Code'!$G$8:$G$33,0)),"")</f>
        <v>0</v>
      </c>
      <c r="Y136" s="1745">
        <f t="shared" si="146"/>
        <v>0</v>
      </c>
      <c r="Z136" s="807">
        <f t="shared" si="148"/>
        <v>0</v>
      </c>
      <c r="AA136" s="807">
        <f t="shared" si="155"/>
        <v>32</v>
      </c>
      <c r="AB136" s="807">
        <f t="shared" si="158"/>
        <v>0</v>
      </c>
      <c r="AC136" s="808">
        <f t="shared" si="128"/>
        <v>0</v>
      </c>
      <c r="AD136" s="764">
        <f t="shared" si="145"/>
        <v>32</v>
      </c>
      <c r="AE136" s="764">
        <f t="shared" si="147"/>
        <v>0</v>
      </c>
      <c r="AF136" s="605" t="s">
        <v>187</v>
      </c>
      <c r="AG136" s="605" t="s">
        <v>201</v>
      </c>
      <c r="AH136" s="605" t="str">
        <f>IFERROR(INDEX('[5]Annex 2'!$J$110:$J$122,MATCH('[5]Annex 3 (''MEF)'!AF208,'[5]Annex 2'!$G$110:$G$122,0)),"")</f>
        <v>MAFF-GDAHP</v>
      </c>
      <c r="AI136" s="646" t="str">
        <f t="shared" si="150"/>
        <v>MAFF</v>
      </c>
      <c r="AJ136" s="607" t="s">
        <v>456</v>
      </c>
    </row>
    <row r="137" spans="1:36" s="1378" customFormat="1" ht="54.75" customHeight="1" outlineLevel="1">
      <c r="A137" s="1371"/>
      <c r="B137" s="669" t="s">
        <v>1451</v>
      </c>
      <c r="C137" s="669" t="s">
        <v>33</v>
      </c>
      <c r="D137" s="701"/>
      <c r="E137" s="307" t="s">
        <v>746</v>
      </c>
      <c r="F137" s="615"/>
      <c r="G137" s="616" t="s">
        <v>1527</v>
      </c>
      <c r="H137" s="677" t="s">
        <v>1528</v>
      </c>
      <c r="I137" s="727">
        <v>1.2</v>
      </c>
      <c r="J137" s="619">
        <v>0</v>
      </c>
      <c r="K137" s="620">
        <v>20</v>
      </c>
      <c r="L137" s="620">
        <v>20</v>
      </c>
      <c r="M137" s="620">
        <v>20</v>
      </c>
      <c r="N137" s="731">
        <f t="shared" ref="N137:N146" si="160">SUM(J137:M137)</f>
        <v>60</v>
      </c>
      <c r="O137" s="622">
        <f>($I137*J137)</f>
        <v>0</v>
      </c>
      <c r="P137" s="623">
        <f t="shared" si="159"/>
        <v>24</v>
      </c>
      <c r="Q137" s="623">
        <f t="shared" si="159"/>
        <v>24</v>
      </c>
      <c r="R137" s="623">
        <f t="shared" si="159"/>
        <v>24</v>
      </c>
      <c r="S137" s="1356">
        <f t="shared" ref="S137:S143" si="161">SUM(O137:R137)</f>
        <v>72</v>
      </c>
      <c r="T137" s="763">
        <f>IFERROR(INDEX('Annex 2_Code'!I$8:I$33,MATCH('Annex 3_MAFF'!$AG137,'Annex 2_Code'!$G$8:$G$33,0)),"")</f>
        <v>0</v>
      </c>
      <c r="U137" s="763">
        <f>IFERROR(INDEX('Annex 2_Code'!J$8:J$33,MATCH('Annex 3_MAFF'!$AG137,'Annex 2_Code'!$G$8:$G$33,0)),"")</f>
        <v>0</v>
      </c>
      <c r="V137" s="763">
        <f>IFERROR(INDEX('Annex 2_Code'!K$8:K$33,MATCH('Annex 3_MAFF'!$AG137,'Annex 2_Code'!$G$8:$G$33,0)),"")</f>
        <v>1</v>
      </c>
      <c r="W137" s="763">
        <f>IFERROR(INDEX('Annex 2_Code'!L$8:L$33,MATCH('Annex 3_MAFF'!$AG137,'Annex 2_Code'!$G$8:$G$33,0)),"")</f>
        <v>0</v>
      </c>
      <c r="X137" s="763">
        <f>IFERROR(INDEX('Annex 2_Code'!M$8:M$33,MATCH('Annex 3_MAFF'!$AG137,'Annex 2_Code'!$G$8:$G$33,0)),"")</f>
        <v>0</v>
      </c>
      <c r="Y137" s="1745">
        <f t="shared" si="146"/>
        <v>0</v>
      </c>
      <c r="Z137" s="807">
        <f t="shared" si="148"/>
        <v>0</v>
      </c>
      <c r="AA137" s="807">
        <f t="shared" si="155"/>
        <v>72</v>
      </c>
      <c r="AB137" s="807">
        <f t="shared" si="158"/>
        <v>0</v>
      </c>
      <c r="AC137" s="808">
        <f t="shared" si="128"/>
        <v>0</v>
      </c>
      <c r="AD137" s="764">
        <f t="shared" si="145"/>
        <v>72</v>
      </c>
      <c r="AE137" s="764">
        <f t="shared" si="147"/>
        <v>0</v>
      </c>
      <c r="AF137" s="605" t="s">
        <v>187</v>
      </c>
      <c r="AG137" s="605" t="s">
        <v>201</v>
      </c>
      <c r="AH137" s="605" t="str">
        <f>IFERROR(INDEX('[5]Annex 2'!$J$110:$J$122,MATCH('[5]Annex 3 (''MEF)'!AF210,'[5]Annex 2'!$G$110:$G$122,0)),"")</f>
        <v>MAFF-GDAHP</v>
      </c>
      <c r="AI137" s="646" t="str">
        <f t="shared" si="150"/>
        <v>MAFF</v>
      </c>
      <c r="AJ137" s="1378" t="s">
        <v>456</v>
      </c>
    </row>
    <row r="138" spans="1:36" s="607" customFormat="1" ht="46.5" outlineLevel="1">
      <c r="A138" s="725"/>
      <c r="B138" s="669" t="s">
        <v>1451</v>
      </c>
      <c r="C138" s="669" t="s">
        <v>41</v>
      </c>
      <c r="D138" s="701"/>
      <c r="E138" s="307" t="s">
        <v>747</v>
      </c>
      <c r="F138" s="615"/>
      <c r="G138" s="616" t="s">
        <v>1529</v>
      </c>
      <c r="H138" s="677" t="s">
        <v>1530</v>
      </c>
      <c r="I138" s="572">
        <v>3.5</v>
      </c>
      <c r="J138" s="619">
        <v>1</v>
      </c>
      <c r="K138" s="620">
        <v>1</v>
      </c>
      <c r="L138" s="620">
        <v>1</v>
      </c>
      <c r="M138" s="620">
        <v>1</v>
      </c>
      <c r="N138" s="731">
        <f t="shared" si="160"/>
        <v>4</v>
      </c>
      <c r="O138" s="622">
        <f t="shared" ref="O138:O142" si="162">($I138*J138)</f>
        <v>3.5</v>
      </c>
      <c r="P138" s="623">
        <f t="shared" ref="P138:P143" si="163">($I138*K138)</f>
        <v>3.5</v>
      </c>
      <c r="Q138" s="623">
        <f t="shared" ref="Q138:Q143" si="164">($I138*L138)</f>
        <v>3.5</v>
      </c>
      <c r="R138" s="623">
        <f t="shared" ref="R138:R143" si="165">($I138*M138)</f>
        <v>3.5</v>
      </c>
      <c r="S138" s="1356">
        <f t="shared" si="161"/>
        <v>14</v>
      </c>
      <c r="T138" s="763">
        <f>IFERROR(INDEX('Annex 2_Code'!I$8:I$33,MATCH('Annex 3_MAFF'!$AG138,'Annex 2_Code'!$G$8:$G$33,0)),"")</f>
        <v>0</v>
      </c>
      <c r="U138" s="763">
        <f>IFERROR(INDEX('Annex 2_Code'!J$8:J$33,MATCH('Annex 3_MAFF'!$AG138,'Annex 2_Code'!$G$8:$G$33,0)),"")</f>
        <v>0</v>
      </c>
      <c r="V138" s="763">
        <f>IFERROR(INDEX('Annex 2_Code'!K$8:K$33,MATCH('Annex 3_MAFF'!$AG138,'Annex 2_Code'!$G$8:$G$33,0)),"")</f>
        <v>1</v>
      </c>
      <c r="W138" s="763">
        <f>IFERROR(INDEX('Annex 2_Code'!L$8:L$33,MATCH('Annex 3_MAFF'!$AG138,'Annex 2_Code'!$G$8:$G$33,0)),"")</f>
        <v>0</v>
      </c>
      <c r="X138" s="763">
        <f>IFERROR(INDEX('Annex 2_Code'!M$8:M$33,MATCH('Annex 3_MAFF'!$AG138,'Annex 2_Code'!$G$8:$G$33,0)),"")</f>
        <v>0</v>
      </c>
      <c r="Y138" s="1745">
        <f t="shared" si="146"/>
        <v>0</v>
      </c>
      <c r="Z138" s="807">
        <f t="shared" si="148"/>
        <v>0</v>
      </c>
      <c r="AA138" s="807">
        <f t="shared" si="155"/>
        <v>14</v>
      </c>
      <c r="AB138" s="807">
        <f t="shared" si="158"/>
        <v>0</v>
      </c>
      <c r="AC138" s="808">
        <f t="shared" si="128"/>
        <v>0</v>
      </c>
      <c r="AD138" s="764">
        <f t="shared" si="145"/>
        <v>14</v>
      </c>
      <c r="AE138" s="764">
        <f t="shared" si="147"/>
        <v>0</v>
      </c>
      <c r="AF138" s="605" t="s">
        <v>187</v>
      </c>
      <c r="AG138" s="605" t="s">
        <v>201</v>
      </c>
      <c r="AH138" s="605" t="str">
        <f>IFERROR(INDEX('[5]Annex 2'!$J$110:$J$122,MATCH('[5]Annex 3 (''MEF)'!AF211,'[5]Annex 2'!$G$110:$G$122,0)),"")</f>
        <v>MAFF-GDAHP</v>
      </c>
      <c r="AI138" s="646" t="str">
        <f t="shared" si="150"/>
        <v>MAFF</v>
      </c>
      <c r="AJ138" s="607" t="s">
        <v>456</v>
      </c>
    </row>
    <row r="139" spans="1:36" s="607" customFormat="1" ht="54.75" customHeight="1" outlineLevel="1">
      <c r="A139" s="587"/>
      <c r="B139" s="669" t="s">
        <v>1451</v>
      </c>
      <c r="C139" s="669" t="s">
        <v>41</v>
      </c>
      <c r="D139" s="701"/>
      <c r="E139" s="307" t="s">
        <v>748</v>
      </c>
      <c r="F139" s="615"/>
      <c r="G139" s="616" t="s">
        <v>1098</v>
      </c>
      <c r="H139" s="677" t="s">
        <v>598</v>
      </c>
      <c r="I139" s="727">
        <v>8</v>
      </c>
      <c r="J139" s="619">
        <v>0</v>
      </c>
      <c r="K139" s="620">
        <v>1</v>
      </c>
      <c r="L139" s="620">
        <v>0</v>
      </c>
      <c r="M139" s="620">
        <v>0</v>
      </c>
      <c r="N139" s="731">
        <f t="shared" si="160"/>
        <v>1</v>
      </c>
      <c r="O139" s="622">
        <f t="shared" ref="O139:R139" si="166">($I139*J139)</f>
        <v>0</v>
      </c>
      <c r="P139" s="623">
        <f t="shared" si="166"/>
        <v>8</v>
      </c>
      <c r="Q139" s="623">
        <f t="shared" si="166"/>
        <v>0</v>
      </c>
      <c r="R139" s="623">
        <f t="shared" si="166"/>
        <v>0</v>
      </c>
      <c r="S139" s="1356">
        <f>SUM(O139:R139)</f>
        <v>8</v>
      </c>
      <c r="T139" s="763">
        <f>IFERROR(INDEX('Annex 2_Code'!I$8:I$33,MATCH('Annex 3_MAFF'!$AG139,'Annex 2_Code'!$G$8:$G$33,0)),"")</f>
        <v>0</v>
      </c>
      <c r="U139" s="763">
        <f>IFERROR(INDEX('Annex 2_Code'!J$8:J$33,MATCH('Annex 3_MAFF'!$AG139,'Annex 2_Code'!$G$8:$G$33,0)),"")</f>
        <v>0</v>
      </c>
      <c r="V139" s="763">
        <f>IFERROR(INDEX('Annex 2_Code'!K$8:K$33,MATCH('Annex 3_MAFF'!$AG139,'Annex 2_Code'!$G$8:$G$33,0)),"")</f>
        <v>1</v>
      </c>
      <c r="W139" s="763">
        <f>IFERROR(INDEX('Annex 2_Code'!L$8:L$33,MATCH('Annex 3_MAFF'!$AG139,'Annex 2_Code'!$G$8:$G$33,0)),"")</f>
        <v>0</v>
      </c>
      <c r="X139" s="763">
        <f>IFERROR(INDEX('Annex 2_Code'!M$8:M$33,MATCH('Annex 3_MAFF'!$AG139,'Annex 2_Code'!$G$8:$G$33,0)),"")</f>
        <v>0</v>
      </c>
      <c r="Y139" s="1745">
        <f t="shared" si="146"/>
        <v>0</v>
      </c>
      <c r="Z139" s="807">
        <f t="shared" si="148"/>
        <v>0</v>
      </c>
      <c r="AA139" s="807">
        <f t="shared" si="155"/>
        <v>8</v>
      </c>
      <c r="AB139" s="807">
        <f t="shared" si="158"/>
        <v>0</v>
      </c>
      <c r="AC139" s="808">
        <f t="shared" si="128"/>
        <v>0</v>
      </c>
      <c r="AD139" s="764">
        <f t="shared" si="145"/>
        <v>8</v>
      </c>
      <c r="AE139" s="764">
        <f t="shared" si="147"/>
        <v>0</v>
      </c>
      <c r="AF139" s="605" t="s">
        <v>187</v>
      </c>
      <c r="AG139" s="605" t="s">
        <v>199</v>
      </c>
      <c r="AH139" s="605" t="str">
        <f>IFERROR(INDEX('[5]Annex 2'!$J$110:$J$122,MATCH('[5]Annex 3 (''MEF)'!AF214,'[5]Annex 2'!$G$110:$G$122,0)),"")</f>
        <v>MAFF-GDAHP</v>
      </c>
      <c r="AI139" s="646" t="str">
        <f t="shared" si="150"/>
        <v>MAFF</v>
      </c>
      <c r="AJ139" s="607" t="s">
        <v>450</v>
      </c>
    </row>
    <row r="140" spans="1:36" s="607" customFormat="1" ht="43.5" customHeight="1" outlineLevel="1">
      <c r="A140" s="584"/>
      <c r="B140" s="669" t="s">
        <v>1451</v>
      </c>
      <c r="C140" s="669" t="s">
        <v>33</v>
      </c>
      <c r="D140" s="701"/>
      <c r="E140" s="307" t="s">
        <v>749</v>
      </c>
      <c r="F140" s="615"/>
      <c r="G140" s="616" t="s">
        <v>1531</v>
      </c>
      <c r="H140" s="677" t="s">
        <v>598</v>
      </c>
      <c r="I140" s="727">
        <v>1</v>
      </c>
      <c r="J140" s="619">
        <v>2</v>
      </c>
      <c r="K140" s="620">
        <v>2</v>
      </c>
      <c r="L140" s="620">
        <v>2</v>
      </c>
      <c r="M140" s="620">
        <v>2</v>
      </c>
      <c r="N140" s="731">
        <f t="shared" si="160"/>
        <v>8</v>
      </c>
      <c r="O140" s="622">
        <f t="shared" si="162"/>
        <v>2</v>
      </c>
      <c r="P140" s="623">
        <f t="shared" si="163"/>
        <v>2</v>
      </c>
      <c r="Q140" s="623">
        <f t="shared" si="164"/>
        <v>2</v>
      </c>
      <c r="R140" s="623">
        <f t="shared" si="165"/>
        <v>2</v>
      </c>
      <c r="S140" s="1356">
        <f t="shared" si="161"/>
        <v>8</v>
      </c>
      <c r="T140" s="763">
        <f>IFERROR(INDEX('Annex 2_Code'!I$8:I$33,MATCH('Annex 3_MAFF'!$AG140,'Annex 2_Code'!$G$8:$G$33,0)),"")</f>
        <v>0</v>
      </c>
      <c r="U140" s="763">
        <f>IFERROR(INDEX('Annex 2_Code'!J$8:J$33,MATCH('Annex 3_MAFF'!$AG140,'Annex 2_Code'!$G$8:$G$33,0)),"")</f>
        <v>0</v>
      </c>
      <c r="V140" s="763">
        <f>IFERROR(INDEX('Annex 2_Code'!K$8:K$33,MATCH('Annex 3_MAFF'!$AG140,'Annex 2_Code'!$G$8:$G$33,0)),"")</f>
        <v>1</v>
      </c>
      <c r="W140" s="763">
        <f>IFERROR(INDEX('Annex 2_Code'!L$8:L$33,MATCH('Annex 3_MAFF'!$AG140,'Annex 2_Code'!$G$8:$G$33,0)),"")</f>
        <v>0</v>
      </c>
      <c r="X140" s="763">
        <f>IFERROR(INDEX('Annex 2_Code'!M$8:M$33,MATCH('Annex 3_MAFF'!$AG140,'Annex 2_Code'!$G$8:$G$33,0)),"")</f>
        <v>0</v>
      </c>
      <c r="Y140" s="1745">
        <f t="shared" si="146"/>
        <v>0</v>
      </c>
      <c r="Z140" s="807">
        <f t="shared" si="148"/>
        <v>0</v>
      </c>
      <c r="AA140" s="807">
        <f t="shared" si="155"/>
        <v>8</v>
      </c>
      <c r="AB140" s="807">
        <f t="shared" si="158"/>
        <v>0</v>
      </c>
      <c r="AC140" s="808">
        <f t="shared" si="128"/>
        <v>0</v>
      </c>
      <c r="AD140" s="764">
        <f t="shared" si="145"/>
        <v>8</v>
      </c>
      <c r="AE140" s="764">
        <f t="shared" si="147"/>
        <v>0</v>
      </c>
      <c r="AF140" s="605" t="s">
        <v>187</v>
      </c>
      <c r="AG140" s="605" t="s">
        <v>201</v>
      </c>
      <c r="AH140" s="605" t="str">
        <f>IFERROR(INDEX('[5]Annex 2'!$J$110:$J$122,MATCH('[5]Annex 3 (''MEF)'!AF217,'[5]Annex 2'!$G$110:$G$122,0)),"")</f>
        <v>MAFF-GDAHP</v>
      </c>
      <c r="AI140" s="646" t="str">
        <f t="shared" si="150"/>
        <v>MAFF</v>
      </c>
      <c r="AJ140" s="607" t="s">
        <v>450</v>
      </c>
    </row>
    <row r="141" spans="1:36" s="1378" customFormat="1" ht="68.25" customHeight="1" outlineLevel="1">
      <c r="A141" s="1380"/>
      <c r="B141" s="669" t="s">
        <v>1451</v>
      </c>
      <c r="C141" s="669" t="s">
        <v>33</v>
      </c>
      <c r="D141" s="701"/>
      <c r="E141" s="307" t="s">
        <v>750</v>
      </c>
      <c r="F141" s="615"/>
      <c r="G141" s="616" t="s">
        <v>1532</v>
      </c>
      <c r="H141" s="677" t="s">
        <v>1533</v>
      </c>
      <c r="I141" s="727">
        <v>9</v>
      </c>
      <c r="J141" s="619">
        <v>1</v>
      </c>
      <c r="K141" s="620">
        <v>1</v>
      </c>
      <c r="L141" s="620">
        <v>2</v>
      </c>
      <c r="M141" s="620">
        <v>0</v>
      </c>
      <c r="N141" s="731">
        <f t="shared" si="160"/>
        <v>4</v>
      </c>
      <c r="O141" s="622">
        <f t="shared" si="162"/>
        <v>9</v>
      </c>
      <c r="P141" s="623">
        <f t="shared" si="163"/>
        <v>9</v>
      </c>
      <c r="Q141" s="623">
        <f t="shared" si="164"/>
        <v>18</v>
      </c>
      <c r="R141" s="623">
        <f t="shared" si="165"/>
        <v>0</v>
      </c>
      <c r="S141" s="1356">
        <f t="shared" si="161"/>
        <v>36</v>
      </c>
      <c r="T141" s="763">
        <f>IFERROR(INDEX('Annex 2_Code'!I$8:I$33,MATCH('Annex 3_MAFF'!$AG141,'Annex 2_Code'!$G$8:$G$33,0)),"")</f>
        <v>0</v>
      </c>
      <c r="U141" s="763">
        <f>IFERROR(INDEX('Annex 2_Code'!J$8:J$33,MATCH('Annex 3_MAFF'!$AG141,'Annex 2_Code'!$G$8:$G$33,0)),"")</f>
        <v>0</v>
      </c>
      <c r="V141" s="763">
        <f>IFERROR(INDEX('Annex 2_Code'!K$8:K$33,MATCH('Annex 3_MAFF'!$AG141,'Annex 2_Code'!$G$8:$G$33,0)),"")</f>
        <v>1</v>
      </c>
      <c r="W141" s="763">
        <f>IFERROR(INDEX('Annex 2_Code'!L$8:L$33,MATCH('Annex 3_MAFF'!$AG141,'Annex 2_Code'!$G$8:$G$33,0)),"")</f>
        <v>0</v>
      </c>
      <c r="X141" s="763">
        <f>IFERROR(INDEX('Annex 2_Code'!M$8:M$33,MATCH('Annex 3_MAFF'!$AG141,'Annex 2_Code'!$G$8:$G$33,0)),"")</f>
        <v>0</v>
      </c>
      <c r="Y141" s="1745">
        <f t="shared" ref="Y141:Y146" si="167">IFERROR($S141*T141,"")</f>
        <v>0</v>
      </c>
      <c r="Z141" s="807">
        <f t="shared" ref="Z141:Z146" si="168">IFERROR($S141*U141,"")</f>
        <v>0</v>
      </c>
      <c r="AA141" s="807">
        <f t="shared" ref="AA141:AA146" si="169">IFERROR($S141*V141,"")</f>
        <v>36</v>
      </c>
      <c r="AB141" s="807">
        <f t="shared" ref="AB141:AB146" si="170">IFERROR($S141*W141,"")</f>
        <v>0</v>
      </c>
      <c r="AC141" s="808">
        <f t="shared" ref="AC141:AC146" si="171">IFERROR($S141*X141,"")</f>
        <v>0</v>
      </c>
      <c r="AD141" s="764">
        <f t="shared" si="145"/>
        <v>36</v>
      </c>
      <c r="AE141" s="764"/>
      <c r="AF141" s="605" t="s">
        <v>187</v>
      </c>
      <c r="AG141" s="605" t="s">
        <v>201</v>
      </c>
      <c r="AH141" s="605" t="s">
        <v>371</v>
      </c>
      <c r="AI141" s="646" t="str">
        <f t="shared" si="150"/>
        <v>MAFF</v>
      </c>
    </row>
    <row r="142" spans="1:36" s="1378" customFormat="1" ht="42" customHeight="1" outlineLevel="1">
      <c r="A142" s="1380"/>
      <c r="B142" s="669" t="s">
        <v>1451</v>
      </c>
      <c r="C142" s="669" t="s">
        <v>33</v>
      </c>
      <c r="D142" s="701"/>
      <c r="E142" s="307" t="s">
        <v>751</v>
      </c>
      <c r="F142" s="615"/>
      <c r="G142" s="2237" t="s">
        <v>1534</v>
      </c>
      <c r="H142" s="2245" t="s">
        <v>595</v>
      </c>
      <c r="I142" s="727">
        <v>2</v>
      </c>
      <c r="J142" s="619">
        <v>2</v>
      </c>
      <c r="K142" s="620">
        <v>2</v>
      </c>
      <c r="L142" s="620">
        <v>2</v>
      </c>
      <c r="M142" s="620">
        <v>2</v>
      </c>
      <c r="N142" s="731">
        <f t="shared" si="160"/>
        <v>8</v>
      </c>
      <c r="O142" s="622">
        <f t="shared" si="162"/>
        <v>4</v>
      </c>
      <c r="P142" s="623">
        <f t="shared" si="163"/>
        <v>4</v>
      </c>
      <c r="Q142" s="623">
        <f t="shared" si="164"/>
        <v>4</v>
      </c>
      <c r="R142" s="623">
        <f t="shared" si="165"/>
        <v>4</v>
      </c>
      <c r="S142" s="1356">
        <f t="shared" si="161"/>
        <v>16</v>
      </c>
      <c r="T142" s="763">
        <f>IFERROR(INDEX('Annex 2_Code'!I$8:I$33,MATCH('Annex 3_MAFF'!$AG142,'Annex 2_Code'!$G$8:$G$33,0)),"")</f>
        <v>0</v>
      </c>
      <c r="U142" s="763">
        <f>IFERROR(INDEX('Annex 2_Code'!J$8:J$33,MATCH('Annex 3_MAFF'!$AG142,'Annex 2_Code'!$G$8:$G$33,0)),"")</f>
        <v>0</v>
      </c>
      <c r="V142" s="763">
        <f>IFERROR(INDEX('Annex 2_Code'!K$8:K$33,MATCH('Annex 3_MAFF'!$AG142,'Annex 2_Code'!$G$8:$G$33,0)),"")</f>
        <v>1</v>
      </c>
      <c r="W142" s="763">
        <f>IFERROR(INDEX('Annex 2_Code'!L$8:L$33,MATCH('Annex 3_MAFF'!$AG142,'Annex 2_Code'!$G$8:$G$33,0)),"")</f>
        <v>0</v>
      </c>
      <c r="X142" s="763">
        <f>IFERROR(INDEX('Annex 2_Code'!M$8:M$33,MATCH('Annex 3_MAFF'!$AG142,'Annex 2_Code'!$G$8:$G$33,0)),"")</f>
        <v>0</v>
      </c>
      <c r="Y142" s="1745">
        <f t="shared" si="167"/>
        <v>0</v>
      </c>
      <c r="Z142" s="807">
        <f t="shared" si="168"/>
        <v>0</v>
      </c>
      <c r="AA142" s="807">
        <f t="shared" si="169"/>
        <v>16</v>
      </c>
      <c r="AB142" s="807">
        <f t="shared" si="170"/>
        <v>0</v>
      </c>
      <c r="AC142" s="808">
        <f t="shared" si="171"/>
        <v>0</v>
      </c>
      <c r="AD142" s="764">
        <f t="shared" si="145"/>
        <v>16</v>
      </c>
      <c r="AE142" s="764"/>
      <c r="AF142" s="605" t="s">
        <v>187</v>
      </c>
      <c r="AG142" s="605" t="s">
        <v>201</v>
      </c>
      <c r="AH142" s="605" t="s">
        <v>371</v>
      </c>
      <c r="AI142" s="646" t="str">
        <f t="shared" si="150"/>
        <v>MAFF</v>
      </c>
    </row>
    <row r="143" spans="1:36" s="607" customFormat="1" ht="69.75" outlineLevel="1">
      <c r="A143" s="307"/>
      <c r="B143" s="669" t="s">
        <v>1451</v>
      </c>
      <c r="C143" s="669" t="s">
        <v>33</v>
      </c>
      <c r="D143" s="701"/>
      <c r="E143" s="307" t="s">
        <v>752</v>
      </c>
      <c r="F143" s="615"/>
      <c r="G143" s="1922" t="s">
        <v>852</v>
      </c>
      <c r="H143" s="677" t="s">
        <v>1074</v>
      </c>
      <c r="I143" s="794">
        <v>2.5</v>
      </c>
      <c r="J143" s="620">
        <v>1</v>
      </c>
      <c r="K143" s="620">
        <v>1</v>
      </c>
      <c r="L143" s="620">
        <v>1</v>
      </c>
      <c r="M143" s="620">
        <v>1</v>
      </c>
      <c r="N143" s="731">
        <f t="shared" si="160"/>
        <v>4</v>
      </c>
      <c r="O143" s="622">
        <f>($I143*J143)</f>
        <v>2.5</v>
      </c>
      <c r="P143" s="623">
        <f t="shared" si="163"/>
        <v>2.5</v>
      </c>
      <c r="Q143" s="623">
        <f t="shared" si="164"/>
        <v>2.5</v>
      </c>
      <c r="R143" s="623">
        <f t="shared" si="165"/>
        <v>2.5</v>
      </c>
      <c r="S143" s="1356">
        <f t="shared" si="161"/>
        <v>10</v>
      </c>
      <c r="T143" s="763">
        <f>IFERROR(INDEX('Annex 2_Code'!I$8:I$33,MATCH('Annex 3_MAFF'!$AG143,'Annex 2_Code'!$G$8:$G$33,0)),"")</f>
        <v>0</v>
      </c>
      <c r="U143" s="763">
        <f>IFERROR(INDEX('Annex 2_Code'!J$8:J$33,MATCH('Annex 3_MAFF'!$AG143,'Annex 2_Code'!$G$8:$G$33,0)),"")</f>
        <v>0</v>
      </c>
      <c r="V143" s="763">
        <f>IFERROR(INDEX('Annex 2_Code'!K$8:K$33,MATCH('Annex 3_MAFF'!$AG143,'Annex 2_Code'!$G$8:$G$33,0)),"")</f>
        <v>1</v>
      </c>
      <c r="W143" s="763">
        <f>IFERROR(INDEX('Annex 2_Code'!L$8:L$33,MATCH('Annex 3_MAFF'!$AG143,'Annex 2_Code'!$G$8:$G$33,0)),"")</f>
        <v>0</v>
      </c>
      <c r="X143" s="763">
        <f>IFERROR(INDEX('Annex 2_Code'!M$8:M$33,MATCH('Annex 3_MAFF'!$AG143,'Annex 2_Code'!$G$8:$G$33,0)),"")</f>
        <v>0</v>
      </c>
      <c r="Y143" s="1745">
        <f t="shared" si="167"/>
        <v>0</v>
      </c>
      <c r="Z143" s="807">
        <f t="shared" si="168"/>
        <v>0</v>
      </c>
      <c r="AA143" s="807">
        <f t="shared" si="169"/>
        <v>10</v>
      </c>
      <c r="AB143" s="807">
        <f t="shared" si="170"/>
        <v>0</v>
      </c>
      <c r="AC143" s="808">
        <f t="shared" si="171"/>
        <v>0</v>
      </c>
      <c r="AD143" s="764">
        <f t="shared" ref="AD143:AD146" si="172">SUM(Y143:AC143)</f>
        <v>10</v>
      </c>
      <c r="AE143" s="764">
        <f t="shared" ref="AE143:AE146" si="173">AD143-S143</f>
        <v>0</v>
      </c>
      <c r="AF143" s="605" t="s">
        <v>187</v>
      </c>
      <c r="AG143" s="605" t="s">
        <v>199</v>
      </c>
      <c r="AH143" s="605" t="s">
        <v>371</v>
      </c>
      <c r="AI143" s="646" t="str">
        <f t="shared" ref="AI143:AI145" si="174">IF(ISNUMBER(FIND("-",AH143,1))=FALSE,LEFT(AH143,LEN(AH143)),LEFT(AH143,(FIND("-",AH143,1))-1))</f>
        <v>MAFF</v>
      </c>
    </row>
    <row r="144" spans="1:36" s="1378" customFormat="1" ht="93" outlineLevel="1">
      <c r="A144" s="1371"/>
      <c r="B144" s="669" t="s">
        <v>1451</v>
      </c>
      <c r="C144" s="669" t="s">
        <v>33</v>
      </c>
      <c r="D144" s="701"/>
      <c r="E144" s="307" t="s">
        <v>753</v>
      </c>
      <c r="F144" s="649"/>
      <c r="G144" s="1728" t="s">
        <v>994</v>
      </c>
      <c r="H144" s="677" t="s">
        <v>595</v>
      </c>
      <c r="I144" s="727">
        <v>7</v>
      </c>
      <c r="J144" s="619">
        <v>4</v>
      </c>
      <c r="K144" s="620">
        <v>0</v>
      </c>
      <c r="L144" s="620">
        <v>0</v>
      </c>
      <c r="M144" s="620">
        <v>0</v>
      </c>
      <c r="N144" s="731">
        <f t="shared" si="160"/>
        <v>4</v>
      </c>
      <c r="O144" s="622">
        <f t="shared" ref="O144:O146" si="175">($I144*J144)</f>
        <v>28</v>
      </c>
      <c r="P144" s="623">
        <f t="shared" ref="P144:P146" si="176">($I144*K144)</f>
        <v>0</v>
      </c>
      <c r="Q144" s="623">
        <f t="shared" ref="Q144:Q146" si="177">($I144*L144)</f>
        <v>0</v>
      </c>
      <c r="R144" s="623">
        <f t="shared" ref="R144:R146" si="178">($I144*M144)</f>
        <v>0</v>
      </c>
      <c r="S144" s="1356">
        <f t="shared" ref="S144:S146" si="179">SUM(O144:R144)</f>
        <v>28</v>
      </c>
      <c r="T144" s="763">
        <f>IFERROR(INDEX('Annex 2_Code'!I$8:I$33,MATCH('Annex 3_MAFF'!$AG144,'Annex 2_Code'!$G$8:$G$33,0)),"")</f>
        <v>0</v>
      </c>
      <c r="U144" s="763">
        <f>IFERROR(INDEX('Annex 2_Code'!J$8:J$33,MATCH('Annex 3_MAFF'!$AG144,'Annex 2_Code'!$G$8:$G$33,0)),"")</f>
        <v>0</v>
      </c>
      <c r="V144" s="763">
        <f>IFERROR(INDEX('Annex 2_Code'!K$8:K$33,MATCH('Annex 3_MAFF'!$AG144,'Annex 2_Code'!$G$8:$G$33,0)),"")</f>
        <v>1</v>
      </c>
      <c r="W144" s="763">
        <f>IFERROR(INDEX('Annex 2_Code'!L$8:L$33,MATCH('Annex 3_MAFF'!$AG144,'Annex 2_Code'!$G$8:$G$33,0)),"")</f>
        <v>0</v>
      </c>
      <c r="X144" s="763">
        <f>IFERROR(INDEX('Annex 2_Code'!M$8:M$33,MATCH('Annex 3_MAFF'!$AG144,'Annex 2_Code'!$G$8:$G$33,0)),"")</f>
        <v>0</v>
      </c>
      <c r="Y144" s="1745">
        <f t="shared" si="167"/>
        <v>0</v>
      </c>
      <c r="Z144" s="807">
        <f t="shared" si="168"/>
        <v>0</v>
      </c>
      <c r="AA144" s="807">
        <f t="shared" si="169"/>
        <v>28</v>
      </c>
      <c r="AB144" s="807">
        <f t="shared" si="170"/>
        <v>0</v>
      </c>
      <c r="AC144" s="808">
        <f t="shared" si="171"/>
        <v>0</v>
      </c>
      <c r="AD144" s="764">
        <f t="shared" si="172"/>
        <v>28</v>
      </c>
      <c r="AE144" s="764">
        <f t="shared" si="173"/>
        <v>0</v>
      </c>
      <c r="AF144" s="605" t="s">
        <v>187</v>
      </c>
      <c r="AG144" s="605" t="s">
        <v>201</v>
      </c>
      <c r="AH144" s="605" t="s">
        <v>371</v>
      </c>
      <c r="AI144" s="646" t="str">
        <f t="shared" si="174"/>
        <v>MAFF</v>
      </c>
    </row>
    <row r="145" spans="1:50" s="1378" customFormat="1" ht="42" customHeight="1" outlineLevel="1">
      <c r="A145" s="1371"/>
      <c r="B145" s="669" t="s">
        <v>1451</v>
      </c>
      <c r="C145" s="669" t="s">
        <v>33</v>
      </c>
      <c r="D145" s="701"/>
      <c r="E145" s="307" t="s">
        <v>754</v>
      </c>
      <c r="F145" s="649"/>
      <c r="G145" s="1728" t="s">
        <v>1099</v>
      </c>
      <c r="H145" s="677" t="s">
        <v>595</v>
      </c>
      <c r="I145" s="727">
        <v>8</v>
      </c>
      <c r="J145" s="619">
        <v>4</v>
      </c>
      <c r="K145" s="620">
        <v>0</v>
      </c>
      <c r="L145" s="620">
        <v>0</v>
      </c>
      <c r="M145" s="620">
        <v>0</v>
      </c>
      <c r="N145" s="731">
        <f t="shared" si="160"/>
        <v>4</v>
      </c>
      <c r="O145" s="622">
        <f t="shared" si="175"/>
        <v>32</v>
      </c>
      <c r="P145" s="623">
        <f t="shared" si="176"/>
        <v>0</v>
      </c>
      <c r="Q145" s="623">
        <f t="shared" si="177"/>
        <v>0</v>
      </c>
      <c r="R145" s="623">
        <f t="shared" si="178"/>
        <v>0</v>
      </c>
      <c r="S145" s="1356">
        <f t="shared" si="179"/>
        <v>32</v>
      </c>
      <c r="T145" s="763">
        <f>IFERROR(INDEX('Annex 2_Code'!I$8:I$33,MATCH('Annex 3_MAFF'!$AG145,'Annex 2_Code'!$G$8:$G$33,0)),"")</f>
        <v>0</v>
      </c>
      <c r="U145" s="763">
        <f>IFERROR(INDEX('Annex 2_Code'!J$8:J$33,MATCH('Annex 3_MAFF'!$AG145,'Annex 2_Code'!$G$8:$G$33,0)),"")</f>
        <v>0</v>
      </c>
      <c r="V145" s="763">
        <f>IFERROR(INDEX('Annex 2_Code'!K$8:K$33,MATCH('Annex 3_MAFF'!$AG145,'Annex 2_Code'!$G$8:$G$33,0)),"")</f>
        <v>1</v>
      </c>
      <c r="W145" s="763">
        <f>IFERROR(INDEX('Annex 2_Code'!L$8:L$33,MATCH('Annex 3_MAFF'!$AG145,'Annex 2_Code'!$G$8:$G$33,0)),"")</f>
        <v>0</v>
      </c>
      <c r="X145" s="763">
        <f>IFERROR(INDEX('Annex 2_Code'!M$8:M$33,MATCH('Annex 3_MAFF'!$AG145,'Annex 2_Code'!$G$8:$G$33,0)),"")</f>
        <v>0</v>
      </c>
      <c r="Y145" s="1745">
        <f t="shared" si="167"/>
        <v>0</v>
      </c>
      <c r="Z145" s="807">
        <f t="shared" si="168"/>
        <v>0</v>
      </c>
      <c r="AA145" s="807">
        <f t="shared" si="169"/>
        <v>32</v>
      </c>
      <c r="AB145" s="807">
        <f t="shared" si="170"/>
        <v>0</v>
      </c>
      <c r="AC145" s="808">
        <f t="shared" si="171"/>
        <v>0</v>
      </c>
      <c r="AD145" s="764">
        <f t="shared" si="172"/>
        <v>32</v>
      </c>
      <c r="AE145" s="764">
        <f t="shared" si="173"/>
        <v>0</v>
      </c>
      <c r="AF145" s="605" t="s">
        <v>187</v>
      </c>
      <c r="AG145" s="605" t="s">
        <v>201</v>
      </c>
      <c r="AH145" s="605" t="s">
        <v>371</v>
      </c>
      <c r="AI145" s="646" t="str">
        <f t="shared" si="174"/>
        <v>MAFF</v>
      </c>
    </row>
    <row r="146" spans="1:50" s="1378" customFormat="1" ht="44.25" customHeight="1" outlineLevel="1">
      <c r="A146" s="1371"/>
      <c r="B146" s="669" t="s">
        <v>1451</v>
      </c>
      <c r="C146" s="669" t="s">
        <v>33</v>
      </c>
      <c r="D146" s="701"/>
      <c r="E146" s="307" t="s">
        <v>826</v>
      </c>
      <c r="F146" s="649"/>
      <c r="G146" s="1728" t="s">
        <v>995</v>
      </c>
      <c r="H146" s="677" t="s">
        <v>1071</v>
      </c>
      <c r="I146" s="727">
        <v>8</v>
      </c>
      <c r="J146" s="619">
        <v>4</v>
      </c>
      <c r="K146" s="620">
        <v>0</v>
      </c>
      <c r="L146" s="620">
        <v>0</v>
      </c>
      <c r="M146" s="620">
        <v>0</v>
      </c>
      <c r="N146" s="731">
        <f t="shared" si="160"/>
        <v>4</v>
      </c>
      <c r="O146" s="622">
        <f t="shared" si="175"/>
        <v>32</v>
      </c>
      <c r="P146" s="623">
        <f t="shared" si="176"/>
        <v>0</v>
      </c>
      <c r="Q146" s="623">
        <f t="shared" si="177"/>
        <v>0</v>
      </c>
      <c r="R146" s="623">
        <f t="shared" si="178"/>
        <v>0</v>
      </c>
      <c r="S146" s="1356">
        <f t="shared" si="179"/>
        <v>32</v>
      </c>
      <c r="T146" s="763">
        <f>IFERROR(INDEX('Annex 2_Code'!I$8:I$33,MATCH('Annex 3_MAFF'!$AG146,'Annex 2_Code'!$G$8:$G$33,0)),"")</f>
        <v>0</v>
      </c>
      <c r="U146" s="763">
        <f>IFERROR(INDEX('Annex 2_Code'!J$8:J$33,MATCH('Annex 3_MAFF'!$AG146,'Annex 2_Code'!$G$8:$G$33,0)),"")</f>
        <v>0</v>
      </c>
      <c r="V146" s="763">
        <f>IFERROR(INDEX('Annex 2_Code'!K$8:K$33,MATCH('Annex 3_MAFF'!$AG146,'Annex 2_Code'!$G$8:$G$33,0)),"")</f>
        <v>1</v>
      </c>
      <c r="W146" s="763">
        <f>IFERROR(INDEX('Annex 2_Code'!L$8:L$33,MATCH('Annex 3_MAFF'!$AG146,'Annex 2_Code'!$G$8:$G$33,0)),"")</f>
        <v>0</v>
      </c>
      <c r="X146" s="763">
        <f>IFERROR(INDEX('Annex 2_Code'!M$8:M$33,MATCH('Annex 3_MAFF'!$AG146,'Annex 2_Code'!$G$8:$G$33,0)),"")</f>
        <v>0</v>
      </c>
      <c r="Y146" s="1745">
        <f t="shared" si="167"/>
        <v>0</v>
      </c>
      <c r="Z146" s="807">
        <f t="shared" si="168"/>
        <v>0</v>
      </c>
      <c r="AA146" s="807">
        <f t="shared" si="169"/>
        <v>32</v>
      </c>
      <c r="AB146" s="807">
        <f t="shared" si="170"/>
        <v>0</v>
      </c>
      <c r="AC146" s="808">
        <f t="shared" si="171"/>
        <v>0</v>
      </c>
      <c r="AD146" s="764">
        <f t="shared" si="172"/>
        <v>32</v>
      </c>
      <c r="AE146" s="764">
        <f t="shared" si="173"/>
        <v>0</v>
      </c>
      <c r="AF146" s="605" t="s">
        <v>187</v>
      </c>
      <c r="AG146" s="605" t="s">
        <v>199</v>
      </c>
      <c r="AH146" s="605" t="s">
        <v>371</v>
      </c>
      <c r="AI146" s="646" t="str">
        <f>IF(ISNUMBER(FIND("-",AH146,1))=FALSE,LEFT(AH146,LEN(AH146)),LEFT(AH146,(FIND("-",AH146,1))-1))</f>
        <v>MAFF</v>
      </c>
    </row>
    <row r="147" spans="1:50" s="607" customFormat="1" ht="23.25">
      <c r="A147" s="587"/>
      <c r="B147" s="659" t="s">
        <v>54</v>
      </c>
      <c r="C147" s="613"/>
      <c r="D147" s="730"/>
      <c r="E147" s="591" t="s">
        <v>583</v>
      </c>
      <c r="F147" s="592"/>
      <c r="G147" s="734"/>
      <c r="H147" s="735"/>
      <c r="I147" s="736"/>
      <c r="J147" s="594">
        <f t="shared" ref="J147:R147" si="180">SUM(J136:J146)</f>
        <v>23</v>
      </c>
      <c r="K147" s="595">
        <f t="shared" si="180"/>
        <v>28</v>
      </c>
      <c r="L147" s="595">
        <f t="shared" si="180"/>
        <v>28</v>
      </c>
      <c r="M147" s="595">
        <f t="shared" si="180"/>
        <v>26</v>
      </c>
      <c r="N147" s="2152">
        <f t="shared" si="180"/>
        <v>105</v>
      </c>
      <c r="O147" s="597">
        <f t="shared" si="180"/>
        <v>145</v>
      </c>
      <c r="P147" s="598">
        <f t="shared" si="180"/>
        <v>53</v>
      </c>
      <c r="Q147" s="598">
        <f t="shared" si="180"/>
        <v>54</v>
      </c>
      <c r="R147" s="598">
        <f t="shared" si="180"/>
        <v>36</v>
      </c>
      <c r="S147" s="1427">
        <f>SUM(S136:S146)</f>
        <v>288</v>
      </c>
      <c r="T147" s="599" t="str">
        <f>IFERROR(INDEX('Annex 2_Code'!I$8:I$33,MATCH('Annex 3_MAFF'!$AG147,'Annex 2_Code'!$G$8:$G$33,0)),"")</f>
        <v/>
      </c>
      <c r="U147" s="599" t="str">
        <f>IFERROR(INDEX('Annex 2_Code'!J$8:J$33,MATCH('Annex 3_MAFF'!$AG147,'Annex 2_Code'!$G$8:$G$33,0)),"")</f>
        <v/>
      </c>
      <c r="V147" s="599" t="str">
        <f>IFERROR(INDEX('Annex 2_Code'!K$8:K$33,MATCH('Annex 3_MAFF'!$AG147,'Annex 2_Code'!$G$8:$G$33,0)),"")</f>
        <v/>
      </c>
      <c r="W147" s="599" t="str">
        <f>IFERROR(INDEX('Annex 2_Code'!L$8:L$33,MATCH('Annex 3_MAFF'!$AG147,'Annex 2_Code'!$G$8:$G$33,0)),"")</f>
        <v/>
      </c>
      <c r="X147" s="599" t="str">
        <f>IFERROR(INDEX('Annex 2_Code'!M$8:M$33,MATCH('Annex 3_MAFF'!$AG147,'Annex 2_Code'!$G$8:$G$33,0)),"")</f>
        <v/>
      </c>
      <c r="Y147" s="647" t="str">
        <f t="shared" ref="Y147:AC147" si="181">IFERROR($S147*T147,"")</f>
        <v/>
      </c>
      <c r="Z147" s="600" t="str">
        <f t="shared" si="181"/>
        <v/>
      </c>
      <c r="AA147" s="600" t="str">
        <f t="shared" si="181"/>
        <v/>
      </c>
      <c r="AB147" s="600" t="str">
        <f t="shared" si="181"/>
        <v/>
      </c>
      <c r="AC147" s="601" t="str">
        <f t="shared" si="181"/>
        <v/>
      </c>
      <c r="AD147" s="602"/>
      <c r="AE147" s="602">
        <f>AD147-S147</f>
        <v>-288</v>
      </c>
      <c r="AF147" s="605"/>
      <c r="AG147" s="605"/>
      <c r="AH147" s="605" t="str">
        <f>IFERROR(INDEX('Annex 2_Code'!$J$114:$J$126,MATCH('Annex 3_MAFF'!AF147,'Annex 2_Code'!$G$114:$G$126,0)),"")</f>
        <v/>
      </c>
      <c r="AI147" s="624" t="str">
        <f>IF(ISNUMBER(FIND("-",AH147,1))=FALSE,LEFT(AH147,LEN(AH147)),LEFT(AH147,(FIND("-",AH147,1))-1))</f>
        <v/>
      </c>
    </row>
    <row r="148" spans="1:50" s="607" customFormat="1" ht="38.25" customHeight="1">
      <c r="A148" s="587"/>
      <c r="B148" s="659"/>
      <c r="C148" s="659"/>
      <c r="D148" s="1766"/>
      <c r="E148" s="1789" t="s">
        <v>1454</v>
      </c>
      <c r="F148" s="1790"/>
      <c r="G148" s="1791" t="s">
        <v>1107</v>
      </c>
      <c r="H148" s="1350"/>
      <c r="I148" s="737"/>
      <c r="J148" s="654"/>
      <c r="K148" s="655"/>
      <c r="L148" s="655"/>
      <c r="M148" s="655"/>
      <c r="N148" s="685"/>
      <c r="O148" s="738"/>
      <c r="P148" s="739"/>
      <c r="Q148" s="739"/>
      <c r="R148" s="715"/>
      <c r="S148" s="1356"/>
      <c r="T148" s="599"/>
      <c r="U148" s="599"/>
      <c r="V148" s="599"/>
      <c r="W148" s="599"/>
      <c r="X148" s="599"/>
      <c r="Y148" s="647"/>
      <c r="Z148" s="600"/>
      <c r="AA148" s="600">
        <f t="shared" ref="AA148:AA158" si="182">IFERROR($S148*V148,"")</f>
        <v>0</v>
      </c>
      <c r="AB148" s="600"/>
      <c r="AC148" s="601"/>
      <c r="AD148" s="602"/>
      <c r="AE148" s="602"/>
      <c r="AF148" s="604"/>
      <c r="AG148" s="604"/>
      <c r="AH148" s="604"/>
      <c r="AI148" s="606"/>
    </row>
    <row r="149" spans="1:50" s="1378" customFormat="1" ht="42" customHeight="1" outlineLevel="1">
      <c r="A149" s="1371"/>
      <c r="B149" s="669" t="s">
        <v>1463</v>
      </c>
      <c r="C149" s="669" t="s">
        <v>41</v>
      </c>
      <c r="D149" s="701"/>
      <c r="E149" s="307" t="s">
        <v>1455</v>
      </c>
      <c r="F149" s="615"/>
      <c r="G149" s="616" t="s">
        <v>1535</v>
      </c>
      <c r="H149" s="677" t="s">
        <v>1530</v>
      </c>
      <c r="I149" s="727">
        <v>1</v>
      </c>
      <c r="J149" s="619">
        <v>1</v>
      </c>
      <c r="K149" s="620">
        <v>1</v>
      </c>
      <c r="L149" s="620">
        <v>1</v>
      </c>
      <c r="M149" s="620">
        <v>1</v>
      </c>
      <c r="N149" s="731">
        <f t="shared" ref="N149:N156" si="183">SUM(J149:M149)</f>
        <v>4</v>
      </c>
      <c r="O149" s="622">
        <f t="shared" ref="O149:R150" si="184">($I149*J149)</f>
        <v>1</v>
      </c>
      <c r="P149" s="623">
        <f t="shared" si="184"/>
        <v>1</v>
      </c>
      <c r="Q149" s="623">
        <f t="shared" si="184"/>
        <v>1</v>
      </c>
      <c r="R149" s="623">
        <f t="shared" si="184"/>
        <v>1</v>
      </c>
      <c r="S149" s="1356">
        <f t="shared" ref="S149:S156" si="185">SUM(O149:R149)</f>
        <v>4</v>
      </c>
      <c r="T149" s="763">
        <f>IFERROR(INDEX('Annex 2_Code'!I$8:I$33,MATCH('Annex 3_MAFF'!$AG149,'Annex 2_Code'!$G$8:$G$33,0)),"")</f>
        <v>0</v>
      </c>
      <c r="U149" s="763">
        <f>IFERROR(INDEX('Annex 2_Code'!J$8:J$33,MATCH('Annex 3_MAFF'!$AG149,'Annex 2_Code'!$G$8:$G$33,0)),"")</f>
        <v>0</v>
      </c>
      <c r="V149" s="763">
        <f>IFERROR(INDEX('Annex 2_Code'!K$8:K$33,MATCH('Annex 3_MAFF'!$AG149,'Annex 2_Code'!$G$8:$G$33,0)),"")</f>
        <v>1</v>
      </c>
      <c r="W149" s="763">
        <f>IFERROR(INDEX('Annex 2_Code'!L$8:L$33,MATCH('Annex 3_MAFF'!$AG149,'Annex 2_Code'!$G$8:$G$33,0)),"")</f>
        <v>0</v>
      </c>
      <c r="X149" s="763">
        <f>IFERROR(INDEX('Annex 2_Code'!M$8:M$33,MATCH('Annex 3_MAFF'!$AG149,'Annex 2_Code'!$G$8:$G$33,0)),"")</f>
        <v>0</v>
      </c>
      <c r="Y149" s="1745">
        <f t="shared" ref="Y149:Y158" si="186">IFERROR($S149*T149,"")</f>
        <v>0</v>
      </c>
      <c r="Z149" s="807">
        <f t="shared" ref="Z149:Z158" si="187">IFERROR($S149*U149,"")</f>
        <v>0</v>
      </c>
      <c r="AA149" s="807">
        <f t="shared" si="182"/>
        <v>4</v>
      </c>
      <c r="AB149" s="807">
        <f t="shared" ref="AB149:AB158" si="188">IFERROR($S149*W149,"")</f>
        <v>0</v>
      </c>
      <c r="AC149" s="808">
        <f t="shared" ref="AC149:AC158" si="189">IFERROR($S149*X149,"")</f>
        <v>0</v>
      </c>
      <c r="AD149" s="764">
        <f t="shared" ref="AD149:AD156" si="190">SUM(Y149:AC149)</f>
        <v>4</v>
      </c>
      <c r="AE149" s="764">
        <f>AD149-S149</f>
        <v>0</v>
      </c>
      <c r="AF149" s="605" t="s">
        <v>187</v>
      </c>
      <c r="AG149" s="605" t="s">
        <v>203</v>
      </c>
      <c r="AH149" s="605" t="s">
        <v>371</v>
      </c>
      <c r="AI149" s="646" t="s">
        <v>13</v>
      </c>
      <c r="AJ149" s="637" t="s">
        <v>450</v>
      </c>
      <c r="AK149" s="1712"/>
      <c r="AL149" s="1712"/>
      <c r="AM149" s="1381"/>
      <c r="AN149" s="1381"/>
      <c r="AO149" s="1381"/>
      <c r="AP149" s="1381"/>
      <c r="AQ149" s="1381"/>
      <c r="AR149" s="1381"/>
      <c r="AS149" s="1381"/>
      <c r="AT149" s="1381"/>
      <c r="AU149" s="1381"/>
      <c r="AV149" s="1381"/>
      <c r="AW149" s="1381"/>
      <c r="AX149" s="1381"/>
    </row>
    <row r="150" spans="1:50" s="1378" customFormat="1" ht="48" customHeight="1" outlineLevel="1">
      <c r="A150" s="1371"/>
      <c r="B150" s="669" t="s">
        <v>1463</v>
      </c>
      <c r="C150" s="669" t="s">
        <v>41</v>
      </c>
      <c r="D150" s="701"/>
      <c r="E150" s="307" t="s">
        <v>1456</v>
      </c>
      <c r="F150" s="615"/>
      <c r="G150" s="1452" t="s">
        <v>847</v>
      </c>
      <c r="H150" s="677" t="s">
        <v>595</v>
      </c>
      <c r="I150" s="1722">
        <v>8</v>
      </c>
      <c r="J150" s="619">
        <v>4</v>
      </c>
      <c r="K150" s="620">
        <v>0</v>
      </c>
      <c r="L150" s="620">
        <v>0</v>
      </c>
      <c r="M150" s="620">
        <v>0</v>
      </c>
      <c r="N150" s="731">
        <f t="shared" si="183"/>
        <v>4</v>
      </c>
      <c r="O150" s="622">
        <f t="shared" si="184"/>
        <v>32</v>
      </c>
      <c r="P150" s="623">
        <f t="shared" si="184"/>
        <v>0</v>
      </c>
      <c r="Q150" s="623">
        <f t="shared" si="184"/>
        <v>0</v>
      </c>
      <c r="R150" s="623">
        <f t="shared" si="184"/>
        <v>0</v>
      </c>
      <c r="S150" s="1356">
        <f t="shared" si="185"/>
        <v>32</v>
      </c>
      <c r="T150" s="763">
        <f>IFERROR(INDEX('Annex 2_Code'!I$8:I$33,MATCH('Annex 3_MAFF'!$AG150,'Annex 2_Code'!$G$8:$G$33,0)),"")</f>
        <v>0</v>
      </c>
      <c r="U150" s="763">
        <f>IFERROR(INDEX('Annex 2_Code'!J$8:J$33,MATCH('Annex 3_MAFF'!$AG150,'Annex 2_Code'!$G$8:$G$33,0)),"")</f>
        <v>0</v>
      </c>
      <c r="V150" s="763">
        <f>IFERROR(INDEX('Annex 2_Code'!K$8:K$33,MATCH('Annex 3_MAFF'!$AG150,'Annex 2_Code'!$G$8:$G$33,0)),"")</f>
        <v>1</v>
      </c>
      <c r="W150" s="763">
        <f>IFERROR(INDEX('Annex 2_Code'!L$8:L$33,MATCH('Annex 3_MAFF'!$AG150,'Annex 2_Code'!$G$8:$G$33,0)),"")</f>
        <v>0</v>
      </c>
      <c r="X150" s="763">
        <f>IFERROR(INDEX('Annex 2_Code'!M$8:M$33,MATCH('Annex 3_MAFF'!$AG150,'Annex 2_Code'!$G$8:$G$33,0)),"")</f>
        <v>0</v>
      </c>
      <c r="Y150" s="1745">
        <f>IFERROR($S150*T150,"")</f>
        <v>0</v>
      </c>
      <c r="Z150" s="807">
        <f>IFERROR($S150*U150,"")</f>
        <v>0</v>
      </c>
      <c r="AA150" s="807">
        <f t="shared" si="182"/>
        <v>32</v>
      </c>
      <c r="AB150" s="807">
        <f>IFERROR($S150*W150,"")</f>
        <v>0</v>
      </c>
      <c r="AC150" s="808">
        <f>IFERROR($S150*X150,"")</f>
        <v>0</v>
      </c>
      <c r="AD150" s="764">
        <f>SUM(Y150:AC150)</f>
        <v>32</v>
      </c>
      <c r="AE150" s="764">
        <f>AD150-S150</f>
        <v>0</v>
      </c>
      <c r="AF150" s="605" t="s">
        <v>187</v>
      </c>
      <c r="AG150" s="605" t="s">
        <v>203</v>
      </c>
      <c r="AH150" s="605" t="s">
        <v>371</v>
      </c>
      <c r="AI150" s="646" t="str">
        <f>IF(ISNUMBER(FIND("-",AH150,1))=FALSE,LEFT(AH150,LEN(AH150)),LEFT(AH150,(FIND("-",AH150,1))-1))</f>
        <v>MAFF</v>
      </c>
      <c r="AJ150" s="637"/>
      <c r="AK150" s="1712"/>
      <c r="AL150" s="1712"/>
      <c r="AM150" s="1381"/>
      <c r="AN150" s="1381"/>
      <c r="AO150" s="1381"/>
      <c r="AP150" s="1381"/>
      <c r="AQ150" s="1381"/>
      <c r="AR150" s="1381"/>
      <c r="AS150" s="1381"/>
      <c r="AT150" s="1381"/>
      <c r="AU150" s="1381"/>
      <c r="AV150" s="1381"/>
      <c r="AW150" s="1381"/>
      <c r="AX150" s="1381"/>
    </row>
    <row r="151" spans="1:50" s="1378" customFormat="1" ht="46.5" outlineLevel="1">
      <c r="A151" s="1380"/>
      <c r="B151" s="669" t="s">
        <v>1463</v>
      </c>
      <c r="C151" s="669" t="s">
        <v>41</v>
      </c>
      <c r="D151" s="701"/>
      <c r="E151" s="307" t="s">
        <v>1457</v>
      </c>
      <c r="F151" s="615"/>
      <c r="G151" s="1452" t="s">
        <v>1204</v>
      </c>
      <c r="H151" s="677" t="s">
        <v>1536</v>
      </c>
      <c r="I151" s="727">
        <v>5</v>
      </c>
      <c r="J151" s="619">
        <v>0</v>
      </c>
      <c r="K151" s="620">
        <v>2</v>
      </c>
      <c r="L151" s="620">
        <v>2</v>
      </c>
      <c r="M151" s="620">
        <v>0</v>
      </c>
      <c r="N151" s="731">
        <f t="shared" si="183"/>
        <v>4</v>
      </c>
      <c r="O151" s="622">
        <f t="shared" ref="O151:O156" si="191">($I151*J151)</f>
        <v>0</v>
      </c>
      <c r="P151" s="623">
        <f t="shared" ref="P151:P155" si="192">($I151*K151)</f>
        <v>10</v>
      </c>
      <c r="Q151" s="623">
        <f t="shared" ref="Q151:Q156" si="193">($I151*L151)</f>
        <v>10</v>
      </c>
      <c r="R151" s="623">
        <f t="shared" ref="R151:R156" si="194">($I151*M151)</f>
        <v>0</v>
      </c>
      <c r="S151" s="1356">
        <f t="shared" si="185"/>
        <v>20</v>
      </c>
      <c r="T151" s="763">
        <f>IFERROR(INDEX('Annex 2_Code'!I$8:I$33,MATCH('Annex 3_MAFF'!$AG151,'Annex 2_Code'!$G$8:$G$33,0)),"")</f>
        <v>0</v>
      </c>
      <c r="U151" s="763">
        <f>IFERROR(INDEX('Annex 2_Code'!J$8:J$33,MATCH('Annex 3_MAFF'!$AG151,'Annex 2_Code'!$G$8:$G$33,0)),"")</f>
        <v>0</v>
      </c>
      <c r="V151" s="763">
        <f>IFERROR(INDEX('Annex 2_Code'!K$8:K$33,MATCH('Annex 3_MAFF'!$AG151,'Annex 2_Code'!$G$8:$G$33,0)),"")</f>
        <v>1</v>
      </c>
      <c r="W151" s="763">
        <f>IFERROR(INDEX('Annex 2_Code'!L$8:L$33,MATCH('Annex 3_MAFF'!$AG151,'Annex 2_Code'!$G$8:$G$33,0)),"")</f>
        <v>0</v>
      </c>
      <c r="X151" s="763">
        <f>IFERROR(INDEX('Annex 2_Code'!M$8:M$33,MATCH('Annex 3_MAFF'!$AG151,'Annex 2_Code'!$G$8:$G$33,0)),"")</f>
        <v>0</v>
      </c>
      <c r="Y151" s="1745">
        <f t="shared" si="186"/>
        <v>0</v>
      </c>
      <c r="Z151" s="807">
        <f t="shared" si="187"/>
        <v>0</v>
      </c>
      <c r="AA151" s="807">
        <f t="shared" si="182"/>
        <v>20</v>
      </c>
      <c r="AB151" s="807">
        <f t="shared" si="188"/>
        <v>0</v>
      </c>
      <c r="AC151" s="808">
        <f t="shared" si="189"/>
        <v>0</v>
      </c>
      <c r="AD151" s="764">
        <f t="shared" si="190"/>
        <v>20</v>
      </c>
      <c r="AE151" s="764">
        <f t="shared" ref="AE151:AE157" si="195">AD151-S151</f>
        <v>0</v>
      </c>
      <c r="AF151" s="605" t="s">
        <v>187</v>
      </c>
      <c r="AG151" s="605" t="s">
        <v>203</v>
      </c>
      <c r="AH151" s="605" t="s">
        <v>371</v>
      </c>
      <c r="AI151" s="646" t="s">
        <v>13</v>
      </c>
      <c r="AJ151" s="637"/>
      <c r="AK151" s="637"/>
      <c r="AL151" s="637"/>
      <c r="AM151" s="1381"/>
      <c r="AN151" s="1381"/>
      <c r="AO151" s="1381"/>
      <c r="AP151" s="1381"/>
      <c r="AQ151" s="1381"/>
      <c r="AR151" s="1381"/>
      <c r="AS151" s="1381"/>
      <c r="AT151" s="1381"/>
      <c r="AU151" s="1381"/>
      <c r="AV151" s="1381"/>
      <c r="AW151" s="1381"/>
      <c r="AX151" s="1381"/>
    </row>
    <row r="152" spans="1:50" s="1378" customFormat="1" ht="45.6" customHeight="1" outlineLevel="1">
      <c r="A152" s="1380"/>
      <c r="B152" s="669" t="s">
        <v>1463</v>
      </c>
      <c r="C152" s="669" t="s">
        <v>41</v>
      </c>
      <c r="D152" s="701"/>
      <c r="E152" s="307" t="s">
        <v>1458</v>
      </c>
      <c r="F152" s="615"/>
      <c r="G152" s="1452" t="s">
        <v>1206</v>
      </c>
      <c r="H152" s="677" t="s">
        <v>1066</v>
      </c>
      <c r="I152" s="727">
        <v>2</v>
      </c>
      <c r="J152" s="619">
        <v>1</v>
      </c>
      <c r="K152" s="620">
        <v>1</v>
      </c>
      <c r="L152" s="620">
        <v>1</v>
      </c>
      <c r="M152" s="620">
        <v>1</v>
      </c>
      <c r="N152" s="731">
        <f t="shared" si="183"/>
        <v>4</v>
      </c>
      <c r="O152" s="622">
        <f t="shared" si="191"/>
        <v>2</v>
      </c>
      <c r="P152" s="623">
        <f t="shared" si="192"/>
        <v>2</v>
      </c>
      <c r="Q152" s="623">
        <f t="shared" si="193"/>
        <v>2</v>
      </c>
      <c r="R152" s="623">
        <f t="shared" si="194"/>
        <v>2</v>
      </c>
      <c r="S152" s="1356">
        <f t="shared" si="185"/>
        <v>8</v>
      </c>
      <c r="T152" s="763">
        <f>IFERROR(INDEX('Annex 2_Code'!I$8:I$33,MATCH('Annex 3_MAFF'!$AG152,'Annex 2_Code'!$G$8:$G$33,0)),"")</f>
        <v>0</v>
      </c>
      <c r="U152" s="763">
        <f>IFERROR(INDEX('Annex 2_Code'!J$8:J$33,MATCH('Annex 3_MAFF'!$AG152,'Annex 2_Code'!$G$8:$G$33,0)),"")</f>
        <v>0</v>
      </c>
      <c r="V152" s="763">
        <f>IFERROR(INDEX('Annex 2_Code'!K$8:K$33,MATCH('Annex 3_MAFF'!$AG152,'Annex 2_Code'!$G$8:$G$33,0)),"")</f>
        <v>1</v>
      </c>
      <c r="W152" s="763">
        <f>IFERROR(INDEX('Annex 2_Code'!L$8:L$33,MATCH('Annex 3_MAFF'!$AG152,'Annex 2_Code'!$G$8:$G$33,0)),"")</f>
        <v>0</v>
      </c>
      <c r="X152" s="763">
        <f>IFERROR(INDEX('Annex 2_Code'!M$8:M$33,MATCH('Annex 3_MAFF'!$AG152,'Annex 2_Code'!$G$8:$G$33,0)),"")</f>
        <v>0</v>
      </c>
      <c r="Y152" s="1745">
        <f t="shared" si="186"/>
        <v>0</v>
      </c>
      <c r="Z152" s="807">
        <f t="shared" si="187"/>
        <v>0</v>
      </c>
      <c r="AA152" s="807">
        <f t="shared" si="182"/>
        <v>8</v>
      </c>
      <c r="AB152" s="807">
        <f t="shared" si="188"/>
        <v>0</v>
      </c>
      <c r="AC152" s="808">
        <f t="shared" si="189"/>
        <v>0</v>
      </c>
      <c r="AD152" s="764">
        <f t="shared" si="190"/>
        <v>8</v>
      </c>
      <c r="AE152" s="764">
        <f t="shared" si="195"/>
        <v>0</v>
      </c>
      <c r="AF152" s="605" t="s">
        <v>187</v>
      </c>
      <c r="AG152" s="605" t="s">
        <v>203</v>
      </c>
      <c r="AH152" s="605" t="s">
        <v>371</v>
      </c>
      <c r="AI152" s="646" t="str">
        <f>IF(ISNUMBER(FIND("-",AH152,1))=FALSE,LEFT(AH152,LEN(AH152)),LEFT(AH152,(FIND("-",AH152,1))-1))</f>
        <v>MAFF</v>
      </c>
      <c r="AJ152" s="637"/>
      <c r="AK152" s="637"/>
      <c r="AL152" s="637"/>
      <c r="AM152" s="1381"/>
      <c r="AN152" s="1381"/>
      <c r="AO152" s="1381"/>
      <c r="AP152" s="1381"/>
      <c r="AQ152" s="1381"/>
      <c r="AR152" s="1381"/>
      <c r="AS152" s="1381"/>
      <c r="AT152" s="1381"/>
      <c r="AU152" s="1381"/>
      <c r="AV152" s="1381"/>
      <c r="AW152" s="1381"/>
      <c r="AX152" s="1381"/>
    </row>
    <row r="153" spans="1:50" s="1378" customFormat="1" ht="45" customHeight="1" outlineLevel="1">
      <c r="A153" s="1371"/>
      <c r="B153" s="669" t="s">
        <v>1463</v>
      </c>
      <c r="C153" s="669" t="s">
        <v>41</v>
      </c>
      <c r="D153" s="701"/>
      <c r="E153" s="307" t="s">
        <v>1459</v>
      </c>
      <c r="F153" s="615"/>
      <c r="G153" s="1728" t="s">
        <v>1205</v>
      </c>
      <c r="H153" s="677" t="s">
        <v>595</v>
      </c>
      <c r="I153" s="727">
        <v>8</v>
      </c>
      <c r="J153" s="619">
        <v>0</v>
      </c>
      <c r="K153" s="620">
        <v>0</v>
      </c>
      <c r="L153" s="620">
        <v>1</v>
      </c>
      <c r="M153" s="620">
        <v>1</v>
      </c>
      <c r="N153" s="731">
        <f t="shared" si="183"/>
        <v>2</v>
      </c>
      <c r="O153" s="622">
        <f t="shared" si="191"/>
        <v>0</v>
      </c>
      <c r="P153" s="623">
        <f t="shared" si="192"/>
        <v>0</v>
      </c>
      <c r="Q153" s="623">
        <f t="shared" si="193"/>
        <v>8</v>
      </c>
      <c r="R153" s="623">
        <f t="shared" si="194"/>
        <v>8</v>
      </c>
      <c r="S153" s="1356">
        <f t="shared" si="185"/>
        <v>16</v>
      </c>
      <c r="T153" s="763">
        <f>IFERROR(INDEX('Annex 2_Code'!I$8:I$33,MATCH('Annex 3_MAFF'!$AG153,'Annex 2_Code'!$G$8:$G$33,0)),"")</f>
        <v>0</v>
      </c>
      <c r="U153" s="763">
        <f>IFERROR(INDEX('Annex 2_Code'!J$8:J$33,MATCH('Annex 3_MAFF'!$AG153,'Annex 2_Code'!$G$8:$G$33,0)),"")</f>
        <v>0</v>
      </c>
      <c r="V153" s="763">
        <f>IFERROR(INDEX('Annex 2_Code'!K$8:K$33,MATCH('Annex 3_MAFF'!$AG153,'Annex 2_Code'!$G$8:$G$33,0)),"")</f>
        <v>1</v>
      </c>
      <c r="W153" s="763">
        <f>IFERROR(INDEX('Annex 2_Code'!L$8:L$33,MATCH('Annex 3_MAFF'!$AG153,'Annex 2_Code'!$G$8:$G$33,0)),"")</f>
        <v>0</v>
      </c>
      <c r="X153" s="763">
        <f>IFERROR(INDEX('Annex 2_Code'!M$8:M$33,MATCH('Annex 3_MAFF'!$AG153,'Annex 2_Code'!$G$8:$G$33,0)),"")</f>
        <v>0</v>
      </c>
      <c r="Y153" s="1745">
        <f t="shared" si="186"/>
        <v>0</v>
      </c>
      <c r="Z153" s="807">
        <f t="shared" si="187"/>
        <v>0</v>
      </c>
      <c r="AA153" s="807">
        <f t="shared" si="182"/>
        <v>16</v>
      </c>
      <c r="AB153" s="807">
        <f t="shared" si="188"/>
        <v>0</v>
      </c>
      <c r="AC153" s="808">
        <f t="shared" si="189"/>
        <v>0</v>
      </c>
      <c r="AD153" s="764">
        <f t="shared" si="190"/>
        <v>16</v>
      </c>
      <c r="AE153" s="764">
        <f t="shared" si="195"/>
        <v>0</v>
      </c>
      <c r="AF153" s="605" t="s">
        <v>187</v>
      </c>
      <c r="AG153" s="605" t="s">
        <v>203</v>
      </c>
      <c r="AH153" s="605" t="s">
        <v>371</v>
      </c>
      <c r="AI153" s="646" t="str">
        <f>IF(ISNUMBER(FIND("-",AH153,1))=FALSE,LEFT(AH153,LEN(AH153)),LEFT(AH153,(FIND("-",AH153,1))-1))</f>
        <v>MAFF</v>
      </c>
      <c r="AJ153" s="637"/>
      <c r="AK153" s="1712"/>
      <c r="AL153" s="1712"/>
      <c r="AM153" s="1381"/>
      <c r="AN153" s="1381"/>
      <c r="AO153" s="1381"/>
      <c r="AP153" s="1381"/>
      <c r="AQ153" s="1381"/>
      <c r="AR153" s="1381"/>
      <c r="AS153" s="1381"/>
      <c r="AT153" s="1381"/>
      <c r="AU153" s="1381"/>
      <c r="AV153" s="1381"/>
      <c r="AW153" s="1381"/>
      <c r="AX153" s="1381"/>
    </row>
    <row r="154" spans="1:50" s="1378" customFormat="1" ht="69.75" outlineLevel="1">
      <c r="A154" s="1371"/>
      <c r="B154" s="669" t="s">
        <v>1463</v>
      </c>
      <c r="C154" s="669" t="s">
        <v>41</v>
      </c>
      <c r="D154" s="701"/>
      <c r="E154" s="307" t="s">
        <v>1460</v>
      </c>
      <c r="F154" s="615"/>
      <c r="G154" s="1452" t="s">
        <v>1208</v>
      </c>
      <c r="H154" s="677" t="s">
        <v>595</v>
      </c>
      <c r="I154" s="727">
        <v>7</v>
      </c>
      <c r="J154" s="619">
        <v>0</v>
      </c>
      <c r="K154" s="620">
        <v>0</v>
      </c>
      <c r="L154" s="620">
        <v>1</v>
      </c>
      <c r="M154" s="620">
        <v>1</v>
      </c>
      <c r="N154" s="731">
        <f t="shared" si="183"/>
        <v>2</v>
      </c>
      <c r="O154" s="622">
        <f t="shared" si="191"/>
        <v>0</v>
      </c>
      <c r="P154" s="623">
        <f t="shared" si="192"/>
        <v>0</v>
      </c>
      <c r="Q154" s="623">
        <f t="shared" si="193"/>
        <v>7</v>
      </c>
      <c r="R154" s="623">
        <f t="shared" si="194"/>
        <v>7</v>
      </c>
      <c r="S154" s="1356">
        <f t="shared" si="185"/>
        <v>14</v>
      </c>
      <c r="T154" s="763">
        <f>IFERROR(INDEX('Annex 2_Code'!I$8:I$33,MATCH('Annex 3_MAFF'!$AG154,'Annex 2_Code'!$G$8:$G$33,0)),"")</f>
        <v>0</v>
      </c>
      <c r="U154" s="763">
        <f>IFERROR(INDEX('Annex 2_Code'!J$8:J$33,MATCH('Annex 3_MAFF'!$AG154,'Annex 2_Code'!$G$8:$G$33,0)),"")</f>
        <v>0</v>
      </c>
      <c r="V154" s="763">
        <f>IFERROR(INDEX('Annex 2_Code'!K$8:K$33,MATCH('Annex 3_MAFF'!$AG154,'Annex 2_Code'!$G$8:$G$33,0)),"")</f>
        <v>1</v>
      </c>
      <c r="W154" s="763">
        <f>IFERROR(INDEX('Annex 2_Code'!L$8:L$33,MATCH('Annex 3_MAFF'!$AG154,'Annex 2_Code'!$G$8:$G$33,0)),"")</f>
        <v>0</v>
      </c>
      <c r="X154" s="763">
        <f>IFERROR(INDEX('Annex 2_Code'!M$8:M$33,MATCH('Annex 3_MAFF'!$AG154,'Annex 2_Code'!$G$8:$G$33,0)),"")</f>
        <v>0</v>
      </c>
      <c r="Y154" s="1745">
        <f t="shared" si="186"/>
        <v>0</v>
      </c>
      <c r="Z154" s="807">
        <f t="shared" si="187"/>
        <v>0</v>
      </c>
      <c r="AA154" s="807">
        <f t="shared" si="182"/>
        <v>14</v>
      </c>
      <c r="AB154" s="807">
        <f t="shared" si="188"/>
        <v>0</v>
      </c>
      <c r="AC154" s="808">
        <f t="shared" si="189"/>
        <v>0</v>
      </c>
      <c r="AD154" s="764">
        <f t="shared" si="190"/>
        <v>14</v>
      </c>
      <c r="AE154" s="764">
        <f t="shared" si="195"/>
        <v>0</v>
      </c>
      <c r="AF154" s="605" t="s">
        <v>187</v>
      </c>
      <c r="AG154" s="605" t="s">
        <v>203</v>
      </c>
      <c r="AH154" s="605" t="s">
        <v>371</v>
      </c>
      <c r="AI154" s="646" t="str">
        <f>IF(ISNUMBER(FIND("-",AH154,1))=FALSE,LEFT(AH154,LEN(AH154)),LEFT(AH154,(FIND("-",AH154,1))-1))</f>
        <v>MAFF</v>
      </c>
      <c r="AJ154" s="637"/>
      <c r="AK154" s="1712"/>
      <c r="AL154" s="1712"/>
      <c r="AM154" s="1381"/>
      <c r="AN154" s="1381"/>
      <c r="AO154" s="1381"/>
      <c r="AP154" s="1381"/>
      <c r="AQ154" s="1381"/>
      <c r="AR154" s="1381"/>
      <c r="AS154" s="1381"/>
      <c r="AT154" s="1381"/>
      <c r="AU154" s="1381"/>
      <c r="AV154" s="1381"/>
      <c r="AW154" s="1381"/>
      <c r="AX154" s="1381"/>
    </row>
    <row r="155" spans="1:50" s="1378" customFormat="1" ht="46.5" outlineLevel="1">
      <c r="A155" s="1380"/>
      <c r="B155" s="669" t="s">
        <v>1463</v>
      </c>
      <c r="C155" s="669" t="s">
        <v>41</v>
      </c>
      <c r="D155" s="701"/>
      <c r="E155" s="307" t="s">
        <v>1461</v>
      </c>
      <c r="F155" s="615"/>
      <c r="G155" s="1452" t="s">
        <v>1207</v>
      </c>
      <c r="H155" s="677" t="s">
        <v>598</v>
      </c>
      <c r="I155" s="727">
        <v>2</v>
      </c>
      <c r="J155" s="619">
        <v>0</v>
      </c>
      <c r="K155" s="620">
        <v>0</v>
      </c>
      <c r="L155" s="620">
        <v>0</v>
      </c>
      <c r="M155" s="620">
        <v>1</v>
      </c>
      <c r="N155" s="731">
        <f t="shared" si="183"/>
        <v>1</v>
      </c>
      <c r="O155" s="622">
        <f t="shared" si="191"/>
        <v>0</v>
      </c>
      <c r="P155" s="623">
        <f t="shared" si="192"/>
        <v>0</v>
      </c>
      <c r="Q155" s="623">
        <f t="shared" si="193"/>
        <v>0</v>
      </c>
      <c r="R155" s="623">
        <f t="shared" si="194"/>
        <v>2</v>
      </c>
      <c r="S155" s="1356">
        <f t="shared" si="185"/>
        <v>2</v>
      </c>
      <c r="T155" s="763">
        <f>IFERROR(INDEX('Annex 2_Code'!I$8:I$33,MATCH('Annex 3_MAFF'!$AG155,'Annex 2_Code'!$G$8:$G$33,0)),"")</f>
        <v>0</v>
      </c>
      <c r="U155" s="763">
        <f>IFERROR(INDEX('Annex 2_Code'!J$8:J$33,MATCH('Annex 3_MAFF'!$AG155,'Annex 2_Code'!$G$8:$G$33,0)),"")</f>
        <v>0</v>
      </c>
      <c r="V155" s="763">
        <f>IFERROR(INDEX('Annex 2_Code'!K$8:K$33,MATCH('Annex 3_MAFF'!$AG155,'Annex 2_Code'!$G$8:$G$33,0)),"")</f>
        <v>1</v>
      </c>
      <c r="W155" s="763">
        <f>IFERROR(INDEX('Annex 2_Code'!L$8:L$33,MATCH('Annex 3_MAFF'!$AG155,'Annex 2_Code'!$G$8:$G$33,0)),"")</f>
        <v>0</v>
      </c>
      <c r="X155" s="763">
        <f>IFERROR(INDEX('Annex 2_Code'!M$8:M$33,MATCH('Annex 3_MAFF'!$AG155,'Annex 2_Code'!$G$8:$G$33,0)),"")</f>
        <v>0</v>
      </c>
      <c r="Y155" s="1745">
        <f t="shared" si="186"/>
        <v>0</v>
      </c>
      <c r="Z155" s="807">
        <f t="shared" si="187"/>
        <v>0</v>
      </c>
      <c r="AA155" s="807">
        <f t="shared" si="182"/>
        <v>2</v>
      </c>
      <c r="AB155" s="807">
        <f t="shared" si="188"/>
        <v>0</v>
      </c>
      <c r="AC155" s="808">
        <f t="shared" si="189"/>
        <v>0</v>
      </c>
      <c r="AD155" s="764">
        <f t="shared" si="190"/>
        <v>2</v>
      </c>
      <c r="AE155" s="764">
        <f t="shared" si="195"/>
        <v>0</v>
      </c>
      <c r="AF155" s="605" t="s">
        <v>187</v>
      </c>
      <c r="AG155" s="605" t="s">
        <v>203</v>
      </c>
      <c r="AH155" s="605" t="s">
        <v>371</v>
      </c>
      <c r="AI155" s="646" t="s">
        <v>13</v>
      </c>
      <c r="AJ155" s="637" t="s">
        <v>450</v>
      </c>
      <c r="AK155" s="824">
        <f>SUM(S121:S126)+SUM(S130:S130)+SUM(S133:S135)+SUM(S137:S147)+SUM(S148:S155)</f>
        <v>1557.2</v>
      </c>
      <c r="AL155" s="683" t="s">
        <v>412</v>
      </c>
      <c r="AM155" s="1381"/>
      <c r="AN155" s="1381"/>
      <c r="AO155" s="1381"/>
      <c r="AP155" s="1381"/>
      <c r="AQ155" s="1381"/>
      <c r="AR155" s="1381"/>
      <c r="AS155" s="1381"/>
      <c r="AT155" s="1381"/>
      <c r="AU155" s="1381"/>
      <c r="AV155" s="1381"/>
      <c r="AW155" s="1381"/>
      <c r="AX155" s="1381"/>
    </row>
    <row r="156" spans="1:50" s="1378" customFormat="1" ht="40.700000000000003" customHeight="1" outlineLevel="1">
      <c r="A156" s="1380"/>
      <c r="B156" s="669" t="s">
        <v>1463</v>
      </c>
      <c r="C156" s="669" t="s">
        <v>41</v>
      </c>
      <c r="D156" s="701"/>
      <c r="E156" s="307" t="s">
        <v>1462</v>
      </c>
      <c r="F156" s="615"/>
      <c r="G156" s="1452" t="s">
        <v>1421</v>
      </c>
      <c r="H156" s="677" t="s">
        <v>598</v>
      </c>
      <c r="I156" s="727">
        <v>3.5</v>
      </c>
      <c r="J156" s="619">
        <v>0</v>
      </c>
      <c r="K156" s="620">
        <v>0</v>
      </c>
      <c r="L156" s="620">
        <v>0</v>
      </c>
      <c r="M156" s="620">
        <v>1</v>
      </c>
      <c r="N156" s="731">
        <f t="shared" si="183"/>
        <v>1</v>
      </c>
      <c r="O156" s="622">
        <f t="shared" si="191"/>
        <v>0</v>
      </c>
      <c r="P156" s="623">
        <f>($I156*K156)</f>
        <v>0</v>
      </c>
      <c r="Q156" s="623">
        <f t="shared" si="193"/>
        <v>0</v>
      </c>
      <c r="R156" s="623">
        <f t="shared" si="194"/>
        <v>3.5</v>
      </c>
      <c r="S156" s="1356">
        <f t="shared" si="185"/>
        <v>3.5</v>
      </c>
      <c r="T156" s="763">
        <f>IFERROR(INDEX('Annex 2_Code'!I$8:I$33,MATCH('Annex 3_MAFF'!$AG156,'Annex 2_Code'!$G$8:$G$33,0)),"")</f>
        <v>0</v>
      </c>
      <c r="U156" s="763">
        <f>IFERROR(INDEX('Annex 2_Code'!J$8:J$33,MATCH('Annex 3_MAFF'!$AG156,'Annex 2_Code'!$G$8:$G$33,0)),"")</f>
        <v>0</v>
      </c>
      <c r="V156" s="763">
        <f>IFERROR(INDEX('Annex 2_Code'!K$8:K$33,MATCH('Annex 3_MAFF'!$AG156,'Annex 2_Code'!$G$8:$G$33,0)),"")</f>
        <v>1</v>
      </c>
      <c r="W156" s="763">
        <f>IFERROR(INDEX('Annex 2_Code'!L$8:L$33,MATCH('Annex 3_MAFF'!$AG156,'Annex 2_Code'!$G$8:$G$33,0)),"")</f>
        <v>0</v>
      </c>
      <c r="X156" s="763">
        <f>IFERROR(INDEX('Annex 2_Code'!M$8:M$33,MATCH('Annex 3_MAFF'!$AG156,'Annex 2_Code'!$G$8:$G$33,0)),"")</f>
        <v>0</v>
      </c>
      <c r="Y156" s="1745">
        <f t="shared" si="186"/>
        <v>0</v>
      </c>
      <c r="Z156" s="807">
        <f t="shared" si="187"/>
        <v>0</v>
      </c>
      <c r="AA156" s="807">
        <f t="shared" si="182"/>
        <v>3.5</v>
      </c>
      <c r="AB156" s="807">
        <f t="shared" si="188"/>
        <v>0</v>
      </c>
      <c r="AC156" s="808">
        <f t="shared" si="189"/>
        <v>0</v>
      </c>
      <c r="AD156" s="764">
        <f t="shared" si="190"/>
        <v>3.5</v>
      </c>
      <c r="AE156" s="764">
        <f t="shared" si="195"/>
        <v>0</v>
      </c>
      <c r="AF156" s="605" t="s">
        <v>187</v>
      </c>
      <c r="AG156" s="605" t="s">
        <v>203</v>
      </c>
      <c r="AH156" s="605" t="s">
        <v>371</v>
      </c>
      <c r="AI156" s="646" t="str">
        <f>IF(ISNUMBER(FIND("-",AH156,1))=FALSE,LEFT(AH156,LEN(AH156)),LEFT(AH156,(FIND("-",AH156,1))-1))</f>
        <v>MAFF</v>
      </c>
      <c r="AJ156" s="637"/>
      <c r="AK156" s="824"/>
      <c r="AL156" s="683"/>
      <c r="AM156" s="1381"/>
      <c r="AN156" s="1381"/>
      <c r="AO156" s="1381"/>
      <c r="AP156" s="1381"/>
      <c r="AQ156" s="1381"/>
      <c r="AR156" s="1381"/>
      <c r="AS156" s="1381"/>
      <c r="AT156" s="1381"/>
      <c r="AU156" s="1381"/>
      <c r="AV156" s="1381"/>
      <c r="AW156" s="1381"/>
      <c r="AX156" s="1381"/>
    </row>
    <row r="157" spans="1:50" s="607" customFormat="1" ht="23.25">
      <c r="A157" s="587"/>
      <c r="B157" s="659"/>
      <c r="C157" s="669"/>
      <c r="D157" s="704"/>
      <c r="E157" s="591" t="s">
        <v>583</v>
      </c>
      <c r="F157" s="592"/>
      <c r="G157" s="577"/>
      <c r="H157" s="593"/>
      <c r="I157" s="705"/>
      <c r="J157" s="594">
        <f t="shared" ref="J157:S157" si="196">SUM(J149:J156)</f>
        <v>6</v>
      </c>
      <c r="K157" s="595">
        <f t="shared" si="196"/>
        <v>4</v>
      </c>
      <c r="L157" s="595">
        <f t="shared" si="196"/>
        <v>6</v>
      </c>
      <c r="M157" s="595">
        <f t="shared" si="196"/>
        <v>6</v>
      </c>
      <c r="N157" s="596">
        <f t="shared" si="196"/>
        <v>22</v>
      </c>
      <c r="O157" s="597">
        <f t="shared" si="196"/>
        <v>35</v>
      </c>
      <c r="P157" s="598">
        <f t="shared" si="196"/>
        <v>13</v>
      </c>
      <c r="Q157" s="598">
        <f t="shared" si="196"/>
        <v>28</v>
      </c>
      <c r="R157" s="598">
        <f t="shared" si="196"/>
        <v>23.5</v>
      </c>
      <c r="S157" s="1408">
        <f t="shared" si="196"/>
        <v>99.5</v>
      </c>
      <c r="T157" s="599" t="str">
        <f>IFERROR(INDEX('[5]Annex 2'!I$8:I$33,MATCH('[5]Annex 3 (''MEF)'!$AG166,'[5]Annex 2'!$G$8:$G$33,0)),"")</f>
        <v/>
      </c>
      <c r="U157" s="599" t="str">
        <f>IFERROR(INDEX('[5]Annex 2'!J$8:J$33,MATCH('[5]Annex 3 (''MEF)'!$AG166,'[5]Annex 2'!$G$8:$G$33,0)),"")</f>
        <v/>
      </c>
      <c r="V157" s="599" t="str">
        <f>IFERROR(INDEX('[5]Annex 2'!K$8:K$33,MATCH('[5]Annex 3 (''MEF)'!$AG166,'[5]Annex 2'!$G$8:$G$33,0)),"")</f>
        <v/>
      </c>
      <c r="W157" s="599" t="str">
        <f>IFERROR(INDEX('[5]Annex 2'!L$8:L$33,MATCH('[5]Annex 3 (''MEF)'!$AG166,'[5]Annex 2'!$G$8:$G$33,0)),"")</f>
        <v/>
      </c>
      <c r="X157" s="599" t="str">
        <f>IFERROR(INDEX('[5]Annex 2'!M$8:M$33,MATCH('[5]Annex 3 (''MEF)'!$AG166,'[5]Annex 2'!$G$8:$G$33,0)),"")</f>
        <v/>
      </c>
      <c r="Y157" s="647" t="str">
        <f t="shared" si="186"/>
        <v/>
      </c>
      <c r="Z157" s="600" t="str">
        <f t="shared" si="187"/>
        <v/>
      </c>
      <c r="AA157" s="600" t="str">
        <f t="shared" si="182"/>
        <v/>
      </c>
      <c r="AB157" s="600" t="str">
        <f t="shared" si="188"/>
        <v/>
      </c>
      <c r="AC157" s="601" t="str">
        <f t="shared" si="189"/>
        <v/>
      </c>
      <c r="AD157" s="602">
        <f>SUM(Y157:AC157)</f>
        <v>0</v>
      </c>
      <c r="AE157" s="602">
        <f t="shared" si="195"/>
        <v>-99.5</v>
      </c>
      <c r="AF157" s="604"/>
      <c r="AG157" s="604"/>
      <c r="AH157" s="604"/>
      <c r="AI157" s="606"/>
    </row>
    <row r="158" spans="1:50" s="607" customFormat="1" ht="16.5">
      <c r="A158" s="587"/>
      <c r="B158" s="588" t="s">
        <v>54</v>
      </c>
      <c r="C158" s="589"/>
      <c r="D158" s="608" t="s">
        <v>689</v>
      </c>
      <c r="E158" s="609"/>
      <c r="F158" s="610"/>
      <c r="G158" s="611"/>
      <c r="H158" s="627"/>
      <c r="I158" s="628"/>
      <c r="J158" s="629">
        <f>SUM(J101,J117,J126,J134,J147,J157)</f>
        <v>476</v>
      </c>
      <c r="K158" s="630">
        <f t="shared" ref="K158:M158" si="197">SUM(K101,K117,K126,K134,K147,K157)</f>
        <v>1778</v>
      </c>
      <c r="L158" s="630">
        <f t="shared" si="197"/>
        <v>1707</v>
      </c>
      <c r="M158" s="630">
        <f t="shared" si="197"/>
        <v>1414</v>
      </c>
      <c r="N158" s="631">
        <f>SUM(J158:M158)</f>
        <v>5375</v>
      </c>
      <c r="O158" s="1324">
        <f>SUM(O101,O117,O126,O134,O147,O157)</f>
        <v>640.38</v>
      </c>
      <c r="P158" s="1324">
        <f t="shared" ref="P158:R158" si="198">SUM(P101,P117,P126,P134,P147,P157)</f>
        <v>1612.1</v>
      </c>
      <c r="Q158" s="1324">
        <f t="shared" si="198"/>
        <v>1584.82</v>
      </c>
      <c r="R158" s="1324">
        <f t="shared" si="198"/>
        <v>1246.5999999999999</v>
      </c>
      <c r="S158" s="1696">
        <f>SUM(O158:R158)</f>
        <v>5083.8999999999996</v>
      </c>
      <c r="T158" s="599" t="str">
        <f>IFERROR(INDEX('Annex 2_Code'!I$8:I$33,MATCH('Annex 3_MAFF'!$AG158,'Annex 2_Code'!$G$8:$G$33,0)),"")</f>
        <v/>
      </c>
      <c r="U158" s="599" t="str">
        <f>IFERROR(INDEX('Annex 2_Code'!J$8:J$33,MATCH('Annex 3_MAFF'!$AG158,'Annex 2_Code'!$G$8:$G$33,0)),"")</f>
        <v/>
      </c>
      <c r="V158" s="599" t="str">
        <f>IFERROR(INDEX('Annex 2_Code'!K$8:K$33,MATCH('Annex 3_MAFF'!$AG158,'Annex 2_Code'!$G$8:$G$33,0)),"")</f>
        <v/>
      </c>
      <c r="W158" s="599" t="str">
        <f>IFERROR(INDEX('Annex 2_Code'!L$8:L$33,MATCH('Annex 3_MAFF'!$AG158,'Annex 2_Code'!$G$8:$G$33,0)),"")</f>
        <v/>
      </c>
      <c r="X158" s="599" t="str">
        <f>IFERROR(INDEX('Annex 2_Code'!M$8:M$33,MATCH('Annex 3_MAFF'!$AG158,'Annex 2_Code'!$G$8:$G$33,0)),"")</f>
        <v/>
      </c>
      <c r="Y158" s="1756" t="str">
        <f t="shared" si="186"/>
        <v/>
      </c>
      <c r="Z158" s="1704" t="str">
        <f t="shared" si="187"/>
        <v/>
      </c>
      <c r="AA158" s="1704" t="str">
        <f t="shared" si="182"/>
        <v/>
      </c>
      <c r="AB158" s="1704" t="str">
        <f t="shared" si="188"/>
        <v/>
      </c>
      <c r="AC158" s="1757" t="str">
        <f t="shared" si="189"/>
        <v/>
      </c>
      <c r="AD158" s="634">
        <f>SUM(Y158:AC158)</f>
        <v>0</v>
      </c>
      <c r="AE158" s="602">
        <f>AD158-S158</f>
        <v>-5083.8999999999996</v>
      </c>
      <c r="AF158" s="605"/>
      <c r="AG158" s="605"/>
      <c r="AH158" s="605" t="str">
        <f>IFERROR(INDEX('Annex 2_Code'!$J$114:$J$126,MATCH('Annex 3_MAFF'!AF158,'Annex 2_Code'!$G$114:$G$126,0)),"")</f>
        <v/>
      </c>
      <c r="AI158" s="624" t="str">
        <f>IF(ISNUMBER(FIND("-",AH158,1))=FALSE,LEFT(AH158,LEN(AH158)),LEFT(AH158,(FIND("-",AH158,1))-1))</f>
        <v/>
      </c>
      <c r="AK158" s="740">
        <f>AE158</f>
        <v>-5083.8999999999996</v>
      </c>
      <c r="AL158" s="741" t="s">
        <v>411</v>
      </c>
      <c r="AM158" s="742"/>
    </row>
    <row r="159" spans="1:50" s="607" customFormat="1" ht="23.25">
      <c r="A159" s="587"/>
      <c r="B159" s="588" t="s">
        <v>54</v>
      </c>
      <c r="C159" s="589"/>
      <c r="D159" s="475" t="s">
        <v>1135</v>
      </c>
      <c r="E159" s="743"/>
      <c r="F159" s="656"/>
      <c r="G159" s="656"/>
      <c r="H159" s="652"/>
      <c r="I159" s="653"/>
      <c r="J159" s="654"/>
      <c r="K159" s="655"/>
      <c r="L159" s="655"/>
      <c r="M159" s="655"/>
      <c r="N159" s="685" t="s">
        <v>110</v>
      </c>
      <c r="O159" s="744"/>
      <c r="P159" s="745"/>
      <c r="Q159" s="745"/>
      <c r="R159" s="954"/>
      <c r="S159" s="1696">
        <f>SUM(O158:R158)</f>
        <v>5083.8999999999996</v>
      </c>
      <c r="T159" s="599"/>
      <c r="U159" s="599"/>
      <c r="V159" s="599"/>
      <c r="W159" s="599"/>
      <c r="X159" s="599"/>
      <c r="Y159" s="647"/>
      <c r="Z159" s="600"/>
      <c r="AA159" s="600">
        <f>IFERROR($S159*V159,"")</f>
        <v>0</v>
      </c>
      <c r="AB159" s="600"/>
      <c r="AC159" s="601"/>
      <c r="AD159" s="602">
        <f>SUM(Y159:AC159)</f>
        <v>0</v>
      </c>
      <c r="AE159" s="1342">
        <f>SUM(AD97:AD147)</f>
        <v>4984.3999999999987</v>
      </c>
      <c r="AF159" s="605"/>
      <c r="AG159" s="605"/>
      <c r="AH159" s="605"/>
      <c r="AI159" s="624"/>
    </row>
    <row r="160" spans="1:50" s="607" customFormat="1" ht="58.5" customHeight="1">
      <c r="A160" s="587"/>
      <c r="B160" s="588" t="s">
        <v>54</v>
      </c>
      <c r="C160" s="589"/>
      <c r="D160" s="2605" t="s">
        <v>690</v>
      </c>
      <c r="E160" s="2606"/>
      <c r="F160" s="2606"/>
      <c r="G160" s="2606"/>
      <c r="H160" s="746"/>
      <c r="I160" s="746"/>
      <c r="J160" s="654"/>
      <c r="K160" s="655" t="s">
        <v>12</v>
      </c>
      <c r="L160" s="655"/>
      <c r="M160" s="655"/>
      <c r="N160" s="685"/>
      <c r="O160" s="622"/>
      <c r="P160" s="623"/>
      <c r="Q160" s="623"/>
      <c r="R160" s="623"/>
      <c r="S160" s="1419"/>
      <c r="T160" s="599"/>
      <c r="U160" s="599"/>
      <c r="V160" s="599"/>
      <c r="W160" s="599"/>
      <c r="X160" s="599"/>
      <c r="Y160" s="647"/>
      <c r="Z160" s="600"/>
      <c r="AA160" s="600">
        <f>IFERROR($S160*V160,"")</f>
        <v>0</v>
      </c>
      <c r="AB160" s="600"/>
      <c r="AC160" s="601"/>
      <c r="AD160" s="602">
        <f>SUM(Y160:AC160)</f>
        <v>0</v>
      </c>
      <c r="AE160" s="602">
        <f>AD160-S160</f>
        <v>0</v>
      </c>
      <c r="AF160" s="605"/>
      <c r="AG160" s="605"/>
      <c r="AH160" s="605"/>
      <c r="AI160" s="624"/>
    </row>
    <row r="161" spans="1:36" s="607" customFormat="1" ht="23.25" customHeight="1">
      <c r="A161" s="587"/>
      <c r="B161" s="588"/>
      <c r="C161" s="710"/>
      <c r="D161" s="1788"/>
      <c r="E161" s="1806" t="s">
        <v>395</v>
      </c>
      <c r="F161" s="2595" t="s">
        <v>1106</v>
      </c>
      <c r="G161" s="2596"/>
      <c r="H161" s="752"/>
      <c r="I161" s="753" t="s">
        <v>12</v>
      </c>
      <c r="J161" s="654"/>
      <c r="K161" s="655"/>
      <c r="L161" s="655"/>
      <c r="M161" s="655"/>
      <c r="N161" s="754"/>
      <c r="O161" s="755"/>
      <c r="P161" s="756"/>
      <c r="Q161" s="756"/>
      <c r="R161" s="756"/>
      <c r="S161" s="1420"/>
      <c r="T161" s="713"/>
      <c r="U161" s="713"/>
      <c r="V161" s="713"/>
      <c r="W161" s="713"/>
      <c r="X161" s="713"/>
      <c r="Y161" s="1399"/>
      <c r="Z161" s="666"/>
      <c r="AA161" s="600"/>
      <c r="AB161" s="666"/>
      <c r="AC161" s="667"/>
      <c r="AD161" s="602"/>
      <c r="AE161" s="602"/>
      <c r="AF161" s="604"/>
      <c r="AG161" s="604"/>
      <c r="AH161" s="604"/>
      <c r="AI161" s="606"/>
    </row>
    <row r="162" spans="1:36" s="607" customFormat="1" ht="46.5" outlineLevel="1">
      <c r="A162" s="307"/>
      <c r="B162" s="669" t="s">
        <v>1463</v>
      </c>
      <c r="C162" s="669" t="s">
        <v>33</v>
      </c>
      <c r="D162" s="701"/>
      <c r="E162" s="307" t="s">
        <v>601</v>
      </c>
      <c r="F162" s="1727"/>
      <c r="G162" s="1727" t="s">
        <v>838</v>
      </c>
      <c r="H162" s="1454" t="s">
        <v>845</v>
      </c>
      <c r="I162" s="727">
        <v>5</v>
      </c>
      <c r="J162" s="619">
        <v>2</v>
      </c>
      <c r="K162" s="620"/>
      <c r="L162" s="620">
        <v>2</v>
      </c>
      <c r="M162" s="620"/>
      <c r="N162" s="784">
        <f>SUM(J162:M162)</f>
        <v>4</v>
      </c>
      <c r="O162" s="622">
        <f>($I162*J162)</f>
        <v>10</v>
      </c>
      <c r="P162" s="623">
        <f>($I162*K162)</f>
        <v>0</v>
      </c>
      <c r="Q162" s="623">
        <f>($I162*L162)</f>
        <v>10</v>
      </c>
      <c r="R162" s="623">
        <f>($I162*M162)</f>
        <v>0</v>
      </c>
      <c r="S162" s="1421">
        <f>SUM(O162:R162)</f>
        <v>20</v>
      </c>
      <c r="T162" s="763">
        <f>IFERROR(INDEX('Annex 2_Code'!I$8:I$33,MATCH('Annex 3_MAFF'!$AG162,'Annex 2_Code'!$G$8:$G$33,0)),"")</f>
        <v>0</v>
      </c>
      <c r="U162" s="763">
        <f>IFERROR(INDEX('Annex 2_Code'!J$8:J$33,MATCH('Annex 3_MAFF'!$AG162,'Annex 2_Code'!$G$8:$G$33,0)),"")</f>
        <v>0</v>
      </c>
      <c r="V162" s="763">
        <f>IFERROR(INDEX('Annex 2_Code'!K$8:K$33,MATCH('Annex 3_MAFF'!$AG162,'Annex 2_Code'!$G$8:$G$33,0)),"")</f>
        <v>1</v>
      </c>
      <c r="W162" s="763">
        <f>IFERROR(INDEX('Annex 2_Code'!L$8:L$33,MATCH('Annex 3_MAFF'!$AG162,'Annex 2_Code'!$G$8:$G$33,0)),"")</f>
        <v>0</v>
      </c>
      <c r="X162" s="763">
        <f>IFERROR(INDEX('Annex 2_Code'!M$8:M$33,MATCH('Annex 3_MAFF'!$AG162,'Annex 2_Code'!$G$8:$G$33,0)),"")</f>
        <v>0</v>
      </c>
      <c r="Y162" s="1745">
        <f t="shared" ref="Y162:AC166" si="199">IFERROR($S162*T162,"")</f>
        <v>0</v>
      </c>
      <c r="Z162" s="807">
        <f t="shared" si="199"/>
        <v>0</v>
      </c>
      <c r="AA162" s="807">
        <f t="shared" si="199"/>
        <v>20</v>
      </c>
      <c r="AB162" s="807">
        <f t="shared" si="199"/>
        <v>0</v>
      </c>
      <c r="AC162" s="808">
        <f t="shared" si="199"/>
        <v>0</v>
      </c>
      <c r="AD162" s="764">
        <f t="shared" ref="AD162:AD184" si="200">SUM(Y162:AC162)</f>
        <v>20</v>
      </c>
      <c r="AE162" s="764">
        <f t="shared" ref="AE162:AE168" si="201">AD162-S162</f>
        <v>0</v>
      </c>
      <c r="AF162" s="605" t="s">
        <v>298</v>
      </c>
      <c r="AG162" s="605" t="s">
        <v>217</v>
      </c>
      <c r="AH162" s="605" t="str">
        <f>IFERROR(INDEX('Annex 2_Code'!$J$114:$J$131,MATCH('Annex 3_MAFF'!AF162,'Annex 2_Code'!$G$114:$G$131,0)),"")</f>
        <v>MAFF-CARDI</v>
      </c>
      <c r="AI162" s="646" t="str">
        <f t="shared" ref="AI162:AI168" si="202">IF(ISNUMBER(FIND("-",AH162,1))=FALSE,LEFT(AH162,LEN(AH162)),LEFT(AH162,(FIND("-",AH162,1))-1))</f>
        <v>MAFF</v>
      </c>
      <c r="AJ162" s="637" t="s">
        <v>450</v>
      </c>
    </row>
    <row r="163" spans="1:36" s="607" customFormat="1" ht="69.75" outlineLevel="1">
      <c r="A163" s="307"/>
      <c r="B163" s="669" t="s">
        <v>1463</v>
      </c>
      <c r="C163" s="669" t="s">
        <v>33</v>
      </c>
      <c r="D163" s="701"/>
      <c r="E163" s="307" t="s">
        <v>602</v>
      </c>
      <c r="F163" s="1727"/>
      <c r="G163" s="1872" t="s">
        <v>1164</v>
      </c>
      <c r="H163" s="1924" t="s">
        <v>899</v>
      </c>
      <c r="I163" s="727">
        <v>5</v>
      </c>
      <c r="J163" s="619">
        <v>2</v>
      </c>
      <c r="K163" s="620"/>
      <c r="L163" s="620">
        <v>4</v>
      </c>
      <c r="M163" s="620"/>
      <c r="N163" s="784">
        <f t="shared" ref="N163:N182" si="203">SUM(J163:M163)</f>
        <v>6</v>
      </c>
      <c r="O163" s="622">
        <f>($I$163*J163)</f>
        <v>10</v>
      </c>
      <c r="P163" s="623">
        <f>($I$163*K163)</f>
        <v>0</v>
      </c>
      <c r="Q163" s="623">
        <f>($I$163*L163)</f>
        <v>20</v>
      </c>
      <c r="R163" s="623">
        <f>($I$163*M163)</f>
        <v>0</v>
      </c>
      <c r="S163" s="1421">
        <f>SUM(O163:R163)</f>
        <v>30</v>
      </c>
      <c r="T163" s="763">
        <f>IFERROR(INDEX('Annex 2_Code'!I$8:I$33,MATCH('Annex 3_MAFF'!$AG163,'Annex 2_Code'!$G$8:$G$33,0)),"")</f>
        <v>0</v>
      </c>
      <c r="U163" s="763">
        <f>IFERROR(INDEX('Annex 2_Code'!J$8:J$33,MATCH('Annex 3_MAFF'!$AG163,'Annex 2_Code'!$G$8:$G$33,0)),"")</f>
        <v>0</v>
      </c>
      <c r="V163" s="763">
        <f>IFERROR(INDEX('Annex 2_Code'!K$8:K$33,MATCH('Annex 3_MAFF'!$AG163,'Annex 2_Code'!$G$8:$G$33,0)),"")</f>
        <v>1</v>
      </c>
      <c r="W163" s="763">
        <f>IFERROR(INDEX('Annex 2_Code'!L$8:L$33,MATCH('Annex 3_MAFF'!$AG163,'Annex 2_Code'!$G$8:$G$33,0)),"")</f>
        <v>0</v>
      </c>
      <c r="X163" s="763">
        <f>IFERROR(INDEX('Annex 2_Code'!M$8:M$33,MATCH('Annex 3_MAFF'!$AG163,'Annex 2_Code'!$G$8:$G$33,0)),"")</f>
        <v>0</v>
      </c>
      <c r="Y163" s="1745">
        <f t="shared" si="199"/>
        <v>0</v>
      </c>
      <c r="Z163" s="807">
        <f t="shared" si="199"/>
        <v>0</v>
      </c>
      <c r="AA163" s="807">
        <f t="shared" si="199"/>
        <v>30</v>
      </c>
      <c r="AB163" s="807">
        <f t="shared" si="199"/>
        <v>0</v>
      </c>
      <c r="AC163" s="808">
        <f t="shared" si="199"/>
        <v>0</v>
      </c>
      <c r="AD163" s="764">
        <f t="shared" si="200"/>
        <v>30</v>
      </c>
      <c r="AE163" s="764">
        <f t="shared" si="201"/>
        <v>0</v>
      </c>
      <c r="AF163" s="605" t="s">
        <v>298</v>
      </c>
      <c r="AG163" s="605" t="s">
        <v>217</v>
      </c>
      <c r="AH163" s="605" t="str">
        <f>IFERROR(INDEX('Annex 2_Code'!$J$114:$J$131,MATCH('Annex 3_MAFF'!AF163,'Annex 2_Code'!$G$114:$G$131,0)),"")</f>
        <v>MAFF-CARDI</v>
      </c>
      <c r="AI163" s="646" t="str">
        <f t="shared" si="202"/>
        <v>MAFF</v>
      </c>
      <c r="AJ163" s="637" t="s">
        <v>450</v>
      </c>
    </row>
    <row r="164" spans="1:36" s="607" customFormat="1" ht="67.5" outlineLevel="1">
      <c r="A164" s="307"/>
      <c r="B164" s="669" t="s">
        <v>1463</v>
      </c>
      <c r="C164" s="669" t="s">
        <v>33</v>
      </c>
      <c r="D164" s="701"/>
      <c r="E164" s="307" t="s">
        <v>603</v>
      </c>
      <c r="F164" s="1727"/>
      <c r="G164" s="1452" t="s">
        <v>1248</v>
      </c>
      <c r="H164" s="1454" t="s">
        <v>899</v>
      </c>
      <c r="I164" s="727">
        <v>5</v>
      </c>
      <c r="J164" s="619"/>
      <c r="K164" s="620">
        <v>2</v>
      </c>
      <c r="L164" s="620"/>
      <c r="M164" s="620">
        <v>2</v>
      </c>
      <c r="N164" s="784">
        <f t="shared" si="203"/>
        <v>4</v>
      </c>
      <c r="O164" s="622">
        <f>($I$164*J164)</f>
        <v>0</v>
      </c>
      <c r="P164" s="623">
        <f>($I$164*K164)</f>
        <v>10</v>
      </c>
      <c r="Q164" s="623">
        <f>($I$164*L164)</f>
        <v>0</v>
      </c>
      <c r="R164" s="623">
        <f>($I$164*M164)</f>
        <v>10</v>
      </c>
      <c r="S164" s="1421">
        <f>SUM(O164:R164)</f>
        <v>20</v>
      </c>
      <c r="T164" s="763">
        <f>IFERROR(INDEX('Annex 2_Code'!I$8:I$33,MATCH('Annex 3_MAFF'!$AG164,'Annex 2_Code'!$G$8:$G$33,0)),"")</f>
        <v>0</v>
      </c>
      <c r="U164" s="763">
        <f>IFERROR(INDEX('Annex 2_Code'!J$8:J$33,MATCH('Annex 3_MAFF'!$AG164,'Annex 2_Code'!$G$8:$G$33,0)),"")</f>
        <v>0</v>
      </c>
      <c r="V164" s="763">
        <f>IFERROR(INDEX('Annex 2_Code'!K$8:K$33,MATCH('Annex 3_MAFF'!$AG164,'Annex 2_Code'!$G$8:$G$33,0)),"")</f>
        <v>1</v>
      </c>
      <c r="W164" s="763">
        <f>IFERROR(INDEX('Annex 2_Code'!L$8:L$33,MATCH('Annex 3_MAFF'!$AG164,'Annex 2_Code'!$G$8:$G$33,0)),"")</f>
        <v>0</v>
      </c>
      <c r="X164" s="763">
        <f>IFERROR(INDEX('Annex 2_Code'!M$8:M$33,MATCH('Annex 3_MAFF'!$AG164,'Annex 2_Code'!$G$8:$G$33,0)),"")</f>
        <v>0</v>
      </c>
      <c r="Y164" s="1745">
        <f t="shared" si="199"/>
        <v>0</v>
      </c>
      <c r="Z164" s="807">
        <f t="shared" si="199"/>
        <v>0</v>
      </c>
      <c r="AA164" s="807">
        <f t="shared" si="199"/>
        <v>20</v>
      </c>
      <c r="AB164" s="807">
        <f t="shared" si="199"/>
        <v>0</v>
      </c>
      <c r="AC164" s="808">
        <f t="shared" si="199"/>
        <v>0</v>
      </c>
      <c r="AD164" s="764">
        <f t="shared" si="200"/>
        <v>20</v>
      </c>
      <c r="AE164" s="764">
        <f t="shared" si="201"/>
        <v>0</v>
      </c>
      <c r="AF164" s="605" t="s">
        <v>298</v>
      </c>
      <c r="AG164" s="605" t="s">
        <v>217</v>
      </c>
      <c r="AH164" s="605" t="str">
        <f>IFERROR(INDEX('Annex 2_Code'!$J$114:$J$131,MATCH('Annex 3_MAFF'!AF164,'Annex 2_Code'!$G$114:$G$131,0)),"")</f>
        <v>MAFF-CARDI</v>
      </c>
      <c r="AI164" s="646" t="str">
        <f t="shared" si="202"/>
        <v>MAFF</v>
      </c>
      <c r="AJ164" s="637" t="s">
        <v>450</v>
      </c>
    </row>
    <row r="165" spans="1:36" s="607" customFormat="1" ht="23.25" outlineLevel="1">
      <c r="A165" s="307"/>
      <c r="B165" s="669" t="s">
        <v>1463</v>
      </c>
      <c r="C165" s="669" t="s">
        <v>33</v>
      </c>
      <c r="D165" s="701"/>
      <c r="E165" s="307" t="s">
        <v>604</v>
      </c>
      <c r="F165" s="1727"/>
      <c r="G165" s="1727" t="s">
        <v>841</v>
      </c>
      <c r="H165" s="1454" t="s">
        <v>899</v>
      </c>
      <c r="I165" s="727">
        <v>1</v>
      </c>
      <c r="J165" s="619"/>
      <c r="K165" s="620">
        <v>10</v>
      </c>
      <c r="L165" s="620">
        <v>10</v>
      </c>
      <c r="M165" s="620"/>
      <c r="N165" s="784">
        <f t="shared" si="203"/>
        <v>20</v>
      </c>
      <c r="O165" s="622">
        <f>($I$165*J165)</f>
        <v>0</v>
      </c>
      <c r="P165" s="623">
        <f>($I$165*K165)</f>
        <v>10</v>
      </c>
      <c r="Q165" s="623">
        <f>($I$165*L165)</f>
        <v>10</v>
      </c>
      <c r="R165" s="623">
        <f>($I$165*M165)</f>
        <v>0</v>
      </c>
      <c r="S165" s="1421">
        <f>SUM(O165:R165)</f>
        <v>20</v>
      </c>
      <c r="T165" s="763">
        <f>IFERROR(INDEX('Annex 2_Code'!I$8:I$33,MATCH('Annex 3_MAFF'!$AG165,'Annex 2_Code'!$G$8:$G$33,0)),"")</f>
        <v>0</v>
      </c>
      <c r="U165" s="763">
        <f>IFERROR(INDEX('Annex 2_Code'!J$8:J$33,MATCH('Annex 3_MAFF'!$AG165,'Annex 2_Code'!$G$8:$G$33,0)),"")</f>
        <v>0</v>
      </c>
      <c r="V165" s="763">
        <f>IFERROR(INDEX('Annex 2_Code'!K$8:K$33,MATCH('Annex 3_MAFF'!$AG165,'Annex 2_Code'!$G$8:$G$33,0)),"")</f>
        <v>1</v>
      </c>
      <c r="W165" s="763">
        <f>IFERROR(INDEX('Annex 2_Code'!L$8:L$33,MATCH('Annex 3_MAFF'!$AG165,'Annex 2_Code'!$G$8:$G$33,0)),"")</f>
        <v>0</v>
      </c>
      <c r="X165" s="763">
        <f>IFERROR(INDEX('Annex 2_Code'!M$8:M$33,MATCH('Annex 3_MAFF'!$AG165,'Annex 2_Code'!$G$8:$G$33,0)),"")</f>
        <v>0</v>
      </c>
      <c r="Y165" s="1745">
        <f t="shared" si="199"/>
        <v>0</v>
      </c>
      <c r="Z165" s="807">
        <f t="shared" si="199"/>
        <v>0</v>
      </c>
      <c r="AA165" s="807">
        <f t="shared" si="199"/>
        <v>20</v>
      </c>
      <c r="AB165" s="807">
        <f t="shared" si="199"/>
        <v>0</v>
      </c>
      <c r="AC165" s="808">
        <f t="shared" si="199"/>
        <v>0</v>
      </c>
      <c r="AD165" s="764">
        <f t="shared" si="200"/>
        <v>20</v>
      </c>
      <c r="AE165" s="764">
        <f t="shared" si="201"/>
        <v>0</v>
      </c>
      <c r="AF165" s="605" t="s">
        <v>298</v>
      </c>
      <c r="AG165" s="605" t="s">
        <v>217</v>
      </c>
      <c r="AH165" s="605" t="str">
        <f>IFERROR(INDEX('Annex 2_Code'!$J$114:$J$131,MATCH('Annex 3_MAFF'!AF165,'Annex 2_Code'!$G$114:$G$131,0)),"")</f>
        <v>MAFF-CARDI</v>
      </c>
      <c r="AI165" s="646" t="str">
        <f t="shared" si="202"/>
        <v>MAFF</v>
      </c>
      <c r="AJ165" s="637" t="s">
        <v>450</v>
      </c>
    </row>
    <row r="166" spans="1:36" s="607" customFormat="1" ht="23.25" outlineLevel="1">
      <c r="A166" s="307"/>
      <c r="B166" s="669" t="s">
        <v>1463</v>
      </c>
      <c r="C166" s="669" t="s">
        <v>33</v>
      </c>
      <c r="D166" s="701"/>
      <c r="E166" s="307" t="s">
        <v>840</v>
      </c>
      <c r="F166" s="1727"/>
      <c r="G166" s="1727" t="s">
        <v>1244</v>
      </c>
      <c r="H166" s="1454" t="s">
        <v>899</v>
      </c>
      <c r="I166" s="727">
        <v>2</v>
      </c>
      <c r="J166" s="620"/>
      <c r="K166" s="620">
        <v>10</v>
      </c>
      <c r="L166" s="620">
        <v>5</v>
      </c>
      <c r="M166" s="620"/>
      <c r="N166" s="784">
        <f t="shared" si="203"/>
        <v>15</v>
      </c>
      <c r="O166" s="622">
        <f>($I$166*J166)</f>
        <v>0</v>
      </c>
      <c r="P166" s="623">
        <f>($I$166*K166)</f>
        <v>20</v>
      </c>
      <c r="Q166" s="623">
        <f>($I$166*L166)</f>
        <v>10</v>
      </c>
      <c r="R166" s="623">
        <f>($I$166*M166)</f>
        <v>0</v>
      </c>
      <c r="S166" s="1421">
        <f>SUM(O166:R166)</f>
        <v>30</v>
      </c>
      <c r="T166" s="763">
        <f>IFERROR(INDEX('Annex 2_Code'!I$8:I$33,MATCH('Annex 3_MAFF'!$AG166,'Annex 2_Code'!$G$8:$G$33,0)),"")</f>
        <v>0</v>
      </c>
      <c r="U166" s="763">
        <f>IFERROR(INDEX('Annex 2_Code'!J$8:J$33,MATCH('Annex 3_MAFF'!$AG166,'Annex 2_Code'!$G$8:$G$33,0)),"")</f>
        <v>0</v>
      </c>
      <c r="V166" s="763">
        <f>IFERROR(INDEX('Annex 2_Code'!K$8:K$33,MATCH('Annex 3_MAFF'!$AG166,'Annex 2_Code'!$G$8:$G$33,0)),"")</f>
        <v>1</v>
      </c>
      <c r="W166" s="763">
        <f>IFERROR(INDEX('Annex 2_Code'!L$8:L$33,MATCH('Annex 3_MAFF'!$AG166,'Annex 2_Code'!$G$8:$G$33,0)),"")</f>
        <v>0</v>
      </c>
      <c r="X166" s="763">
        <f>IFERROR(INDEX('Annex 2_Code'!M$8:M$33,MATCH('Annex 3_MAFF'!$AG166,'Annex 2_Code'!$G$8:$G$33,0)),"")</f>
        <v>0</v>
      </c>
      <c r="Y166" s="1745">
        <f t="shared" si="199"/>
        <v>0</v>
      </c>
      <c r="Z166" s="807">
        <f t="shared" si="199"/>
        <v>0</v>
      </c>
      <c r="AA166" s="807">
        <f t="shared" si="199"/>
        <v>30</v>
      </c>
      <c r="AB166" s="807">
        <f t="shared" si="199"/>
        <v>0</v>
      </c>
      <c r="AC166" s="808">
        <f t="shared" si="199"/>
        <v>0</v>
      </c>
      <c r="AD166" s="764">
        <f t="shared" si="200"/>
        <v>30</v>
      </c>
      <c r="AE166" s="764">
        <f t="shared" si="201"/>
        <v>0</v>
      </c>
      <c r="AF166" s="605" t="s">
        <v>298</v>
      </c>
      <c r="AG166" s="605" t="s">
        <v>217</v>
      </c>
      <c r="AH166" s="605" t="str">
        <f>IFERROR(INDEX('Annex 2_Code'!$J$114:$J$131,MATCH('Annex 3_MAFF'!AF166,'Annex 2_Code'!$G$114:$G$131,0)),"")</f>
        <v>MAFF-CARDI</v>
      </c>
      <c r="AI166" s="646" t="str">
        <f t="shared" si="202"/>
        <v>MAFF</v>
      </c>
      <c r="AJ166" s="637" t="s">
        <v>450</v>
      </c>
    </row>
    <row r="167" spans="1:36" s="607" customFormat="1" ht="38.450000000000003" customHeight="1" outlineLevel="1">
      <c r="A167" s="307"/>
      <c r="B167" s="669" t="s">
        <v>1463</v>
      </c>
      <c r="C167" s="669" t="s">
        <v>33</v>
      </c>
      <c r="D167" s="701"/>
      <c r="E167" s="307" t="s">
        <v>605</v>
      </c>
      <c r="F167" s="1727"/>
      <c r="G167" s="1727" t="s">
        <v>1165</v>
      </c>
      <c r="H167" s="1454" t="s">
        <v>842</v>
      </c>
      <c r="I167" s="727">
        <v>1</v>
      </c>
      <c r="J167" s="619"/>
      <c r="K167" s="620">
        <v>10</v>
      </c>
      <c r="L167" s="620">
        <v>10</v>
      </c>
      <c r="M167" s="620"/>
      <c r="N167" s="784">
        <f t="shared" si="203"/>
        <v>20</v>
      </c>
      <c r="O167" s="622">
        <f t="shared" ref="O167:R168" si="204">($I167*J167)</f>
        <v>0</v>
      </c>
      <c r="P167" s="623">
        <f t="shared" si="204"/>
        <v>10</v>
      </c>
      <c r="Q167" s="623">
        <f t="shared" si="204"/>
        <v>10</v>
      </c>
      <c r="R167" s="623">
        <f t="shared" si="204"/>
        <v>0</v>
      </c>
      <c r="S167" s="1421">
        <f t="shared" ref="S167:S173" si="205">SUM(O167:R167)</f>
        <v>20</v>
      </c>
      <c r="T167" s="763">
        <f>IFERROR(INDEX('Annex 2_Code'!I$8:I$33,MATCH('Annex 3_MAFF'!$AG167,'Annex 2_Code'!$G$8:$G$33,0)),"")</f>
        <v>0</v>
      </c>
      <c r="U167" s="763">
        <f>IFERROR(INDEX('Annex 2_Code'!J$8:J$33,MATCH('Annex 3_MAFF'!$AG167,'Annex 2_Code'!$G$8:$G$33,0)),"")</f>
        <v>0</v>
      </c>
      <c r="V167" s="763">
        <f>IFERROR(INDEX('Annex 2_Code'!K$8:K$33,MATCH('Annex 3_MAFF'!$AG167,'Annex 2_Code'!$G$8:$G$33,0)),"")</f>
        <v>1</v>
      </c>
      <c r="W167" s="763">
        <f>IFERROR(INDEX('Annex 2_Code'!L$8:L$33,MATCH('Annex 3_MAFF'!$AG167,'Annex 2_Code'!$G$8:$G$33,0)),"")</f>
        <v>0</v>
      </c>
      <c r="X167" s="763">
        <f>IFERROR(INDEX('Annex 2_Code'!M$8:M$33,MATCH('Annex 3_MAFF'!$AG167,'Annex 2_Code'!$G$8:$G$33,0)),"")</f>
        <v>0</v>
      </c>
      <c r="Y167" s="1745">
        <f t="shared" ref="Y167:AC172" si="206">IFERROR($S167*T167,"")</f>
        <v>0</v>
      </c>
      <c r="Z167" s="807">
        <f t="shared" si="206"/>
        <v>0</v>
      </c>
      <c r="AA167" s="807">
        <f t="shared" si="206"/>
        <v>20</v>
      </c>
      <c r="AB167" s="807">
        <f t="shared" si="206"/>
        <v>0</v>
      </c>
      <c r="AC167" s="808">
        <f t="shared" si="206"/>
        <v>0</v>
      </c>
      <c r="AD167" s="764">
        <f t="shared" si="200"/>
        <v>20</v>
      </c>
      <c r="AE167" s="764">
        <f t="shared" si="201"/>
        <v>0</v>
      </c>
      <c r="AF167" s="605" t="s">
        <v>298</v>
      </c>
      <c r="AG167" s="605" t="s">
        <v>217</v>
      </c>
      <c r="AH167" s="605" t="str">
        <f>IFERROR(INDEX('Annex 2_Code'!$J$114:$J$131,MATCH('Annex 3_MAFF'!AF167,'Annex 2_Code'!$G$114:$G$131,0)),"")</f>
        <v>MAFF-CARDI</v>
      </c>
      <c r="AI167" s="646" t="str">
        <f t="shared" si="202"/>
        <v>MAFF</v>
      </c>
      <c r="AJ167" s="683" t="s">
        <v>450</v>
      </c>
    </row>
    <row r="168" spans="1:36" s="607" customFormat="1" ht="42" customHeight="1" outlineLevel="1">
      <c r="A168" s="307"/>
      <c r="B168" s="669" t="s">
        <v>1463</v>
      </c>
      <c r="C168" s="669" t="s">
        <v>33</v>
      </c>
      <c r="D168" s="701"/>
      <c r="E168" s="307" t="s">
        <v>684</v>
      </c>
      <c r="F168" s="1727"/>
      <c r="G168" s="1727" t="s">
        <v>1166</v>
      </c>
      <c r="H168" s="1454" t="s">
        <v>839</v>
      </c>
      <c r="I168" s="727">
        <v>4</v>
      </c>
      <c r="J168" s="619">
        <v>1</v>
      </c>
      <c r="K168" s="620"/>
      <c r="L168" s="620">
        <v>2</v>
      </c>
      <c r="M168" s="620"/>
      <c r="N168" s="784">
        <f t="shared" si="203"/>
        <v>3</v>
      </c>
      <c r="O168" s="622">
        <f t="shared" si="204"/>
        <v>4</v>
      </c>
      <c r="P168" s="623">
        <f t="shared" si="204"/>
        <v>0</v>
      </c>
      <c r="Q168" s="623">
        <f t="shared" si="204"/>
        <v>8</v>
      </c>
      <c r="R168" s="623">
        <f t="shared" si="204"/>
        <v>0</v>
      </c>
      <c r="S168" s="1421">
        <f t="shared" si="205"/>
        <v>12</v>
      </c>
      <c r="T168" s="763">
        <f>IFERROR(INDEX('Annex 2_Code'!I$8:I$33,MATCH('Annex 3_MAFF'!$AG168,'Annex 2_Code'!$G$8:$G$33,0)),"")</f>
        <v>0</v>
      </c>
      <c r="U168" s="763">
        <f>IFERROR(INDEX('Annex 2_Code'!J$8:J$33,MATCH('Annex 3_MAFF'!$AG168,'Annex 2_Code'!$G$8:$G$33,0)),"")</f>
        <v>0</v>
      </c>
      <c r="V168" s="763">
        <f>IFERROR(INDEX('Annex 2_Code'!K$8:K$33,MATCH('Annex 3_MAFF'!$AG168,'Annex 2_Code'!$G$8:$G$33,0)),"")</f>
        <v>1</v>
      </c>
      <c r="W168" s="763">
        <f>IFERROR(INDEX('Annex 2_Code'!L$8:L$33,MATCH('Annex 3_MAFF'!$AG168,'Annex 2_Code'!$G$8:$G$33,0)),"")</f>
        <v>0</v>
      </c>
      <c r="X168" s="763">
        <f>IFERROR(INDEX('Annex 2_Code'!M$8:M$33,MATCH('Annex 3_MAFF'!$AG168,'Annex 2_Code'!$G$8:$G$33,0)),"")</f>
        <v>0</v>
      </c>
      <c r="Y168" s="1745">
        <f t="shared" si="206"/>
        <v>0</v>
      </c>
      <c r="Z168" s="807">
        <f t="shared" si="206"/>
        <v>0</v>
      </c>
      <c r="AA168" s="807">
        <f t="shared" si="206"/>
        <v>12</v>
      </c>
      <c r="AB168" s="807">
        <f t="shared" si="206"/>
        <v>0</v>
      </c>
      <c r="AC168" s="808">
        <f t="shared" si="206"/>
        <v>0</v>
      </c>
      <c r="AD168" s="764">
        <f t="shared" si="200"/>
        <v>12</v>
      </c>
      <c r="AE168" s="764">
        <f t="shared" si="201"/>
        <v>0</v>
      </c>
      <c r="AF168" s="605" t="s">
        <v>298</v>
      </c>
      <c r="AG168" s="605" t="s">
        <v>217</v>
      </c>
      <c r="AH168" s="605" t="str">
        <f>IFERROR(INDEX('Annex 2_Code'!$J$114:$J$131,MATCH('Annex 3_MAFF'!AF168,'Annex 2_Code'!$G$114:$G$131,0)),"")</f>
        <v>MAFF-CARDI</v>
      </c>
      <c r="AI168" s="646" t="str">
        <f t="shared" si="202"/>
        <v>MAFF</v>
      </c>
      <c r="AJ168" s="683" t="s">
        <v>450</v>
      </c>
    </row>
    <row r="169" spans="1:36" s="607" customFormat="1" ht="46.5" outlineLevel="1">
      <c r="A169" s="307"/>
      <c r="B169" s="669" t="s">
        <v>1463</v>
      </c>
      <c r="C169" s="669" t="s">
        <v>33</v>
      </c>
      <c r="D169" s="701"/>
      <c r="E169" s="307" t="s">
        <v>685</v>
      </c>
      <c r="F169" s="1728"/>
      <c r="G169" s="1728" t="s">
        <v>1174</v>
      </c>
      <c r="H169" s="1454" t="s">
        <v>839</v>
      </c>
      <c r="I169" s="727">
        <v>5</v>
      </c>
      <c r="J169" s="619">
        <v>1</v>
      </c>
      <c r="K169" s="620">
        <v>1</v>
      </c>
      <c r="L169" s="620">
        <v>1</v>
      </c>
      <c r="M169" s="620"/>
      <c r="N169" s="784">
        <f t="shared" si="203"/>
        <v>3</v>
      </c>
      <c r="O169" s="622">
        <f>($J$169*I169)</f>
        <v>5</v>
      </c>
      <c r="P169" s="623">
        <f>($I$169*K169)</f>
        <v>5</v>
      </c>
      <c r="Q169" s="623">
        <f>($I$169*L169)</f>
        <v>5</v>
      </c>
      <c r="R169" s="623">
        <f>($I$169*M169)</f>
        <v>0</v>
      </c>
      <c r="S169" s="1421">
        <f t="shared" si="205"/>
        <v>15</v>
      </c>
      <c r="T169" s="763">
        <f>IFERROR(INDEX('Annex 2_Code'!I$8:I$33,MATCH('Annex 3_MAFF'!$AG169,'Annex 2_Code'!$G$8:$G$33,0)),"")</f>
        <v>0</v>
      </c>
      <c r="U169" s="763">
        <f>IFERROR(INDEX('Annex 2_Code'!J$8:J$33,MATCH('Annex 3_MAFF'!$AG169,'Annex 2_Code'!$G$8:$G$33,0)),"")</f>
        <v>0</v>
      </c>
      <c r="V169" s="763">
        <f>IFERROR(INDEX('Annex 2_Code'!K$8:K$33,MATCH('Annex 3_MAFF'!$AG169,'Annex 2_Code'!$G$8:$G$33,0)),"")</f>
        <v>1</v>
      </c>
      <c r="W169" s="763">
        <f>IFERROR(INDEX('Annex 2_Code'!L$8:L$33,MATCH('Annex 3_MAFF'!$AG169,'Annex 2_Code'!$G$8:$G$33,0)),"")</f>
        <v>0</v>
      </c>
      <c r="X169" s="763">
        <f>IFERROR(INDEX('Annex 2_Code'!M$8:M$33,MATCH('Annex 3_MAFF'!$AG169,'Annex 2_Code'!$G$8:$G$33,0)),"")</f>
        <v>0</v>
      </c>
      <c r="Y169" s="1745">
        <f t="shared" si="206"/>
        <v>0</v>
      </c>
      <c r="Z169" s="807">
        <f t="shared" si="206"/>
        <v>0</v>
      </c>
      <c r="AA169" s="807">
        <f t="shared" si="206"/>
        <v>15</v>
      </c>
      <c r="AB169" s="807">
        <f t="shared" si="206"/>
        <v>0</v>
      </c>
      <c r="AC169" s="808">
        <f t="shared" si="206"/>
        <v>0</v>
      </c>
      <c r="AD169" s="764">
        <f t="shared" si="200"/>
        <v>15</v>
      </c>
      <c r="AE169" s="764">
        <f t="shared" ref="AE169:AE172" si="207">AD169-S169</f>
        <v>0</v>
      </c>
      <c r="AF169" s="605" t="s">
        <v>298</v>
      </c>
      <c r="AG169" s="605" t="s">
        <v>217</v>
      </c>
      <c r="AH169" s="605" t="str">
        <f>IFERROR(INDEX('Annex 2_Code'!$J$114:$J$131,MATCH('Annex 3_MAFF'!AF169,'Annex 2_Code'!$G$114:$G$131,0)),"")</f>
        <v>MAFF-CARDI</v>
      </c>
      <c r="AI169" s="646" t="str">
        <f t="shared" ref="AI169:AI172" si="208">IF(ISNUMBER(FIND("-",AH169,1))=FALSE,LEFT(AH169,LEN(AH169)),LEFT(AH169,(FIND("-",AH169,1))-1))</f>
        <v>MAFF</v>
      </c>
      <c r="AJ169" s="637" t="s">
        <v>450</v>
      </c>
    </row>
    <row r="170" spans="1:36" s="1364" customFormat="1" ht="46.5" outlineLevel="1">
      <c r="A170" s="901"/>
      <c r="B170" s="669" t="s">
        <v>1463</v>
      </c>
      <c r="C170" s="669" t="s">
        <v>33</v>
      </c>
      <c r="D170" s="701"/>
      <c r="E170" s="307" t="s">
        <v>742</v>
      </c>
      <c r="F170" s="1728"/>
      <c r="G170" s="1728" t="s">
        <v>1173</v>
      </c>
      <c r="H170" s="1454" t="s">
        <v>839</v>
      </c>
      <c r="I170" s="727">
        <v>3</v>
      </c>
      <c r="J170" s="619">
        <v>1</v>
      </c>
      <c r="K170" s="620"/>
      <c r="L170" s="620">
        <v>1</v>
      </c>
      <c r="M170" s="620"/>
      <c r="N170" s="784">
        <f>SUM(J170:M170)</f>
        <v>2</v>
      </c>
      <c r="O170" s="622">
        <f>($J$170*I170)</f>
        <v>3</v>
      </c>
      <c r="P170" s="623">
        <f>($I$170*K170)</f>
        <v>0</v>
      </c>
      <c r="Q170" s="623">
        <f>($I$170*L170)</f>
        <v>3</v>
      </c>
      <c r="R170" s="623">
        <f>($I$170*M170)</f>
        <v>0</v>
      </c>
      <c r="S170" s="1421">
        <f t="shared" si="205"/>
        <v>6</v>
      </c>
      <c r="T170" s="763">
        <f>IFERROR(INDEX('Annex 2_Code'!I$8:I$33,MATCH('Annex 3_MAFF'!$AG170,'Annex 2_Code'!$G$8:$G$33,0)),"")</f>
        <v>0</v>
      </c>
      <c r="U170" s="763">
        <f>IFERROR(INDEX('Annex 2_Code'!J$8:J$33,MATCH('Annex 3_MAFF'!$AG170,'Annex 2_Code'!$G$8:$G$33,0)),"")</f>
        <v>0</v>
      </c>
      <c r="V170" s="763">
        <f>IFERROR(INDEX('Annex 2_Code'!K$8:K$33,MATCH('Annex 3_MAFF'!$AG170,'Annex 2_Code'!$G$8:$G$33,0)),"")</f>
        <v>1</v>
      </c>
      <c r="W170" s="763">
        <f>IFERROR(INDEX('Annex 2_Code'!L$8:L$33,MATCH('Annex 3_MAFF'!$AG170,'Annex 2_Code'!$G$8:$G$33,0)),"")</f>
        <v>0</v>
      </c>
      <c r="X170" s="763">
        <f>IFERROR(INDEX('Annex 2_Code'!M$8:M$33,MATCH('Annex 3_MAFF'!$AG170,'Annex 2_Code'!$G$8:$G$33,0)),"")</f>
        <v>0</v>
      </c>
      <c r="Y170" s="1745">
        <f>IFERROR($S170*T170,"")</f>
        <v>0</v>
      </c>
      <c r="Z170" s="807">
        <f>IFERROR($S170*U170,"")</f>
        <v>0</v>
      </c>
      <c r="AA170" s="807">
        <f>IFERROR($S170*V170,"")</f>
        <v>6</v>
      </c>
      <c r="AB170" s="807">
        <f>IFERROR($S170*W170,"")</f>
        <v>0</v>
      </c>
      <c r="AC170" s="808">
        <f>IFERROR($S170*X170,"")</f>
        <v>0</v>
      </c>
      <c r="AD170" s="764">
        <f t="shared" si="200"/>
        <v>6</v>
      </c>
      <c r="AE170" s="764">
        <f>AD170-S170</f>
        <v>0</v>
      </c>
      <c r="AF170" s="605" t="s">
        <v>298</v>
      </c>
      <c r="AG170" s="605" t="s">
        <v>217</v>
      </c>
      <c r="AH170" s="605" t="str">
        <f>IFERROR(INDEX('Annex 2_Code'!$J$114:$J$131,MATCH('Annex 3_MAFF'!AF170,'Annex 2_Code'!$G$114:$G$131,0)),"")</f>
        <v>MAFF-CARDI</v>
      </c>
      <c r="AI170" s="646" t="str">
        <f>IF(ISNUMBER(FIND("-",AH170,1))=FALSE,LEFT(AH170,LEN(AH170)),LEFT(AH170,(FIND("-",AH170,1))-1))</f>
        <v>MAFF</v>
      </c>
      <c r="AJ170" s="637"/>
    </row>
    <row r="171" spans="1:36" s="607" customFormat="1" ht="46.5" outlineLevel="1">
      <c r="A171" s="307"/>
      <c r="B171" s="669" t="s">
        <v>1463</v>
      </c>
      <c r="C171" s="669" t="s">
        <v>33</v>
      </c>
      <c r="D171" s="701"/>
      <c r="E171" s="307" t="s">
        <v>743</v>
      </c>
      <c r="F171" s="1729"/>
      <c r="G171" s="1728" t="s">
        <v>1242</v>
      </c>
      <c r="H171" s="1454" t="s">
        <v>839</v>
      </c>
      <c r="I171" s="727">
        <v>5</v>
      </c>
      <c r="J171" s="619">
        <v>3</v>
      </c>
      <c r="K171" s="620">
        <v>1</v>
      </c>
      <c r="L171" s="620">
        <v>1</v>
      </c>
      <c r="M171" s="620"/>
      <c r="N171" s="784">
        <f t="shared" si="203"/>
        <v>5</v>
      </c>
      <c r="O171" s="622">
        <f>($I$171*J171)</f>
        <v>15</v>
      </c>
      <c r="P171" s="623">
        <f>($I$171*K171)</f>
        <v>5</v>
      </c>
      <c r="Q171" s="623">
        <f>($I$171*L171)</f>
        <v>5</v>
      </c>
      <c r="R171" s="623">
        <f>($I$171*M171)</f>
        <v>0</v>
      </c>
      <c r="S171" s="1421">
        <f t="shared" si="205"/>
        <v>25</v>
      </c>
      <c r="T171" s="763">
        <f>IFERROR(INDEX('Annex 2_Code'!I$8:I$33,MATCH('Annex 3_MAFF'!$AG171,'Annex 2_Code'!$G$8:$G$33,0)),"")</f>
        <v>0</v>
      </c>
      <c r="U171" s="763">
        <f>IFERROR(INDEX('Annex 2_Code'!J$8:J$33,MATCH('Annex 3_MAFF'!$AG171,'Annex 2_Code'!$G$8:$G$33,0)),"")</f>
        <v>0</v>
      </c>
      <c r="V171" s="763">
        <f>IFERROR(INDEX('Annex 2_Code'!K$8:K$33,MATCH('Annex 3_MAFF'!$AG171,'Annex 2_Code'!$G$8:$G$33,0)),"")</f>
        <v>1</v>
      </c>
      <c r="W171" s="763">
        <f>IFERROR(INDEX('Annex 2_Code'!L$8:L$33,MATCH('Annex 3_MAFF'!$AG171,'Annex 2_Code'!$G$8:$G$33,0)),"")</f>
        <v>0</v>
      </c>
      <c r="X171" s="763">
        <f>IFERROR(INDEX('Annex 2_Code'!M$8:M$33,MATCH('Annex 3_MAFF'!$AG171,'Annex 2_Code'!$G$8:$G$33,0)),"")</f>
        <v>0</v>
      </c>
      <c r="Y171" s="1745">
        <f t="shared" si="206"/>
        <v>0</v>
      </c>
      <c r="Z171" s="807">
        <f t="shared" si="206"/>
        <v>0</v>
      </c>
      <c r="AA171" s="807">
        <f t="shared" si="206"/>
        <v>25</v>
      </c>
      <c r="AB171" s="807">
        <f t="shared" si="206"/>
        <v>0</v>
      </c>
      <c r="AC171" s="808">
        <f t="shared" si="206"/>
        <v>0</v>
      </c>
      <c r="AD171" s="764">
        <f t="shared" si="200"/>
        <v>25</v>
      </c>
      <c r="AE171" s="764">
        <f t="shared" si="207"/>
        <v>0</v>
      </c>
      <c r="AF171" s="605" t="s">
        <v>298</v>
      </c>
      <c r="AG171" s="605" t="s">
        <v>217</v>
      </c>
      <c r="AH171" s="605" t="str">
        <f>IFERROR(INDEX('Annex 2_Code'!$J$114:$J$131,MATCH('Annex 3_MAFF'!AF171,'Annex 2_Code'!$G$114:$G$131,0)),"")</f>
        <v>MAFF-CARDI</v>
      </c>
      <c r="AI171" s="646" t="str">
        <f t="shared" si="208"/>
        <v>MAFF</v>
      </c>
      <c r="AJ171" s="637" t="s">
        <v>450</v>
      </c>
    </row>
    <row r="172" spans="1:36" s="607" customFormat="1" ht="23.25" outlineLevel="1">
      <c r="A172" s="307"/>
      <c r="B172" s="669" t="s">
        <v>1463</v>
      </c>
      <c r="C172" s="669" t="s">
        <v>33</v>
      </c>
      <c r="D172" s="701"/>
      <c r="E172" s="307" t="s">
        <v>755</v>
      </c>
      <c r="F172" s="1729"/>
      <c r="G172" s="307" t="s">
        <v>1245</v>
      </c>
      <c r="H172" s="1454" t="s">
        <v>839</v>
      </c>
      <c r="I172" s="727">
        <v>4</v>
      </c>
      <c r="J172" s="619">
        <v>1</v>
      </c>
      <c r="K172" s="620"/>
      <c r="L172" s="620">
        <v>1</v>
      </c>
      <c r="M172" s="620"/>
      <c r="N172" s="784">
        <f t="shared" si="203"/>
        <v>2</v>
      </c>
      <c r="O172" s="622">
        <f>($I$172*J172)</f>
        <v>4</v>
      </c>
      <c r="P172" s="623">
        <f>($I$172*K172)</f>
        <v>0</v>
      </c>
      <c r="Q172" s="623">
        <f>($I$172*L172)</f>
        <v>4</v>
      </c>
      <c r="R172" s="623">
        <f>($I$172*M172)</f>
        <v>0</v>
      </c>
      <c r="S172" s="1421">
        <f t="shared" si="205"/>
        <v>8</v>
      </c>
      <c r="T172" s="763">
        <f>IFERROR(INDEX('Annex 2_Code'!I$8:I$33,MATCH('Annex 3_MAFF'!$AG172,'Annex 2_Code'!$G$8:$G$33,0)),"")</f>
        <v>0</v>
      </c>
      <c r="U172" s="763">
        <f>IFERROR(INDEX('Annex 2_Code'!J$8:J$33,MATCH('Annex 3_MAFF'!$AG172,'Annex 2_Code'!$G$8:$G$33,0)),"")</f>
        <v>0</v>
      </c>
      <c r="V172" s="763">
        <f>IFERROR(INDEX('Annex 2_Code'!K$8:K$33,MATCH('Annex 3_MAFF'!$AG172,'Annex 2_Code'!$G$8:$G$33,0)),"")</f>
        <v>1</v>
      </c>
      <c r="W172" s="763">
        <f>IFERROR(INDEX('Annex 2_Code'!L$8:L$33,MATCH('Annex 3_MAFF'!$AG172,'Annex 2_Code'!$G$8:$G$33,0)),"")</f>
        <v>0</v>
      </c>
      <c r="X172" s="763">
        <f>IFERROR(INDEX('Annex 2_Code'!M$8:M$33,MATCH('Annex 3_MAFF'!$AG172,'Annex 2_Code'!$G$8:$G$33,0)),"")</f>
        <v>0</v>
      </c>
      <c r="Y172" s="1745">
        <f t="shared" si="206"/>
        <v>0</v>
      </c>
      <c r="Z172" s="807">
        <f t="shared" si="206"/>
        <v>0</v>
      </c>
      <c r="AA172" s="807">
        <f t="shared" si="206"/>
        <v>8</v>
      </c>
      <c r="AB172" s="807">
        <f t="shared" si="206"/>
        <v>0</v>
      </c>
      <c r="AC172" s="808">
        <f t="shared" si="206"/>
        <v>0</v>
      </c>
      <c r="AD172" s="764">
        <f t="shared" si="200"/>
        <v>8</v>
      </c>
      <c r="AE172" s="764">
        <f t="shared" si="207"/>
        <v>0</v>
      </c>
      <c r="AF172" s="605" t="s">
        <v>298</v>
      </c>
      <c r="AG172" s="605" t="s">
        <v>217</v>
      </c>
      <c r="AH172" s="605" t="str">
        <f>IFERROR(INDEX('Annex 2_Code'!$J$114:$J$131,MATCH('Annex 3_MAFF'!AF172,'Annex 2_Code'!$G$114:$G$131,0)),"")</f>
        <v>MAFF-CARDI</v>
      </c>
      <c r="AI172" s="646" t="str">
        <f t="shared" si="208"/>
        <v>MAFF</v>
      </c>
      <c r="AJ172" s="637" t="s">
        <v>450</v>
      </c>
    </row>
    <row r="173" spans="1:36" s="1939" customFormat="1" ht="43.5" customHeight="1" outlineLevel="1">
      <c r="A173" s="1930"/>
      <c r="B173" s="669" t="s">
        <v>1463</v>
      </c>
      <c r="C173" s="669" t="s">
        <v>33</v>
      </c>
      <c r="D173" s="701"/>
      <c r="E173" s="307" t="s">
        <v>900</v>
      </c>
      <c r="F173" s="1729"/>
      <c r="G173" s="1872" t="s">
        <v>1253</v>
      </c>
      <c r="H173" s="1924" t="s">
        <v>1246</v>
      </c>
      <c r="I173" s="727">
        <v>2.5</v>
      </c>
      <c r="J173" s="619">
        <v>1</v>
      </c>
      <c r="K173" s="620"/>
      <c r="L173" s="620">
        <v>1</v>
      </c>
      <c r="M173" s="620"/>
      <c r="N173" s="784">
        <f t="shared" si="203"/>
        <v>2</v>
      </c>
      <c r="O173" s="622">
        <f>($I$173*J173)</f>
        <v>2.5</v>
      </c>
      <c r="P173" s="623">
        <f>($I$173*K173)</f>
        <v>0</v>
      </c>
      <c r="Q173" s="623">
        <f>($I$173*L173)</f>
        <v>2.5</v>
      </c>
      <c r="R173" s="623">
        <f>($I$173*M173)</f>
        <v>0</v>
      </c>
      <c r="S173" s="1421">
        <f t="shared" si="205"/>
        <v>5</v>
      </c>
      <c r="T173" s="763">
        <f>IFERROR(INDEX('Annex 2_Code'!I$8:I$33,MATCH('Annex 3_MAFF'!$AG173,'Annex 2_Code'!$G$8:$G$33,0)),"")</f>
        <v>0</v>
      </c>
      <c r="U173" s="763">
        <f>IFERROR(INDEX('Annex 2_Code'!J$8:J$33,MATCH('Annex 3_MAFF'!$AG173,'Annex 2_Code'!$G$8:$G$33,0)),"")</f>
        <v>0</v>
      </c>
      <c r="V173" s="763">
        <f>IFERROR(INDEX('Annex 2_Code'!K$8:K$33,MATCH('Annex 3_MAFF'!$AG173,'Annex 2_Code'!$G$8:$G$33,0)),"")</f>
        <v>1</v>
      </c>
      <c r="W173" s="763">
        <f>IFERROR(INDEX('Annex 2_Code'!L$8:L$33,MATCH('Annex 3_MAFF'!$AG173,'Annex 2_Code'!$G$8:$G$33,0)),"")</f>
        <v>0</v>
      </c>
      <c r="X173" s="763">
        <f>IFERROR(INDEX('Annex 2_Code'!M$8:M$33,MATCH('Annex 3_MAFF'!$AG173,'Annex 2_Code'!$G$8:$G$33,0)),"")</f>
        <v>0</v>
      </c>
      <c r="Y173" s="1745">
        <f t="shared" ref="Y173:Y182" si="209">IFERROR($S173*T173,"")</f>
        <v>0</v>
      </c>
      <c r="Z173" s="807">
        <f t="shared" ref="Z173:Z182" si="210">IFERROR($S173*U173,"")</f>
        <v>0</v>
      </c>
      <c r="AA173" s="807">
        <f t="shared" ref="AA173:AA182" si="211">IFERROR($S173*V173,"")</f>
        <v>5</v>
      </c>
      <c r="AB173" s="807">
        <f t="shared" ref="AB173:AB182" si="212">IFERROR($S173*W173,"")</f>
        <v>0</v>
      </c>
      <c r="AC173" s="808">
        <f t="shared" ref="AC173:AC182" si="213">IFERROR($S173*X173,"")</f>
        <v>0</v>
      </c>
      <c r="AD173" s="764">
        <f t="shared" ref="AD173:AD182" si="214">SUM(Y173:AC173)</f>
        <v>5</v>
      </c>
      <c r="AE173" s="764">
        <f t="shared" ref="AE173:AE182" si="215">AD173-S173</f>
        <v>0</v>
      </c>
      <c r="AF173" s="605" t="s">
        <v>298</v>
      </c>
      <c r="AG173" s="605" t="s">
        <v>217</v>
      </c>
      <c r="AH173" s="605" t="str">
        <f>IFERROR(INDEX('Annex 2_Code'!$J$114:$J$131,MATCH('Annex 3_MAFF'!AF173,'Annex 2_Code'!$G$114:$G$131,0)),"")</f>
        <v>MAFF-CARDI</v>
      </c>
      <c r="AI173" s="646" t="str">
        <f t="shared" ref="AI173:AI182" si="216">IF(ISNUMBER(FIND("-",AH173,1))=FALSE,LEFT(AH173,LEN(AH173)),LEFT(AH173,(FIND("-",AH173,1))-1))</f>
        <v>MAFF</v>
      </c>
      <c r="AJ173" s="637" t="s">
        <v>450</v>
      </c>
    </row>
    <row r="174" spans="1:36" s="607" customFormat="1" ht="43.5" customHeight="1" outlineLevel="1">
      <c r="A174" s="307"/>
      <c r="B174" s="669" t="s">
        <v>1463</v>
      </c>
      <c r="C174" s="669" t="s">
        <v>33</v>
      </c>
      <c r="D174" s="701"/>
      <c r="E174" s="307" t="s">
        <v>901</v>
      </c>
      <c r="F174" s="1729"/>
      <c r="G174" s="1872" t="s">
        <v>1247</v>
      </c>
      <c r="H174" s="1924" t="s">
        <v>1246</v>
      </c>
      <c r="I174" s="727">
        <v>5</v>
      </c>
      <c r="J174" s="619">
        <v>1</v>
      </c>
      <c r="K174" s="620">
        <v>2</v>
      </c>
      <c r="L174" s="620">
        <v>4</v>
      </c>
      <c r="M174" s="620">
        <v>1</v>
      </c>
      <c r="N174" s="784">
        <f t="shared" si="203"/>
        <v>8</v>
      </c>
      <c r="O174" s="622">
        <f>($I$174*J174)</f>
        <v>5</v>
      </c>
      <c r="P174" s="623">
        <f>($I$174*K174)</f>
        <v>10</v>
      </c>
      <c r="Q174" s="623">
        <f>($I$174*L174)</f>
        <v>20</v>
      </c>
      <c r="R174" s="623">
        <f>($I$174*M174)</f>
        <v>5</v>
      </c>
      <c r="S174" s="1421">
        <f>SUM(O174:R174)</f>
        <v>40</v>
      </c>
      <c r="T174" s="763">
        <f>IFERROR(INDEX('Annex 2_Code'!I$8:I$33,MATCH('Annex 3_MAFF'!$AG174,'Annex 2_Code'!$G$8:$G$33,0)),"")</f>
        <v>0</v>
      </c>
      <c r="U174" s="763">
        <f>IFERROR(INDEX('Annex 2_Code'!J$8:J$33,MATCH('Annex 3_MAFF'!$AG174,'Annex 2_Code'!$G$8:$G$33,0)),"")</f>
        <v>0</v>
      </c>
      <c r="V174" s="763">
        <f>IFERROR(INDEX('Annex 2_Code'!K$8:K$33,MATCH('Annex 3_MAFF'!$AG174,'Annex 2_Code'!$G$8:$G$33,0)),"")</f>
        <v>1</v>
      </c>
      <c r="W174" s="763">
        <f>IFERROR(INDEX('Annex 2_Code'!L$8:L$33,MATCH('Annex 3_MAFF'!$AG174,'Annex 2_Code'!$G$8:$G$33,0)),"")</f>
        <v>0</v>
      </c>
      <c r="X174" s="763">
        <f>IFERROR(INDEX('Annex 2_Code'!M$8:M$33,MATCH('Annex 3_MAFF'!$AG174,'Annex 2_Code'!$G$8:$G$33,0)),"")</f>
        <v>0</v>
      </c>
      <c r="Y174" s="1745">
        <f t="shared" si="209"/>
        <v>0</v>
      </c>
      <c r="Z174" s="807">
        <f t="shared" si="210"/>
        <v>0</v>
      </c>
      <c r="AA174" s="807">
        <f t="shared" si="211"/>
        <v>40</v>
      </c>
      <c r="AB174" s="807">
        <f t="shared" si="212"/>
        <v>0</v>
      </c>
      <c r="AC174" s="808">
        <f t="shared" si="213"/>
        <v>0</v>
      </c>
      <c r="AD174" s="764">
        <f t="shared" si="214"/>
        <v>40</v>
      </c>
      <c r="AE174" s="764">
        <f t="shared" si="215"/>
        <v>0</v>
      </c>
      <c r="AF174" s="605" t="s">
        <v>298</v>
      </c>
      <c r="AG174" s="605" t="s">
        <v>217</v>
      </c>
      <c r="AH174" s="605" t="str">
        <f>IFERROR(INDEX('Annex 2_Code'!$J$114:$J$131,MATCH('Annex 3_MAFF'!AF174,'Annex 2_Code'!$G$114:$G$131,0)),"")</f>
        <v>MAFF-CARDI</v>
      </c>
      <c r="AI174" s="646" t="str">
        <f t="shared" si="216"/>
        <v>MAFF</v>
      </c>
      <c r="AJ174" s="637" t="s">
        <v>450</v>
      </c>
    </row>
    <row r="175" spans="1:36" s="607" customFormat="1" ht="46.5" outlineLevel="1">
      <c r="A175" s="307"/>
      <c r="B175" s="669" t="s">
        <v>1463</v>
      </c>
      <c r="C175" s="669" t="s">
        <v>33</v>
      </c>
      <c r="D175" s="701"/>
      <c r="E175" s="307" t="s">
        <v>1126</v>
      </c>
      <c r="F175" s="1729"/>
      <c r="G175" s="1452" t="s">
        <v>1167</v>
      </c>
      <c r="H175" s="1454" t="s">
        <v>844</v>
      </c>
      <c r="I175" s="2312">
        <v>1.5</v>
      </c>
      <c r="J175" s="619">
        <v>4</v>
      </c>
      <c r="K175" s="620">
        <v>12</v>
      </c>
      <c r="L175" s="620">
        <v>4</v>
      </c>
      <c r="M175" s="620">
        <v>0</v>
      </c>
      <c r="N175" s="784">
        <f t="shared" si="203"/>
        <v>20</v>
      </c>
      <c r="O175" s="622">
        <f>($I$175*J175)</f>
        <v>6</v>
      </c>
      <c r="P175" s="2372">
        <f>($I$175*K175)</f>
        <v>18</v>
      </c>
      <c r="Q175" s="2372">
        <f>($I$175*L175)</f>
        <v>6</v>
      </c>
      <c r="R175" s="623">
        <f t="shared" ref="R175" si="217">($I$174*M175)</f>
        <v>0</v>
      </c>
      <c r="S175" s="2465">
        <f t="shared" ref="S175:S181" si="218">SUM(O175:R175)</f>
        <v>30</v>
      </c>
      <c r="T175" s="763">
        <f>IFERROR(INDEX('Annex 2_Code'!I$8:I$33,MATCH('Annex 3_MAFF'!$AG175,'Annex 2_Code'!$G$8:$G$33,0)),"")</f>
        <v>0</v>
      </c>
      <c r="U175" s="763">
        <f>IFERROR(INDEX('Annex 2_Code'!J$8:J$33,MATCH('Annex 3_MAFF'!$AG175,'Annex 2_Code'!$G$8:$G$33,0)),"")</f>
        <v>0</v>
      </c>
      <c r="V175" s="763">
        <f>IFERROR(INDEX('Annex 2_Code'!K$8:K$33,MATCH('Annex 3_MAFF'!$AG175,'Annex 2_Code'!$G$8:$G$33,0)),"")</f>
        <v>1</v>
      </c>
      <c r="W175" s="763">
        <f>IFERROR(INDEX('Annex 2_Code'!L$8:L$33,MATCH('Annex 3_MAFF'!$AG175,'Annex 2_Code'!$G$8:$G$33,0)),"")</f>
        <v>0</v>
      </c>
      <c r="X175" s="763">
        <f>IFERROR(INDEX('Annex 2_Code'!M$8:M$33,MATCH('Annex 3_MAFF'!$AG175,'Annex 2_Code'!$G$8:$G$33,0)),"")</f>
        <v>0</v>
      </c>
      <c r="Y175" s="1745">
        <f t="shared" si="209"/>
        <v>0</v>
      </c>
      <c r="Z175" s="807">
        <f t="shared" si="210"/>
        <v>0</v>
      </c>
      <c r="AA175" s="807">
        <f t="shared" si="211"/>
        <v>30</v>
      </c>
      <c r="AB175" s="807">
        <f t="shared" si="212"/>
        <v>0</v>
      </c>
      <c r="AC175" s="808">
        <f t="shared" si="213"/>
        <v>0</v>
      </c>
      <c r="AD175" s="764">
        <f t="shared" si="214"/>
        <v>30</v>
      </c>
      <c r="AE175" s="764">
        <f t="shared" si="215"/>
        <v>0</v>
      </c>
      <c r="AF175" s="605" t="s">
        <v>298</v>
      </c>
      <c r="AG175" s="605" t="s">
        <v>217</v>
      </c>
      <c r="AH175" s="605" t="str">
        <f>IFERROR(INDEX('Annex 2_Code'!$J$114:$J$131,MATCH('Annex 3_MAFF'!AF175,'Annex 2_Code'!$G$114:$G$131,0)),"")</f>
        <v>MAFF-CARDI</v>
      </c>
      <c r="AI175" s="646" t="str">
        <f t="shared" si="216"/>
        <v>MAFF</v>
      </c>
      <c r="AJ175" s="637" t="s">
        <v>450</v>
      </c>
    </row>
    <row r="176" spans="1:36" s="607" customFormat="1" ht="46.5" outlineLevel="1">
      <c r="A176" s="307"/>
      <c r="B176" s="669" t="s">
        <v>1463</v>
      </c>
      <c r="C176" s="669" t="s">
        <v>33</v>
      </c>
      <c r="D176" s="701"/>
      <c r="E176" s="307" t="s">
        <v>1159</v>
      </c>
      <c r="F176" s="1729"/>
      <c r="G176" s="2313" t="s">
        <v>1254</v>
      </c>
      <c r="H176" s="811" t="s">
        <v>1537</v>
      </c>
      <c r="I176" s="794">
        <v>1.5</v>
      </c>
      <c r="J176" s="620">
        <v>0</v>
      </c>
      <c r="K176" s="620">
        <v>15</v>
      </c>
      <c r="L176" s="620">
        <v>8</v>
      </c>
      <c r="M176" s="620">
        <v>2</v>
      </c>
      <c r="N176" s="784">
        <f t="shared" si="203"/>
        <v>25</v>
      </c>
      <c r="O176" s="2371">
        <f>($I$176*J176)</f>
        <v>0</v>
      </c>
      <c r="P176" s="2372">
        <f>($I$176*K176)</f>
        <v>22.5</v>
      </c>
      <c r="Q176" s="2372">
        <f>($I$176*L176)</f>
        <v>12</v>
      </c>
      <c r="R176" s="2372">
        <f>($I$176*M176)</f>
        <v>3</v>
      </c>
      <c r="S176" s="2465">
        <f t="shared" si="218"/>
        <v>37.5</v>
      </c>
      <c r="T176" s="763">
        <f>IFERROR(INDEX('Annex 2_Code'!I$8:I$33,MATCH('Annex 3_MAFF'!$AG176,'Annex 2_Code'!$G$8:$G$33,0)),"")</f>
        <v>0</v>
      </c>
      <c r="U176" s="763">
        <f>IFERROR(INDEX('Annex 2_Code'!J$8:J$33,MATCH('Annex 3_MAFF'!$AG176,'Annex 2_Code'!$G$8:$G$33,0)),"")</f>
        <v>0</v>
      </c>
      <c r="V176" s="763">
        <f>IFERROR(INDEX('Annex 2_Code'!K$8:K$33,MATCH('Annex 3_MAFF'!$AG176,'Annex 2_Code'!$G$8:$G$33,0)),"")</f>
        <v>1</v>
      </c>
      <c r="W176" s="763">
        <f>IFERROR(INDEX('Annex 2_Code'!L$8:L$33,MATCH('Annex 3_MAFF'!$AG176,'Annex 2_Code'!$G$8:$G$33,0)),"")</f>
        <v>0</v>
      </c>
      <c r="X176" s="763">
        <f>IFERROR(INDEX('Annex 2_Code'!M$8:M$33,MATCH('Annex 3_MAFF'!$AG176,'Annex 2_Code'!$G$8:$G$33,0)),"")</f>
        <v>0</v>
      </c>
      <c r="Y176" s="1745">
        <f t="shared" ref="Y176:Y177" si="219">IFERROR($S176*T176,"")</f>
        <v>0</v>
      </c>
      <c r="Z176" s="807">
        <f t="shared" ref="Z176:Z177" si="220">IFERROR($S176*U176,"")</f>
        <v>0</v>
      </c>
      <c r="AA176" s="807">
        <f t="shared" ref="AA176:AA177" si="221">IFERROR($S176*V176,"")</f>
        <v>37.5</v>
      </c>
      <c r="AB176" s="807">
        <f t="shared" ref="AB176:AB177" si="222">IFERROR($S176*W176,"")</f>
        <v>0</v>
      </c>
      <c r="AC176" s="808">
        <f t="shared" ref="AC176:AC177" si="223">IFERROR($S176*X176,"")</f>
        <v>0</v>
      </c>
      <c r="AD176" s="764">
        <f t="shared" ref="AD176:AD177" si="224">SUM(Y176:AC176)</f>
        <v>37.5</v>
      </c>
      <c r="AE176" s="764">
        <f t="shared" ref="AE176:AE177" si="225">AD176-S176</f>
        <v>0</v>
      </c>
      <c r="AF176" s="605" t="s">
        <v>298</v>
      </c>
      <c r="AG176" s="605" t="s">
        <v>217</v>
      </c>
      <c r="AH176" s="605" t="str">
        <f>IFERROR(INDEX('Annex 2_Code'!$J$114:$J$131,MATCH('Annex 3_MAFF'!AF176,'Annex 2_Code'!$G$114:$G$131,0)),"")</f>
        <v>MAFF-CARDI</v>
      </c>
      <c r="AI176" s="646" t="str">
        <f t="shared" ref="AI176:AI177" si="226">IF(ISNUMBER(FIND("-",AH176,1))=FALSE,LEFT(AH176,LEN(AH176)),LEFT(AH176,(FIND("-",AH176,1))-1))</f>
        <v>MAFF</v>
      </c>
      <c r="AJ176" s="637" t="s">
        <v>450</v>
      </c>
    </row>
    <row r="177" spans="1:40" s="607" customFormat="1" ht="69.75" outlineLevel="1">
      <c r="A177" s="307"/>
      <c r="B177" s="669" t="s">
        <v>1463</v>
      </c>
      <c r="C177" s="669" t="s">
        <v>33</v>
      </c>
      <c r="D177" s="701"/>
      <c r="E177" s="307" t="s">
        <v>1160</v>
      </c>
      <c r="F177" s="1729"/>
      <c r="G177" s="1452" t="s">
        <v>1261</v>
      </c>
      <c r="H177" s="1454" t="s">
        <v>844</v>
      </c>
      <c r="I177" s="794">
        <v>1.5</v>
      </c>
      <c r="J177" s="620">
        <v>9</v>
      </c>
      <c r="K177" s="620">
        <v>15</v>
      </c>
      <c r="L177" s="620">
        <v>13</v>
      </c>
      <c r="M177" s="620">
        <v>10</v>
      </c>
      <c r="N177" s="784">
        <f t="shared" si="203"/>
        <v>47</v>
      </c>
      <c r="O177" s="2371">
        <f>($I$177*J177)</f>
        <v>13.5</v>
      </c>
      <c r="P177" s="2372">
        <f>($I$177*K177)</f>
        <v>22.5</v>
      </c>
      <c r="Q177" s="2372">
        <f>($I$177*L177)</f>
        <v>19.5</v>
      </c>
      <c r="R177" s="2372">
        <f>($I$177*M177)</f>
        <v>15</v>
      </c>
      <c r="S177" s="2465">
        <f t="shared" si="218"/>
        <v>70.5</v>
      </c>
      <c r="T177" s="763">
        <f>IFERROR(INDEX('Annex 2_Code'!I$8:I$33,MATCH('Annex 3_MAFF'!$AG177,'Annex 2_Code'!$G$8:$G$33,0)),"")</f>
        <v>0</v>
      </c>
      <c r="U177" s="763">
        <f>IFERROR(INDEX('Annex 2_Code'!J$8:J$33,MATCH('Annex 3_MAFF'!$AG177,'Annex 2_Code'!$G$8:$G$33,0)),"")</f>
        <v>0</v>
      </c>
      <c r="V177" s="763">
        <f>IFERROR(INDEX('Annex 2_Code'!K$8:K$33,MATCH('Annex 3_MAFF'!$AG177,'Annex 2_Code'!$G$8:$G$33,0)),"")</f>
        <v>1</v>
      </c>
      <c r="W177" s="763">
        <f>IFERROR(INDEX('Annex 2_Code'!L$8:L$33,MATCH('Annex 3_MAFF'!$AG177,'Annex 2_Code'!$G$8:$G$33,0)),"")</f>
        <v>0</v>
      </c>
      <c r="X177" s="763">
        <f>IFERROR(INDEX('Annex 2_Code'!M$8:M$33,MATCH('Annex 3_MAFF'!$AG177,'Annex 2_Code'!$G$8:$G$33,0)),"")</f>
        <v>0</v>
      </c>
      <c r="Y177" s="1745">
        <f t="shared" si="219"/>
        <v>0</v>
      </c>
      <c r="Z177" s="807">
        <f t="shared" si="220"/>
        <v>0</v>
      </c>
      <c r="AA177" s="807">
        <f t="shared" si="221"/>
        <v>70.5</v>
      </c>
      <c r="AB177" s="807">
        <f t="shared" si="222"/>
        <v>0</v>
      </c>
      <c r="AC177" s="808">
        <f t="shared" si="223"/>
        <v>0</v>
      </c>
      <c r="AD177" s="764">
        <f t="shared" si="224"/>
        <v>70.5</v>
      </c>
      <c r="AE177" s="764">
        <f t="shared" si="225"/>
        <v>0</v>
      </c>
      <c r="AF177" s="605" t="s">
        <v>298</v>
      </c>
      <c r="AG177" s="605" t="s">
        <v>217</v>
      </c>
      <c r="AH177" s="605" t="str">
        <f>IFERROR(INDEX('Annex 2_Code'!$J$114:$J$131,MATCH('Annex 3_MAFF'!AF177,'Annex 2_Code'!$G$114:$G$131,0)),"")</f>
        <v>MAFF-CARDI</v>
      </c>
      <c r="AI177" s="646" t="str">
        <f t="shared" si="226"/>
        <v>MAFF</v>
      </c>
      <c r="AJ177" s="637" t="s">
        <v>450</v>
      </c>
    </row>
    <row r="178" spans="1:40" s="607" customFormat="1" ht="46.5" customHeight="1" outlineLevel="1">
      <c r="A178" s="307"/>
      <c r="B178" s="669" t="s">
        <v>1463</v>
      </c>
      <c r="C178" s="669" t="s">
        <v>33</v>
      </c>
      <c r="D178" s="701"/>
      <c r="E178" s="307" t="s">
        <v>1161</v>
      </c>
      <c r="F178" s="1729"/>
      <c r="G178" s="1452" t="s">
        <v>1259</v>
      </c>
      <c r="H178" s="1454" t="s">
        <v>844</v>
      </c>
      <c r="I178" s="727">
        <v>1.5</v>
      </c>
      <c r="J178" s="619">
        <v>4</v>
      </c>
      <c r="K178" s="620">
        <v>4</v>
      </c>
      <c r="L178" s="620">
        <v>0</v>
      </c>
      <c r="M178" s="620">
        <v>0</v>
      </c>
      <c r="N178" s="784">
        <f t="shared" si="203"/>
        <v>8</v>
      </c>
      <c r="O178" s="622">
        <f>($I$178*J178)</f>
        <v>6</v>
      </c>
      <c r="P178" s="623">
        <f>($I$178*K178)</f>
        <v>6</v>
      </c>
      <c r="Q178" s="623">
        <f>($I$178*L178)</f>
        <v>0</v>
      </c>
      <c r="R178" s="623">
        <f>($I$178*M178)</f>
        <v>0</v>
      </c>
      <c r="S178" s="1421">
        <f t="shared" si="218"/>
        <v>12</v>
      </c>
      <c r="T178" s="763">
        <f>IFERROR(INDEX('Annex 2_Code'!I$8:I$33,MATCH('Annex 3_MAFF'!$AG178,'Annex 2_Code'!$G$8:$G$33,0)),"")</f>
        <v>0</v>
      </c>
      <c r="U178" s="763">
        <f>IFERROR(INDEX('Annex 2_Code'!J$8:J$33,MATCH('Annex 3_MAFF'!$AG178,'Annex 2_Code'!$G$8:$G$33,0)),"")</f>
        <v>0</v>
      </c>
      <c r="V178" s="763">
        <f>IFERROR(INDEX('Annex 2_Code'!K$8:K$33,MATCH('Annex 3_MAFF'!$AG178,'Annex 2_Code'!$G$8:$G$33,0)),"")</f>
        <v>1</v>
      </c>
      <c r="W178" s="763">
        <f>IFERROR(INDEX('Annex 2_Code'!L$8:L$33,MATCH('Annex 3_MAFF'!$AG178,'Annex 2_Code'!$G$8:$G$33,0)),"")</f>
        <v>0</v>
      </c>
      <c r="X178" s="763">
        <f>IFERROR(INDEX('Annex 2_Code'!M$8:M$33,MATCH('Annex 3_MAFF'!$AG178,'Annex 2_Code'!$G$8:$G$33,0)),"")</f>
        <v>0</v>
      </c>
      <c r="Y178" s="1745">
        <f t="shared" si="209"/>
        <v>0</v>
      </c>
      <c r="Z178" s="807">
        <f t="shared" si="210"/>
        <v>0</v>
      </c>
      <c r="AA178" s="807">
        <f t="shared" si="211"/>
        <v>12</v>
      </c>
      <c r="AB178" s="807">
        <f t="shared" si="212"/>
        <v>0</v>
      </c>
      <c r="AC178" s="808">
        <f t="shared" si="213"/>
        <v>0</v>
      </c>
      <c r="AD178" s="764">
        <f t="shared" si="214"/>
        <v>12</v>
      </c>
      <c r="AE178" s="764">
        <f t="shared" si="215"/>
        <v>0</v>
      </c>
      <c r="AF178" s="605" t="s">
        <v>298</v>
      </c>
      <c r="AG178" s="605" t="s">
        <v>217</v>
      </c>
      <c r="AH178" s="605" t="str">
        <f>IFERROR(INDEX('Annex 2_Code'!$J$114:$J$131,MATCH('Annex 3_MAFF'!AF178,'Annex 2_Code'!$G$114:$G$131,0)),"")</f>
        <v>MAFF-CARDI</v>
      </c>
      <c r="AI178" s="646" t="str">
        <f t="shared" si="216"/>
        <v>MAFF</v>
      </c>
      <c r="AJ178" s="637" t="s">
        <v>450</v>
      </c>
    </row>
    <row r="179" spans="1:40" s="1939" customFormat="1" ht="69.75" outlineLevel="1">
      <c r="A179" s="1930"/>
      <c r="B179" s="669" t="s">
        <v>1463</v>
      </c>
      <c r="C179" s="669" t="s">
        <v>33</v>
      </c>
      <c r="D179" s="701"/>
      <c r="E179" s="307" t="s">
        <v>1162</v>
      </c>
      <c r="F179" s="1729"/>
      <c r="G179" s="1452" t="s">
        <v>1258</v>
      </c>
      <c r="H179" s="1454" t="s">
        <v>844</v>
      </c>
      <c r="I179" s="2312">
        <v>6</v>
      </c>
      <c r="J179" s="619">
        <v>0</v>
      </c>
      <c r="K179" s="620">
        <v>2</v>
      </c>
      <c r="L179" s="620">
        <v>0</v>
      </c>
      <c r="M179" s="620">
        <v>0</v>
      </c>
      <c r="N179" s="784">
        <f t="shared" si="203"/>
        <v>2</v>
      </c>
      <c r="O179" s="622">
        <f>($I$179*J179)</f>
        <v>0</v>
      </c>
      <c r="P179" s="623">
        <f>($I$179*K179)</f>
        <v>12</v>
      </c>
      <c r="Q179" s="623">
        <f>($I$179*L179)</f>
        <v>0</v>
      </c>
      <c r="R179" s="623">
        <f>($I$179*M179)</f>
        <v>0</v>
      </c>
      <c r="S179" s="1421">
        <f t="shared" si="218"/>
        <v>12</v>
      </c>
      <c r="T179" s="763">
        <f>IFERROR(INDEX('Annex 2_Code'!I$8:I$33,MATCH('Annex 3_MAFF'!$AG179,'Annex 2_Code'!$G$8:$G$33,0)),"")</f>
        <v>0</v>
      </c>
      <c r="U179" s="763">
        <f>IFERROR(INDEX('Annex 2_Code'!J$8:J$33,MATCH('Annex 3_MAFF'!$AG179,'Annex 2_Code'!$G$8:$G$33,0)),"")</f>
        <v>0</v>
      </c>
      <c r="V179" s="763">
        <f>IFERROR(INDEX('Annex 2_Code'!K$8:K$33,MATCH('Annex 3_MAFF'!$AG179,'Annex 2_Code'!$G$8:$G$33,0)),"")</f>
        <v>1</v>
      </c>
      <c r="W179" s="763">
        <f>IFERROR(INDEX('Annex 2_Code'!L$8:L$33,MATCH('Annex 3_MAFF'!$AG179,'Annex 2_Code'!$G$8:$G$33,0)),"")</f>
        <v>0</v>
      </c>
      <c r="X179" s="763">
        <f>IFERROR(INDEX('Annex 2_Code'!M$8:M$33,MATCH('Annex 3_MAFF'!$AG179,'Annex 2_Code'!$G$8:$G$33,0)),"")</f>
        <v>0</v>
      </c>
      <c r="Y179" s="1745">
        <f t="shared" si="209"/>
        <v>0</v>
      </c>
      <c r="Z179" s="807">
        <f t="shared" si="210"/>
        <v>0</v>
      </c>
      <c r="AA179" s="807">
        <f t="shared" si="211"/>
        <v>12</v>
      </c>
      <c r="AB179" s="807">
        <f t="shared" si="212"/>
        <v>0</v>
      </c>
      <c r="AC179" s="808">
        <f t="shared" si="213"/>
        <v>0</v>
      </c>
      <c r="AD179" s="764">
        <f t="shared" si="214"/>
        <v>12</v>
      </c>
      <c r="AE179" s="764">
        <f t="shared" si="215"/>
        <v>0</v>
      </c>
      <c r="AF179" s="605" t="s">
        <v>298</v>
      </c>
      <c r="AG179" s="605" t="s">
        <v>217</v>
      </c>
      <c r="AH179" s="605" t="str">
        <f>IFERROR(INDEX('Annex 2_Code'!$J$114:$J$131,MATCH('Annex 3_MAFF'!AF179,'Annex 2_Code'!$G$114:$G$131,0)),"")</f>
        <v>MAFF-CARDI</v>
      </c>
      <c r="AI179" s="646" t="str">
        <f t="shared" si="216"/>
        <v>MAFF</v>
      </c>
      <c r="AJ179" s="637" t="s">
        <v>450</v>
      </c>
    </row>
    <row r="180" spans="1:40" s="1939" customFormat="1" ht="69.75" outlineLevel="1">
      <c r="A180" s="1930"/>
      <c r="B180" s="669" t="s">
        <v>1463</v>
      </c>
      <c r="C180" s="669" t="s">
        <v>33</v>
      </c>
      <c r="D180" s="701"/>
      <c r="E180" s="307" t="s">
        <v>1163</v>
      </c>
      <c r="F180" s="1729"/>
      <c r="G180" s="1452" t="s">
        <v>1257</v>
      </c>
      <c r="H180" s="1454" t="s">
        <v>844</v>
      </c>
      <c r="I180" s="2312">
        <v>6</v>
      </c>
      <c r="J180" s="619">
        <v>0</v>
      </c>
      <c r="K180" s="620">
        <v>1</v>
      </c>
      <c r="L180" s="620">
        <v>0</v>
      </c>
      <c r="M180" s="620">
        <v>0</v>
      </c>
      <c r="N180" s="784">
        <f t="shared" si="203"/>
        <v>1</v>
      </c>
      <c r="O180" s="2371">
        <f>($I$180*J180)</f>
        <v>0</v>
      </c>
      <c r="P180" s="2372">
        <f>($I$180*K180)</f>
        <v>6</v>
      </c>
      <c r="Q180" s="2372">
        <f>($I$180*L180)</f>
        <v>0</v>
      </c>
      <c r="R180" s="2372">
        <f>($I$180*M180)</f>
        <v>0</v>
      </c>
      <c r="S180" s="2465">
        <f t="shared" si="218"/>
        <v>6</v>
      </c>
      <c r="T180" s="763">
        <f>IFERROR(INDEX('Annex 2_Code'!I$8:I$33,MATCH('Annex 3_MAFF'!$AG180,'Annex 2_Code'!$G$8:$G$33,0)),"")</f>
        <v>0</v>
      </c>
      <c r="U180" s="763">
        <f>IFERROR(INDEX('Annex 2_Code'!J$8:J$33,MATCH('Annex 3_MAFF'!$AG180,'Annex 2_Code'!$G$8:$G$33,0)),"")</f>
        <v>0</v>
      </c>
      <c r="V180" s="763">
        <f>IFERROR(INDEX('Annex 2_Code'!K$8:K$33,MATCH('Annex 3_MAFF'!$AG180,'Annex 2_Code'!$G$8:$G$33,0)),"")</f>
        <v>1</v>
      </c>
      <c r="W180" s="763">
        <f>IFERROR(INDEX('Annex 2_Code'!L$8:L$33,MATCH('Annex 3_MAFF'!$AG180,'Annex 2_Code'!$G$8:$G$33,0)),"")</f>
        <v>0</v>
      </c>
      <c r="X180" s="763">
        <f>IFERROR(INDEX('Annex 2_Code'!M$8:M$33,MATCH('Annex 3_MAFF'!$AG180,'Annex 2_Code'!$G$8:$G$33,0)),"")</f>
        <v>0</v>
      </c>
      <c r="Y180" s="1745">
        <f t="shared" si="209"/>
        <v>0</v>
      </c>
      <c r="Z180" s="807">
        <f t="shared" si="210"/>
        <v>0</v>
      </c>
      <c r="AA180" s="807">
        <f t="shared" si="211"/>
        <v>6</v>
      </c>
      <c r="AB180" s="807">
        <f t="shared" si="212"/>
        <v>0</v>
      </c>
      <c r="AC180" s="808">
        <f t="shared" si="213"/>
        <v>0</v>
      </c>
      <c r="AD180" s="764">
        <f t="shared" si="214"/>
        <v>6</v>
      </c>
      <c r="AE180" s="764">
        <f t="shared" si="215"/>
        <v>0</v>
      </c>
      <c r="AF180" s="605" t="s">
        <v>298</v>
      </c>
      <c r="AG180" s="605" t="s">
        <v>217</v>
      </c>
      <c r="AH180" s="605" t="str">
        <f>IFERROR(INDEX('Annex 2_Code'!$J$114:$J$131,MATCH('Annex 3_MAFF'!AF180,'Annex 2_Code'!$G$114:$G$131,0)),"")</f>
        <v>MAFF-CARDI</v>
      </c>
      <c r="AI180" s="646" t="str">
        <f t="shared" si="216"/>
        <v>MAFF</v>
      </c>
      <c r="AJ180" s="637" t="s">
        <v>450</v>
      </c>
    </row>
    <row r="181" spans="1:40" s="1939" customFormat="1" ht="93" outlineLevel="1">
      <c r="A181" s="1930"/>
      <c r="B181" s="669" t="s">
        <v>1463</v>
      </c>
      <c r="C181" s="669" t="s">
        <v>33</v>
      </c>
      <c r="D181" s="701"/>
      <c r="E181" s="307" t="s">
        <v>1203</v>
      </c>
      <c r="F181" s="1729"/>
      <c r="G181" s="1452" t="s">
        <v>1260</v>
      </c>
      <c r="H181" s="1454" t="s">
        <v>844</v>
      </c>
      <c r="I181" s="2312">
        <v>6</v>
      </c>
      <c r="J181" s="619">
        <v>1</v>
      </c>
      <c r="K181" s="620">
        <v>1</v>
      </c>
      <c r="L181" s="620">
        <v>0</v>
      </c>
      <c r="M181" s="620">
        <v>0</v>
      </c>
      <c r="N181" s="784">
        <f t="shared" si="203"/>
        <v>2</v>
      </c>
      <c r="O181" s="2371">
        <f>($I$181*J181)</f>
        <v>6</v>
      </c>
      <c r="P181" s="2372">
        <f>($I$181*K181)</f>
        <v>6</v>
      </c>
      <c r="Q181" s="2372">
        <f>($I$181*L181)</f>
        <v>0</v>
      </c>
      <c r="R181" s="2372">
        <f>($I$181*M181)</f>
        <v>0</v>
      </c>
      <c r="S181" s="2465">
        <f t="shared" si="218"/>
        <v>12</v>
      </c>
      <c r="T181" s="763">
        <f>IFERROR(INDEX('Annex 2_Code'!I$8:I$33,MATCH('Annex 3_MAFF'!$AG181,'Annex 2_Code'!$G$8:$G$33,0)),"")</f>
        <v>0</v>
      </c>
      <c r="U181" s="763">
        <f>IFERROR(INDEX('Annex 2_Code'!J$8:J$33,MATCH('Annex 3_MAFF'!$AG181,'Annex 2_Code'!$G$8:$G$33,0)),"")</f>
        <v>0</v>
      </c>
      <c r="V181" s="763">
        <f>IFERROR(INDEX('Annex 2_Code'!K$8:K$33,MATCH('Annex 3_MAFF'!$AG181,'Annex 2_Code'!$G$8:$G$33,0)),"")</f>
        <v>1</v>
      </c>
      <c r="W181" s="763">
        <f>IFERROR(INDEX('Annex 2_Code'!L$8:L$33,MATCH('Annex 3_MAFF'!$AG181,'Annex 2_Code'!$G$8:$G$33,0)),"")</f>
        <v>0</v>
      </c>
      <c r="X181" s="763">
        <f>IFERROR(INDEX('Annex 2_Code'!M$8:M$33,MATCH('Annex 3_MAFF'!$AG181,'Annex 2_Code'!$G$8:$G$33,0)),"")</f>
        <v>0</v>
      </c>
      <c r="Y181" s="1745">
        <f t="shared" si="209"/>
        <v>0</v>
      </c>
      <c r="Z181" s="807">
        <f t="shared" si="210"/>
        <v>0</v>
      </c>
      <c r="AA181" s="807">
        <f t="shared" si="211"/>
        <v>12</v>
      </c>
      <c r="AB181" s="807">
        <f t="shared" si="212"/>
        <v>0</v>
      </c>
      <c r="AC181" s="808">
        <f t="shared" si="213"/>
        <v>0</v>
      </c>
      <c r="AD181" s="764">
        <f t="shared" si="214"/>
        <v>12</v>
      </c>
      <c r="AE181" s="764">
        <f t="shared" si="215"/>
        <v>0</v>
      </c>
      <c r="AF181" s="605" t="s">
        <v>298</v>
      </c>
      <c r="AG181" s="605" t="s">
        <v>217</v>
      </c>
      <c r="AH181" s="605" t="str">
        <f>IFERROR(INDEX('Annex 2_Code'!$J$114:$J$131,MATCH('Annex 3_MAFF'!AF181,'Annex 2_Code'!$G$114:$G$131,0)),"")</f>
        <v>MAFF-CARDI</v>
      </c>
      <c r="AI181" s="646" t="str">
        <f t="shared" si="216"/>
        <v>MAFF</v>
      </c>
      <c r="AJ181" s="637" t="s">
        <v>450</v>
      </c>
    </row>
    <row r="182" spans="1:40" s="607" customFormat="1" ht="46.5" outlineLevel="1">
      <c r="A182" s="307"/>
      <c r="B182" s="669" t="s">
        <v>1463</v>
      </c>
      <c r="C182" s="669" t="s">
        <v>33</v>
      </c>
      <c r="D182" s="701"/>
      <c r="E182" s="307" t="s">
        <v>1262</v>
      </c>
      <c r="F182" s="1729"/>
      <c r="G182" s="1727" t="s">
        <v>843</v>
      </c>
      <c r="H182" s="1925" t="s">
        <v>846</v>
      </c>
      <c r="I182" s="1731">
        <v>2</v>
      </c>
      <c r="J182" s="619">
        <v>0</v>
      </c>
      <c r="K182" s="620">
        <v>2</v>
      </c>
      <c r="L182" s="620">
        <v>1</v>
      </c>
      <c r="M182" s="620">
        <v>2</v>
      </c>
      <c r="N182" s="784">
        <f t="shared" si="203"/>
        <v>5</v>
      </c>
      <c r="O182" s="622">
        <f>($I182*J182)</f>
        <v>0</v>
      </c>
      <c r="P182" s="623">
        <f>($I182*K182)</f>
        <v>4</v>
      </c>
      <c r="Q182" s="623">
        <f>($I182*L182)</f>
        <v>2</v>
      </c>
      <c r="R182" s="623">
        <f>($I182*M182)</f>
        <v>4</v>
      </c>
      <c r="S182" s="1421">
        <f>SUM(O182:R182)</f>
        <v>10</v>
      </c>
      <c r="T182" s="763">
        <f>IFERROR(INDEX('Annex 2_Code'!I$8:I$33,MATCH('Annex 3_MAFF'!$AG182,'Annex 2_Code'!$G$8:$G$33,0)),"")</f>
        <v>0</v>
      </c>
      <c r="U182" s="763">
        <f>IFERROR(INDEX('Annex 2_Code'!J$8:J$33,MATCH('Annex 3_MAFF'!$AG182,'Annex 2_Code'!$G$8:$G$33,0)),"")</f>
        <v>0</v>
      </c>
      <c r="V182" s="763">
        <f>IFERROR(INDEX('Annex 2_Code'!K$8:K$33,MATCH('Annex 3_MAFF'!$AG182,'Annex 2_Code'!$G$8:$G$33,0)),"")</f>
        <v>1</v>
      </c>
      <c r="W182" s="763">
        <f>IFERROR(INDEX('Annex 2_Code'!L$8:L$33,MATCH('Annex 3_MAFF'!$AG182,'Annex 2_Code'!$G$8:$G$33,0)),"")</f>
        <v>0</v>
      </c>
      <c r="X182" s="763">
        <f>IFERROR(INDEX('Annex 2_Code'!M$8:M$33,MATCH('Annex 3_MAFF'!$AG182,'Annex 2_Code'!$G$8:$G$33,0)),"")</f>
        <v>0</v>
      </c>
      <c r="Y182" s="1745">
        <f t="shared" si="209"/>
        <v>0</v>
      </c>
      <c r="Z182" s="807">
        <f t="shared" si="210"/>
        <v>0</v>
      </c>
      <c r="AA182" s="807">
        <f t="shared" si="211"/>
        <v>10</v>
      </c>
      <c r="AB182" s="807">
        <f t="shared" si="212"/>
        <v>0</v>
      </c>
      <c r="AC182" s="808">
        <f t="shared" si="213"/>
        <v>0</v>
      </c>
      <c r="AD182" s="764">
        <f t="shared" si="214"/>
        <v>10</v>
      </c>
      <c r="AE182" s="764">
        <f t="shared" si="215"/>
        <v>0</v>
      </c>
      <c r="AF182" s="605" t="s">
        <v>298</v>
      </c>
      <c r="AG182" s="605" t="s">
        <v>217</v>
      </c>
      <c r="AH182" s="605" t="str">
        <f>IFERROR(INDEX('Annex 2_Code'!$J$114:$J$131,MATCH('Annex 3_MAFF'!AF182,'Annex 2_Code'!$G$114:$G$131,0)),"")</f>
        <v>MAFF-CARDI</v>
      </c>
      <c r="AI182" s="646" t="str">
        <f t="shared" si="216"/>
        <v>MAFF</v>
      </c>
      <c r="AJ182" s="637" t="s">
        <v>450</v>
      </c>
    </row>
    <row r="183" spans="1:40" s="607" customFormat="1" ht="23.25">
      <c r="A183" s="587"/>
      <c r="B183" s="659"/>
      <c r="C183" s="669"/>
      <c r="D183" s="704"/>
      <c r="E183" s="591" t="s">
        <v>614</v>
      </c>
      <c r="F183" s="757"/>
      <c r="G183" s="1388"/>
      <c r="H183" s="1389"/>
      <c r="I183" s="1390"/>
      <c r="J183" s="594">
        <f t="shared" ref="J183:S183" si="227">SUM(J162:J182)</f>
        <v>31</v>
      </c>
      <c r="K183" s="595">
        <f t="shared" si="227"/>
        <v>88</v>
      </c>
      <c r="L183" s="595">
        <f t="shared" si="227"/>
        <v>68</v>
      </c>
      <c r="M183" s="595">
        <f t="shared" si="227"/>
        <v>17</v>
      </c>
      <c r="N183" s="758">
        <f t="shared" si="227"/>
        <v>204</v>
      </c>
      <c r="O183" s="2466">
        <f t="shared" si="227"/>
        <v>90</v>
      </c>
      <c r="P183" s="2467">
        <f t="shared" si="227"/>
        <v>167</v>
      </c>
      <c r="Q183" s="2467">
        <f t="shared" si="227"/>
        <v>147</v>
      </c>
      <c r="R183" s="2467">
        <f t="shared" si="227"/>
        <v>37</v>
      </c>
      <c r="S183" s="2468">
        <f t="shared" si="227"/>
        <v>441</v>
      </c>
      <c r="T183" s="599"/>
      <c r="U183" s="599"/>
      <c r="V183" s="599"/>
      <c r="W183" s="599"/>
      <c r="X183" s="599"/>
      <c r="Y183" s="647">
        <f t="shared" ref="Y183:AC184" si="228">IFERROR($S183*T183,"")</f>
        <v>0</v>
      </c>
      <c r="Z183" s="600">
        <f t="shared" si="228"/>
        <v>0</v>
      </c>
      <c r="AA183" s="600">
        <f t="shared" si="228"/>
        <v>0</v>
      </c>
      <c r="AB183" s="600">
        <f t="shared" si="228"/>
        <v>0</v>
      </c>
      <c r="AC183" s="601">
        <f t="shared" si="228"/>
        <v>0</v>
      </c>
      <c r="AD183" s="602">
        <f t="shared" si="200"/>
        <v>0</v>
      </c>
      <c r="AE183" s="602">
        <f>AD183-S183</f>
        <v>-441</v>
      </c>
      <c r="AF183" s="605" t="s">
        <v>298</v>
      </c>
      <c r="AG183" s="605"/>
      <c r="AH183" s="605"/>
      <c r="AI183" s="624"/>
      <c r="AJ183" s="625"/>
    </row>
    <row r="184" spans="1:40" s="683" customFormat="1" ht="46.5" outlineLevel="1">
      <c r="A184" s="307"/>
      <c r="B184" s="669" t="s">
        <v>1464</v>
      </c>
      <c r="C184" s="669" t="s">
        <v>128</v>
      </c>
      <c r="D184" s="701"/>
      <c r="E184" s="307" t="s">
        <v>1538</v>
      </c>
      <c r="F184" s="307"/>
      <c r="G184" s="616" t="s">
        <v>1073</v>
      </c>
      <c r="H184" s="1454" t="s">
        <v>983</v>
      </c>
      <c r="I184" s="727">
        <v>0</v>
      </c>
      <c r="J184" s="619">
        <v>0.15</v>
      </c>
      <c r="K184" s="620">
        <v>0.4</v>
      </c>
      <c r="L184" s="620">
        <v>0.3</v>
      </c>
      <c r="M184" s="620">
        <v>0.1</v>
      </c>
      <c r="N184" s="731">
        <f>SUM(J184:M184)</f>
        <v>0.95000000000000007</v>
      </c>
      <c r="O184" s="759">
        <f>($I184*J184)</f>
        <v>0</v>
      </c>
      <c r="P184" s="760">
        <f>($I184*K184)</f>
        <v>0</v>
      </c>
      <c r="Q184" s="760">
        <f>($I184*L184)</f>
        <v>0</v>
      </c>
      <c r="R184" s="760">
        <f>($I184*M184)</f>
        <v>0</v>
      </c>
      <c r="S184" s="1421">
        <f>SUM(O184:R184)</f>
        <v>0</v>
      </c>
      <c r="T184" s="763">
        <f>IFERROR(INDEX('Annex 2_Code'!I$8:I$33,MATCH('Annex 3_MAFF'!$AG184,'Annex 2_Code'!$G$8:$G$33,0)),"")</f>
        <v>1</v>
      </c>
      <c r="U184" s="763">
        <f>IFERROR(INDEX('Annex 2_Code'!J$8:J$33,MATCH('Annex 3_MAFF'!$AG184,'Annex 2_Code'!$G$8:$G$33,0)),"")</f>
        <v>0</v>
      </c>
      <c r="V184" s="763">
        <f>IFERROR(INDEX('Annex 2_Code'!K$8:K$33,MATCH('Annex 3_MAFF'!$AG184,'Annex 2_Code'!$G$8:$G$33,0)),"")</f>
        <v>0</v>
      </c>
      <c r="W184" s="763">
        <f>IFERROR(INDEX('Annex 2_Code'!L$8:L$33,MATCH('Annex 3_MAFF'!$AG184,'Annex 2_Code'!$G$8:$G$33,0)),"")</f>
        <v>0</v>
      </c>
      <c r="X184" s="763">
        <f>IFERROR(INDEX('Annex 2_Code'!M$8:M$33,MATCH('Annex 3_MAFF'!$AG184,'Annex 2_Code'!$G$8:$G$33,0)),"")</f>
        <v>0</v>
      </c>
      <c r="Y184" s="1745">
        <f t="shared" si="228"/>
        <v>0</v>
      </c>
      <c r="Z184" s="807">
        <f t="shared" si="228"/>
        <v>0</v>
      </c>
      <c r="AA184" s="807">
        <f t="shared" si="228"/>
        <v>0</v>
      </c>
      <c r="AB184" s="807">
        <f t="shared" si="228"/>
        <v>0</v>
      </c>
      <c r="AC184" s="808">
        <f t="shared" si="228"/>
        <v>0</v>
      </c>
      <c r="AD184" s="764">
        <f t="shared" si="200"/>
        <v>0</v>
      </c>
      <c r="AE184" s="764">
        <f>AD184-S184</f>
        <v>0</v>
      </c>
      <c r="AF184" s="605" t="s">
        <v>298</v>
      </c>
      <c r="AG184" s="605" t="s">
        <v>185</v>
      </c>
      <c r="AH184" s="605" t="str">
        <f>IFERROR(INDEX('Annex 2_Code'!$J$114:$J$131,MATCH('Annex 3_MAFF'!AF184,'Annex 2_Code'!$G$114:$G$131,0)),"")</f>
        <v>MAFF-CARDI</v>
      </c>
      <c r="AI184" s="646" t="str">
        <f>IF(ISNUMBER(FIND("-",AH184,1))=FALSE,LEFT(AH184,LEN(AH184)),LEFT(AH184,(FIND("-",AH184,1))-1))</f>
        <v>MAFF</v>
      </c>
      <c r="AJ184" s="683" t="s">
        <v>452</v>
      </c>
      <c r="AL184" s="683" t="s">
        <v>393</v>
      </c>
    </row>
    <row r="185" spans="1:40" s="607" customFormat="1" ht="21" customHeight="1">
      <c r="A185" s="587"/>
      <c r="B185" s="659"/>
      <c r="C185" s="669"/>
      <c r="D185" s="704"/>
      <c r="E185" s="591" t="s">
        <v>614</v>
      </c>
      <c r="F185" s="592"/>
      <c r="G185" s="761"/>
      <c r="H185" s="708"/>
      <c r="I185" s="717"/>
      <c r="J185" s="594">
        <f t="shared" ref="J185:S185" si="229">SUM(J184:J184)</f>
        <v>0.15</v>
      </c>
      <c r="K185" s="595">
        <f t="shared" si="229"/>
        <v>0.4</v>
      </c>
      <c r="L185" s="595">
        <f t="shared" si="229"/>
        <v>0.3</v>
      </c>
      <c r="M185" s="595">
        <f t="shared" si="229"/>
        <v>0.1</v>
      </c>
      <c r="N185" s="762">
        <f t="shared" si="229"/>
        <v>0.95000000000000007</v>
      </c>
      <c r="O185" s="597">
        <f t="shared" si="229"/>
        <v>0</v>
      </c>
      <c r="P185" s="598">
        <f t="shared" si="229"/>
        <v>0</v>
      </c>
      <c r="Q185" s="598">
        <f t="shared" si="229"/>
        <v>0</v>
      </c>
      <c r="R185" s="598">
        <f t="shared" si="229"/>
        <v>0</v>
      </c>
      <c r="S185" s="1422">
        <f t="shared" si="229"/>
        <v>0</v>
      </c>
      <c r="T185" s="599"/>
      <c r="U185" s="599"/>
      <c r="V185" s="599"/>
      <c r="W185" s="599"/>
      <c r="X185" s="599"/>
      <c r="Y185" s="647"/>
      <c r="Z185" s="600"/>
      <c r="AA185" s="600"/>
      <c r="AB185" s="600"/>
      <c r="AC185" s="601"/>
      <c r="AD185" s="602"/>
      <c r="AE185" s="602"/>
      <c r="AF185" s="605"/>
      <c r="AG185" s="605"/>
      <c r="AH185" s="605"/>
      <c r="AI185" s="624"/>
    </row>
    <row r="186" spans="1:40" s="683" customFormat="1" ht="24.75" customHeight="1">
      <c r="A186" s="587"/>
      <c r="B186" s="669"/>
      <c r="C186" s="669"/>
      <c r="D186" s="608"/>
      <c r="E186" s="609" t="s">
        <v>463</v>
      </c>
      <c r="F186" s="610"/>
      <c r="G186" s="611"/>
      <c r="H186" s="627"/>
      <c r="I186" s="786"/>
      <c r="J186" s="974">
        <f t="shared" ref="J186:S186" si="230">SUM(J185,J183)</f>
        <v>31.15</v>
      </c>
      <c r="K186" s="975">
        <f t="shared" si="230"/>
        <v>88.4</v>
      </c>
      <c r="L186" s="975">
        <f t="shared" si="230"/>
        <v>68.3</v>
      </c>
      <c r="M186" s="975">
        <f t="shared" si="230"/>
        <v>17.100000000000001</v>
      </c>
      <c r="N186" s="976">
        <f t="shared" si="230"/>
        <v>204.95</v>
      </c>
      <c r="O186" s="632">
        <f>SUM(O185,O183)</f>
        <v>90</v>
      </c>
      <c r="P186" s="633">
        <f t="shared" si="230"/>
        <v>167</v>
      </c>
      <c r="Q186" s="633">
        <f t="shared" si="230"/>
        <v>147</v>
      </c>
      <c r="R186" s="633">
        <f t="shared" si="230"/>
        <v>37</v>
      </c>
      <c r="S186" s="1417">
        <f t="shared" si="230"/>
        <v>441</v>
      </c>
      <c r="T186" s="763"/>
      <c r="U186" s="763"/>
      <c r="V186" s="763"/>
      <c r="W186" s="763"/>
      <c r="X186" s="763"/>
      <c r="Y186" s="1756"/>
      <c r="Z186" s="1704"/>
      <c r="AA186" s="1704"/>
      <c r="AB186" s="1704"/>
      <c r="AC186" s="1757"/>
      <c r="AD186" s="764"/>
      <c r="AE186" s="602">
        <f>AD186-S186</f>
        <v>-441</v>
      </c>
      <c r="AF186" s="605"/>
      <c r="AG186" s="605"/>
      <c r="AH186" s="605"/>
      <c r="AI186" s="646"/>
    </row>
    <row r="187" spans="1:40" s="607" customFormat="1" ht="21.75" customHeight="1">
      <c r="A187" s="587"/>
      <c r="B187" s="659"/>
      <c r="C187" s="669"/>
      <c r="D187" s="590" t="s">
        <v>1426</v>
      </c>
      <c r="E187" s="660"/>
      <c r="F187" s="771"/>
      <c r="G187" s="716"/>
      <c r="H187" s="772"/>
      <c r="I187" s="773"/>
      <c r="J187" s="774">
        <f>SUM(J186)</f>
        <v>31.15</v>
      </c>
      <c r="K187" s="775">
        <f>SUM(K186)</f>
        <v>88.4</v>
      </c>
      <c r="L187" s="775">
        <f>SUM(L186)</f>
        <v>68.3</v>
      </c>
      <c r="M187" s="775">
        <f>SUM(M186)</f>
        <v>17.100000000000001</v>
      </c>
      <c r="N187" s="776">
        <f>SUM(J187:M187)</f>
        <v>204.95000000000002</v>
      </c>
      <c r="O187" s="777">
        <f>SUM(O186)</f>
        <v>90</v>
      </c>
      <c r="P187" s="778">
        <f>SUM(P186)</f>
        <v>167</v>
      </c>
      <c r="Q187" s="778">
        <f>SUM(Q186)</f>
        <v>147</v>
      </c>
      <c r="R187" s="778">
        <f>SUM(R186)</f>
        <v>37</v>
      </c>
      <c r="S187" s="1409">
        <f>SUM(O187:R187)</f>
        <v>441</v>
      </c>
      <c r="T187" s="599"/>
      <c r="U187" s="599"/>
      <c r="V187" s="599"/>
      <c r="W187" s="599"/>
      <c r="X187" s="599"/>
      <c r="Y187" s="647"/>
      <c r="Z187" s="600"/>
      <c r="AA187" s="600"/>
      <c r="AB187" s="600"/>
      <c r="AC187" s="601"/>
      <c r="AD187" s="764"/>
      <c r="AE187" s="602">
        <f>AD187-S187</f>
        <v>-441</v>
      </c>
      <c r="AF187" s="605"/>
      <c r="AG187" s="605"/>
      <c r="AH187" s="605"/>
      <c r="AI187" s="624"/>
      <c r="AK187" s="769"/>
      <c r="AL187" s="770"/>
      <c r="AM187" s="690"/>
      <c r="AN187" s="690"/>
    </row>
    <row r="188" spans="1:40" s="607" customFormat="1" ht="43.5" customHeight="1">
      <c r="A188" s="587"/>
      <c r="B188" s="589" t="s">
        <v>54</v>
      </c>
      <c r="C188" s="589"/>
      <c r="D188" s="2597" t="s">
        <v>797</v>
      </c>
      <c r="E188" s="2597"/>
      <c r="F188" s="2597"/>
      <c r="G188" s="2597"/>
      <c r="H188" s="643"/>
      <c r="I188" s="643"/>
      <c r="J188" s="813"/>
      <c r="K188" s="732"/>
      <c r="L188" s="814"/>
      <c r="M188" s="814"/>
      <c r="N188" s="833"/>
      <c r="O188" s="622"/>
      <c r="P188" s="623"/>
      <c r="Q188" s="623"/>
      <c r="R188" s="623"/>
      <c r="S188" s="1695">
        <f>SUM(O187:R187)</f>
        <v>441</v>
      </c>
      <c r="T188" s="599"/>
      <c r="U188" s="599"/>
      <c r="V188" s="599"/>
      <c r="W188" s="599"/>
      <c r="X188" s="599"/>
      <c r="Y188" s="647"/>
      <c r="Z188" s="600"/>
      <c r="AA188" s="600">
        <f>IFERROR($S188*V188,"")</f>
        <v>0</v>
      </c>
      <c r="AB188" s="600"/>
      <c r="AC188" s="601"/>
      <c r="AD188" s="602">
        <f>SUM(Y188:AC188)</f>
        <v>0</v>
      </c>
      <c r="AE188" s="602"/>
      <c r="AF188" s="605"/>
      <c r="AG188" s="605"/>
      <c r="AH188" s="605"/>
      <c r="AI188" s="624"/>
    </row>
    <row r="189" spans="1:40" s="607" customFormat="1" ht="51.95" customHeight="1">
      <c r="A189" s="587"/>
      <c r="B189" s="659"/>
      <c r="C189" s="669"/>
      <c r="D189" s="1597"/>
      <c r="E189" s="1624" t="s">
        <v>606</v>
      </c>
      <c r="F189" s="2607" t="s">
        <v>1089</v>
      </c>
      <c r="G189" s="2608"/>
      <c r="H189" s="1404"/>
      <c r="I189" s="572"/>
      <c r="J189" s="620"/>
      <c r="K189" s="620"/>
      <c r="L189" s="620"/>
      <c r="M189" s="620"/>
      <c r="N189" s="650"/>
      <c r="O189" s="622"/>
      <c r="P189" s="623"/>
      <c r="Q189" s="623"/>
      <c r="R189" s="623"/>
      <c r="S189" s="1356"/>
      <c r="T189" s="599"/>
      <c r="U189" s="599" t="str">
        <f>IFERROR(INDEX('Annex 2_Code'!J$8:J$33,MATCH('Annex 3_MAFF'!$AG189,'Annex 2_Code'!$G$8:$G$33,0)),"")</f>
        <v/>
      </c>
      <c r="V189" s="599" t="str">
        <f>IFERROR(INDEX('Annex 2_Code'!K$8:K$33,MATCH('Annex 3_MAFF'!$AG189,'Annex 2_Code'!$G$8:$G$33,0)),"")</f>
        <v/>
      </c>
      <c r="W189" s="599" t="str">
        <f>IFERROR(INDEX('Annex 2_Code'!L$8:L$33,MATCH('Annex 3_MAFF'!$AG189,'Annex 2_Code'!$G$8:$G$33,0)),"")</f>
        <v/>
      </c>
      <c r="X189" s="599" t="str">
        <f>IFERROR(INDEX('Annex 2_Code'!M$8:M$33,MATCH('Annex 3_MAFF'!$AG189,'Annex 2_Code'!$G$8:$G$33,0)),"")</f>
        <v/>
      </c>
      <c r="Y189" s="647">
        <f>IFERROR($S189*T189,"")</f>
        <v>0</v>
      </c>
      <c r="Z189" s="600" t="str">
        <f>IFERROR($S189*U189,"")</f>
        <v/>
      </c>
      <c r="AA189" s="600" t="str">
        <f>IFERROR($S189*V189,"")</f>
        <v/>
      </c>
      <c r="AB189" s="600" t="str">
        <f>IFERROR($S189*W189,"")</f>
        <v/>
      </c>
      <c r="AC189" s="601" t="str">
        <f>IFERROR($S189*X189,"")</f>
        <v/>
      </c>
      <c r="AD189" s="602">
        <f>SUM(Y189:AC189)</f>
        <v>0</v>
      </c>
      <c r="AE189" s="602">
        <f t="shared" ref="AE189:AE198" si="231">AD189-S189</f>
        <v>0</v>
      </c>
      <c r="AF189" s="605"/>
      <c r="AG189" s="605"/>
      <c r="AH189" s="605" t="str">
        <f>IFERROR(INDEX('Annex 2_Code'!$J$114:$J$126,MATCH('Annex 3_MAFF'!AF189,'Annex 2_Code'!$G$114:$G$126,0)),"")</f>
        <v/>
      </c>
      <c r="AI189" s="624" t="str">
        <f>IF(ISNUMBER(FIND("-",AH189,1))=FALSE,LEFT(AH189,LEN(AH189)),LEFT(AH189,(FIND("-",AH189,1))-1))</f>
        <v/>
      </c>
    </row>
    <row r="190" spans="1:40" s="607" customFormat="1" ht="69.75">
      <c r="A190" s="587"/>
      <c r="B190" s="669" t="s">
        <v>1451</v>
      </c>
      <c r="C190" s="669" t="s">
        <v>33</v>
      </c>
      <c r="D190" s="701"/>
      <c r="E190" s="307" t="s">
        <v>498</v>
      </c>
      <c r="F190" s="1403"/>
      <c r="G190" s="1922" t="s">
        <v>1220</v>
      </c>
      <c r="H190" s="1920" t="s">
        <v>837</v>
      </c>
      <c r="I190" s="794">
        <v>6</v>
      </c>
      <c r="J190" s="620">
        <v>2</v>
      </c>
      <c r="K190" s="620">
        <v>0</v>
      </c>
      <c r="L190" s="620">
        <v>0</v>
      </c>
      <c r="M190" s="620">
        <v>0</v>
      </c>
      <c r="N190" s="784">
        <f>SUM(J190:M190)</f>
        <v>2</v>
      </c>
      <c r="O190" s="759">
        <f t="shared" ref="O190:O225" si="232">($I190*J190)</f>
        <v>12</v>
      </c>
      <c r="P190" s="760">
        <f t="shared" ref="P190:P225" si="233">($I190*K190)</f>
        <v>0</v>
      </c>
      <c r="Q190" s="760">
        <f t="shared" ref="Q190:Q225" si="234">($I190*L190)</f>
        <v>0</v>
      </c>
      <c r="R190" s="760">
        <f t="shared" ref="R190:R225" si="235">($I190*M190)</f>
        <v>0</v>
      </c>
      <c r="S190" s="1356">
        <f>SUM(O190:R190)</f>
        <v>12</v>
      </c>
      <c r="T190" s="2314">
        <f>IFERROR(INDEX('Annex 2_Code'!I$8:I$33,MATCH('Annex 3_MAFF'!$AG190,'Annex 2_Code'!$G$8:$G$33,0)),"")</f>
        <v>0</v>
      </c>
      <c r="U190" s="2314">
        <f>IFERROR(INDEX('Annex 2_Code'!J$8:J$33,MATCH('Annex 3_MAFF'!$AG190,'Annex 2_Code'!$G$8:$G$33,0)),"")</f>
        <v>0</v>
      </c>
      <c r="V190" s="2314">
        <f>IFERROR(INDEX('Annex 2_Code'!K$8:K$33,MATCH('Annex 3_MAFF'!$AG190,'Annex 2_Code'!$G$8:$G$33,0)),"")</f>
        <v>1</v>
      </c>
      <c r="W190" s="2314">
        <f>IFERROR(INDEX('Annex 2_Code'!L$8:L$33,MATCH('Annex 3_MAFF'!$AG190,'Annex 2_Code'!$G$8:$G$33,0)),"")</f>
        <v>0</v>
      </c>
      <c r="X190" s="2314">
        <f>IFERROR(INDEX('Annex 2_Code'!M$8:M$33,MATCH('Annex 3_MAFF'!$AG190,'Annex 2_Code'!$G$8:$G$33,0)),"")</f>
        <v>0</v>
      </c>
      <c r="Y190" s="1745">
        <f t="shared" ref="Y190:Y198" si="236">IFERROR($S190*T190,"")</f>
        <v>0</v>
      </c>
      <c r="Z190" s="807">
        <f t="shared" ref="Z190:Z198" si="237">IFERROR($S190*U190,"")</f>
        <v>0</v>
      </c>
      <c r="AA190" s="807">
        <f t="shared" ref="AA190:AA198" si="238">IFERROR($S190*V190,"")</f>
        <v>12</v>
      </c>
      <c r="AB190" s="807">
        <f t="shared" ref="AB190:AB198" si="239">IFERROR($S190*W190,"")</f>
        <v>0</v>
      </c>
      <c r="AC190" s="808">
        <f t="shared" ref="AC190:AC198" si="240">IFERROR($S190*X190,"")</f>
        <v>0</v>
      </c>
      <c r="AD190" s="764">
        <f t="shared" ref="AD190:AD198" si="241">SUM(Y190:AC190)</f>
        <v>12</v>
      </c>
      <c r="AE190" s="764">
        <f t="shared" si="231"/>
        <v>0</v>
      </c>
      <c r="AF190" s="605" t="s">
        <v>301</v>
      </c>
      <c r="AG190" s="605" t="s">
        <v>201</v>
      </c>
      <c r="AH190" s="605" t="s">
        <v>372</v>
      </c>
      <c r="AI190" s="605" t="str">
        <f t="shared" ref="AI190:AI198" si="242">IF(ISNUMBER(FIND("-",AH190,1))=FALSE,LEFT(AH190,LEN(AH190)),LEFT(AH190,(FIND("-",AH190,1))-1))</f>
        <v>MAFF</v>
      </c>
      <c r="AJ190" s="683"/>
    </row>
    <row r="191" spans="1:40" s="607" customFormat="1" ht="42" customHeight="1">
      <c r="A191" s="587"/>
      <c r="B191" s="669" t="s">
        <v>1451</v>
      </c>
      <c r="C191" s="669" t="s">
        <v>33</v>
      </c>
      <c r="D191" s="701"/>
      <c r="E191" s="307" t="s">
        <v>499</v>
      </c>
      <c r="F191" s="1403"/>
      <c r="G191" s="1922" t="s">
        <v>1221</v>
      </c>
      <c r="H191" s="1920" t="s">
        <v>837</v>
      </c>
      <c r="I191" s="794">
        <v>6</v>
      </c>
      <c r="J191" s="620">
        <v>2</v>
      </c>
      <c r="K191" s="620">
        <v>0</v>
      </c>
      <c r="L191" s="620">
        <v>0</v>
      </c>
      <c r="M191" s="620">
        <v>0</v>
      </c>
      <c r="N191" s="784">
        <f t="shared" ref="N191:N198" si="243">SUM(J191:M191)</f>
        <v>2</v>
      </c>
      <c r="O191" s="759">
        <f t="shared" si="232"/>
        <v>12</v>
      </c>
      <c r="P191" s="760">
        <f t="shared" si="233"/>
        <v>0</v>
      </c>
      <c r="Q191" s="760">
        <f t="shared" si="234"/>
        <v>0</v>
      </c>
      <c r="R191" s="760">
        <f t="shared" si="235"/>
        <v>0</v>
      </c>
      <c r="S191" s="1356">
        <f t="shared" ref="S191:S195" si="244">SUM(O191:R191)</f>
        <v>12</v>
      </c>
      <c r="T191" s="2314">
        <f>IFERROR(INDEX('Annex 2_Code'!I$8:I$33,MATCH('Annex 3_MAFF'!$AG191,'Annex 2_Code'!$G$8:$G$33,0)),"")</f>
        <v>0</v>
      </c>
      <c r="U191" s="2314">
        <f>IFERROR(INDEX('Annex 2_Code'!J$8:J$33,MATCH('Annex 3_MAFF'!$AG191,'Annex 2_Code'!$G$8:$G$33,0)),"")</f>
        <v>0</v>
      </c>
      <c r="V191" s="2314">
        <f>IFERROR(INDEX('Annex 2_Code'!K$8:K$33,MATCH('Annex 3_MAFF'!$AG191,'Annex 2_Code'!$G$8:$G$33,0)),"")</f>
        <v>1</v>
      </c>
      <c r="W191" s="2314">
        <f>IFERROR(INDEX('Annex 2_Code'!L$8:L$33,MATCH('Annex 3_MAFF'!$AG191,'Annex 2_Code'!$G$8:$G$33,0)),"")</f>
        <v>0</v>
      </c>
      <c r="X191" s="2314">
        <f>IFERROR(INDEX('Annex 2_Code'!M$8:M$33,MATCH('Annex 3_MAFF'!$AG191,'Annex 2_Code'!$G$8:$G$33,0)),"")</f>
        <v>0</v>
      </c>
      <c r="Y191" s="1745">
        <f t="shared" si="236"/>
        <v>0</v>
      </c>
      <c r="Z191" s="807">
        <f t="shared" si="237"/>
        <v>0</v>
      </c>
      <c r="AA191" s="807">
        <f t="shared" si="238"/>
        <v>12</v>
      </c>
      <c r="AB191" s="807">
        <f t="shared" si="239"/>
        <v>0</v>
      </c>
      <c r="AC191" s="808">
        <f t="shared" si="240"/>
        <v>0</v>
      </c>
      <c r="AD191" s="764">
        <f t="shared" si="241"/>
        <v>12</v>
      </c>
      <c r="AE191" s="764">
        <f t="shared" si="231"/>
        <v>0</v>
      </c>
      <c r="AF191" s="605" t="s">
        <v>301</v>
      </c>
      <c r="AG191" s="605" t="s">
        <v>201</v>
      </c>
      <c r="AH191" s="605" t="s">
        <v>372</v>
      </c>
      <c r="AI191" s="605" t="str">
        <f t="shared" si="242"/>
        <v>MAFF</v>
      </c>
      <c r="AJ191" s="683"/>
    </row>
    <row r="192" spans="1:40" s="607" customFormat="1" ht="69.75">
      <c r="A192" s="587"/>
      <c r="B192" s="669" t="s">
        <v>1451</v>
      </c>
      <c r="C192" s="669" t="s">
        <v>33</v>
      </c>
      <c r="D192" s="701"/>
      <c r="E192" s="307" t="s">
        <v>500</v>
      </c>
      <c r="F192" s="1403"/>
      <c r="G192" s="1922" t="s">
        <v>1222</v>
      </c>
      <c r="H192" s="1920" t="s">
        <v>837</v>
      </c>
      <c r="I192" s="794">
        <v>6</v>
      </c>
      <c r="J192" s="620">
        <v>0</v>
      </c>
      <c r="K192" s="620">
        <v>1</v>
      </c>
      <c r="L192" s="620">
        <v>0</v>
      </c>
      <c r="M192" s="620">
        <v>0</v>
      </c>
      <c r="N192" s="784">
        <f t="shared" si="243"/>
        <v>1</v>
      </c>
      <c r="O192" s="759">
        <f t="shared" si="232"/>
        <v>0</v>
      </c>
      <c r="P192" s="760">
        <f t="shared" si="233"/>
        <v>6</v>
      </c>
      <c r="Q192" s="760">
        <f t="shared" si="234"/>
        <v>0</v>
      </c>
      <c r="R192" s="760">
        <f t="shared" si="235"/>
        <v>0</v>
      </c>
      <c r="S192" s="1356">
        <f t="shared" si="244"/>
        <v>6</v>
      </c>
      <c r="T192" s="2314">
        <f>IFERROR(INDEX('Annex 2_Code'!I$8:I$33,MATCH('Annex 3_MAFF'!$AG192,'Annex 2_Code'!$G$8:$G$33,0)),"")</f>
        <v>0</v>
      </c>
      <c r="U192" s="2314">
        <f>IFERROR(INDEX('Annex 2_Code'!J$8:J$33,MATCH('Annex 3_MAFF'!$AG192,'Annex 2_Code'!$G$8:$G$33,0)),"")</f>
        <v>0</v>
      </c>
      <c r="V192" s="2314">
        <f>IFERROR(INDEX('Annex 2_Code'!K$8:K$33,MATCH('Annex 3_MAFF'!$AG192,'Annex 2_Code'!$G$8:$G$33,0)),"")</f>
        <v>1</v>
      </c>
      <c r="W192" s="2314">
        <f>IFERROR(INDEX('Annex 2_Code'!L$8:L$33,MATCH('Annex 3_MAFF'!$AG192,'Annex 2_Code'!$G$8:$G$33,0)),"")</f>
        <v>0</v>
      </c>
      <c r="X192" s="2314">
        <f>IFERROR(INDEX('Annex 2_Code'!M$8:M$33,MATCH('Annex 3_MAFF'!$AG192,'Annex 2_Code'!$G$8:$G$33,0)),"")</f>
        <v>0</v>
      </c>
      <c r="Y192" s="1745">
        <f t="shared" si="236"/>
        <v>0</v>
      </c>
      <c r="Z192" s="807">
        <f t="shared" si="237"/>
        <v>0</v>
      </c>
      <c r="AA192" s="807">
        <f t="shared" si="238"/>
        <v>6</v>
      </c>
      <c r="AB192" s="807">
        <f t="shared" si="239"/>
        <v>0</v>
      </c>
      <c r="AC192" s="808">
        <f t="shared" si="240"/>
        <v>0</v>
      </c>
      <c r="AD192" s="764">
        <f t="shared" si="241"/>
        <v>6</v>
      </c>
      <c r="AE192" s="764">
        <f t="shared" si="231"/>
        <v>0</v>
      </c>
      <c r="AF192" s="605" t="s">
        <v>301</v>
      </c>
      <c r="AG192" s="605" t="s">
        <v>201</v>
      </c>
      <c r="AH192" s="605" t="s">
        <v>372</v>
      </c>
      <c r="AI192" s="605" t="str">
        <f t="shared" si="242"/>
        <v>MAFF</v>
      </c>
      <c r="AJ192" s="683"/>
    </row>
    <row r="193" spans="1:46" s="607" customFormat="1" ht="46.5">
      <c r="A193" s="587"/>
      <c r="B193" s="669" t="s">
        <v>1451</v>
      </c>
      <c r="C193" s="669" t="s">
        <v>33</v>
      </c>
      <c r="D193" s="701"/>
      <c r="E193" s="307" t="s">
        <v>501</v>
      </c>
      <c r="F193" s="1403"/>
      <c r="G193" s="1922" t="s">
        <v>1223</v>
      </c>
      <c r="H193" s="1920" t="s">
        <v>837</v>
      </c>
      <c r="I193" s="794">
        <v>6</v>
      </c>
      <c r="J193" s="620">
        <v>0</v>
      </c>
      <c r="K193" s="620">
        <v>1</v>
      </c>
      <c r="L193" s="620">
        <v>0</v>
      </c>
      <c r="M193" s="620">
        <v>0</v>
      </c>
      <c r="N193" s="784">
        <f t="shared" si="243"/>
        <v>1</v>
      </c>
      <c r="O193" s="759">
        <f t="shared" si="232"/>
        <v>0</v>
      </c>
      <c r="P193" s="760">
        <f t="shared" si="233"/>
        <v>6</v>
      </c>
      <c r="Q193" s="760">
        <f t="shared" si="234"/>
        <v>0</v>
      </c>
      <c r="R193" s="760">
        <f t="shared" si="235"/>
        <v>0</v>
      </c>
      <c r="S193" s="1356">
        <f>SUM(O193:R193)</f>
        <v>6</v>
      </c>
      <c r="T193" s="2314">
        <f>IFERROR(INDEX('Annex 2_Code'!I$8:I$33,MATCH('Annex 3_MAFF'!$AG193,'Annex 2_Code'!$G$8:$G$33,0)),"")</f>
        <v>0</v>
      </c>
      <c r="U193" s="2314">
        <f>IFERROR(INDEX('Annex 2_Code'!J$8:J$33,MATCH('Annex 3_MAFF'!$AG193,'Annex 2_Code'!$G$8:$G$33,0)),"")</f>
        <v>0</v>
      </c>
      <c r="V193" s="2314">
        <f>IFERROR(INDEX('Annex 2_Code'!K$8:K$33,MATCH('Annex 3_MAFF'!$AG193,'Annex 2_Code'!$G$8:$G$33,0)),"")</f>
        <v>1</v>
      </c>
      <c r="W193" s="2314">
        <f>IFERROR(INDEX('Annex 2_Code'!L$8:L$33,MATCH('Annex 3_MAFF'!$AG193,'Annex 2_Code'!$G$8:$G$33,0)),"")</f>
        <v>0</v>
      </c>
      <c r="X193" s="2314">
        <f>IFERROR(INDEX('Annex 2_Code'!M$8:M$33,MATCH('Annex 3_MAFF'!$AG193,'Annex 2_Code'!$G$8:$G$33,0)),"")</f>
        <v>0</v>
      </c>
      <c r="Y193" s="1745">
        <f t="shared" si="236"/>
        <v>0</v>
      </c>
      <c r="Z193" s="807">
        <f t="shared" si="237"/>
        <v>0</v>
      </c>
      <c r="AA193" s="807">
        <f t="shared" si="238"/>
        <v>6</v>
      </c>
      <c r="AB193" s="807">
        <f t="shared" si="239"/>
        <v>0</v>
      </c>
      <c r="AC193" s="808">
        <f t="shared" si="240"/>
        <v>0</v>
      </c>
      <c r="AD193" s="764">
        <f t="shared" si="241"/>
        <v>6</v>
      </c>
      <c r="AE193" s="764">
        <f t="shared" si="231"/>
        <v>0</v>
      </c>
      <c r="AF193" s="605" t="s">
        <v>301</v>
      </c>
      <c r="AG193" s="605" t="s">
        <v>201</v>
      </c>
      <c r="AH193" s="605" t="s">
        <v>372</v>
      </c>
      <c r="AI193" s="605" t="str">
        <f t="shared" si="242"/>
        <v>MAFF</v>
      </c>
      <c r="AJ193" s="683"/>
    </row>
    <row r="194" spans="1:46" s="607" customFormat="1" ht="42" customHeight="1">
      <c r="A194" s="587"/>
      <c r="B194" s="669" t="s">
        <v>1451</v>
      </c>
      <c r="C194" s="669" t="s">
        <v>33</v>
      </c>
      <c r="D194" s="701"/>
      <c r="E194" s="307" t="s">
        <v>502</v>
      </c>
      <c r="F194" s="1403"/>
      <c r="G194" s="1922" t="s">
        <v>1224</v>
      </c>
      <c r="H194" s="1920" t="s">
        <v>837</v>
      </c>
      <c r="I194" s="794">
        <v>6</v>
      </c>
      <c r="J194" s="620"/>
      <c r="K194" s="620"/>
      <c r="L194" s="620">
        <v>1</v>
      </c>
      <c r="M194" s="620">
        <v>0</v>
      </c>
      <c r="N194" s="784">
        <f t="shared" si="243"/>
        <v>1</v>
      </c>
      <c r="O194" s="759">
        <f t="shared" si="232"/>
        <v>0</v>
      </c>
      <c r="P194" s="760">
        <f t="shared" si="233"/>
        <v>0</v>
      </c>
      <c r="Q194" s="760">
        <f t="shared" si="234"/>
        <v>6</v>
      </c>
      <c r="R194" s="760">
        <f t="shared" si="235"/>
        <v>0</v>
      </c>
      <c r="S194" s="1356">
        <f t="shared" si="244"/>
        <v>6</v>
      </c>
      <c r="T194" s="2314">
        <f>IFERROR(INDEX('Annex 2_Code'!I$8:I$33,MATCH('Annex 3_MAFF'!$AG194,'Annex 2_Code'!$G$8:$G$33,0)),"")</f>
        <v>0</v>
      </c>
      <c r="U194" s="2314">
        <f>IFERROR(INDEX('Annex 2_Code'!J$8:J$33,MATCH('Annex 3_MAFF'!$AG194,'Annex 2_Code'!$G$8:$G$33,0)),"")</f>
        <v>0</v>
      </c>
      <c r="V194" s="2314">
        <f>IFERROR(INDEX('Annex 2_Code'!K$8:K$33,MATCH('Annex 3_MAFF'!$AG194,'Annex 2_Code'!$G$8:$G$33,0)),"")</f>
        <v>1</v>
      </c>
      <c r="W194" s="2314">
        <f>IFERROR(INDEX('Annex 2_Code'!L$8:L$33,MATCH('Annex 3_MAFF'!$AG194,'Annex 2_Code'!$G$8:$G$33,0)),"")</f>
        <v>0</v>
      </c>
      <c r="X194" s="2314">
        <f>IFERROR(INDEX('Annex 2_Code'!M$8:M$33,MATCH('Annex 3_MAFF'!$AG194,'Annex 2_Code'!$G$8:$G$33,0)),"")</f>
        <v>0</v>
      </c>
      <c r="Y194" s="1745">
        <f t="shared" si="236"/>
        <v>0</v>
      </c>
      <c r="Z194" s="807">
        <f t="shared" si="237"/>
        <v>0</v>
      </c>
      <c r="AA194" s="807">
        <f t="shared" si="238"/>
        <v>6</v>
      </c>
      <c r="AB194" s="807">
        <f t="shared" si="239"/>
        <v>0</v>
      </c>
      <c r="AC194" s="808">
        <f t="shared" si="240"/>
        <v>0</v>
      </c>
      <c r="AD194" s="764">
        <f t="shared" si="241"/>
        <v>6</v>
      </c>
      <c r="AE194" s="764">
        <f t="shared" si="231"/>
        <v>0</v>
      </c>
      <c r="AF194" s="605" t="s">
        <v>301</v>
      </c>
      <c r="AG194" s="605" t="s">
        <v>201</v>
      </c>
      <c r="AH194" s="605" t="s">
        <v>372</v>
      </c>
      <c r="AI194" s="605" t="str">
        <f t="shared" si="242"/>
        <v>MAFF</v>
      </c>
      <c r="AJ194" s="683"/>
    </row>
    <row r="195" spans="1:46" s="1568" customFormat="1" ht="69.75">
      <c r="A195" s="1567"/>
      <c r="B195" s="669" t="s">
        <v>1451</v>
      </c>
      <c r="C195" s="669" t="s">
        <v>33</v>
      </c>
      <c r="D195" s="701"/>
      <c r="E195" s="307" t="s">
        <v>503</v>
      </c>
      <c r="F195" s="1403"/>
      <c r="G195" s="1922" t="s">
        <v>1225</v>
      </c>
      <c r="H195" s="1920" t="s">
        <v>837</v>
      </c>
      <c r="I195" s="794">
        <v>6</v>
      </c>
      <c r="J195" s="620"/>
      <c r="K195" s="620"/>
      <c r="L195" s="620">
        <v>1</v>
      </c>
      <c r="M195" s="620">
        <v>0</v>
      </c>
      <c r="N195" s="784">
        <f t="shared" si="243"/>
        <v>1</v>
      </c>
      <c r="O195" s="759">
        <f t="shared" si="232"/>
        <v>0</v>
      </c>
      <c r="P195" s="760">
        <f t="shared" si="233"/>
        <v>0</v>
      </c>
      <c r="Q195" s="760">
        <f t="shared" si="234"/>
        <v>6</v>
      </c>
      <c r="R195" s="760">
        <f t="shared" si="235"/>
        <v>0</v>
      </c>
      <c r="S195" s="1356">
        <f t="shared" si="244"/>
        <v>6</v>
      </c>
      <c r="T195" s="2314">
        <f>IFERROR(INDEX('Annex 2_Code'!I$8:I$33,MATCH('Annex 3_MAFF'!$AG195,'Annex 2_Code'!$G$8:$G$33,0)),"")</f>
        <v>0</v>
      </c>
      <c r="U195" s="2314">
        <f>IFERROR(INDEX('Annex 2_Code'!J$8:J$33,MATCH('Annex 3_MAFF'!$AG195,'Annex 2_Code'!$G$8:$G$33,0)),"")</f>
        <v>0</v>
      </c>
      <c r="V195" s="2314">
        <f>IFERROR(INDEX('Annex 2_Code'!K$8:K$33,MATCH('Annex 3_MAFF'!$AG195,'Annex 2_Code'!$G$8:$G$33,0)),"")</f>
        <v>1</v>
      </c>
      <c r="W195" s="2314">
        <f>IFERROR(INDEX('Annex 2_Code'!L$8:L$33,MATCH('Annex 3_MAFF'!$AG195,'Annex 2_Code'!$G$8:$G$33,0)),"")</f>
        <v>0</v>
      </c>
      <c r="X195" s="2314">
        <f>IFERROR(INDEX('Annex 2_Code'!M$8:M$33,MATCH('Annex 3_MAFF'!$AG195,'Annex 2_Code'!$G$8:$G$33,0)),"")</f>
        <v>0</v>
      </c>
      <c r="Y195" s="1745">
        <f t="shared" si="236"/>
        <v>0</v>
      </c>
      <c r="Z195" s="807">
        <f t="shared" si="237"/>
        <v>0</v>
      </c>
      <c r="AA195" s="807">
        <f t="shared" si="238"/>
        <v>6</v>
      </c>
      <c r="AB195" s="807">
        <f t="shared" si="239"/>
        <v>0</v>
      </c>
      <c r="AC195" s="808">
        <f t="shared" si="240"/>
        <v>0</v>
      </c>
      <c r="AD195" s="764">
        <f t="shared" si="241"/>
        <v>6</v>
      </c>
      <c r="AE195" s="764">
        <f t="shared" si="231"/>
        <v>0</v>
      </c>
      <c r="AF195" s="605" t="s">
        <v>301</v>
      </c>
      <c r="AG195" s="605" t="s">
        <v>201</v>
      </c>
      <c r="AH195" s="605" t="s">
        <v>372</v>
      </c>
      <c r="AI195" s="605" t="str">
        <f t="shared" si="242"/>
        <v>MAFF</v>
      </c>
      <c r="AJ195" s="683"/>
    </row>
    <row r="196" spans="1:46" s="607" customFormat="1" ht="42" customHeight="1">
      <c r="A196" s="584"/>
      <c r="B196" s="669" t="s">
        <v>1451</v>
      </c>
      <c r="C196" s="669" t="s">
        <v>33</v>
      </c>
      <c r="D196" s="701"/>
      <c r="E196" s="307" t="s">
        <v>504</v>
      </c>
      <c r="F196" s="1403"/>
      <c r="G196" s="1922" t="s">
        <v>1226</v>
      </c>
      <c r="H196" s="1920" t="s">
        <v>837</v>
      </c>
      <c r="I196" s="794">
        <v>6</v>
      </c>
      <c r="J196" s="620">
        <v>0</v>
      </c>
      <c r="K196" s="620"/>
      <c r="L196" s="620">
        <v>1</v>
      </c>
      <c r="M196" s="620">
        <v>0</v>
      </c>
      <c r="N196" s="784">
        <f t="shared" si="243"/>
        <v>1</v>
      </c>
      <c r="O196" s="759">
        <f t="shared" si="232"/>
        <v>0</v>
      </c>
      <c r="P196" s="760">
        <f t="shared" si="233"/>
        <v>0</v>
      </c>
      <c r="Q196" s="760">
        <f t="shared" si="234"/>
        <v>6</v>
      </c>
      <c r="R196" s="760">
        <f t="shared" si="235"/>
        <v>0</v>
      </c>
      <c r="S196" s="1356">
        <f>SUM(O196:R196)</f>
        <v>6</v>
      </c>
      <c r="T196" s="2314">
        <f>IFERROR(INDEX('Annex 2_Code'!I$8:I$33,MATCH('Annex 3_MAFF'!$AG196,'Annex 2_Code'!$G$8:$G$33,0)),"")</f>
        <v>0</v>
      </c>
      <c r="U196" s="2314">
        <f>IFERROR(INDEX('Annex 2_Code'!J$8:J$33,MATCH('Annex 3_MAFF'!$AG196,'Annex 2_Code'!$G$8:$G$33,0)),"")</f>
        <v>0</v>
      </c>
      <c r="V196" s="2314">
        <f>IFERROR(INDEX('Annex 2_Code'!K$8:K$33,MATCH('Annex 3_MAFF'!$AG196,'Annex 2_Code'!$G$8:$G$33,0)),"")</f>
        <v>1</v>
      </c>
      <c r="W196" s="2314">
        <f>IFERROR(INDEX('Annex 2_Code'!L$8:L$33,MATCH('Annex 3_MAFF'!$AG196,'Annex 2_Code'!$G$8:$G$33,0)),"")</f>
        <v>0</v>
      </c>
      <c r="X196" s="2314">
        <f>IFERROR(INDEX('Annex 2_Code'!M$8:M$33,MATCH('Annex 3_MAFF'!$AG196,'Annex 2_Code'!$G$8:$G$33,0)),"")</f>
        <v>0</v>
      </c>
      <c r="Y196" s="1745">
        <f t="shared" si="236"/>
        <v>0</v>
      </c>
      <c r="Z196" s="807">
        <f t="shared" si="237"/>
        <v>0</v>
      </c>
      <c r="AA196" s="807">
        <f t="shared" si="238"/>
        <v>6</v>
      </c>
      <c r="AB196" s="807">
        <f t="shared" si="239"/>
        <v>0</v>
      </c>
      <c r="AC196" s="808">
        <f t="shared" si="240"/>
        <v>0</v>
      </c>
      <c r="AD196" s="764">
        <f t="shared" si="241"/>
        <v>6</v>
      </c>
      <c r="AE196" s="764">
        <f t="shared" si="231"/>
        <v>0</v>
      </c>
      <c r="AF196" s="605" t="s">
        <v>301</v>
      </c>
      <c r="AG196" s="605" t="s">
        <v>201</v>
      </c>
      <c r="AH196" s="605" t="s">
        <v>372</v>
      </c>
      <c r="AI196" s="605" t="str">
        <f t="shared" si="242"/>
        <v>MAFF</v>
      </c>
      <c r="AJ196" s="683"/>
    </row>
    <row r="197" spans="1:46" s="607" customFormat="1" ht="42" customHeight="1" outlineLevel="1">
      <c r="A197" s="587"/>
      <c r="B197" s="669" t="s">
        <v>1451</v>
      </c>
      <c r="C197" s="669" t="s">
        <v>33</v>
      </c>
      <c r="D197" s="701"/>
      <c r="E197" s="307" t="s">
        <v>803</v>
      </c>
      <c r="F197" s="615"/>
      <c r="G197" s="1922" t="s">
        <v>1227</v>
      </c>
      <c r="H197" s="1920" t="s">
        <v>837</v>
      </c>
      <c r="I197" s="794">
        <v>6</v>
      </c>
      <c r="J197" s="620">
        <v>0</v>
      </c>
      <c r="K197" s="620">
        <v>1</v>
      </c>
      <c r="L197" s="620">
        <v>0</v>
      </c>
      <c r="M197" s="620">
        <v>0</v>
      </c>
      <c r="N197" s="731">
        <f t="shared" si="243"/>
        <v>1</v>
      </c>
      <c r="O197" s="760">
        <f t="shared" si="232"/>
        <v>0</v>
      </c>
      <c r="P197" s="760">
        <f t="shared" si="233"/>
        <v>6</v>
      </c>
      <c r="Q197" s="760">
        <f t="shared" si="234"/>
        <v>0</v>
      </c>
      <c r="R197" s="760">
        <f t="shared" si="235"/>
        <v>0</v>
      </c>
      <c r="S197" s="1356">
        <f t="shared" ref="S197" si="245">SUM(O197:R197)</f>
        <v>6</v>
      </c>
      <c r="T197" s="2314">
        <f>IFERROR(INDEX('Annex 2_Code'!I$8:I$33,MATCH('Annex 3_MAFF'!$AG197,'Annex 2_Code'!$G$8:$G$33,0)),"")</f>
        <v>0</v>
      </c>
      <c r="U197" s="2314">
        <f>IFERROR(INDEX('Annex 2_Code'!J$8:J$33,MATCH('Annex 3_MAFF'!$AG197,'Annex 2_Code'!$G$8:$G$33,0)),"")</f>
        <v>0</v>
      </c>
      <c r="V197" s="2314">
        <f>IFERROR(INDEX('Annex 2_Code'!K$8:K$33,MATCH('Annex 3_MAFF'!$AG197,'Annex 2_Code'!$G$8:$G$33,0)),"")</f>
        <v>1</v>
      </c>
      <c r="W197" s="2314">
        <f>IFERROR(INDEX('Annex 2_Code'!L$8:L$33,MATCH('Annex 3_MAFF'!$AG197,'Annex 2_Code'!$G$8:$G$33,0)),"")</f>
        <v>0</v>
      </c>
      <c r="X197" s="2314">
        <f>IFERROR(INDEX('Annex 2_Code'!M$8:M$33,MATCH('Annex 3_MAFF'!$AG197,'Annex 2_Code'!$G$8:$G$33,0)),"")</f>
        <v>0</v>
      </c>
      <c r="Y197" s="1745">
        <f t="shared" si="236"/>
        <v>0</v>
      </c>
      <c r="Z197" s="807">
        <f t="shared" si="237"/>
        <v>0</v>
      </c>
      <c r="AA197" s="807">
        <f t="shared" si="238"/>
        <v>6</v>
      </c>
      <c r="AB197" s="807">
        <f t="shared" si="239"/>
        <v>0</v>
      </c>
      <c r="AC197" s="808">
        <f t="shared" si="240"/>
        <v>0</v>
      </c>
      <c r="AD197" s="764">
        <f t="shared" si="241"/>
        <v>6</v>
      </c>
      <c r="AE197" s="764">
        <f t="shared" si="231"/>
        <v>0</v>
      </c>
      <c r="AF197" s="605" t="s">
        <v>301</v>
      </c>
      <c r="AG197" s="605" t="s">
        <v>201</v>
      </c>
      <c r="AH197" s="605" t="s">
        <v>372</v>
      </c>
      <c r="AI197" s="605" t="str">
        <f t="shared" si="242"/>
        <v>MAFF</v>
      </c>
      <c r="AJ197" s="612"/>
      <c r="AK197" s="743"/>
      <c r="AL197" s="743"/>
      <c r="AM197" s="743"/>
      <c r="AN197" s="743"/>
      <c r="AO197" s="743"/>
      <c r="AP197" s="743"/>
      <c r="AQ197" s="743"/>
      <c r="AR197" s="743"/>
      <c r="AS197" s="743"/>
      <c r="AT197" s="743"/>
    </row>
    <row r="198" spans="1:46" s="607" customFormat="1" ht="37.5" outlineLevel="1">
      <c r="A198" s="307"/>
      <c r="B198" s="669" t="s">
        <v>1451</v>
      </c>
      <c r="C198" s="669" t="s">
        <v>33</v>
      </c>
      <c r="D198" s="701"/>
      <c r="E198" s="307" t="s">
        <v>804</v>
      </c>
      <c r="F198" s="615"/>
      <c r="G198" s="616" t="s">
        <v>1539</v>
      </c>
      <c r="H198" s="811" t="s">
        <v>1537</v>
      </c>
      <c r="I198" s="794">
        <v>6</v>
      </c>
      <c r="J198" s="620">
        <v>2</v>
      </c>
      <c r="K198" s="620"/>
      <c r="L198" s="620">
        <v>0</v>
      </c>
      <c r="M198" s="620">
        <v>0</v>
      </c>
      <c r="N198" s="731">
        <f t="shared" si="243"/>
        <v>2</v>
      </c>
      <c r="O198" s="760">
        <f t="shared" si="232"/>
        <v>12</v>
      </c>
      <c r="P198" s="760">
        <f t="shared" si="233"/>
        <v>0</v>
      </c>
      <c r="Q198" s="760">
        <f t="shared" si="234"/>
        <v>0</v>
      </c>
      <c r="R198" s="760">
        <f t="shared" si="235"/>
        <v>0</v>
      </c>
      <c r="S198" s="1356">
        <f t="shared" ref="S198:S203" si="246">SUM(O198:R198)</f>
        <v>12</v>
      </c>
      <c r="T198" s="2314">
        <f>IFERROR(INDEX('Annex 2_Code'!I$8:I$33,MATCH('Annex 3_MAFF'!$AG198,'Annex 2_Code'!$G$8:$G$33,0)),"")</f>
        <v>0</v>
      </c>
      <c r="U198" s="2314">
        <f>IFERROR(INDEX('Annex 2_Code'!J$8:J$33,MATCH('Annex 3_MAFF'!$AG198,'Annex 2_Code'!$G$8:$G$33,0)),"")</f>
        <v>0</v>
      </c>
      <c r="V198" s="2314">
        <f>IFERROR(INDEX('Annex 2_Code'!K$8:K$33,MATCH('Annex 3_MAFF'!$AG198,'Annex 2_Code'!$G$8:$G$33,0)),"")</f>
        <v>1</v>
      </c>
      <c r="W198" s="2314">
        <f>IFERROR(INDEX('Annex 2_Code'!L$8:L$33,MATCH('Annex 3_MAFF'!$AG198,'Annex 2_Code'!$G$8:$G$33,0)),"")</f>
        <v>0</v>
      </c>
      <c r="X198" s="2314">
        <f>IFERROR(INDEX('Annex 2_Code'!M$8:M$33,MATCH('Annex 3_MAFF'!$AG198,'Annex 2_Code'!$G$8:$G$33,0)),"")</f>
        <v>0</v>
      </c>
      <c r="Y198" s="1745">
        <f t="shared" si="236"/>
        <v>0</v>
      </c>
      <c r="Z198" s="807">
        <f t="shared" si="237"/>
        <v>0</v>
      </c>
      <c r="AA198" s="807">
        <f t="shared" si="238"/>
        <v>12</v>
      </c>
      <c r="AB198" s="807">
        <f t="shared" si="239"/>
        <v>0</v>
      </c>
      <c r="AC198" s="808">
        <f t="shared" si="240"/>
        <v>0</v>
      </c>
      <c r="AD198" s="764">
        <f t="shared" si="241"/>
        <v>12</v>
      </c>
      <c r="AE198" s="764">
        <f t="shared" si="231"/>
        <v>0</v>
      </c>
      <c r="AF198" s="605" t="s">
        <v>301</v>
      </c>
      <c r="AG198" s="605" t="s">
        <v>201</v>
      </c>
      <c r="AH198" s="605" t="s">
        <v>372</v>
      </c>
      <c r="AI198" s="605" t="str">
        <f t="shared" si="242"/>
        <v>MAFF</v>
      </c>
      <c r="AJ198" s="612"/>
      <c r="AK198" s="743"/>
      <c r="AL198" s="743"/>
      <c r="AM198" s="743"/>
      <c r="AN198" s="743"/>
      <c r="AO198" s="743"/>
      <c r="AP198" s="743"/>
      <c r="AQ198" s="743"/>
      <c r="AR198" s="743"/>
      <c r="AS198" s="743"/>
      <c r="AT198" s="743"/>
    </row>
    <row r="199" spans="1:46" s="607" customFormat="1" ht="42" customHeight="1" outlineLevel="1">
      <c r="A199" s="587"/>
      <c r="B199" s="669" t="s">
        <v>1451</v>
      </c>
      <c r="C199" s="669" t="s">
        <v>33</v>
      </c>
      <c r="D199" s="701"/>
      <c r="E199" s="307" t="s">
        <v>805</v>
      </c>
      <c r="F199" s="615"/>
      <c r="G199" s="2311" t="s">
        <v>1540</v>
      </c>
      <c r="H199" s="1365" t="s">
        <v>1537</v>
      </c>
      <c r="I199" s="572">
        <v>6</v>
      </c>
      <c r="J199" s="620"/>
      <c r="K199" s="620">
        <v>2</v>
      </c>
      <c r="L199" s="620">
        <v>0</v>
      </c>
      <c r="M199" s="620">
        <v>0</v>
      </c>
      <c r="N199" s="731">
        <f t="shared" ref="N199:N211" si="247">SUM(J199:M199)</f>
        <v>2</v>
      </c>
      <c r="O199" s="760">
        <f t="shared" si="232"/>
        <v>0</v>
      </c>
      <c r="P199" s="760">
        <f t="shared" si="233"/>
        <v>12</v>
      </c>
      <c r="Q199" s="760">
        <f t="shared" si="234"/>
        <v>0</v>
      </c>
      <c r="R199" s="760">
        <f t="shared" si="235"/>
        <v>0</v>
      </c>
      <c r="S199" s="1356">
        <f t="shared" si="246"/>
        <v>12</v>
      </c>
      <c r="T199" s="2314">
        <f>IFERROR(INDEX('Annex 2_Code'!I$8:I$33,MATCH('Annex 3_MAFF'!$AG199,'Annex 2_Code'!$G$8:$G$33,0)),"")</f>
        <v>0</v>
      </c>
      <c r="U199" s="2314">
        <f>IFERROR(INDEX('Annex 2_Code'!J$8:J$33,MATCH('Annex 3_MAFF'!$AG199,'Annex 2_Code'!$G$8:$G$33,0)),"")</f>
        <v>0</v>
      </c>
      <c r="V199" s="2314">
        <f>IFERROR(INDEX('Annex 2_Code'!K$8:K$33,MATCH('Annex 3_MAFF'!$AG199,'Annex 2_Code'!$G$8:$G$33,0)),"")</f>
        <v>1</v>
      </c>
      <c r="W199" s="2314">
        <f>IFERROR(INDEX('Annex 2_Code'!L$8:L$33,MATCH('Annex 3_MAFF'!$AG199,'Annex 2_Code'!$G$8:$G$33,0)),"")</f>
        <v>0</v>
      </c>
      <c r="X199" s="2314">
        <f>IFERROR(INDEX('Annex 2_Code'!M$8:M$33,MATCH('Annex 3_MAFF'!$AG199,'Annex 2_Code'!$G$8:$G$33,0)),"")</f>
        <v>0</v>
      </c>
      <c r="Y199" s="1745">
        <f t="shared" ref="Y199:Y212" si="248">IFERROR($S199*T199,"")</f>
        <v>0</v>
      </c>
      <c r="Z199" s="807">
        <f t="shared" ref="Z199:Z212" si="249">IFERROR($S199*U199,"")</f>
        <v>0</v>
      </c>
      <c r="AA199" s="807">
        <f t="shared" ref="AA199:AA212" si="250">IFERROR($S199*V199,"")</f>
        <v>12</v>
      </c>
      <c r="AB199" s="807">
        <f t="shared" ref="AB199:AB212" si="251">IFERROR($S199*W199,"")</f>
        <v>0</v>
      </c>
      <c r="AC199" s="808">
        <f t="shared" ref="AC199:AC212" si="252">IFERROR($S199*X199,"")</f>
        <v>0</v>
      </c>
      <c r="AD199" s="764">
        <f t="shared" ref="AD199:AD212" si="253">SUM(Y199:AC199)</f>
        <v>12</v>
      </c>
      <c r="AE199" s="764">
        <f t="shared" ref="AE199:AE212" si="254">AD199-S199</f>
        <v>0</v>
      </c>
      <c r="AF199" s="605" t="s">
        <v>301</v>
      </c>
      <c r="AG199" s="605" t="s">
        <v>201</v>
      </c>
      <c r="AH199" s="605" t="s">
        <v>372</v>
      </c>
      <c r="AI199" s="605" t="str">
        <f t="shared" ref="AI199:AI234" si="255">IF(ISNUMBER(FIND("-",AH199,1))=FALSE,LEFT(AH199,LEN(AH199)),LEFT(AH199,(FIND("-",AH199,1))-1))</f>
        <v>MAFF</v>
      </c>
      <c r="AJ199" s="612" t="s">
        <v>456</v>
      </c>
      <c r="AK199" s="743"/>
      <c r="AL199" s="743"/>
      <c r="AM199" s="743"/>
      <c r="AN199" s="743"/>
      <c r="AO199" s="743"/>
      <c r="AP199" s="743"/>
      <c r="AQ199" s="743"/>
      <c r="AR199" s="743"/>
      <c r="AS199" s="743"/>
      <c r="AT199" s="743"/>
    </row>
    <row r="200" spans="1:46" s="607" customFormat="1" ht="42" customHeight="1" outlineLevel="1">
      <c r="A200" s="587"/>
      <c r="B200" s="669" t="s">
        <v>1451</v>
      </c>
      <c r="C200" s="669" t="s">
        <v>33</v>
      </c>
      <c r="D200" s="701"/>
      <c r="E200" s="307" t="s">
        <v>806</v>
      </c>
      <c r="F200" s="615"/>
      <c r="G200" s="2237" t="s">
        <v>1541</v>
      </c>
      <c r="H200" s="1709" t="s">
        <v>1537</v>
      </c>
      <c r="I200" s="794">
        <v>6</v>
      </c>
      <c r="J200" s="2315">
        <v>1</v>
      </c>
      <c r="K200" s="2315">
        <v>1</v>
      </c>
      <c r="L200" s="2315">
        <v>0</v>
      </c>
      <c r="M200" s="2315">
        <v>0</v>
      </c>
      <c r="N200" s="731">
        <f t="shared" si="247"/>
        <v>2</v>
      </c>
      <c r="O200" s="760">
        <f t="shared" si="232"/>
        <v>6</v>
      </c>
      <c r="P200" s="760">
        <f t="shared" si="233"/>
        <v>6</v>
      </c>
      <c r="Q200" s="760">
        <f t="shared" si="234"/>
        <v>0</v>
      </c>
      <c r="R200" s="760">
        <f t="shared" si="235"/>
        <v>0</v>
      </c>
      <c r="S200" s="1356">
        <f t="shared" si="246"/>
        <v>12</v>
      </c>
      <c r="T200" s="2314">
        <f>IFERROR(INDEX('Annex 2_Code'!I$8:I$33,MATCH('Annex 3_MAFF'!$AG200,'Annex 2_Code'!$G$8:$G$33,0)),"")</f>
        <v>0</v>
      </c>
      <c r="U200" s="2314">
        <f>IFERROR(INDEX('Annex 2_Code'!J$8:J$33,MATCH('Annex 3_MAFF'!$AG200,'Annex 2_Code'!$G$8:$G$33,0)),"")</f>
        <v>0</v>
      </c>
      <c r="V200" s="2314">
        <f>IFERROR(INDEX('Annex 2_Code'!K$8:K$33,MATCH('Annex 3_MAFF'!$AG200,'Annex 2_Code'!$G$8:$G$33,0)),"")</f>
        <v>1</v>
      </c>
      <c r="W200" s="2314">
        <f>IFERROR(INDEX('Annex 2_Code'!L$8:L$33,MATCH('Annex 3_MAFF'!$AG200,'Annex 2_Code'!$G$8:$G$33,0)),"")</f>
        <v>0</v>
      </c>
      <c r="X200" s="2314">
        <f>IFERROR(INDEX('Annex 2_Code'!M$8:M$33,MATCH('Annex 3_MAFF'!$AG200,'Annex 2_Code'!$G$8:$G$33,0)),"")</f>
        <v>0</v>
      </c>
      <c r="Y200" s="1745">
        <f t="shared" ref="Y200:Y206" si="256">IFERROR($S200*T200,"")</f>
        <v>0</v>
      </c>
      <c r="Z200" s="807">
        <f t="shared" ref="Z200:Z206" si="257">IFERROR($S200*U200,"")</f>
        <v>0</v>
      </c>
      <c r="AA200" s="807">
        <f t="shared" ref="AA200:AA206" si="258">IFERROR($S200*V200,"")</f>
        <v>12</v>
      </c>
      <c r="AB200" s="807">
        <f t="shared" ref="AB200:AB206" si="259">IFERROR($S200*W200,"")</f>
        <v>0</v>
      </c>
      <c r="AC200" s="808">
        <f t="shared" ref="AC200:AC206" si="260">IFERROR($S200*X200,"")</f>
        <v>0</v>
      </c>
      <c r="AD200" s="764">
        <f t="shared" ref="AD200:AD206" si="261">SUM(Y200:AC200)</f>
        <v>12</v>
      </c>
      <c r="AE200" s="764">
        <f t="shared" ref="AE200:AE206" si="262">AD200-S200</f>
        <v>0</v>
      </c>
      <c r="AF200" s="605" t="s">
        <v>301</v>
      </c>
      <c r="AG200" s="605" t="s">
        <v>201</v>
      </c>
      <c r="AH200" s="605" t="s">
        <v>372</v>
      </c>
      <c r="AI200" s="605" t="str">
        <f t="shared" ref="AI200:AI206" si="263">IF(ISNUMBER(FIND("-",AH200,1))=FALSE,LEFT(AH200,LEN(AH200)),LEFT(AH200,(FIND("-",AH200,1))-1))</f>
        <v>MAFF</v>
      </c>
      <c r="AJ200" s="612"/>
      <c r="AK200" s="743"/>
      <c r="AL200" s="743"/>
      <c r="AM200" s="743"/>
      <c r="AN200" s="743"/>
      <c r="AO200" s="743"/>
      <c r="AP200" s="743"/>
      <c r="AQ200" s="743"/>
      <c r="AR200" s="743"/>
      <c r="AS200" s="743"/>
      <c r="AT200" s="743"/>
    </row>
    <row r="201" spans="1:46" s="607" customFormat="1" ht="42" customHeight="1" outlineLevel="1">
      <c r="A201" s="587"/>
      <c r="B201" s="669" t="s">
        <v>1451</v>
      </c>
      <c r="C201" s="669" t="s">
        <v>33</v>
      </c>
      <c r="D201" s="701"/>
      <c r="E201" s="307" t="s">
        <v>856</v>
      </c>
      <c r="F201" s="615"/>
      <c r="G201" s="1922" t="s">
        <v>1228</v>
      </c>
      <c r="H201" s="1719" t="s">
        <v>837</v>
      </c>
      <c r="I201" s="794">
        <v>6</v>
      </c>
      <c r="J201" s="620">
        <v>0</v>
      </c>
      <c r="K201" s="620">
        <v>2</v>
      </c>
      <c r="L201" s="620"/>
      <c r="M201" s="2315"/>
      <c r="N201" s="731">
        <f t="shared" si="247"/>
        <v>2</v>
      </c>
      <c r="O201" s="760">
        <f t="shared" si="232"/>
        <v>0</v>
      </c>
      <c r="P201" s="760">
        <f t="shared" si="233"/>
        <v>12</v>
      </c>
      <c r="Q201" s="760">
        <f t="shared" si="234"/>
        <v>0</v>
      </c>
      <c r="R201" s="760">
        <f t="shared" si="235"/>
        <v>0</v>
      </c>
      <c r="S201" s="1356">
        <f t="shared" si="246"/>
        <v>12</v>
      </c>
      <c r="T201" s="2314">
        <f>IFERROR(INDEX('Annex 2_Code'!I$8:I$33,MATCH('Annex 3_MAFF'!$AG201,'Annex 2_Code'!$G$8:$G$33,0)),"")</f>
        <v>0</v>
      </c>
      <c r="U201" s="2314">
        <f>IFERROR(INDEX('Annex 2_Code'!J$8:J$33,MATCH('Annex 3_MAFF'!$AG201,'Annex 2_Code'!$G$8:$G$33,0)),"")</f>
        <v>0</v>
      </c>
      <c r="V201" s="2314">
        <f>IFERROR(INDEX('Annex 2_Code'!K$8:K$33,MATCH('Annex 3_MAFF'!$AG201,'Annex 2_Code'!$G$8:$G$33,0)),"")</f>
        <v>1</v>
      </c>
      <c r="W201" s="2314">
        <f>IFERROR(INDEX('Annex 2_Code'!L$8:L$33,MATCH('Annex 3_MAFF'!$AG201,'Annex 2_Code'!$G$8:$G$33,0)),"")</f>
        <v>0</v>
      </c>
      <c r="X201" s="2314">
        <f>IFERROR(INDEX('Annex 2_Code'!M$8:M$33,MATCH('Annex 3_MAFF'!$AG201,'Annex 2_Code'!$G$8:$G$33,0)),"")</f>
        <v>0</v>
      </c>
      <c r="Y201" s="1745">
        <f t="shared" si="256"/>
        <v>0</v>
      </c>
      <c r="Z201" s="807">
        <f t="shared" si="257"/>
        <v>0</v>
      </c>
      <c r="AA201" s="807">
        <f t="shared" si="258"/>
        <v>12</v>
      </c>
      <c r="AB201" s="807">
        <f t="shared" si="259"/>
        <v>0</v>
      </c>
      <c r="AC201" s="808">
        <f t="shared" si="260"/>
        <v>0</v>
      </c>
      <c r="AD201" s="764">
        <f t="shared" si="261"/>
        <v>12</v>
      </c>
      <c r="AE201" s="764">
        <f t="shared" si="262"/>
        <v>0</v>
      </c>
      <c r="AF201" s="605" t="s">
        <v>301</v>
      </c>
      <c r="AG201" s="605" t="s">
        <v>201</v>
      </c>
      <c r="AH201" s="605" t="s">
        <v>372</v>
      </c>
      <c r="AI201" s="605" t="str">
        <f t="shared" si="263"/>
        <v>MAFF</v>
      </c>
      <c r="AJ201" s="612"/>
      <c r="AK201" s="743"/>
      <c r="AL201" s="743"/>
      <c r="AM201" s="743"/>
      <c r="AN201" s="743"/>
      <c r="AO201" s="743"/>
      <c r="AP201" s="743"/>
      <c r="AQ201" s="743"/>
      <c r="AR201" s="743"/>
      <c r="AS201" s="743"/>
      <c r="AT201" s="743"/>
    </row>
    <row r="202" spans="1:46" s="607" customFormat="1" ht="42" customHeight="1" outlineLevel="1">
      <c r="A202" s="587"/>
      <c r="B202" s="669" t="s">
        <v>1451</v>
      </c>
      <c r="C202" s="669" t="s">
        <v>33</v>
      </c>
      <c r="D202" s="701"/>
      <c r="E202" s="307" t="s">
        <v>857</v>
      </c>
      <c r="F202" s="615"/>
      <c r="G202" s="1922" t="s">
        <v>1229</v>
      </c>
      <c r="H202" s="1719" t="s">
        <v>837</v>
      </c>
      <c r="I202" s="794">
        <v>6</v>
      </c>
      <c r="J202" s="620">
        <v>2</v>
      </c>
      <c r="K202" s="620"/>
      <c r="L202" s="620"/>
      <c r="M202" s="2315"/>
      <c r="N202" s="731">
        <f t="shared" si="247"/>
        <v>2</v>
      </c>
      <c r="O202" s="760">
        <f t="shared" si="232"/>
        <v>12</v>
      </c>
      <c r="P202" s="760">
        <f t="shared" si="233"/>
        <v>0</v>
      </c>
      <c r="Q202" s="760">
        <f t="shared" si="234"/>
        <v>0</v>
      </c>
      <c r="R202" s="760">
        <f t="shared" si="235"/>
        <v>0</v>
      </c>
      <c r="S202" s="1356">
        <f t="shared" si="246"/>
        <v>12</v>
      </c>
      <c r="T202" s="2314">
        <f>IFERROR(INDEX('Annex 2_Code'!I$8:I$33,MATCH('Annex 3_MAFF'!$AG202,'Annex 2_Code'!$G$8:$G$33,0)),"")</f>
        <v>0</v>
      </c>
      <c r="U202" s="2314">
        <f>IFERROR(INDEX('Annex 2_Code'!J$8:J$33,MATCH('Annex 3_MAFF'!$AG202,'Annex 2_Code'!$G$8:$G$33,0)),"")</f>
        <v>0</v>
      </c>
      <c r="V202" s="2314">
        <f>IFERROR(INDEX('Annex 2_Code'!K$8:K$33,MATCH('Annex 3_MAFF'!$AG202,'Annex 2_Code'!$G$8:$G$33,0)),"")</f>
        <v>1</v>
      </c>
      <c r="W202" s="2314">
        <f>IFERROR(INDEX('Annex 2_Code'!L$8:L$33,MATCH('Annex 3_MAFF'!$AG202,'Annex 2_Code'!$G$8:$G$33,0)),"")</f>
        <v>0</v>
      </c>
      <c r="X202" s="2314">
        <f>IFERROR(INDEX('Annex 2_Code'!M$8:M$33,MATCH('Annex 3_MAFF'!$AG202,'Annex 2_Code'!$G$8:$G$33,0)),"")</f>
        <v>0</v>
      </c>
      <c r="Y202" s="1745">
        <f t="shared" si="256"/>
        <v>0</v>
      </c>
      <c r="Z202" s="807">
        <f t="shared" si="257"/>
        <v>0</v>
      </c>
      <c r="AA202" s="807">
        <f t="shared" si="258"/>
        <v>12</v>
      </c>
      <c r="AB202" s="807">
        <f t="shared" si="259"/>
        <v>0</v>
      </c>
      <c r="AC202" s="808">
        <f t="shared" si="260"/>
        <v>0</v>
      </c>
      <c r="AD202" s="764">
        <f t="shared" si="261"/>
        <v>12</v>
      </c>
      <c r="AE202" s="764">
        <f t="shared" si="262"/>
        <v>0</v>
      </c>
      <c r="AF202" s="605" t="s">
        <v>301</v>
      </c>
      <c r="AG202" s="605" t="s">
        <v>201</v>
      </c>
      <c r="AH202" s="605" t="s">
        <v>372</v>
      </c>
      <c r="AI202" s="605" t="str">
        <f t="shared" si="263"/>
        <v>MAFF</v>
      </c>
      <c r="AJ202" s="612"/>
      <c r="AK202" s="743"/>
      <c r="AL202" s="743"/>
      <c r="AM202" s="743"/>
      <c r="AN202" s="743"/>
      <c r="AO202" s="743"/>
      <c r="AP202" s="743"/>
      <c r="AQ202" s="743"/>
      <c r="AR202" s="743"/>
      <c r="AS202" s="743"/>
      <c r="AT202" s="743"/>
    </row>
    <row r="203" spans="1:46" s="607" customFormat="1" ht="93" outlineLevel="1">
      <c r="A203" s="587"/>
      <c r="B203" s="669" t="s">
        <v>1451</v>
      </c>
      <c r="C203" s="669" t="s">
        <v>33</v>
      </c>
      <c r="D203" s="701"/>
      <c r="E203" s="307" t="s">
        <v>858</v>
      </c>
      <c r="F203" s="615"/>
      <c r="G203" s="1922" t="s">
        <v>1230</v>
      </c>
      <c r="H203" s="1719" t="s">
        <v>837</v>
      </c>
      <c r="I203" s="794">
        <v>6</v>
      </c>
      <c r="J203" s="620">
        <v>0</v>
      </c>
      <c r="K203" s="620">
        <v>2</v>
      </c>
      <c r="L203" s="620"/>
      <c r="M203" s="2315"/>
      <c r="N203" s="731">
        <f t="shared" si="247"/>
        <v>2</v>
      </c>
      <c r="O203" s="760">
        <f t="shared" si="232"/>
        <v>0</v>
      </c>
      <c r="P203" s="760">
        <f t="shared" si="233"/>
        <v>12</v>
      </c>
      <c r="Q203" s="760">
        <f t="shared" si="234"/>
        <v>0</v>
      </c>
      <c r="R203" s="760">
        <f t="shared" si="235"/>
        <v>0</v>
      </c>
      <c r="S203" s="1356">
        <f t="shared" si="246"/>
        <v>12</v>
      </c>
      <c r="T203" s="2314">
        <f>IFERROR(INDEX('Annex 2_Code'!I$8:I$33,MATCH('Annex 3_MAFF'!$AG203,'Annex 2_Code'!$G$8:$G$33,0)),"")</f>
        <v>0</v>
      </c>
      <c r="U203" s="2314">
        <f>IFERROR(INDEX('Annex 2_Code'!J$8:J$33,MATCH('Annex 3_MAFF'!$AG203,'Annex 2_Code'!$G$8:$G$33,0)),"")</f>
        <v>0</v>
      </c>
      <c r="V203" s="2314">
        <f>IFERROR(INDEX('Annex 2_Code'!K$8:K$33,MATCH('Annex 3_MAFF'!$AG203,'Annex 2_Code'!$G$8:$G$33,0)),"")</f>
        <v>1</v>
      </c>
      <c r="W203" s="2314">
        <f>IFERROR(INDEX('Annex 2_Code'!L$8:L$33,MATCH('Annex 3_MAFF'!$AG203,'Annex 2_Code'!$G$8:$G$33,0)),"")</f>
        <v>0</v>
      </c>
      <c r="X203" s="2314">
        <f>IFERROR(INDEX('Annex 2_Code'!M$8:M$33,MATCH('Annex 3_MAFF'!$AG203,'Annex 2_Code'!$G$8:$G$33,0)),"")</f>
        <v>0</v>
      </c>
      <c r="Y203" s="1745">
        <f t="shared" si="256"/>
        <v>0</v>
      </c>
      <c r="Z203" s="807">
        <f t="shared" si="257"/>
        <v>0</v>
      </c>
      <c r="AA203" s="807">
        <f t="shared" si="258"/>
        <v>12</v>
      </c>
      <c r="AB203" s="807">
        <f t="shared" si="259"/>
        <v>0</v>
      </c>
      <c r="AC203" s="808">
        <f t="shared" si="260"/>
        <v>0</v>
      </c>
      <c r="AD203" s="764">
        <f t="shared" si="261"/>
        <v>12</v>
      </c>
      <c r="AE203" s="764">
        <f t="shared" si="262"/>
        <v>0</v>
      </c>
      <c r="AF203" s="605" t="s">
        <v>301</v>
      </c>
      <c r="AG203" s="605" t="s">
        <v>201</v>
      </c>
      <c r="AH203" s="605" t="s">
        <v>372</v>
      </c>
      <c r="AI203" s="605" t="str">
        <f t="shared" si="263"/>
        <v>MAFF</v>
      </c>
      <c r="AJ203" s="612"/>
      <c r="AK203" s="743"/>
      <c r="AL203" s="743"/>
      <c r="AM203" s="743"/>
      <c r="AN203" s="743"/>
      <c r="AO203" s="743"/>
      <c r="AP203" s="743"/>
      <c r="AQ203" s="743"/>
      <c r="AR203" s="743"/>
      <c r="AS203" s="743"/>
      <c r="AT203" s="743"/>
    </row>
    <row r="204" spans="1:46" s="607" customFormat="1" ht="93" outlineLevel="1">
      <c r="A204" s="587"/>
      <c r="B204" s="669" t="s">
        <v>1451</v>
      </c>
      <c r="C204" s="669" t="s">
        <v>33</v>
      </c>
      <c r="D204" s="701"/>
      <c r="E204" s="307" t="s">
        <v>866</v>
      </c>
      <c r="F204" s="615"/>
      <c r="G204" s="1922" t="s">
        <v>1231</v>
      </c>
      <c r="H204" s="1921" t="s">
        <v>837</v>
      </c>
      <c r="I204" s="794">
        <v>6</v>
      </c>
      <c r="J204" s="620">
        <v>2</v>
      </c>
      <c r="K204" s="620"/>
      <c r="L204" s="620"/>
      <c r="M204" s="2315"/>
      <c r="N204" s="731">
        <f t="shared" si="247"/>
        <v>2</v>
      </c>
      <c r="O204" s="760">
        <f t="shared" si="232"/>
        <v>12</v>
      </c>
      <c r="P204" s="760">
        <f t="shared" si="233"/>
        <v>0</v>
      </c>
      <c r="Q204" s="760">
        <f t="shared" si="234"/>
        <v>0</v>
      </c>
      <c r="R204" s="760">
        <f t="shared" si="235"/>
        <v>0</v>
      </c>
      <c r="S204" s="1356">
        <f t="shared" ref="S204" si="264">SUM(O204:R204)</f>
        <v>12</v>
      </c>
      <c r="T204" s="2314">
        <f>IFERROR(INDEX('Annex 2_Code'!I$8:I$33,MATCH('Annex 3_MAFF'!$AG204,'Annex 2_Code'!$G$8:$G$33,0)),"")</f>
        <v>0</v>
      </c>
      <c r="U204" s="2314">
        <f>IFERROR(INDEX('Annex 2_Code'!J$8:J$33,MATCH('Annex 3_MAFF'!$AG204,'Annex 2_Code'!$G$8:$G$33,0)),"")</f>
        <v>0</v>
      </c>
      <c r="V204" s="2314">
        <f>IFERROR(INDEX('Annex 2_Code'!K$8:K$33,MATCH('Annex 3_MAFF'!$AG204,'Annex 2_Code'!$G$8:$G$33,0)),"")</f>
        <v>1</v>
      </c>
      <c r="W204" s="2314">
        <f>IFERROR(INDEX('Annex 2_Code'!L$8:L$33,MATCH('Annex 3_MAFF'!$AG204,'Annex 2_Code'!$G$8:$G$33,0)),"")</f>
        <v>0</v>
      </c>
      <c r="X204" s="2314">
        <f>IFERROR(INDEX('Annex 2_Code'!M$8:M$33,MATCH('Annex 3_MAFF'!$AG204,'Annex 2_Code'!$G$8:$G$33,0)),"")</f>
        <v>0</v>
      </c>
      <c r="Y204" s="1745">
        <f t="shared" si="256"/>
        <v>0</v>
      </c>
      <c r="Z204" s="807">
        <f t="shared" si="257"/>
        <v>0</v>
      </c>
      <c r="AA204" s="807">
        <f t="shared" si="258"/>
        <v>12</v>
      </c>
      <c r="AB204" s="807">
        <f t="shared" si="259"/>
        <v>0</v>
      </c>
      <c r="AC204" s="808">
        <f t="shared" si="260"/>
        <v>0</v>
      </c>
      <c r="AD204" s="764">
        <f t="shared" si="261"/>
        <v>12</v>
      </c>
      <c r="AE204" s="764">
        <f t="shared" si="262"/>
        <v>0</v>
      </c>
      <c r="AF204" s="605" t="s">
        <v>301</v>
      </c>
      <c r="AG204" s="605" t="s">
        <v>201</v>
      </c>
      <c r="AH204" s="605" t="s">
        <v>372</v>
      </c>
      <c r="AI204" s="605" t="str">
        <f t="shared" si="263"/>
        <v>MAFF</v>
      </c>
      <c r="AJ204" s="612"/>
      <c r="AK204" s="743" t="s">
        <v>110</v>
      </c>
      <c r="AL204" s="743"/>
      <c r="AM204" s="743"/>
      <c r="AN204" s="743"/>
      <c r="AO204" s="743"/>
      <c r="AP204" s="743"/>
      <c r="AQ204" s="743"/>
      <c r="AR204" s="743"/>
      <c r="AS204" s="743"/>
      <c r="AT204" s="743"/>
    </row>
    <row r="205" spans="1:46" s="607" customFormat="1" ht="42" customHeight="1" outlineLevel="1">
      <c r="A205" s="587"/>
      <c r="B205" s="669" t="s">
        <v>1451</v>
      </c>
      <c r="C205" s="669" t="s">
        <v>33</v>
      </c>
      <c r="D205" s="701"/>
      <c r="E205" s="307" t="s">
        <v>867</v>
      </c>
      <c r="F205" s="615"/>
      <c r="G205" s="1922" t="s">
        <v>1232</v>
      </c>
      <c r="H205" s="1921" t="s">
        <v>837</v>
      </c>
      <c r="I205" s="794">
        <v>6</v>
      </c>
      <c r="J205" s="620"/>
      <c r="K205" s="620">
        <v>2</v>
      </c>
      <c r="L205" s="620"/>
      <c r="M205" s="2315"/>
      <c r="N205" s="731">
        <f t="shared" si="247"/>
        <v>2</v>
      </c>
      <c r="O205" s="760">
        <f t="shared" si="232"/>
        <v>0</v>
      </c>
      <c r="P205" s="760">
        <f t="shared" si="233"/>
        <v>12</v>
      </c>
      <c r="Q205" s="760">
        <f t="shared" si="234"/>
        <v>0</v>
      </c>
      <c r="R205" s="760">
        <f t="shared" si="235"/>
        <v>0</v>
      </c>
      <c r="S205" s="1356">
        <f t="shared" ref="S205:S214" si="265">SUM(O205:R205)</f>
        <v>12</v>
      </c>
      <c r="T205" s="2314">
        <f>IFERROR(INDEX('Annex 2_Code'!I$8:I$33,MATCH('Annex 3_MAFF'!$AG205,'Annex 2_Code'!$G$8:$G$33,0)),"")</f>
        <v>0</v>
      </c>
      <c r="U205" s="2314">
        <f>IFERROR(INDEX('Annex 2_Code'!J$8:J$33,MATCH('Annex 3_MAFF'!$AG205,'Annex 2_Code'!$G$8:$G$33,0)),"")</f>
        <v>0</v>
      </c>
      <c r="V205" s="2314">
        <f>IFERROR(INDEX('Annex 2_Code'!K$8:K$33,MATCH('Annex 3_MAFF'!$AG205,'Annex 2_Code'!$G$8:$G$33,0)),"")</f>
        <v>1</v>
      </c>
      <c r="W205" s="2314">
        <f>IFERROR(INDEX('Annex 2_Code'!L$8:L$33,MATCH('Annex 3_MAFF'!$AG205,'Annex 2_Code'!$G$8:$G$33,0)),"")</f>
        <v>0</v>
      </c>
      <c r="X205" s="2314">
        <f>IFERROR(INDEX('Annex 2_Code'!M$8:M$33,MATCH('Annex 3_MAFF'!$AG205,'Annex 2_Code'!$G$8:$G$33,0)),"")</f>
        <v>0</v>
      </c>
      <c r="Y205" s="1745">
        <f t="shared" si="256"/>
        <v>0</v>
      </c>
      <c r="Z205" s="807">
        <f t="shared" si="257"/>
        <v>0</v>
      </c>
      <c r="AA205" s="807">
        <f t="shared" si="258"/>
        <v>12</v>
      </c>
      <c r="AB205" s="807">
        <f t="shared" si="259"/>
        <v>0</v>
      </c>
      <c r="AC205" s="808">
        <f t="shared" si="260"/>
        <v>0</v>
      </c>
      <c r="AD205" s="764">
        <f t="shared" si="261"/>
        <v>12</v>
      </c>
      <c r="AE205" s="764">
        <f t="shared" si="262"/>
        <v>0</v>
      </c>
      <c r="AF205" s="605" t="s">
        <v>301</v>
      </c>
      <c r="AG205" s="605" t="s">
        <v>201</v>
      </c>
      <c r="AH205" s="605" t="s">
        <v>372</v>
      </c>
      <c r="AI205" s="605" t="str">
        <f t="shared" si="263"/>
        <v>MAFF</v>
      </c>
      <c r="AJ205" s="612"/>
      <c r="AK205" s="743"/>
      <c r="AL205" s="743"/>
      <c r="AM205" s="743"/>
      <c r="AN205" s="743"/>
      <c r="AO205" s="743"/>
      <c r="AP205" s="743"/>
      <c r="AQ205" s="743"/>
      <c r="AR205" s="743"/>
      <c r="AS205" s="743"/>
      <c r="AT205" s="743"/>
    </row>
    <row r="206" spans="1:46" s="607" customFormat="1" ht="42" customHeight="1" outlineLevel="1">
      <c r="A206" s="587"/>
      <c r="B206" s="669" t="s">
        <v>1451</v>
      </c>
      <c r="C206" s="669" t="s">
        <v>33</v>
      </c>
      <c r="D206" s="701"/>
      <c r="E206" s="307" t="s">
        <v>868</v>
      </c>
      <c r="F206" s="615"/>
      <c r="G206" s="1922" t="s">
        <v>1233</v>
      </c>
      <c r="H206" s="1921" t="s">
        <v>837</v>
      </c>
      <c r="I206" s="794">
        <v>6</v>
      </c>
      <c r="J206" s="620"/>
      <c r="K206" s="620">
        <v>2</v>
      </c>
      <c r="L206" s="620"/>
      <c r="M206" s="2315"/>
      <c r="N206" s="731">
        <f t="shared" si="247"/>
        <v>2</v>
      </c>
      <c r="O206" s="760">
        <f t="shared" si="232"/>
        <v>0</v>
      </c>
      <c r="P206" s="760">
        <f t="shared" si="233"/>
        <v>12</v>
      </c>
      <c r="Q206" s="760">
        <f t="shared" si="234"/>
        <v>0</v>
      </c>
      <c r="R206" s="760">
        <f t="shared" si="235"/>
        <v>0</v>
      </c>
      <c r="S206" s="1356">
        <f t="shared" si="265"/>
        <v>12</v>
      </c>
      <c r="T206" s="2314">
        <f>IFERROR(INDEX('Annex 2_Code'!I$8:I$33,MATCH('Annex 3_MAFF'!$AG206,'Annex 2_Code'!$G$8:$G$33,0)),"")</f>
        <v>0</v>
      </c>
      <c r="U206" s="2314">
        <f>IFERROR(INDEX('Annex 2_Code'!J$8:J$33,MATCH('Annex 3_MAFF'!$AG206,'Annex 2_Code'!$G$8:$G$33,0)),"")</f>
        <v>0</v>
      </c>
      <c r="V206" s="2314">
        <f>IFERROR(INDEX('Annex 2_Code'!K$8:K$33,MATCH('Annex 3_MAFF'!$AG206,'Annex 2_Code'!$G$8:$G$33,0)),"")</f>
        <v>1</v>
      </c>
      <c r="W206" s="2314">
        <f>IFERROR(INDEX('Annex 2_Code'!L$8:L$33,MATCH('Annex 3_MAFF'!$AG206,'Annex 2_Code'!$G$8:$G$33,0)),"")</f>
        <v>0</v>
      </c>
      <c r="X206" s="2314">
        <f>IFERROR(INDEX('Annex 2_Code'!M$8:M$33,MATCH('Annex 3_MAFF'!$AG206,'Annex 2_Code'!$G$8:$G$33,0)),"")</f>
        <v>0</v>
      </c>
      <c r="Y206" s="1745">
        <f t="shared" si="256"/>
        <v>0</v>
      </c>
      <c r="Z206" s="807">
        <f t="shared" si="257"/>
        <v>0</v>
      </c>
      <c r="AA206" s="807">
        <f t="shared" si="258"/>
        <v>12</v>
      </c>
      <c r="AB206" s="807">
        <f t="shared" si="259"/>
        <v>0</v>
      </c>
      <c r="AC206" s="808">
        <f t="shared" si="260"/>
        <v>0</v>
      </c>
      <c r="AD206" s="764">
        <f t="shared" si="261"/>
        <v>12</v>
      </c>
      <c r="AE206" s="764">
        <f t="shared" si="262"/>
        <v>0</v>
      </c>
      <c r="AF206" s="605" t="s">
        <v>301</v>
      </c>
      <c r="AG206" s="605" t="s">
        <v>201</v>
      </c>
      <c r="AH206" s="605" t="s">
        <v>372</v>
      </c>
      <c r="AI206" s="605" t="str">
        <f t="shared" si="263"/>
        <v>MAFF</v>
      </c>
      <c r="AJ206" s="612"/>
      <c r="AK206" s="743"/>
      <c r="AL206" s="743"/>
      <c r="AM206" s="743"/>
      <c r="AN206" s="743"/>
      <c r="AO206" s="743"/>
      <c r="AP206" s="743"/>
      <c r="AQ206" s="743"/>
      <c r="AR206" s="743"/>
      <c r="AS206" s="743"/>
      <c r="AT206" s="743"/>
    </row>
    <row r="207" spans="1:46" s="607" customFormat="1" ht="93" outlineLevel="1">
      <c r="A207" s="587"/>
      <c r="B207" s="669" t="s">
        <v>1451</v>
      </c>
      <c r="C207" s="669" t="s">
        <v>33</v>
      </c>
      <c r="D207" s="701"/>
      <c r="E207" s="307" t="s">
        <v>869</v>
      </c>
      <c r="F207" s="615"/>
      <c r="G207" s="1922" t="s">
        <v>1234</v>
      </c>
      <c r="H207" s="1921" t="s">
        <v>837</v>
      </c>
      <c r="I207" s="794">
        <v>6</v>
      </c>
      <c r="J207" s="620"/>
      <c r="K207" s="620">
        <v>2</v>
      </c>
      <c r="L207" s="620"/>
      <c r="M207" s="2315"/>
      <c r="N207" s="731">
        <f t="shared" si="247"/>
        <v>2</v>
      </c>
      <c r="O207" s="760">
        <f t="shared" si="232"/>
        <v>0</v>
      </c>
      <c r="P207" s="760">
        <f t="shared" si="233"/>
        <v>12</v>
      </c>
      <c r="Q207" s="760">
        <f t="shared" si="234"/>
        <v>0</v>
      </c>
      <c r="R207" s="760">
        <f t="shared" si="235"/>
        <v>0</v>
      </c>
      <c r="S207" s="1356">
        <f t="shared" si="265"/>
        <v>12</v>
      </c>
      <c r="T207" s="2314">
        <f>IFERROR(INDEX('Annex 2_Code'!I$8:I$33,MATCH('Annex 3_MAFF'!$AG207,'Annex 2_Code'!$G$8:$G$33,0)),"")</f>
        <v>0</v>
      </c>
      <c r="U207" s="2314">
        <f>IFERROR(INDEX('Annex 2_Code'!J$8:J$33,MATCH('Annex 3_MAFF'!$AG207,'Annex 2_Code'!$G$8:$G$33,0)),"")</f>
        <v>0</v>
      </c>
      <c r="V207" s="2314">
        <f>IFERROR(INDEX('Annex 2_Code'!K$8:K$33,MATCH('Annex 3_MAFF'!$AG207,'Annex 2_Code'!$G$8:$G$33,0)),"")</f>
        <v>1</v>
      </c>
      <c r="W207" s="2314">
        <f>IFERROR(INDEX('Annex 2_Code'!L$8:L$33,MATCH('Annex 3_MAFF'!$AG207,'Annex 2_Code'!$G$8:$G$33,0)),"")</f>
        <v>0</v>
      </c>
      <c r="X207" s="2314">
        <f>IFERROR(INDEX('Annex 2_Code'!M$8:M$33,MATCH('Annex 3_MAFF'!$AG207,'Annex 2_Code'!$G$8:$G$33,0)),"")</f>
        <v>0</v>
      </c>
      <c r="Y207" s="1745">
        <f t="shared" ref="Y207:AC210" si="266">IFERROR($S207*T207,"")</f>
        <v>0</v>
      </c>
      <c r="Z207" s="807">
        <f t="shared" si="266"/>
        <v>0</v>
      </c>
      <c r="AA207" s="807">
        <f t="shared" si="266"/>
        <v>12</v>
      </c>
      <c r="AB207" s="807">
        <f t="shared" si="266"/>
        <v>0</v>
      </c>
      <c r="AC207" s="808">
        <f t="shared" si="266"/>
        <v>0</v>
      </c>
      <c r="AD207" s="764">
        <f>SUM(Y207:AC207)</f>
        <v>12</v>
      </c>
      <c r="AE207" s="764">
        <f>AD207-S207</f>
        <v>0</v>
      </c>
      <c r="AF207" s="605" t="s">
        <v>301</v>
      </c>
      <c r="AG207" s="605" t="s">
        <v>201</v>
      </c>
      <c r="AH207" s="605" t="s">
        <v>372</v>
      </c>
      <c r="AI207" s="605" t="str">
        <f t="shared" si="255"/>
        <v>MAFF</v>
      </c>
      <c r="AJ207" s="612"/>
      <c r="AK207" s="743"/>
      <c r="AL207" s="743"/>
      <c r="AM207" s="743"/>
      <c r="AN207" s="743"/>
      <c r="AO207" s="743"/>
      <c r="AP207" s="743"/>
      <c r="AQ207" s="743"/>
      <c r="AR207" s="743"/>
      <c r="AS207" s="743"/>
      <c r="AT207" s="743"/>
    </row>
    <row r="208" spans="1:46" s="607" customFormat="1" ht="93" outlineLevel="1">
      <c r="A208" s="587"/>
      <c r="B208" s="669" t="s">
        <v>1451</v>
      </c>
      <c r="C208" s="669" t="s">
        <v>33</v>
      </c>
      <c r="D208" s="701"/>
      <c r="E208" s="307" t="s">
        <v>870</v>
      </c>
      <c r="F208" s="615"/>
      <c r="G208" s="1922" t="s">
        <v>1235</v>
      </c>
      <c r="H208" s="1921" t="s">
        <v>837</v>
      </c>
      <c r="I208" s="794">
        <v>6</v>
      </c>
      <c r="J208" s="620"/>
      <c r="K208" s="620">
        <v>2</v>
      </c>
      <c r="L208" s="620"/>
      <c r="M208" s="2315"/>
      <c r="N208" s="731">
        <f t="shared" si="247"/>
        <v>2</v>
      </c>
      <c r="O208" s="760">
        <f t="shared" si="232"/>
        <v>0</v>
      </c>
      <c r="P208" s="760">
        <f t="shared" si="233"/>
        <v>12</v>
      </c>
      <c r="Q208" s="760">
        <f t="shared" si="234"/>
        <v>0</v>
      </c>
      <c r="R208" s="760">
        <f t="shared" si="235"/>
        <v>0</v>
      </c>
      <c r="S208" s="1356">
        <f t="shared" si="265"/>
        <v>12</v>
      </c>
      <c r="T208" s="2314">
        <f>IFERROR(INDEX('Annex 2_Code'!I$8:I$33,MATCH('Annex 3_MAFF'!$AG208,'Annex 2_Code'!$G$8:$G$33,0)),"")</f>
        <v>0</v>
      </c>
      <c r="U208" s="2314">
        <f>IFERROR(INDEX('Annex 2_Code'!J$8:J$33,MATCH('Annex 3_MAFF'!$AG208,'Annex 2_Code'!$G$8:$G$33,0)),"")</f>
        <v>0</v>
      </c>
      <c r="V208" s="2314">
        <f>IFERROR(INDEX('Annex 2_Code'!K$8:K$33,MATCH('Annex 3_MAFF'!$AG208,'Annex 2_Code'!$G$8:$G$33,0)),"")</f>
        <v>1</v>
      </c>
      <c r="W208" s="2314">
        <f>IFERROR(INDEX('Annex 2_Code'!L$8:L$33,MATCH('Annex 3_MAFF'!$AG208,'Annex 2_Code'!$G$8:$G$33,0)),"")</f>
        <v>0</v>
      </c>
      <c r="X208" s="2314">
        <f>IFERROR(INDEX('Annex 2_Code'!M$8:M$33,MATCH('Annex 3_MAFF'!$AG208,'Annex 2_Code'!$G$8:$G$33,0)),"")</f>
        <v>0</v>
      </c>
      <c r="Y208" s="1745">
        <f t="shared" si="266"/>
        <v>0</v>
      </c>
      <c r="Z208" s="807">
        <f t="shared" si="266"/>
        <v>0</v>
      </c>
      <c r="AA208" s="807">
        <f t="shared" si="266"/>
        <v>12</v>
      </c>
      <c r="AB208" s="807">
        <f t="shared" si="266"/>
        <v>0</v>
      </c>
      <c r="AC208" s="808">
        <f t="shared" si="266"/>
        <v>0</v>
      </c>
      <c r="AD208" s="764">
        <f>SUM(Y208:AC208)</f>
        <v>12</v>
      </c>
      <c r="AE208" s="764">
        <f>AD208-S208</f>
        <v>0</v>
      </c>
      <c r="AF208" s="605" t="s">
        <v>301</v>
      </c>
      <c r="AG208" s="605" t="s">
        <v>201</v>
      </c>
      <c r="AH208" s="605" t="s">
        <v>372</v>
      </c>
      <c r="AI208" s="605" t="str">
        <f t="shared" si="255"/>
        <v>MAFF</v>
      </c>
      <c r="AJ208" s="612"/>
      <c r="AK208" s="743"/>
      <c r="AL208" s="743"/>
      <c r="AM208" s="743"/>
      <c r="AN208" s="743"/>
      <c r="AO208" s="743"/>
      <c r="AP208" s="743"/>
      <c r="AQ208" s="743"/>
      <c r="AR208" s="743"/>
      <c r="AS208" s="743"/>
      <c r="AT208" s="743"/>
    </row>
    <row r="209" spans="1:46" s="607" customFormat="1" ht="42" customHeight="1" outlineLevel="1">
      <c r="A209" s="587"/>
      <c r="B209" s="669" t="s">
        <v>1451</v>
      </c>
      <c r="C209" s="669" t="s">
        <v>33</v>
      </c>
      <c r="D209" s="701"/>
      <c r="E209" s="307" t="s">
        <v>871</v>
      </c>
      <c r="F209" s="615"/>
      <c r="G209" s="1922" t="s">
        <v>1236</v>
      </c>
      <c r="H209" s="1921" t="s">
        <v>837</v>
      </c>
      <c r="I209" s="794">
        <v>6</v>
      </c>
      <c r="J209" s="620"/>
      <c r="K209" s="620">
        <v>2</v>
      </c>
      <c r="L209" s="620"/>
      <c r="M209" s="2315"/>
      <c r="N209" s="731">
        <f t="shared" si="247"/>
        <v>2</v>
      </c>
      <c r="O209" s="760">
        <f t="shared" si="232"/>
        <v>0</v>
      </c>
      <c r="P209" s="760">
        <f t="shared" si="233"/>
        <v>12</v>
      </c>
      <c r="Q209" s="760">
        <f t="shared" si="234"/>
        <v>0</v>
      </c>
      <c r="R209" s="760">
        <f t="shared" si="235"/>
        <v>0</v>
      </c>
      <c r="S209" s="1356">
        <f t="shared" si="265"/>
        <v>12</v>
      </c>
      <c r="T209" s="2314">
        <f>IFERROR(INDEX('Annex 2_Code'!I$8:I$33,MATCH('Annex 3_MAFF'!$AG209,'Annex 2_Code'!$G$8:$G$33,0)),"")</f>
        <v>0</v>
      </c>
      <c r="U209" s="2314">
        <f>IFERROR(INDEX('Annex 2_Code'!J$8:J$33,MATCH('Annex 3_MAFF'!$AG209,'Annex 2_Code'!$G$8:$G$33,0)),"")</f>
        <v>0</v>
      </c>
      <c r="V209" s="2314">
        <f>IFERROR(INDEX('Annex 2_Code'!K$8:K$33,MATCH('Annex 3_MAFF'!$AG209,'Annex 2_Code'!$G$8:$G$33,0)),"")</f>
        <v>1</v>
      </c>
      <c r="W209" s="2314">
        <f>IFERROR(INDEX('Annex 2_Code'!L$8:L$33,MATCH('Annex 3_MAFF'!$AG209,'Annex 2_Code'!$G$8:$G$33,0)),"")</f>
        <v>0</v>
      </c>
      <c r="X209" s="2314">
        <f>IFERROR(INDEX('Annex 2_Code'!M$8:M$33,MATCH('Annex 3_MAFF'!$AG209,'Annex 2_Code'!$G$8:$G$33,0)),"")</f>
        <v>0</v>
      </c>
      <c r="Y209" s="1745">
        <f t="shared" si="266"/>
        <v>0</v>
      </c>
      <c r="Z209" s="807">
        <f t="shared" si="266"/>
        <v>0</v>
      </c>
      <c r="AA209" s="807">
        <f t="shared" si="266"/>
        <v>12</v>
      </c>
      <c r="AB209" s="807">
        <f t="shared" si="266"/>
        <v>0</v>
      </c>
      <c r="AC209" s="808">
        <f t="shared" si="266"/>
        <v>0</v>
      </c>
      <c r="AD209" s="764">
        <f>SUM(Y209:AC209)</f>
        <v>12</v>
      </c>
      <c r="AE209" s="764">
        <f>AD209-S209</f>
        <v>0</v>
      </c>
      <c r="AF209" s="605" t="s">
        <v>301</v>
      </c>
      <c r="AG209" s="605" t="s">
        <v>201</v>
      </c>
      <c r="AH209" s="605" t="s">
        <v>372</v>
      </c>
      <c r="AI209" s="605" t="str">
        <f t="shared" si="255"/>
        <v>MAFF</v>
      </c>
      <c r="AJ209" s="612"/>
      <c r="AK209" s="743"/>
      <c r="AL209" s="743"/>
      <c r="AM209" s="743"/>
      <c r="AN209" s="743"/>
      <c r="AO209" s="743"/>
      <c r="AP209" s="743"/>
      <c r="AQ209" s="743"/>
      <c r="AR209" s="743"/>
      <c r="AS209" s="743"/>
      <c r="AT209" s="743"/>
    </row>
    <row r="210" spans="1:46" s="607" customFormat="1" ht="93" outlineLevel="1">
      <c r="A210" s="587"/>
      <c r="B210" s="669" t="s">
        <v>1451</v>
      </c>
      <c r="C210" s="669" t="s">
        <v>33</v>
      </c>
      <c r="D210" s="701"/>
      <c r="E210" s="307" t="s">
        <v>872</v>
      </c>
      <c r="F210" s="615"/>
      <c r="G210" s="1922" t="s">
        <v>1237</v>
      </c>
      <c r="H210" s="1719" t="s">
        <v>837</v>
      </c>
      <c r="I210" s="794">
        <v>6</v>
      </c>
      <c r="J210" s="620"/>
      <c r="K210" s="620">
        <v>2</v>
      </c>
      <c r="L210" s="620"/>
      <c r="M210" s="2315"/>
      <c r="N210" s="731">
        <f t="shared" si="247"/>
        <v>2</v>
      </c>
      <c r="O210" s="760">
        <f t="shared" si="232"/>
        <v>0</v>
      </c>
      <c r="P210" s="760">
        <f t="shared" si="233"/>
        <v>12</v>
      </c>
      <c r="Q210" s="760">
        <f t="shared" si="234"/>
        <v>0</v>
      </c>
      <c r="R210" s="760">
        <f t="shared" si="235"/>
        <v>0</v>
      </c>
      <c r="S210" s="1356">
        <f t="shared" si="265"/>
        <v>12</v>
      </c>
      <c r="T210" s="2314">
        <f>IFERROR(INDEX('Annex 2_Code'!I$8:I$33,MATCH('Annex 3_MAFF'!$AG210,'Annex 2_Code'!$G$8:$G$33,0)),"")</f>
        <v>0</v>
      </c>
      <c r="U210" s="2314">
        <f>IFERROR(INDEX('Annex 2_Code'!J$8:J$33,MATCH('Annex 3_MAFF'!$AG210,'Annex 2_Code'!$G$8:$G$33,0)),"")</f>
        <v>0</v>
      </c>
      <c r="V210" s="2314">
        <f>IFERROR(INDEX('Annex 2_Code'!K$8:K$33,MATCH('Annex 3_MAFF'!$AG210,'Annex 2_Code'!$G$8:$G$33,0)),"")</f>
        <v>1</v>
      </c>
      <c r="W210" s="2314">
        <f>IFERROR(INDEX('Annex 2_Code'!L$8:L$33,MATCH('Annex 3_MAFF'!$AG210,'Annex 2_Code'!$G$8:$G$33,0)),"")</f>
        <v>0</v>
      </c>
      <c r="X210" s="2314">
        <f>IFERROR(INDEX('Annex 2_Code'!M$8:M$33,MATCH('Annex 3_MAFF'!$AG210,'Annex 2_Code'!$G$8:$G$33,0)),"")</f>
        <v>0</v>
      </c>
      <c r="Y210" s="1745">
        <f t="shared" si="266"/>
        <v>0</v>
      </c>
      <c r="Z210" s="807">
        <f t="shared" si="266"/>
        <v>0</v>
      </c>
      <c r="AA210" s="807">
        <f t="shared" si="266"/>
        <v>12</v>
      </c>
      <c r="AB210" s="807">
        <f t="shared" si="266"/>
        <v>0</v>
      </c>
      <c r="AC210" s="808">
        <f t="shared" si="266"/>
        <v>0</v>
      </c>
      <c r="AD210" s="764">
        <f>SUM(Y210:AC210)</f>
        <v>12</v>
      </c>
      <c r="AE210" s="764">
        <f>AD210-S210</f>
        <v>0</v>
      </c>
      <c r="AF210" s="605" t="s">
        <v>301</v>
      </c>
      <c r="AG210" s="605" t="s">
        <v>201</v>
      </c>
      <c r="AH210" s="605" t="s">
        <v>372</v>
      </c>
      <c r="AI210" s="605" t="str">
        <f t="shared" si="255"/>
        <v>MAFF</v>
      </c>
      <c r="AJ210" s="612"/>
      <c r="AK210" s="743"/>
      <c r="AL210" s="743"/>
      <c r="AM210" s="743"/>
      <c r="AN210" s="743"/>
      <c r="AO210" s="743"/>
      <c r="AP210" s="743"/>
      <c r="AQ210" s="743"/>
      <c r="AR210" s="743"/>
      <c r="AS210" s="743"/>
      <c r="AT210" s="743"/>
    </row>
    <row r="211" spans="1:46" s="1364" customFormat="1" ht="51.75" outlineLevel="1">
      <c r="A211" s="901"/>
      <c r="B211" s="669" t="s">
        <v>1451</v>
      </c>
      <c r="C211" s="669" t="s">
        <v>33</v>
      </c>
      <c r="D211" s="701"/>
      <c r="E211" s="307" t="s">
        <v>873</v>
      </c>
      <c r="F211" s="615"/>
      <c r="G211" s="2237" t="s">
        <v>1542</v>
      </c>
      <c r="H211" s="1719" t="s">
        <v>837</v>
      </c>
      <c r="I211" s="794">
        <v>6</v>
      </c>
      <c r="J211" s="620">
        <v>0</v>
      </c>
      <c r="K211" s="620">
        <v>0</v>
      </c>
      <c r="L211" s="620">
        <v>1</v>
      </c>
      <c r="M211" s="620">
        <v>0</v>
      </c>
      <c r="N211" s="731">
        <f t="shared" si="247"/>
        <v>1</v>
      </c>
      <c r="O211" s="760">
        <f t="shared" si="232"/>
        <v>0</v>
      </c>
      <c r="P211" s="760">
        <f t="shared" si="233"/>
        <v>0</v>
      </c>
      <c r="Q211" s="760">
        <f t="shared" si="234"/>
        <v>6</v>
      </c>
      <c r="R211" s="760">
        <f t="shared" si="235"/>
        <v>0</v>
      </c>
      <c r="S211" s="1356">
        <f t="shared" si="265"/>
        <v>6</v>
      </c>
      <c r="T211" s="2314">
        <f>IFERROR(INDEX('Annex 2_Code'!I$8:I$33,MATCH('Annex 3_MAFF'!$AG211,'Annex 2_Code'!$G$8:$G$33,0)),"")</f>
        <v>0</v>
      </c>
      <c r="U211" s="2314">
        <f>IFERROR(INDEX('Annex 2_Code'!J$8:J$33,MATCH('Annex 3_MAFF'!$AG211,'Annex 2_Code'!$G$8:$G$33,0)),"")</f>
        <v>0</v>
      </c>
      <c r="V211" s="2314">
        <f>IFERROR(INDEX('Annex 2_Code'!K$8:K$33,MATCH('Annex 3_MAFF'!$AG211,'Annex 2_Code'!$G$8:$G$33,0)),"")</f>
        <v>1</v>
      </c>
      <c r="W211" s="2314">
        <f>IFERROR(INDEX('Annex 2_Code'!L$8:L$33,MATCH('Annex 3_MAFF'!$AG211,'Annex 2_Code'!$G$8:$G$33,0)),"")</f>
        <v>0</v>
      </c>
      <c r="X211" s="2314">
        <f>IFERROR(INDEX('Annex 2_Code'!M$8:M$33,MATCH('Annex 3_MAFF'!$AG211,'Annex 2_Code'!$G$8:$G$33,0)),"")</f>
        <v>0</v>
      </c>
      <c r="Y211" s="1745">
        <f t="shared" si="248"/>
        <v>0</v>
      </c>
      <c r="Z211" s="807">
        <f t="shared" si="249"/>
        <v>0</v>
      </c>
      <c r="AA211" s="807">
        <f t="shared" si="250"/>
        <v>6</v>
      </c>
      <c r="AB211" s="807">
        <f t="shared" si="251"/>
        <v>0</v>
      </c>
      <c r="AC211" s="808">
        <f t="shared" si="252"/>
        <v>0</v>
      </c>
      <c r="AD211" s="764">
        <f t="shared" si="253"/>
        <v>6</v>
      </c>
      <c r="AE211" s="764">
        <f t="shared" si="254"/>
        <v>0</v>
      </c>
      <c r="AF211" s="605" t="s">
        <v>301</v>
      </c>
      <c r="AG211" s="605" t="s">
        <v>201</v>
      </c>
      <c r="AH211" s="605" t="s">
        <v>372</v>
      </c>
      <c r="AI211" s="605" t="str">
        <f t="shared" si="255"/>
        <v>MAFF</v>
      </c>
      <c r="AJ211" s="612" t="s">
        <v>456</v>
      </c>
      <c r="AK211" s="1363"/>
      <c r="AL211" s="1363"/>
      <c r="AM211" s="1363"/>
      <c r="AN211" s="1363"/>
      <c r="AO211" s="1363"/>
      <c r="AP211" s="1363"/>
      <c r="AQ211" s="1363"/>
      <c r="AR211" s="1363"/>
      <c r="AS211" s="1363"/>
      <c r="AT211" s="1363"/>
    </row>
    <row r="212" spans="1:46" s="607" customFormat="1" ht="46.5" outlineLevel="1">
      <c r="A212" s="587"/>
      <c r="B212" s="669" t="s">
        <v>1451</v>
      </c>
      <c r="C212" s="669" t="s">
        <v>33</v>
      </c>
      <c r="D212" s="701"/>
      <c r="E212" s="307" t="s">
        <v>874</v>
      </c>
      <c r="F212" s="615"/>
      <c r="G212" s="2237" t="s">
        <v>1543</v>
      </c>
      <c r="H212" s="1719" t="s">
        <v>837</v>
      </c>
      <c r="I212" s="794">
        <v>6</v>
      </c>
      <c r="J212" s="620">
        <v>0</v>
      </c>
      <c r="K212" s="620">
        <v>1</v>
      </c>
      <c r="L212" s="620">
        <v>0</v>
      </c>
      <c r="M212" s="620">
        <v>0</v>
      </c>
      <c r="N212" s="784">
        <f t="shared" ref="N212:N224" si="267">SUM(J212:M212)</f>
        <v>1</v>
      </c>
      <c r="O212" s="759">
        <f t="shared" si="232"/>
        <v>0</v>
      </c>
      <c r="P212" s="760">
        <f t="shared" si="233"/>
        <v>6</v>
      </c>
      <c r="Q212" s="760">
        <f t="shared" si="234"/>
        <v>0</v>
      </c>
      <c r="R212" s="760">
        <f t="shared" si="235"/>
        <v>0</v>
      </c>
      <c r="S212" s="1356">
        <f t="shared" si="265"/>
        <v>6</v>
      </c>
      <c r="T212" s="2314">
        <f>IFERROR(INDEX('Annex 2_Code'!I$8:I$33,MATCH('Annex 3_MAFF'!$AG212,'Annex 2_Code'!$G$8:$G$33,0)),"")</f>
        <v>0</v>
      </c>
      <c r="U212" s="2314">
        <f>IFERROR(INDEX('Annex 2_Code'!J$8:J$33,MATCH('Annex 3_MAFF'!$AG212,'Annex 2_Code'!$G$8:$G$33,0)),"")</f>
        <v>0</v>
      </c>
      <c r="V212" s="2314">
        <f>IFERROR(INDEX('Annex 2_Code'!K$8:K$33,MATCH('Annex 3_MAFF'!$AG212,'Annex 2_Code'!$G$8:$G$33,0)),"")</f>
        <v>1</v>
      </c>
      <c r="W212" s="2314">
        <f>IFERROR(INDEX('Annex 2_Code'!L$8:L$33,MATCH('Annex 3_MAFF'!$AG212,'Annex 2_Code'!$G$8:$G$33,0)),"")</f>
        <v>0</v>
      </c>
      <c r="X212" s="2314">
        <f>IFERROR(INDEX('Annex 2_Code'!M$8:M$33,MATCH('Annex 3_MAFF'!$AG212,'Annex 2_Code'!$G$8:$G$33,0)),"")</f>
        <v>0</v>
      </c>
      <c r="Y212" s="1745">
        <f t="shared" si="248"/>
        <v>0</v>
      </c>
      <c r="Z212" s="807">
        <f t="shared" si="249"/>
        <v>0</v>
      </c>
      <c r="AA212" s="807">
        <f t="shared" si="250"/>
        <v>6</v>
      </c>
      <c r="AB212" s="807">
        <f t="shared" si="251"/>
        <v>0</v>
      </c>
      <c r="AC212" s="808">
        <f t="shared" si="252"/>
        <v>0</v>
      </c>
      <c r="AD212" s="764">
        <f t="shared" si="253"/>
        <v>6</v>
      </c>
      <c r="AE212" s="764">
        <f t="shared" si="254"/>
        <v>0</v>
      </c>
      <c r="AF212" s="605" t="s">
        <v>301</v>
      </c>
      <c r="AG212" s="605" t="s">
        <v>201</v>
      </c>
      <c r="AH212" s="605" t="s">
        <v>372</v>
      </c>
      <c r="AI212" s="605" t="str">
        <f t="shared" si="255"/>
        <v>MAFF</v>
      </c>
      <c r="AJ212" s="612" t="s">
        <v>456</v>
      </c>
      <c r="AK212" s="743"/>
      <c r="AL212" s="743"/>
      <c r="AM212" s="743"/>
      <c r="AN212" s="743"/>
      <c r="AO212" s="743"/>
      <c r="AP212" s="743"/>
      <c r="AQ212" s="743"/>
      <c r="AR212" s="743"/>
      <c r="AS212" s="743"/>
      <c r="AT212" s="743"/>
    </row>
    <row r="213" spans="1:46" s="1568" customFormat="1" ht="46.5" outlineLevel="1">
      <c r="A213" s="1569"/>
      <c r="B213" s="669" t="s">
        <v>1451</v>
      </c>
      <c r="C213" s="669" t="s">
        <v>33</v>
      </c>
      <c r="D213" s="701"/>
      <c r="E213" s="307" t="s">
        <v>875</v>
      </c>
      <c r="F213" s="615"/>
      <c r="G213" s="2237" t="s">
        <v>1544</v>
      </c>
      <c r="H213" s="1719" t="s">
        <v>837</v>
      </c>
      <c r="I213" s="794">
        <v>6</v>
      </c>
      <c r="J213" s="620">
        <v>0</v>
      </c>
      <c r="K213" s="620">
        <v>0</v>
      </c>
      <c r="L213" s="620">
        <v>0</v>
      </c>
      <c r="M213" s="620">
        <v>1</v>
      </c>
      <c r="N213" s="784">
        <f t="shared" si="267"/>
        <v>1</v>
      </c>
      <c r="O213" s="759">
        <f t="shared" si="232"/>
        <v>0</v>
      </c>
      <c r="P213" s="760">
        <f t="shared" si="233"/>
        <v>0</v>
      </c>
      <c r="Q213" s="760">
        <f t="shared" si="234"/>
        <v>0</v>
      </c>
      <c r="R213" s="760">
        <f t="shared" si="235"/>
        <v>6</v>
      </c>
      <c r="S213" s="1356">
        <f t="shared" si="265"/>
        <v>6</v>
      </c>
      <c r="T213" s="2314">
        <f>IFERROR(INDEX('Annex 2_Code'!I$8:I$33,MATCH('Annex 3_MAFF'!$AG213,'Annex 2_Code'!$G$8:$G$33,0)),"")</f>
        <v>0</v>
      </c>
      <c r="U213" s="2314">
        <f>IFERROR(INDEX('Annex 2_Code'!J$8:J$33,MATCH('Annex 3_MAFF'!$AG213,'Annex 2_Code'!$G$8:$G$33,0)),"")</f>
        <v>0</v>
      </c>
      <c r="V213" s="2314">
        <f>IFERROR(INDEX('Annex 2_Code'!K$8:K$33,MATCH('Annex 3_MAFF'!$AG213,'Annex 2_Code'!$G$8:$G$33,0)),"")</f>
        <v>1</v>
      </c>
      <c r="W213" s="2314">
        <f>IFERROR(INDEX('Annex 2_Code'!L$8:L$33,MATCH('Annex 3_MAFF'!$AG213,'Annex 2_Code'!$G$8:$G$33,0)),"")</f>
        <v>0</v>
      </c>
      <c r="X213" s="2314">
        <f>IFERROR(INDEX('Annex 2_Code'!M$8:M$33,MATCH('Annex 3_MAFF'!$AG213,'Annex 2_Code'!$G$8:$G$33,0)),"")</f>
        <v>0</v>
      </c>
      <c r="Y213" s="1745">
        <f>IFERROR($S213*T213,"")</f>
        <v>0</v>
      </c>
      <c r="Z213" s="807">
        <f>IFERROR($S213*U213,"")</f>
        <v>0</v>
      </c>
      <c r="AA213" s="807">
        <f>IFERROR($S213*V213,"")</f>
        <v>6</v>
      </c>
      <c r="AB213" s="807">
        <f>IFERROR($S213*W213,"")</f>
        <v>0</v>
      </c>
      <c r="AC213" s="808">
        <f>IFERROR($S213*X213,"")</f>
        <v>0</v>
      </c>
      <c r="AD213" s="764">
        <f>SUM(Y213:AC213)</f>
        <v>6</v>
      </c>
      <c r="AE213" s="764">
        <f>AD213-S213</f>
        <v>0</v>
      </c>
      <c r="AF213" s="605" t="s">
        <v>301</v>
      </c>
      <c r="AG213" s="605" t="s">
        <v>201</v>
      </c>
      <c r="AH213" s="605" t="s">
        <v>372</v>
      </c>
      <c r="AI213" s="605" t="str">
        <f t="shared" si="255"/>
        <v>MAFF</v>
      </c>
      <c r="AJ213" s="612" t="s">
        <v>456</v>
      </c>
      <c r="AK213" s="1858"/>
      <c r="AL213" s="1858"/>
      <c r="AM213" s="1858"/>
      <c r="AN213" s="1858"/>
      <c r="AO213" s="1858"/>
      <c r="AP213" s="1858"/>
      <c r="AQ213" s="1858"/>
      <c r="AR213" s="1858"/>
      <c r="AS213" s="1858"/>
      <c r="AT213" s="1858"/>
    </row>
    <row r="214" spans="1:46" s="1568" customFormat="1" ht="46.5" outlineLevel="1">
      <c r="A214" s="1569"/>
      <c r="B214" s="669" t="s">
        <v>1451</v>
      </c>
      <c r="C214" s="669" t="s">
        <v>33</v>
      </c>
      <c r="D214" s="701"/>
      <c r="E214" s="307" t="s">
        <v>876</v>
      </c>
      <c r="F214" s="615"/>
      <c r="G214" s="2237" t="s">
        <v>1545</v>
      </c>
      <c r="H214" s="1719" t="s">
        <v>837</v>
      </c>
      <c r="I214" s="794">
        <v>6</v>
      </c>
      <c r="J214" s="620"/>
      <c r="K214" s="620">
        <v>0</v>
      </c>
      <c r="L214" s="620">
        <v>1</v>
      </c>
      <c r="M214" s="620">
        <v>0</v>
      </c>
      <c r="N214" s="731">
        <f t="shared" si="267"/>
        <v>1</v>
      </c>
      <c r="O214" s="760">
        <f t="shared" si="232"/>
        <v>0</v>
      </c>
      <c r="P214" s="760">
        <f t="shared" si="233"/>
        <v>0</v>
      </c>
      <c r="Q214" s="760">
        <f t="shared" si="234"/>
        <v>6</v>
      </c>
      <c r="R214" s="760">
        <f t="shared" si="235"/>
        <v>0</v>
      </c>
      <c r="S214" s="1356">
        <f t="shared" si="265"/>
        <v>6</v>
      </c>
      <c r="T214" s="2314">
        <f>IFERROR(INDEX('Annex 2_Code'!I$8:I$33,MATCH('Annex 3_MAFF'!$AG214,'Annex 2_Code'!$G$8:$G$33,0)),"")</f>
        <v>0</v>
      </c>
      <c r="U214" s="2314">
        <f>IFERROR(INDEX('Annex 2_Code'!J$8:J$33,MATCH('Annex 3_MAFF'!$AG214,'Annex 2_Code'!$G$8:$G$33,0)),"")</f>
        <v>0</v>
      </c>
      <c r="V214" s="2314">
        <f>IFERROR(INDEX('Annex 2_Code'!K$8:K$33,MATCH('Annex 3_MAFF'!$AG214,'Annex 2_Code'!$G$8:$G$33,0)),"")</f>
        <v>1</v>
      </c>
      <c r="W214" s="2314">
        <f>IFERROR(INDEX('Annex 2_Code'!L$8:L$33,MATCH('Annex 3_MAFF'!$AG214,'Annex 2_Code'!$G$8:$G$33,0)),"")</f>
        <v>0</v>
      </c>
      <c r="X214" s="2314">
        <f>IFERROR(INDEX('Annex 2_Code'!M$8:M$33,MATCH('Annex 3_MAFF'!$AG214,'Annex 2_Code'!$G$8:$G$33,0)),"")</f>
        <v>0</v>
      </c>
      <c r="Y214" s="1745">
        <f t="shared" ref="Y214:Y231" si="268">IFERROR($S214*T214,"")</f>
        <v>0</v>
      </c>
      <c r="Z214" s="807">
        <f t="shared" ref="Z214:Z231" si="269">IFERROR($S214*U214,"")</f>
        <v>0</v>
      </c>
      <c r="AA214" s="807">
        <f t="shared" ref="AA214:AA231" si="270">IFERROR($S214*V214,"")</f>
        <v>6</v>
      </c>
      <c r="AB214" s="807">
        <f t="shared" ref="AB214:AB231" si="271">IFERROR($S214*W214,"")</f>
        <v>0</v>
      </c>
      <c r="AC214" s="808">
        <f t="shared" ref="AC214:AC231" si="272">IFERROR($S214*X214,"")</f>
        <v>0</v>
      </c>
      <c r="AD214" s="764">
        <f t="shared" ref="AD214:AD231" si="273">SUM(Y214:AC214)</f>
        <v>6</v>
      </c>
      <c r="AE214" s="764">
        <f t="shared" ref="AE214:AE231" si="274">AD214-S214</f>
        <v>0</v>
      </c>
      <c r="AF214" s="605" t="s">
        <v>301</v>
      </c>
      <c r="AG214" s="605" t="s">
        <v>201</v>
      </c>
      <c r="AH214" s="605" t="s">
        <v>372</v>
      </c>
      <c r="AI214" s="605" t="str">
        <f t="shared" si="255"/>
        <v>MAFF</v>
      </c>
      <c r="AJ214" s="612"/>
      <c r="AK214" s="1858"/>
      <c r="AL214" s="1858"/>
      <c r="AM214" s="1858"/>
      <c r="AN214" s="1858"/>
      <c r="AO214" s="1858"/>
      <c r="AP214" s="1858"/>
      <c r="AQ214" s="1858"/>
      <c r="AR214" s="1858"/>
      <c r="AS214" s="1858"/>
      <c r="AT214" s="1858"/>
    </row>
    <row r="215" spans="1:46" s="1568" customFormat="1" ht="46.5" outlineLevel="1">
      <c r="A215" s="1569"/>
      <c r="B215" s="669" t="s">
        <v>1451</v>
      </c>
      <c r="C215" s="669" t="s">
        <v>33</v>
      </c>
      <c r="D215" s="701"/>
      <c r="E215" s="307" t="s">
        <v>877</v>
      </c>
      <c r="F215" s="615"/>
      <c r="G215" s="2237" t="s">
        <v>1546</v>
      </c>
      <c r="H215" s="1719" t="s">
        <v>837</v>
      </c>
      <c r="I215" s="794">
        <v>6</v>
      </c>
      <c r="J215" s="620"/>
      <c r="K215" s="620">
        <v>0</v>
      </c>
      <c r="L215" s="620">
        <v>1</v>
      </c>
      <c r="M215" s="620">
        <v>0</v>
      </c>
      <c r="N215" s="731">
        <f t="shared" si="267"/>
        <v>1</v>
      </c>
      <c r="O215" s="760">
        <f t="shared" si="232"/>
        <v>0</v>
      </c>
      <c r="P215" s="760">
        <f t="shared" si="233"/>
        <v>0</v>
      </c>
      <c r="Q215" s="760">
        <f t="shared" si="234"/>
        <v>6</v>
      </c>
      <c r="R215" s="760">
        <f t="shared" si="235"/>
        <v>0</v>
      </c>
      <c r="S215" s="1356">
        <f t="shared" ref="S215:S221" si="275">SUM(O215:R215)</f>
        <v>6</v>
      </c>
      <c r="T215" s="2314">
        <f>IFERROR(INDEX('Annex 2_Code'!I$8:I$33,MATCH('Annex 3_MAFF'!$AG215,'Annex 2_Code'!$G$8:$G$33,0)),"")</f>
        <v>0</v>
      </c>
      <c r="U215" s="2314">
        <f>IFERROR(INDEX('Annex 2_Code'!J$8:J$33,MATCH('Annex 3_MAFF'!$AG215,'Annex 2_Code'!$G$8:$G$33,0)),"")</f>
        <v>0</v>
      </c>
      <c r="V215" s="2314">
        <f>IFERROR(INDEX('Annex 2_Code'!K$8:K$33,MATCH('Annex 3_MAFF'!$AG215,'Annex 2_Code'!$G$8:$G$33,0)),"")</f>
        <v>1</v>
      </c>
      <c r="W215" s="2314">
        <f>IFERROR(INDEX('Annex 2_Code'!L$8:L$33,MATCH('Annex 3_MAFF'!$AG215,'Annex 2_Code'!$G$8:$G$33,0)),"")</f>
        <v>0</v>
      </c>
      <c r="X215" s="2314">
        <f>IFERROR(INDEX('Annex 2_Code'!M$8:M$33,MATCH('Annex 3_MAFF'!$AG215,'Annex 2_Code'!$G$8:$G$33,0)),"")</f>
        <v>0</v>
      </c>
      <c r="Y215" s="1745">
        <f t="shared" si="268"/>
        <v>0</v>
      </c>
      <c r="Z215" s="807">
        <f t="shared" si="269"/>
        <v>0</v>
      </c>
      <c r="AA215" s="807">
        <f t="shared" si="270"/>
        <v>6</v>
      </c>
      <c r="AB215" s="807">
        <f t="shared" si="271"/>
        <v>0</v>
      </c>
      <c r="AC215" s="808">
        <f t="shared" si="272"/>
        <v>0</v>
      </c>
      <c r="AD215" s="764">
        <f t="shared" si="273"/>
        <v>6</v>
      </c>
      <c r="AE215" s="764">
        <f t="shared" si="274"/>
        <v>0</v>
      </c>
      <c r="AF215" s="605" t="s">
        <v>301</v>
      </c>
      <c r="AG215" s="605" t="s">
        <v>201</v>
      </c>
      <c r="AH215" s="605" t="s">
        <v>372</v>
      </c>
      <c r="AI215" s="605" t="str">
        <f t="shared" si="255"/>
        <v>MAFF</v>
      </c>
      <c r="AJ215" s="612"/>
      <c r="AK215" s="1858"/>
      <c r="AL215" s="1858"/>
      <c r="AM215" s="1858"/>
      <c r="AN215" s="1858"/>
      <c r="AO215" s="1858"/>
      <c r="AP215" s="1858"/>
      <c r="AQ215" s="1858"/>
      <c r="AR215" s="1858"/>
      <c r="AS215" s="1858"/>
      <c r="AT215" s="1858"/>
    </row>
    <row r="216" spans="1:46" s="1364" customFormat="1" ht="51.75" outlineLevel="1">
      <c r="A216" s="1357"/>
      <c r="B216" s="669" t="s">
        <v>1451</v>
      </c>
      <c r="C216" s="669" t="s">
        <v>33</v>
      </c>
      <c r="D216" s="701"/>
      <c r="E216" s="307" t="s">
        <v>878</v>
      </c>
      <c r="F216" s="615"/>
      <c r="G216" s="2237" t="s">
        <v>1547</v>
      </c>
      <c r="H216" s="1719" t="s">
        <v>837</v>
      </c>
      <c r="I216" s="794">
        <v>6</v>
      </c>
      <c r="J216" s="620">
        <v>0</v>
      </c>
      <c r="K216" s="620">
        <v>0</v>
      </c>
      <c r="L216" s="620">
        <v>0</v>
      </c>
      <c r="M216" s="620">
        <v>1</v>
      </c>
      <c r="N216" s="731">
        <f t="shared" si="267"/>
        <v>1</v>
      </c>
      <c r="O216" s="760">
        <f t="shared" si="232"/>
        <v>0</v>
      </c>
      <c r="P216" s="760">
        <f t="shared" si="233"/>
        <v>0</v>
      </c>
      <c r="Q216" s="760">
        <f t="shared" si="234"/>
        <v>0</v>
      </c>
      <c r="R216" s="760">
        <f t="shared" si="235"/>
        <v>6</v>
      </c>
      <c r="S216" s="1356">
        <f>SUM(O216:R216)</f>
        <v>6</v>
      </c>
      <c r="T216" s="2314">
        <f>IFERROR(INDEX('Annex 2_Code'!I$8:I$33,MATCH('Annex 3_MAFF'!$AG216,'Annex 2_Code'!$G$8:$G$33,0)),"")</f>
        <v>0</v>
      </c>
      <c r="U216" s="2314">
        <f>IFERROR(INDEX('Annex 2_Code'!J$8:J$33,MATCH('Annex 3_MAFF'!$AG216,'Annex 2_Code'!$G$8:$G$33,0)),"")</f>
        <v>0</v>
      </c>
      <c r="V216" s="2314">
        <f>IFERROR(INDEX('Annex 2_Code'!K$8:K$33,MATCH('Annex 3_MAFF'!$AG216,'Annex 2_Code'!$G$8:$G$33,0)),"")</f>
        <v>1</v>
      </c>
      <c r="W216" s="2314">
        <f>IFERROR(INDEX('Annex 2_Code'!L$8:L$33,MATCH('Annex 3_MAFF'!$AG216,'Annex 2_Code'!$G$8:$G$33,0)),"")</f>
        <v>0</v>
      </c>
      <c r="X216" s="2314">
        <f>IFERROR(INDEX('Annex 2_Code'!M$8:M$33,MATCH('Annex 3_MAFF'!$AG216,'Annex 2_Code'!$G$8:$G$33,0)),"")</f>
        <v>0</v>
      </c>
      <c r="Y216" s="1745">
        <f t="shared" si="268"/>
        <v>0</v>
      </c>
      <c r="Z216" s="807">
        <f t="shared" si="269"/>
        <v>0</v>
      </c>
      <c r="AA216" s="807">
        <f t="shared" si="270"/>
        <v>6</v>
      </c>
      <c r="AB216" s="807">
        <f t="shared" si="271"/>
        <v>0</v>
      </c>
      <c r="AC216" s="808">
        <f t="shared" si="272"/>
        <v>0</v>
      </c>
      <c r="AD216" s="764">
        <f t="shared" si="273"/>
        <v>6</v>
      </c>
      <c r="AE216" s="764">
        <f t="shared" si="274"/>
        <v>0</v>
      </c>
      <c r="AF216" s="605" t="s">
        <v>301</v>
      </c>
      <c r="AG216" s="605" t="s">
        <v>201</v>
      </c>
      <c r="AH216" s="605" t="s">
        <v>372</v>
      </c>
      <c r="AI216" s="605" t="str">
        <f t="shared" si="255"/>
        <v>MAFF</v>
      </c>
      <c r="AJ216" s="612"/>
      <c r="AK216" s="1363"/>
      <c r="AL216" s="1363"/>
      <c r="AM216" s="1363"/>
      <c r="AN216" s="1363"/>
      <c r="AO216" s="1363"/>
      <c r="AP216" s="1363"/>
      <c r="AQ216" s="1363"/>
      <c r="AR216" s="1363"/>
      <c r="AS216" s="1363"/>
      <c r="AT216" s="1363"/>
    </row>
    <row r="217" spans="1:46" s="1939" customFormat="1" ht="93" outlineLevel="1">
      <c r="A217" s="1930"/>
      <c r="B217" s="669" t="s">
        <v>1451</v>
      </c>
      <c r="C217" s="669" t="s">
        <v>33</v>
      </c>
      <c r="D217" s="701"/>
      <c r="E217" s="307" t="s">
        <v>879</v>
      </c>
      <c r="F217" s="615"/>
      <c r="G217" s="1922" t="s">
        <v>1251</v>
      </c>
      <c r="H217" s="1719" t="s">
        <v>837</v>
      </c>
      <c r="I217" s="794">
        <v>6</v>
      </c>
      <c r="J217" s="620">
        <v>0</v>
      </c>
      <c r="K217" s="620">
        <v>2</v>
      </c>
      <c r="L217" s="620">
        <v>0</v>
      </c>
      <c r="M217" s="620">
        <v>0</v>
      </c>
      <c r="N217" s="731">
        <f t="shared" si="267"/>
        <v>2</v>
      </c>
      <c r="O217" s="760">
        <f t="shared" si="232"/>
        <v>0</v>
      </c>
      <c r="P217" s="760">
        <f t="shared" si="233"/>
        <v>12</v>
      </c>
      <c r="Q217" s="760">
        <f t="shared" si="234"/>
        <v>0</v>
      </c>
      <c r="R217" s="760">
        <f t="shared" si="235"/>
        <v>0</v>
      </c>
      <c r="S217" s="1356">
        <f>SUM(O217:R217)</f>
        <v>12</v>
      </c>
      <c r="T217" s="2314">
        <f>IFERROR(INDEX('Annex 2_Code'!I$8:I$33,MATCH('Annex 3_MAFF'!$AG217,'Annex 2_Code'!$G$8:$G$33,0)),"")</f>
        <v>0</v>
      </c>
      <c r="U217" s="2314">
        <f>IFERROR(INDEX('Annex 2_Code'!J$8:J$33,MATCH('Annex 3_MAFF'!$AG217,'Annex 2_Code'!$G$8:$G$33,0)),"")</f>
        <v>0</v>
      </c>
      <c r="V217" s="2314">
        <f>IFERROR(INDEX('Annex 2_Code'!K$8:K$33,MATCH('Annex 3_MAFF'!$AG217,'Annex 2_Code'!$G$8:$G$33,0)),"")</f>
        <v>1</v>
      </c>
      <c r="W217" s="2314">
        <f>IFERROR(INDEX('Annex 2_Code'!L$8:L$33,MATCH('Annex 3_MAFF'!$AG217,'Annex 2_Code'!$G$8:$G$33,0)),"")</f>
        <v>0</v>
      </c>
      <c r="X217" s="2314">
        <f>IFERROR(INDEX('Annex 2_Code'!M$8:M$33,MATCH('Annex 3_MAFF'!$AG217,'Annex 2_Code'!$G$8:$G$33,0)),"")</f>
        <v>0</v>
      </c>
      <c r="Y217" s="1745">
        <f t="shared" ref="Y217" si="276">IFERROR($S217*T217,"")</f>
        <v>0</v>
      </c>
      <c r="Z217" s="807">
        <f t="shared" ref="Z217" si="277">IFERROR($S217*U217,"")</f>
        <v>0</v>
      </c>
      <c r="AA217" s="807">
        <f t="shared" ref="AA217" si="278">IFERROR($S217*V217,"")</f>
        <v>12</v>
      </c>
      <c r="AB217" s="807">
        <f t="shared" ref="AB217" si="279">IFERROR($S217*W217,"")</f>
        <v>0</v>
      </c>
      <c r="AC217" s="808">
        <f t="shared" ref="AC217" si="280">IFERROR($S217*X217,"")</f>
        <v>0</v>
      </c>
      <c r="AD217" s="764">
        <f t="shared" ref="AD217" si="281">SUM(Y217:AC217)</f>
        <v>12</v>
      </c>
      <c r="AE217" s="764">
        <f t="shared" ref="AE217" si="282">AD217-S217</f>
        <v>0</v>
      </c>
      <c r="AF217" s="605" t="s">
        <v>301</v>
      </c>
      <c r="AG217" s="605" t="s">
        <v>201</v>
      </c>
      <c r="AH217" s="605" t="s">
        <v>372</v>
      </c>
      <c r="AI217" s="605" t="str">
        <f t="shared" ref="AI217" si="283">IF(ISNUMBER(FIND("-",AH217,1))=FALSE,LEFT(AH217,LEN(AH217)),LEFT(AH217,(FIND("-",AH217,1))-1))</f>
        <v>MAFF</v>
      </c>
      <c r="AJ217" s="612"/>
      <c r="AK217" s="1938"/>
      <c r="AL217" s="1938"/>
      <c r="AM217" s="1938"/>
      <c r="AN217" s="1938"/>
      <c r="AO217" s="1938"/>
      <c r="AP217" s="1938"/>
      <c r="AQ217" s="1938"/>
      <c r="AR217" s="1938"/>
      <c r="AS217" s="1938"/>
      <c r="AT217" s="1938"/>
    </row>
    <row r="218" spans="1:46" s="1364" customFormat="1" ht="46.5" outlineLevel="1">
      <c r="A218" s="1357"/>
      <c r="B218" s="669" t="s">
        <v>1451</v>
      </c>
      <c r="C218" s="669" t="s">
        <v>33</v>
      </c>
      <c r="D218" s="701"/>
      <c r="E218" s="307" t="s">
        <v>880</v>
      </c>
      <c r="F218" s="615"/>
      <c r="G218" s="1922" t="s">
        <v>1267</v>
      </c>
      <c r="H218" s="1719" t="s">
        <v>837</v>
      </c>
      <c r="I218" s="794">
        <v>6</v>
      </c>
      <c r="J218" s="620">
        <v>1</v>
      </c>
      <c r="K218" s="620">
        <v>2</v>
      </c>
      <c r="L218" s="620">
        <v>2</v>
      </c>
      <c r="M218" s="620">
        <v>0</v>
      </c>
      <c r="N218" s="731">
        <f t="shared" si="267"/>
        <v>5</v>
      </c>
      <c r="O218" s="760">
        <f t="shared" si="232"/>
        <v>6</v>
      </c>
      <c r="P218" s="760">
        <f t="shared" si="233"/>
        <v>12</v>
      </c>
      <c r="Q218" s="760">
        <f t="shared" si="234"/>
        <v>12</v>
      </c>
      <c r="R218" s="760">
        <f t="shared" si="235"/>
        <v>0</v>
      </c>
      <c r="S218" s="1356">
        <f t="shared" si="275"/>
        <v>30</v>
      </c>
      <c r="T218" s="2314">
        <f>IFERROR(INDEX('Annex 2_Code'!I$8:I$33,MATCH('Annex 3_MAFF'!$AG218,'Annex 2_Code'!$G$8:$G$33,0)),"")</f>
        <v>0</v>
      </c>
      <c r="U218" s="2314">
        <f>IFERROR(INDEX('Annex 2_Code'!J$8:J$33,MATCH('Annex 3_MAFF'!$AG218,'Annex 2_Code'!$G$8:$G$33,0)),"")</f>
        <v>0</v>
      </c>
      <c r="V218" s="2314">
        <f>IFERROR(INDEX('Annex 2_Code'!K$8:K$33,MATCH('Annex 3_MAFF'!$AG218,'Annex 2_Code'!$G$8:$G$33,0)),"")</f>
        <v>1</v>
      </c>
      <c r="W218" s="2314">
        <f>IFERROR(INDEX('Annex 2_Code'!L$8:L$33,MATCH('Annex 3_MAFF'!$AG218,'Annex 2_Code'!$G$8:$G$33,0)),"")</f>
        <v>0</v>
      </c>
      <c r="X218" s="2314">
        <f>IFERROR(INDEX('Annex 2_Code'!M$8:M$33,MATCH('Annex 3_MAFF'!$AG218,'Annex 2_Code'!$G$8:$G$33,0)),"")</f>
        <v>0</v>
      </c>
      <c r="Y218" s="1745">
        <f t="shared" si="268"/>
        <v>0</v>
      </c>
      <c r="Z218" s="807">
        <f t="shared" si="269"/>
        <v>0</v>
      </c>
      <c r="AA218" s="807">
        <f t="shared" si="270"/>
        <v>30</v>
      </c>
      <c r="AB218" s="807">
        <f t="shared" si="271"/>
        <v>0</v>
      </c>
      <c r="AC218" s="808">
        <f t="shared" si="272"/>
        <v>0</v>
      </c>
      <c r="AD218" s="764">
        <f t="shared" si="273"/>
        <v>30</v>
      </c>
      <c r="AE218" s="764">
        <f t="shared" si="274"/>
        <v>0</v>
      </c>
      <c r="AF218" s="605" t="s">
        <v>301</v>
      </c>
      <c r="AG218" s="605" t="s">
        <v>201</v>
      </c>
      <c r="AH218" s="605" t="s">
        <v>372</v>
      </c>
      <c r="AI218" s="605" t="str">
        <f t="shared" si="255"/>
        <v>MAFF</v>
      </c>
      <c r="AJ218" s="612"/>
      <c r="AK218" s="1363"/>
      <c r="AL218" s="1363"/>
      <c r="AM218" s="1363"/>
      <c r="AN218" s="1363"/>
      <c r="AO218" s="1363"/>
      <c r="AP218" s="1363"/>
      <c r="AQ218" s="1363"/>
      <c r="AR218" s="1363"/>
      <c r="AS218" s="1363"/>
      <c r="AT218" s="1363"/>
    </row>
    <row r="219" spans="1:46" s="1364" customFormat="1" ht="46.5" outlineLevel="1">
      <c r="A219" s="901"/>
      <c r="B219" s="669" t="s">
        <v>1451</v>
      </c>
      <c r="C219" s="669" t="s">
        <v>33</v>
      </c>
      <c r="D219" s="701"/>
      <c r="E219" s="307" t="s">
        <v>881</v>
      </c>
      <c r="F219" s="615"/>
      <c r="G219" s="1922" t="s">
        <v>1268</v>
      </c>
      <c r="H219" s="1719" t="s">
        <v>837</v>
      </c>
      <c r="I219" s="794">
        <v>6</v>
      </c>
      <c r="J219" s="620">
        <v>1</v>
      </c>
      <c r="K219" s="620">
        <v>2</v>
      </c>
      <c r="L219" s="620">
        <v>1</v>
      </c>
      <c r="M219" s="620">
        <v>0</v>
      </c>
      <c r="N219" s="731">
        <f t="shared" si="267"/>
        <v>4</v>
      </c>
      <c r="O219" s="760">
        <f t="shared" si="232"/>
        <v>6</v>
      </c>
      <c r="P219" s="760">
        <f t="shared" si="233"/>
        <v>12</v>
      </c>
      <c r="Q219" s="760">
        <f t="shared" si="234"/>
        <v>6</v>
      </c>
      <c r="R219" s="760">
        <f t="shared" si="235"/>
        <v>0</v>
      </c>
      <c r="S219" s="1356">
        <f t="shared" si="275"/>
        <v>24</v>
      </c>
      <c r="T219" s="2314">
        <f>IFERROR(INDEX('Annex 2_Code'!I$8:I$33,MATCH('Annex 3_MAFF'!$AG219,'Annex 2_Code'!$G$8:$G$33,0)),"")</f>
        <v>0</v>
      </c>
      <c r="U219" s="2314">
        <f>IFERROR(INDEX('Annex 2_Code'!J$8:J$33,MATCH('Annex 3_MAFF'!$AG219,'Annex 2_Code'!$G$8:$G$33,0)),"")</f>
        <v>0</v>
      </c>
      <c r="V219" s="2314">
        <f>IFERROR(INDEX('Annex 2_Code'!K$8:K$33,MATCH('Annex 3_MAFF'!$AG219,'Annex 2_Code'!$G$8:$G$33,0)),"")</f>
        <v>1</v>
      </c>
      <c r="W219" s="2314">
        <f>IFERROR(INDEX('Annex 2_Code'!L$8:L$33,MATCH('Annex 3_MAFF'!$AG219,'Annex 2_Code'!$G$8:$G$33,0)),"")</f>
        <v>0</v>
      </c>
      <c r="X219" s="2314">
        <f>IFERROR(INDEX('Annex 2_Code'!M$8:M$33,MATCH('Annex 3_MAFF'!$AG219,'Annex 2_Code'!$G$8:$G$33,0)),"")</f>
        <v>0</v>
      </c>
      <c r="Y219" s="1745">
        <f t="shared" si="268"/>
        <v>0</v>
      </c>
      <c r="Z219" s="807">
        <f t="shared" si="269"/>
        <v>0</v>
      </c>
      <c r="AA219" s="807">
        <f t="shared" si="270"/>
        <v>24</v>
      </c>
      <c r="AB219" s="807">
        <f t="shared" si="271"/>
        <v>0</v>
      </c>
      <c r="AC219" s="808">
        <f t="shared" si="272"/>
        <v>0</v>
      </c>
      <c r="AD219" s="764">
        <f t="shared" si="273"/>
        <v>24</v>
      </c>
      <c r="AE219" s="764">
        <f t="shared" si="274"/>
        <v>0</v>
      </c>
      <c r="AF219" s="605" t="s">
        <v>301</v>
      </c>
      <c r="AG219" s="605" t="s">
        <v>201</v>
      </c>
      <c r="AH219" s="605" t="s">
        <v>372</v>
      </c>
      <c r="AI219" s="605" t="str">
        <f t="shared" si="255"/>
        <v>MAFF</v>
      </c>
      <c r="AJ219" s="612"/>
      <c r="AK219" s="1363"/>
      <c r="AL219" s="1363"/>
      <c r="AM219" s="1363"/>
      <c r="AN219" s="1363"/>
      <c r="AO219" s="1363"/>
      <c r="AP219" s="1363"/>
      <c r="AQ219" s="1363"/>
      <c r="AR219" s="1363"/>
      <c r="AS219" s="1363"/>
      <c r="AT219" s="1363"/>
    </row>
    <row r="220" spans="1:46" s="1364" customFormat="1" ht="42" customHeight="1" outlineLevel="1">
      <c r="A220" s="1357"/>
      <c r="B220" s="669" t="s">
        <v>1451</v>
      </c>
      <c r="C220" s="669" t="s">
        <v>33</v>
      </c>
      <c r="D220" s="701"/>
      <c r="E220" s="307" t="s">
        <v>882</v>
      </c>
      <c r="F220" s="615"/>
      <c r="G220" s="1922" t="s">
        <v>1270</v>
      </c>
      <c r="H220" s="1719" t="s">
        <v>837</v>
      </c>
      <c r="I220" s="794">
        <v>6</v>
      </c>
      <c r="J220" s="620">
        <v>0</v>
      </c>
      <c r="K220" s="620">
        <v>1</v>
      </c>
      <c r="L220" s="620">
        <v>2</v>
      </c>
      <c r="M220" s="620">
        <v>1</v>
      </c>
      <c r="N220" s="731">
        <f t="shared" si="267"/>
        <v>4</v>
      </c>
      <c r="O220" s="760">
        <f t="shared" si="232"/>
        <v>0</v>
      </c>
      <c r="P220" s="760">
        <f t="shared" si="233"/>
        <v>6</v>
      </c>
      <c r="Q220" s="760">
        <f t="shared" si="234"/>
        <v>12</v>
      </c>
      <c r="R220" s="760">
        <f t="shared" si="235"/>
        <v>6</v>
      </c>
      <c r="S220" s="1356">
        <f t="shared" si="275"/>
        <v>24</v>
      </c>
      <c r="T220" s="2314">
        <f>IFERROR(INDEX('Annex 2_Code'!I$8:I$33,MATCH('Annex 3_MAFF'!$AG220,'Annex 2_Code'!$G$8:$G$33,0)),"")</f>
        <v>0</v>
      </c>
      <c r="U220" s="2314">
        <f>IFERROR(INDEX('Annex 2_Code'!J$8:J$33,MATCH('Annex 3_MAFF'!$AG220,'Annex 2_Code'!$G$8:$G$33,0)),"")</f>
        <v>0</v>
      </c>
      <c r="V220" s="2314">
        <f>IFERROR(INDEX('Annex 2_Code'!K$8:K$33,MATCH('Annex 3_MAFF'!$AG220,'Annex 2_Code'!$G$8:$G$33,0)),"")</f>
        <v>1</v>
      </c>
      <c r="W220" s="2314">
        <f>IFERROR(INDEX('Annex 2_Code'!L$8:L$33,MATCH('Annex 3_MAFF'!$AG220,'Annex 2_Code'!$G$8:$G$33,0)),"")</f>
        <v>0</v>
      </c>
      <c r="X220" s="2314">
        <f>IFERROR(INDEX('Annex 2_Code'!M$8:M$33,MATCH('Annex 3_MAFF'!$AG220,'Annex 2_Code'!$G$8:$G$33,0)),"")</f>
        <v>0</v>
      </c>
      <c r="Y220" s="1745">
        <f t="shared" si="268"/>
        <v>0</v>
      </c>
      <c r="Z220" s="807">
        <f t="shared" si="269"/>
        <v>0</v>
      </c>
      <c r="AA220" s="807">
        <f t="shared" si="270"/>
        <v>24</v>
      </c>
      <c r="AB220" s="807">
        <f t="shared" si="271"/>
        <v>0</v>
      </c>
      <c r="AC220" s="808">
        <f t="shared" si="272"/>
        <v>0</v>
      </c>
      <c r="AD220" s="764">
        <f t="shared" si="273"/>
        <v>24</v>
      </c>
      <c r="AE220" s="764">
        <f t="shared" si="274"/>
        <v>0</v>
      </c>
      <c r="AF220" s="605" t="s">
        <v>301</v>
      </c>
      <c r="AG220" s="605" t="s">
        <v>201</v>
      </c>
      <c r="AH220" s="605" t="s">
        <v>372</v>
      </c>
      <c r="AI220" s="605" t="str">
        <f t="shared" si="255"/>
        <v>MAFF</v>
      </c>
      <c r="AJ220" s="612"/>
      <c r="AK220" s="1363"/>
      <c r="AL220" s="1363"/>
      <c r="AM220" s="1363"/>
      <c r="AN220" s="1363"/>
      <c r="AO220" s="1363"/>
      <c r="AP220" s="1363"/>
      <c r="AQ220" s="1363"/>
      <c r="AR220" s="1363"/>
      <c r="AS220" s="1363"/>
      <c r="AT220" s="1363"/>
    </row>
    <row r="221" spans="1:46" s="1364" customFormat="1" ht="42" customHeight="1" outlineLevel="1">
      <c r="A221" s="1357"/>
      <c r="B221" s="669" t="s">
        <v>1451</v>
      </c>
      <c r="C221" s="669" t="s">
        <v>33</v>
      </c>
      <c r="D221" s="701"/>
      <c r="E221" s="307" t="s">
        <v>929</v>
      </c>
      <c r="F221" s="615"/>
      <c r="G221" s="1922" t="s">
        <v>1269</v>
      </c>
      <c r="H221" s="1719" t="s">
        <v>837</v>
      </c>
      <c r="I221" s="794">
        <v>6</v>
      </c>
      <c r="J221" s="620">
        <v>0</v>
      </c>
      <c r="K221" s="620">
        <v>2</v>
      </c>
      <c r="L221" s="620">
        <v>0</v>
      </c>
      <c r="M221" s="620">
        <v>0</v>
      </c>
      <c r="N221" s="731">
        <f t="shared" si="267"/>
        <v>2</v>
      </c>
      <c r="O221" s="760">
        <f t="shared" si="232"/>
        <v>0</v>
      </c>
      <c r="P221" s="760">
        <f t="shared" si="233"/>
        <v>12</v>
      </c>
      <c r="Q221" s="760">
        <f t="shared" si="234"/>
        <v>0</v>
      </c>
      <c r="R221" s="760">
        <f t="shared" si="235"/>
        <v>0</v>
      </c>
      <c r="S221" s="1356">
        <f t="shared" si="275"/>
        <v>12</v>
      </c>
      <c r="T221" s="2314">
        <f>IFERROR(INDEX('Annex 2_Code'!I$8:I$33,MATCH('Annex 3_MAFF'!$AG221,'Annex 2_Code'!$G$8:$G$33,0)),"")</f>
        <v>0</v>
      </c>
      <c r="U221" s="2314">
        <f>IFERROR(INDEX('Annex 2_Code'!J$8:J$33,MATCH('Annex 3_MAFF'!$AG221,'Annex 2_Code'!$G$8:$G$33,0)),"")</f>
        <v>0</v>
      </c>
      <c r="V221" s="2314">
        <f>IFERROR(INDEX('Annex 2_Code'!K$8:K$33,MATCH('Annex 3_MAFF'!$AG221,'Annex 2_Code'!$G$8:$G$33,0)),"")</f>
        <v>1</v>
      </c>
      <c r="W221" s="2314">
        <f>IFERROR(INDEX('Annex 2_Code'!L$8:L$33,MATCH('Annex 3_MAFF'!$AG221,'Annex 2_Code'!$G$8:$G$33,0)),"")</f>
        <v>0</v>
      </c>
      <c r="X221" s="2314">
        <f>IFERROR(INDEX('Annex 2_Code'!M$8:M$33,MATCH('Annex 3_MAFF'!$AG221,'Annex 2_Code'!$G$8:$G$33,0)),"")</f>
        <v>0</v>
      </c>
      <c r="Y221" s="1745">
        <f t="shared" si="268"/>
        <v>0</v>
      </c>
      <c r="Z221" s="807">
        <f t="shared" si="269"/>
        <v>0</v>
      </c>
      <c r="AA221" s="807">
        <f t="shared" si="270"/>
        <v>12</v>
      </c>
      <c r="AB221" s="807">
        <f t="shared" si="271"/>
        <v>0</v>
      </c>
      <c r="AC221" s="808">
        <f t="shared" si="272"/>
        <v>0</v>
      </c>
      <c r="AD221" s="764">
        <f t="shared" si="273"/>
        <v>12</v>
      </c>
      <c r="AE221" s="764">
        <f t="shared" si="274"/>
        <v>0</v>
      </c>
      <c r="AF221" s="605" t="s">
        <v>301</v>
      </c>
      <c r="AG221" s="605" t="s">
        <v>201</v>
      </c>
      <c r="AH221" s="605" t="s">
        <v>372</v>
      </c>
      <c r="AI221" s="605" t="str">
        <f t="shared" si="255"/>
        <v>MAFF</v>
      </c>
      <c r="AJ221" s="612"/>
      <c r="AK221" s="1363"/>
      <c r="AL221" s="1363"/>
      <c r="AM221" s="1363"/>
      <c r="AN221" s="1363"/>
      <c r="AO221" s="1363"/>
      <c r="AP221" s="1363"/>
      <c r="AQ221" s="1363"/>
      <c r="AR221" s="1363"/>
      <c r="AS221" s="1363"/>
      <c r="AT221" s="1363"/>
    </row>
    <row r="222" spans="1:46" s="1364" customFormat="1" ht="93" outlineLevel="1">
      <c r="A222" s="1357"/>
      <c r="B222" s="669" t="s">
        <v>1451</v>
      </c>
      <c r="C222" s="669" t="s">
        <v>33</v>
      </c>
      <c r="D222" s="701"/>
      <c r="E222" s="307" t="s">
        <v>930</v>
      </c>
      <c r="F222" s="615"/>
      <c r="G222" s="1922" t="s">
        <v>1271</v>
      </c>
      <c r="H222" s="1719" t="s">
        <v>837</v>
      </c>
      <c r="I222" s="794">
        <v>6</v>
      </c>
      <c r="J222" s="620">
        <v>0</v>
      </c>
      <c r="K222" s="620">
        <v>1</v>
      </c>
      <c r="L222" s="620">
        <v>1</v>
      </c>
      <c r="M222" s="620">
        <v>0</v>
      </c>
      <c r="N222" s="731">
        <f t="shared" si="267"/>
        <v>2</v>
      </c>
      <c r="O222" s="760">
        <f t="shared" si="232"/>
        <v>0</v>
      </c>
      <c r="P222" s="760">
        <f t="shared" si="233"/>
        <v>6</v>
      </c>
      <c r="Q222" s="760">
        <f t="shared" si="234"/>
        <v>6</v>
      </c>
      <c r="R222" s="760">
        <f t="shared" si="235"/>
        <v>0</v>
      </c>
      <c r="S222" s="1356">
        <f>SUM(O222:R222)</f>
        <v>12</v>
      </c>
      <c r="T222" s="2314">
        <f>IFERROR(INDEX('Annex 2_Code'!I$8:I$33,MATCH('Annex 3_MAFF'!$AG222,'Annex 2_Code'!$G$8:$G$33,0)),"")</f>
        <v>0</v>
      </c>
      <c r="U222" s="2314">
        <f>IFERROR(INDEX('Annex 2_Code'!J$8:J$33,MATCH('Annex 3_MAFF'!$AG222,'Annex 2_Code'!$G$8:$G$33,0)),"")</f>
        <v>0</v>
      </c>
      <c r="V222" s="2314">
        <f>IFERROR(INDEX('Annex 2_Code'!K$8:K$33,MATCH('Annex 3_MAFF'!$AG222,'Annex 2_Code'!$G$8:$G$33,0)),"")</f>
        <v>1</v>
      </c>
      <c r="W222" s="2314">
        <f>IFERROR(INDEX('Annex 2_Code'!L$8:L$33,MATCH('Annex 3_MAFF'!$AG222,'Annex 2_Code'!$G$8:$G$33,0)),"")</f>
        <v>0</v>
      </c>
      <c r="X222" s="2314">
        <f>IFERROR(INDEX('Annex 2_Code'!M$8:M$33,MATCH('Annex 3_MAFF'!$AG222,'Annex 2_Code'!$G$8:$G$33,0)),"")</f>
        <v>0</v>
      </c>
      <c r="Y222" s="1745">
        <f t="shared" si="268"/>
        <v>0</v>
      </c>
      <c r="Z222" s="807">
        <f t="shared" si="269"/>
        <v>0</v>
      </c>
      <c r="AA222" s="807">
        <f t="shared" si="270"/>
        <v>12</v>
      </c>
      <c r="AB222" s="807">
        <f t="shared" si="271"/>
        <v>0</v>
      </c>
      <c r="AC222" s="808">
        <f t="shared" si="272"/>
        <v>0</v>
      </c>
      <c r="AD222" s="764">
        <f t="shared" si="273"/>
        <v>12</v>
      </c>
      <c r="AE222" s="764">
        <f t="shared" si="274"/>
        <v>0</v>
      </c>
      <c r="AF222" s="605" t="s">
        <v>301</v>
      </c>
      <c r="AG222" s="605" t="s">
        <v>201</v>
      </c>
      <c r="AH222" s="605" t="s">
        <v>372</v>
      </c>
      <c r="AI222" s="605" t="str">
        <f t="shared" si="255"/>
        <v>MAFF</v>
      </c>
      <c r="AJ222" s="612"/>
      <c r="AK222" s="1363"/>
      <c r="AL222" s="1363"/>
      <c r="AM222" s="1363"/>
      <c r="AN222" s="1363"/>
      <c r="AO222" s="1363"/>
      <c r="AP222" s="1363"/>
      <c r="AQ222" s="1363"/>
      <c r="AR222" s="1363"/>
      <c r="AS222" s="1363"/>
      <c r="AT222" s="1363"/>
    </row>
    <row r="223" spans="1:46" s="1364" customFormat="1" ht="69.75" outlineLevel="1">
      <c r="A223" s="1357"/>
      <c r="B223" s="669" t="s">
        <v>1451</v>
      </c>
      <c r="C223" s="669" t="s">
        <v>33</v>
      </c>
      <c r="D223" s="701"/>
      <c r="E223" s="307" t="s">
        <v>931</v>
      </c>
      <c r="F223" s="615"/>
      <c r="G223" s="1922" t="s">
        <v>1272</v>
      </c>
      <c r="H223" s="1719" t="s">
        <v>837</v>
      </c>
      <c r="I223" s="794">
        <v>6</v>
      </c>
      <c r="J223" s="620">
        <v>0</v>
      </c>
      <c r="K223" s="620">
        <v>1</v>
      </c>
      <c r="L223" s="620">
        <v>1</v>
      </c>
      <c r="M223" s="620">
        <v>0</v>
      </c>
      <c r="N223" s="731">
        <f t="shared" si="267"/>
        <v>2</v>
      </c>
      <c r="O223" s="760">
        <f t="shared" si="232"/>
        <v>0</v>
      </c>
      <c r="P223" s="760">
        <f t="shared" si="233"/>
        <v>6</v>
      </c>
      <c r="Q223" s="760">
        <f t="shared" si="234"/>
        <v>6</v>
      </c>
      <c r="R223" s="760">
        <f t="shared" si="235"/>
        <v>0</v>
      </c>
      <c r="S223" s="1356">
        <f t="shared" ref="S223" si="284">SUM(O223:R223)</f>
        <v>12</v>
      </c>
      <c r="T223" s="2314">
        <f>IFERROR(INDEX('Annex 2_Code'!I$8:I$33,MATCH('Annex 3_MAFF'!$AG223,'Annex 2_Code'!$G$8:$G$33,0)),"")</f>
        <v>0</v>
      </c>
      <c r="U223" s="2314">
        <f>IFERROR(INDEX('Annex 2_Code'!J$8:J$33,MATCH('Annex 3_MAFF'!$AG223,'Annex 2_Code'!$G$8:$G$33,0)),"")</f>
        <v>0</v>
      </c>
      <c r="V223" s="2314">
        <f>IFERROR(INDEX('Annex 2_Code'!K$8:K$33,MATCH('Annex 3_MAFF'!$AG223,'Annex 2_Code'!$G$8:$G$33,0)),"")</f>
        <v>1</v>
      </c>
      <c r="W223" s="2314">
        <f>IFERROR(INDEX('Annex 2_Code'!L$8:L$33,MATCH('Annex 3_MAFF'!$AG223,'Annex 2_Code'!$G$8:$G$33,0)),"")</f>
        <v>0</v>
      </c>
      <c r="X223" s="2314">
        <f>IFERROR(INDEX('Annex 2_Code'!M$8:M$33,MATCH('Annex 3_MAFF'!$AG223,'Annex 2_Code'!$G$8:$G$33,0)),"")</f>
        <v>0</v>
      </c>
      <c r="Y223" s="1745">
        <f t="shared" si="268"/>
        <v>0</v>
      </c>
      <c r="Z223" s="807">
        <f t="shared" si="269"/>
        <v>0</v>
      </c>
      <c r="AA223" s="807">
        <f t="shared" si="270"/>
        <v>12</v>
      </c>
      <c r="AB223" s="807">
        <f t="shared" si="271"/>
        <v>0</v>
      </c>
      <c r="AC223" s="808">
        <f t="shared" si="272"/>
        <v>0</v>
      </c>
      <c r="AD223" s="764">
        <f t="shared" si="273"/>
        <v>12</v>
      </c>
      <c r="AE223" s="764">
        <f t="shared" si="274"/>
        <v>0</v>
      </c>
      <c r="AF223" s="605" t="s">
        <v>301</v>
      </c>
      <c r="AG223" s="605" t="s">
        <v>201</v>
      </c>
      <c r="AH223" s="605" t="s">
        <v>372</v>
      </c>
      <c r="AI223" s="605" t="str">
        <f t="shared" si="255"/>
        <v>MAFF</v>
      </c>
      <c r="AJ223" s="612"/>
      <c r="AK223" s="1363"/>
      <c r="AL223" s="1363"/>
      <c r="AM223" s="1363"/>
      <c r="AN223" s="1363"/>
      <c r="AO223" s="1363"/>
      <c r="AP223" s="1363"/>
      <c r="AQ223" s="1363"/>
      <c r="AR223" s="1363"/>
      <c r="AS223" s="1363"/>
      <c r="AT223" s="1363"/>
    </row>
    <row r="224" spans="1:46" s="1939" customFormat="1" ht="69.75" outlineLevel="1">
      <c r="A224" s="1930"/>
      <c r="B224" s="669" t="s">
        <v>1451</v>
      </c>
      <c r="C224" s="669" t="s">
        <v>33</v>
      </c>
      <c r="D224" s="701"/>
      <c r="E224" s="307" t="s">
        <v>973</v>
      </c>
      <c r="F224" s="615"/>
      <c r="G224" s="1922" t="s">
        <v>1273</v>
      </c>
      <c r="H224" s="1719" t="s">
        <v>837</v>
      </c>
      <c r="I224" s="794">
        <v>6</v>
      </c>
      <c r="J224" s="620">
        <v>0</v>
      </c>
      <c r="K224" s="620">
        <v>1</v>
      </c>
      <c r="L224" s="620">
        <v>1</v>
      </c>
      <c r="M224" s="620">
        <v>0</v>
      </c>
      <c r="N224" s="731">
        <f t="shared" si="267"/>
        <v>2</v>
      </c>
      <c r="O224" s="760">
        <f t="shared" si="232"/>
        <v>0</v>
      </c>
      <c r="P224" s="760">
        <f t="shared" si="233"/>
        <v>6</v>
      </c>
      <c r="Q224" s="760">
        <f t="shared" si="234"/>
        <v>6</v>
      </c>
      <c r="R224" s="760">
        <f t="shared" si="235"/>
        <v>0</v>
      </c>
      <c r="S224" s="1356">
        <f>SUM(O224:R224)</f>
        <v>12</v>
      </c>
      <c r="T224" s="2314">
        <f>IFERROR(INDEX('Annex 2_Code'!I$8:I$33,MATCH('Annex 3_MAFF'!$AG224,'Annex 2_Code'!$G$8:$G$33,0)),"")</f>
        <v>0</v>
      </c>
      <c r="U224" s="2314">
        <f>IFERROR(INDEX('Annex 2_Code'!J$8:J$33,MATCH('Annex 3_MAFF'!$AG224,'Annex 2_Code'!$G$8:$G$33,0)),"")</f>
        <v>0</v>
      </c>
      <c r="V224" s="2314">
        <f>IFERROR(INDEX('Annex 2_Code'!K$8:K$33,MATCH('Annex 3_MAFF'!$AG224,'Annex 2_Code'!$G$8:$G$33,0)),"")</f>
        <v>1</v>
      </c>
      <c r="W224" s="2314">
        <f>IFERROR(INDEX('Annex 2_Code'!L$8:L$33,MATCH('Annex 3_MAFF'!$AG224,'Annex 2_Code'!$G$8:$G$33,0)),"")</f>
        <v>0</v>
      </c>
      <c r="X224" s="2314">
        <f>IFERROR(INDEX('Annex 2_Code'!M$8:M$33,MATCH('Annex 3_MAFF'!$AG224,'Annex 2_Code'!$G$8:$G$33,0)),"")</f>
        <v>0</v>
      </c>
      <c r="Y224" s="1745">
        <f t="shared" si="268"/>
        <v>0</v>
      </c>
      <c r="Z224" s="807">
        <f t="shared" si="269"/>
        <v>0</v>
      </c>
      <c r="AA224" s="807">
        <f t="shared" si="270"/>
        <v>12</v>
      </c>
      <c r="AB224" s="807">
        <f t="shared" si="271"/>
        <v>0</v>
      </c>
      <c r="AC224" s="808">
        <f t="shared" si="272"/>
        <v>0</v>
      </c>
      <c r="AD224" s="764">
        <f t="shared" si="273"/>
        <v>12</v>
      </c>
      <c r="AE224" s="764">
        <f t="shared" si="274"/>
        <v>0</v>
      </c>
      <c r="AF224" s="605" t="s">
        <v>301</v>
      </c>
      <c r="AG224" s="605" t="s">
        <v>201</v>
      </c>
      <c r="AH224" s="605" t="s">
        <v>372</v>
      </c>
      <c r="AI224" s="605" t="str">
        <f t="shared" si="255"/>
        <v>MAFF</v>
      </c>
      <c r="AJ224" s="612"/>
      <c r="AK224" s="1938"/>
      <c r="AL224" s="1938"/>
      <c r="AM224" s="1938"/>
      <c r="AN224" s="1938"/>
      <c r="AO224" s="1938"/>
      <c r="AP224" s="1938"/>
      <c r="AQ224" s="1938"/>
      <c r="AR224" s="1938"/>
      <c r="AS224" s="1938"/>
      <c r="AT224" s="1938"/>
    </row>
    <row r="225" spans="1:46" s="1364" customFormat="1" ht="42" customHeight="1" outlineLevel="1">
      <c r="A225" s="901"/>
      <c r="B225" s="669" t="s">
        <v>1451</v>
      </c>
      <c r="C225" s="669" t="s">
        <v>33</v>
      </c>
      <c r="D225" s="701"/>
      <c r="E225" s="307" t="s">
        <v>974</v>
      </c>
      <c r="F225" s="615"/>
      <c r="G225" s="1452" t="s">
        <v>807</v>
      </c>
      <c r="H225" s="811" t="s">
        <v>595</v>
      </c>
      <c r="I225" s="1722">
        <v>8</v>
      </c>
      <c r="J225" s="620">
        <v>1</v>
      </c>
      <c r="K225" s="620">
        <v>1</v>
      </c>
      <c r="L225" s="620">
        <v>1</v>
      </c>
      <c r="M225" s="620">
        <v>1</v>
      </c>
      <c r="N225" s="731">
        <f t="shared" ref="N225:N234" si="285">SUM(J225:M225)</f>
        <v>4</v>
      </c>
      <c r="O225" s="760">
        <f t="shared" si="232"/>
        <v>8</v>
      </c>
      <c r="P225" s="760">
        <f t="shared" si="233"/>
        <v>8</v>
      </c>
      <c r="Q225" s="760">
        <f t="shared" si="234"/>
        <v>8</v>
      </c>
      <c r="R225" s="760">
        <f t="shared" si="235"/>
        <v>8</v>
      </c>
      <c r="S225" s="1356">
        <f t="shared" ref="S225:S231" si="286">SUM(O225:R225)</f>
        <v>32</v>
      </c>
      <c r="T225" s="2314">
        <f>IFERROR(INDEX('Annex 2_Code'!I$8:I$33,MATCH('Annex 3_MAFF'!$AG225,'Annex 2_Code'!$G$8:$G$33,0)),"")</f>
        <v>0</v>
      </c>
      <c r="U225" s="2314">
        <f>IFERROR(INDEX('Annex 2_Code'!J$8:J$33,MATCH('Annex 3_MAFF'!$AG225,'Annex 2_Code'!$G$8:$G$33,0)),"")</f>
        <v>0</v>
      </c>
      <c r="V225" s="2314">
        <f>IFERROR(INDEX('Annex 2_Code'!K$8:K$33,MATCH('Annex 3_MAFF'!$AG225,'Annex 2_Code'!$G$8:$G$33,0)),"")</f>
        <v>1</v>
      </c>
      <c r="W225" s="2314">
        <f>IFERROR(INDEX('Annex 2_Code'!L$8:L$33,MATCH('Annex 3_MAFF'!$AG225,'Annex 2_Code'!$G$8:$G$33,0)),"")</f>
        <v>0</v>
      </c>
      <c r="X225" s="2314">
        <f>IFERROR(INDEX('Annex 2_Code'!M$8:M$33,MATCH('Annex 3_MAFF'!$AG225,'Annex 2_Code'!$G$8:$G$33,0)),"")</f>
        <v>0</v>
      </c>
      <c r="Y225" s="1745">
        <f t="shared" si="268"/>
        <v>0</v>
      </c>
      <c r="Z225" s="807">
        <f t="shared" si="269"/>
        <v>0</v>
      </c>
      <c r="AA225" s="807">
        <f t="shared" si="270"/>
        <v>32</v>
      </c>
      <c r="AB225" s="807">
        <f t="shared" si="271"/>
        <v>0</v>
      </c>
      <c r="AC225" s="808">
        <f t="shared" si="272"/>
        <v>0</v>
      </c>
      <c r="AD225" s="764">
        <f t="shared" si="273"/>
        <v>32</v>
      </c>
      <c r="AE225" s="764">
        <f t="shared" si="274"/>
        <v>0</v>
      </c>
      <c r="AF225" s="605" t="s">
        <v>301</v>
      </c>
      <c r="AG225" s="605" t="s">
        <v>201</v>
      </c>
      <c r="AH225" s="605" t="s">
        <v>13</v>
      </c>
      <c r="AI225" s="605" t="str">
        <f t="shared" si="255"/>
        <v>MAFF</v>
      </c>
      <c r="AJ225" s="612"/>
      <c r="AK225" s="1363"/>
      <c r="AL225" s="1363"/>
      <c r="AM225" s="1363"/>
      <c r="AN225" s="1363"/>
      <c r="AO225" s="1363"/>
      <c r="AP225" s="1363"/>
      <c r="AQ225" s="1363"/>
      <c r="AR225" s="1363"/>
      <c r="AS225" s="1363"/>
      <c r="AT225" s="1363"/>
    </row>
    <row r="226" spans="1:46" s="1364" customFormat="1" ht="42" customHeight="1" outlineLevel="1">
      <c r="A226" s="1357"/>
      <c r="B226" s="669" t="s">
        <v>1451</v>
      </c>
      <c r="C226" s="669" t="s">
        <v>33</v>
      </c>
      <c r="D226" s="701"/>
      <c r="E226" s="307" t="s">
        <v>975</v>
      </c>
      <c r="F226" s="615"/>
      <c r="G226" s="1720" t="s">
        <v>902</v>
      </c>
      <c r="H226" s="966" t="s">
        <v>1072</v>
      </c>
      <c r="I226" s="1512">
        <v>8</v>
      </c>
      <c r="J226" s="671">
        <v>1</v>
      </c>
      <c r="K226" s="620">
        <v>1</v>
      </c>
      <c r="L226" s="620">
        <v>1</v>
      </c>
      <c r="M226" s="620">
        <v>1</v>
      </c>
      <c r="N226" s="731">
        <f t="shared" si="285"/>
        <v>4</v>
      </c>
      <c r="O226" s="760">
        <f t="shared" ref="O226" si="287">($I226*J226)</f>
        <v>8</v>
      </c>
      <c r="P226" s="760">
        <f t="shared" ref="P226:R228" si="288">($I226*K226)</f>
        <v>8</v>
      </c>
      <c r="Q226" s="760">
        <f t="shared" si="288"/>
        <v>8</v>
      </c>
      <c r="R226" s="760">
        <f t="shared" si="288"/>
        <v>8</v>
      </c>
      <c r="S226" s="1356">
        <f>SUM(O226:R226)</f>
        <v>32</v>
      </c>
      <c r="T226" s="2314">
        <f>IFERROR(INDEX('Annex 2_Code'!I$8:I$33,MATCH('Annex 3_MAFF'!$AG226,'Annex 2_Code'!$G$8:$G$33,0)),"")</f>
        <v>0</v>
      </c>
      <c r="U226" s="2314">
        <f>IFERROR(INDEX('Annex 2_Code'!J$8:J$33,MATCH('Annex 3_MAFF'!$AG226,'Annex 2_Code'!$G$8:$G$33,0)),"")</f>
        <v>0</v>
      </c>
      <c r="V226" s="2314">
        <f>IFERROR(INDEX('Annex 2_Code'!K$8:K$33,MATCH('Annex 3_MAFF'!$AG226,'Annex 2_Code'!$G$8:$G$33,0)),"")</f>
        <v>1</v>
      </c>
      <c r="W226" s="2314">
        <f>IFERROR(INDEX('Annex 2_Code'!L$8:L$33,MATCH('Annex 3_MAFF'!$AG226,'Annex 2_Code'!$G$8:$G$33,0)),"")</f>
        <v>0</v>
      </c>
      <c r="X226" s="2314">
        <f>IFERROR(INDEX('Annex 2_Code'!M$8:M$33,MATCH('Annex 3_MAFF'!$AG226,'Annex 2_Code'!$G$8:$G$33,0)),"")</f>
        <v>0</v>
      </c>
      <c r="Y226" s="1745">
        <f t="shared" si="268"/>
        <v>0</v>
      </c>
      <c r="Z226" s="807">
        <f t="shared" si="269"/>
        <v>0</v>
      </c>
      <c r="AA226" s="807">
        <f t="shared" si="270"/>
        <v>32</v>
      </c>
      <c r="AB226" s="807">
        <f t="shared" si="271"/>
        <v>0</v>
      </c>
      <c r="AC226" s="808">
        <f t="shared" si="272"/>
        <v>0</v>
      </c>
      <c r="AD226" s="764">
        <f t="shared" si="273"/>
        <v>32</v>
      </c>
      <c r="AE226" s="764">
        <f t="shared" si="274"/>
        <v>0</v>
      </c>
      <c r="AF226" s="605" t="s">
        <v>301</v>
      </c>
      <c r="AG226" s="605" t="s">
        <v>201</v>
      </c>
      <c r="AH226" s="605" t="s">
        <v>13</v>
      </c>
      <c r="AI226" s="605" t="str">
        <f t="shared" si="255"/>
        <v>MAFF</v>
      </c>
      <c r="AJ226" s="612"/>
      <c r="AK226" s="1363"/>
      <c r="AL226" s="1363"/>
      <c r="AM226" s="1363"/>
      <c r="AN226" s="1363"/>
      <c r="AO226" s="1363"/>
      <c r="AP226" s="1363"/>
      <c r="AQ226" s="1363"/>
      <c r="AR226" s="1363"/>
      <c r="AS226" s="1363"/>
      <c r="AT226" s="1363"/>
    </row>
    <row r="227" spans="1:46" s="1364" customFormat="1" ht="42" customHeight="1" outlineLevel="1">
      <c r="A227" s="1357"/>
      <c r="B227" s="669" t="s">
        <v>1451</v>
      </c>
      <c r="C227" s="669" t="s">
        <v>33</v>
      </c>
      <c r="D227" s="701"/>
      <c r="E227" s="307" t="s">
        <v>976</v>
      </c>
      <c r="F227" s="615"/>
      <c r="G227" s="1720" t="s">
        <v>903</v>
      </c>
      <c r="H227" s="1726" t="s">
        <v>846</v>
      </c>
      <c r="I227" s="1512">
        <v>8</v>
      </c>
      <c r="J227" s="671">
        <v>1</v>
      </c>
      <c r="K227" s="620">
        <v>1</v>
      </c>
      <c r="L227" s="620">
        <v>1</v>
      </c>
      <c r="M227" s="620">
        <v>1</v>
      </c>
      <c r="N227" s="731">
        <f t="shared" si="285"/>
        <v>4</v>
      </c>
      <c r="O227" s="760">
        <f t="shared" ref="O227:O234" si="289">($I227*J227)</f>
        <v>8</v>
      </c>
      <c r="P227" s="760">
        <f t="shared" si="288"/>
        <v>8</v>
      </c>
      <c r="Q227" s="760">
        <f t="shared" si="288"/>
        <v>8</v>
      </c>
      <c r="R227" s="760">
        <f t="shared" si="288"/>
        <v>8</v>
      </c>
      <c r="S227" s="1356">
        <f>SUM(O227:R227)</f>
        <v>32</v>
      </c>
      <c r="T227" s="2314">
        <f>IFERROR(INDEX('Annex 2_Code'!I$8:I$33,MATCH('Annex 3_MAFF'!$AG227,'Annex 2_Code'!$G$8:$G$33,0)),"")</f>
        <v>0</v>
      </c>
      <c r="U227" s="2314">
        <f>IFERROR(INDEX('Annex 2_Code'!J$8:J$33,MATCH('Annex 3_MAFF'!$AG227,'Annex 2_Code'!$G$8:$G$33,0)),"")</f>
        <v>0</v>
      </c>
      <c r="V227" s="2314">
        <f>IFERROR(INDEX('Annex 2_Code'!K$8:K$33,MATCH('Annex 3_MAFF'!$AG227,'Annex 2_Code'!$G$8:$G$33,0)),"")</f>
        <v>1</v>
      </c>
      <c r="W227" s="2314">
        <f>IFERROR(INDEX('Annex 2_Code'!L$8:L$33,MATCH('Annex 3_MAFF'!$AG227,'Annex 2_Code'!$G$8:$G$33,0)),"")</f>
        <v>0</v>
      </c>
      <c r="X227" s="2314">
        <f>IFERROR(INDEX('Annex 2_Code'!M$8:M$33,MATCH('Annex 3_MAFF'!$AG227,'Annex 2_Code'!$G$8:$G$33,0)),"")</f>
        <v>0</v>
      </c>
      <c r="Y227" s="1745">
        <f t="shared" si="268"/>
        <v>0</v>
      </c>
      <c r="Z227" s="807">
        <f t="shared" si="269"/>
        <v>0</v>
      </c>
      <c r="AA227" s="807">
        <f t="shared" si="270"/>
        <v>32</v>
      </c>
      <c r="AB227" s="807">
        <f t="shared" si="271"/>
        <v>0</v>
      </c>
      <c r="AC227" s="808">
        <f t="shared" si="272"/>
        <v>0</v>
      </c>
      <c r="AD227" s="764">
        <f t="shared" si="273"/>
        <v>32</v>
      </c>
      <c r="AE227" s="764">
        <f t="shared" si="274"/>
        <v>0</v>
      </c>
      <c r="AF227" s="605" t="s">
        <v>301</v>
      </c>
      <c r="AG227" s="605" t="s">
        <v>201</v>
      </c>
      <c r="AH227" s="605" t="s">
        <v>13</v>
      </c>
      <c r="AI227" s="605" t="str">
        <f t="shared" si="255"/>
        <v>MAFF</v>
      </c>
      <c r="AJ227" s="612"/>
      <c r="AK227" s="1363"/>
      <c r="AL227" s="1363"/>
      <c r="AM227" s="1363"/>
      <c r="AN227" s="1363"/>
      <c r="AO227" s="1363"/>
      <c r="AP227" s="1363"/>
      <c r="AQ227" s="1363"/>
      <c r="AR227" s="1363"/>
      <c r="AS227" s="1363"/>
      <c r="AT227" s="1363"/>
    </row>
    <row r="228" spans="1:46" s="1364" customFormat="1" ht="42" customHeight="1" outlineLevel="1">
      <c r="A228" s="1357"/>
      <c r="B228" s="669" t="s">
        <v>1451</v>
      </c>
      <c r="C228" s="669" t="s">
        <v>33</v>
      </c>
      <c r="D228" s="701"/>
      <c r="E228" s="307" t="s">
        <v>977</v>
      </c>
      <c r="F228" s="615"/>
      <c r="G228" s="1720" t="s">
        <v>808</v>
      </c>
      <c r="H228" s="966" t="s">
        <v>595</v>
      </c>
      <c r="I228" s="1512">
        <v>8</v>
      </c>
      <c r="J228" s="671">
        <v>1</v>
      </c>
      <c r="K228" s="620">
        <v>1</v>
      </c>
      <c r="L228" s="620">
        <v>1</v>
      </c>
      <c r="M228" s="620">
        <v>1</v>
      </c>
      <c r="N228" s="731">
        <f t="shared" si="285"/>
        <v>4</v>
      </c>
      <c r="O228" s="760">
        <f t="shared" si="289"/>
        <v>8</v>
      </c>
      <c r="P228" s="760">
        <f t="shared" si="288"/>
        <v>8</v>
      </c>
      <c r="Q228" s="760">
        <f t="shared" si="288"/>
        <v>8</v>
      </c>
      <c r="R228" s="760">
        <f t="shared" si="288"/>
        <v>8</v>
      </c>
      <c r="S228" s="1356">
        <f>SUM(O228:R228)</f>
        <v>32</v>
      </c>
      <c r="T228" s="2314">
        <f>IFERROR(INDEX('Annex 2_Code'!I$8:I$33,MATCH('Annex 3_MAFF'!$AG228,'Annex 2_Code'!$G$8:$G$33,0)),"")</f>
        <v>0</v>
      </c>
      <c r="U228" s="2314">
        <f>IFERROR(INDEX('Annex 2_Code'!J$8:J$33,MATCH('Annex 3_MAFF'!$AG228,'Annex 2_Code'!$G$8:$G$33,0)),"")</f>
        <v>0</v>
      </c>
      <c r="V228" s="2314">
        <f>IFERROR(INDEX('Annex 2_Code'!K$8:K$33,MATCH('Annex 3_MAFF'!$AG228,'Annex 2_Code'!$G$8:$G$33,0)),"")</f>
        <v>1</v>
      </c>
      <c r="W228" s="2314">
        <f>IFERROR(INDEX('Annex 2_Code'!L$8:L$33,MATCH('Annex 3_MAFF'!$AG228,'Annex 2_Code'!$G$8:$G$33,0)),"")</f>
        <v>0</v>
      </c>
      <c r="X228" s="2314">
        <f>IFERROR(INDEX('Annex 2_Code'!M$8:M$33,MATCH('Annex 3_MAFF'!$AG228,'Annex 2_Code'!$G$8:$G$33,0)),"")</f>
        <v>0</v>
      </c>
      <c r="Y228" s="1745">
        <f t="shared" si="268"/>
        <v>0</v>
      </c>
      <c r="Z228" s="807">
        <f t="shared" si="269"/>
        <v>0</v>
      </c>
      <c r="AA228" s="807">
        <f t="shared" si="270"/>
        <v>32</v>
      </c>
      <c r="AB228" s="807">
        <f t="shared" si="271"/>
        <v>0</v>
      </c>
      <c r="AC228" s="808">
        <f t="shared" si="272"/>
        <v>0</v>
      </c>
      <c r="AD228" s="764">
        <f t="shared" si="273"/>
        <v>32</v>
      </c>
      <c r="AE228" s="764">
        <f t="shared" si="274"/>
        <v>0</v>
      </c>
      <c r="AF228" s="605" t="s">
        <v>301</v>
      </c>
      <c r="AG228" s="605" t="s">
        <v>201</v>
      </c>
      <c r="AH228" s="605" t="s">
        <v>13</v>
      </c>
      <c r="AI228" s="605" t="str">
        <f t="shared" si="255"/>
        <v>MAFF</v>
      </c>
      <c r="AJ228" s="612"/>
      <c r="AK228" s="1363"/>
      <c r="AL228" s="1363"/>
      <c r="AM228" s="1363"/>
      <c r="AN228" s="1363"/>
      <c r="AO228" s="1363"/>
      <c r="AP228" s="1363"/>
      <c r="AQ228" s="1363"/>
      <c r="AR228" s="1363"/>
      <c r="AS228" s="1363"/>
      <c r="AT228" s="1363"/>
    </row>
    <row r="229" spans="1:46" s="1553" customFormat="1" ht="42" customHeight="1" outlineLevel="1">
      <c r="A229" s="882"/>
      <c r="B229" s="669" t="s">
        <v>1451</v>
      </c>
      <c r="C229" s="669" t="s">
        <v>33</v>
      </c>
      <c r="D229" s="701"/>
      <c r="E229" s="307" t="s">
        <v>978</v>
      </c>
      <c r="F229" s="615"/>
      <c r="G229" s="1452" t="s">
        <v>1238</v>
      </c>
      <c r="H229" s="1921" t="s">
        <v>832</v>
      </c>
      <c r="I229" s="794">
        <v>8</v>
      </c>
      <c r="J229" s="620">
        <v>0</v>
      </c>
      <c r="K229" s="620">
        <v>1</v>
      </c>
      <c r="L229" s="620">
        <v>1</v>
      </c>
      <c r="M229" s="620">
        <v>0</v>
      </c>
      <c r="N229" s="731">
        <f t="shared" si="285"/>
        <v>2</v>
      </c>
      <c r="O229" s="760">
        <f t="shared" si="289"/>
        <v>0</v>
      </c>
      <c r="P229" s="760">
        <f t="shared" ref="P229:P234" si="290">($I229*K229)</f>
        <v>8</v>
      </c>
      <c r="Q229" s="760">
        <f t="shared" ref="Q229" si="291">($I229*L229)</f>
        <v>8</v>
      </c>
      <c r="R229" s="760">
        <f>($I229*M229)</f>
        <v>0</v>
      </c>
      <c r="S229" s="1356">
        <f>SUM(O229:R229)</f>
        <v>16</v>
      </c>
      <c r="T229" s="2314">
        <f>IFERROR(INDEX('Annex 2_Code'!I$8:I$33,MATCH('Annex 3_MAFF'!$AG229,'Annex 2_Code'!$G$8:$G$33,0)),"")</f>
        <v>0</v>
      </c>
      <c r="U229" s="2314">
        <f>IFERROR(INDEX('Annex 2_Code'!J$8:J$33,MATCH('Annex 3_MAFF'!$AG229,'Annex 2_Code'!$G$8:$G$33,0)),"")</f>
        <v>0</v>
      </c>
      <c r="V229" s="2314">
        <f>IFERROR(INDEX('Annex 2_Code'!K$8:K$33,MATCH('Annex 3_MAFF'!$AG229,'Annex 2_Code'!$G$8:$G$33,0)),"")</f>
        <v>1</v>
      </c>
      <c r="W229" s="2314">
        <f>IFERROR(INDEX('Annex 2_Code'!L$8:L$33,MATCH('Annex 3_MAFF'!$AG229,'Annex 2_Code'!$G$8:$G$33,0)),"")</f>
        <v>0</v>
      </c>
      <c r="X229" s="2314">
        <f>IFERROR(INDEX('Annex 2_Code'!M$8:M$33,MATCH('Annex 3_MAFF'!$AG229,'Annex 2_Code'!$G$8:$G$33,0)),"")</f>
        <v>0</v>
      </c>
      <c r="Y229" s="1745">
        <f t="shared" si="268"/>
        <v>0</v>
      </c>
      <c r="Z229" s="807">
        <f t="shared" si="269"/>
        <v>0</v>
      </c>
      <c r="AA229" s="807">
        <f t="shared" si="270"/>
        <v>16</v>
      </c>
      <c r="AB229" s="807">
        <f t="shared" si="271"/>
        <v>0</v>
      </c>
      <c r="AC229" s="808">
        <f t="shared" si="272"/>
        <v>0</v>
      </c>
      <c r="AD229" s="764">
        <f t="shared" si="273"/>
        <v>16</v>
      </c>
      <c r="AE229" s="764">
        <f t="shared" si="274"/>
        <v>0</v>
      </c>
      <c r="AF229" s="605" t="s">
        <v>301</v>
      </c>
      <c r="AG229" s="605" t="s">
        <v>201</v>
      </c>
      <c r="AH229" s="605" t="s">
        <v>372</v>
      </c>
      <c r="AI229" s="605" t="str">
        <f t="shared" si="255"/>
        <v>MAFF</v>
      </c>
      <c r="AJ229" s="612"/>
      <c r="AK229" s="1552"/>
      <c r="AL229" s="1552"/>
      <c r="AM229" s="1552"/>
      <c r="AN229" s="1552"/>
      <c r="AO229" s="1552"/>
      <c r="AP229" s="1552"/>
      <c r="AQ229" s="1552"/>
      <c r="AR229" s="1552"/>
      <c r="AS229" s="1552"/>
      <c r="AT229" s="1552"/>
    </row>
    <row r="230" spans="1:46" s="1553" customFormat="1" ht="42" customHeight="1" outlineLevel="1">
      <c r="A230" s="882"/>
      <c r="B230" s="669" t="s">
        <v>1451</v>
      </c>
      <c r="C230" s="669" t="s">
        <v>33</v>
      </c>
      <c r="D230" s="701"/>
      <c r="E230" s="307" t="s">
        <v>979</v>
      </c>
      <c r="F230" s="615"/>
      <c r="G230" s="1922" t="s">
        <v>972</v>
      </c>
      <c r="H230" s="1719" t="s">
        <v>832</v>
      </c>
      <c r="I230" s="794">
        <v>8</v>
      </c>
      <c r="J230" s="620">
        <v>0</v>
      </c>
      <c r="K230" s="620">
        <v>1</v>
      </c>
      <c r="L230" s="620">
        <v>1</v>
      </c>
      <c r="M230" s="620">
        <v>0</v>
      </c>
      <c r="N230" s="731">
        <f t="shared" si="285"/>
        <v>2</v>
      </c>
      <c r="O230" s="760">
        <f t="shared" si="289"/>
        <v>0</v>
      </c>
      <c r="P230" s="760">
        <f t="shared" si="290"/>
        <v>8</v>
      </c>
      <c r="Q230" s="760">
        <f>($I230*L230)</f>
        <v>8</v>
      </c>
      <c r="R230" s="760">
        <f>($I230*M230)</f>
        <v>0</v>
      </c>
      <c r="S230" s="1356">
        <f t="shared" si="286"/>
        <v>16</v>
      </c>
      <c r="T230" s="2314">
        <f>IFERROR(INDEX('Annex 2_Code'!I$8:I$33,MATCH('Annex 3_MAFF'!$AG230,'Annex 2_Code'!$G$8:$G$33,0)),"")</f>
        <v>0</v>
      </c>
      <c r="U230" s="2314">
        <f>IFERROR(INDEX('Annex 2_Code'!J$8:J$33,MATCH('Annex 3_MAFF'!$AG230,'Annex 2_Code'!$G$8:$G$33,0)),"")</f>
        <v>0</v>
      </c>
      <c r="V230" s="2314">
        <f>IFERROR(INDEX('Annex 2_Code'!K$8:K$33,MATCH('Annex 3_MAFF'!$AG230,'Annex 2_Code'!$G$8:$G$33,0)),"")</f>
        <v>1</v>
      </c>
      <c r="W230" s="2314">
        <f>IFERROR(INDEX('Annex 2_Code'!L$8:L$33,MATCH('Annex 3_MAFF'!$AG230,'Annex 2_Code'!$G$8:$G$33,0)),"")</f>
        <v>0</v>
      </c>
      <c r="X230" s="2314">
        <f>IFERROR(INDEX('Annex 2_Code'!M$8:M$33,MATCH('Annex 3_MAFF'!$AG230,'Annex 2_Code'!$G$8:$G$33,0)),"")</f>
        <v>0</v>
      </c>
      <c r="Y230" s="1745">
        <f t="shared" si="268"/>
        <v>0</v>
      </c>
      <c r="Z230" s="807">
        <f t="shared" si="269"/>
        <v>0</v>
      </c>
      <c r="AA230" s="807">
        <f t="shared" si="270"/>
        <v>16</v>
      </c>
      <c r="AB230" s="807">
        <f t="shared" si="271"/>
        <v>0</v>
      </c>
      <c r="AC230" s="808">
        <f t="shared" si="272"/>
        <v>0</v>
      </c>
      <c r="AD230" s="764">
        <f t="shared" si="273"/>
        <v>16</v>
      </c>
      <c r="AE230" s="764">
        <f t="shared" si="274"/>
        <v>0</v>
      </c>
      <c r="AF230" s="605" t="s">
        <v>301</v>
      </c>
      <c r="AG230" s="605" t="s">
        <v>201</v>
      </c>
      <c r="AH230" s="605" t="s">
        <v>372</v>
      </c>
      <c r="AI230" s="605" t="str">
        <f t="shared" si="255"/>
        <v>MAFF</v>
      </c>
      <c r="AJ230" s="612"/>
      <c r="AK230" s="1552"/>
      <c r="AL230" s="1552"/>
      <c r="AM230" s="1552"/>
      <c r="AN230" s="1552"/>
      <c r="AO230" s="1552"/>
      <c r="AP230" s="1552"/>
      <c r="AQ230" s="1552"/>
      <c r="AR230" s="1552"/>
      <c r="AS230" s="1552"/>
      <c r="AT230" s="1552"/>
    </row>
    <row r="231" spans="1:46" s="1553" customFormat="1" ht="42" customHeight="1" outlineLevel="1">
      <c r="A231" s="882"/>
      <c r="B231" s="669" t="s">
        <v>1451</v>
      </c>
      <c r="C231" s="669" t="s">
        <v>33</v>
      </c>
      <c r="D231" s="701"/>
      <c r="E231" s="307" t="s">
        <v>980</v>
      </c>
      <c r="F231" s="615"/>
      <c r="G231" s="1452" t="s">
        <v>1086</v>
      </c>
      <c r="H231" s="1921" t="s">
        <v>832</v>
      </c>
      <c r="I231" s="794">
        <v>8</v>
      </c>
      <c r="J231" s="620">
        <v>0</v>
      </c>
      <c r="K231" s="620">
        <v>1</v>
      </c>
      <c r="L231" s="620">
        <v>1</v>
      </c>
      <c r="M231" s="620">
        <v>0</v>
      </c>
      <c r="N231" s="731">
        <f>SUM(J231:M231)</f>
        <v>2</v>
      </c>
      <c r="O231" s="760">
        <f t="shared" si="289"/>
        <v>0</v>
      </c>
      <c r="P231" s="760">
        <f t="shared" si="290"/>
        <v>8</v>
      </c>
      <c r="Q231" s="760">
        <f>($I231*L231)</f>
        <v>8</v>
      </c>
      <c r="R231" s="760">
        <f>($I231*M231)</f>
        <v>0</v>
      </c>
      <c r="S231" s="1356">
        <f t="shared" si="286"/>
        <v>16</v>
      </c>
      <c r="T231" s="2314">
        <f>IFERROR(INDEX('Annex 2_Code'!I$8:I$33,MATCH('Annex 3_MAFF'!$AG231,'Annex 2_Code'!$G$8:$G$33,0)),"")</f>
        <v>0</v>
      </c>
      <c r="U231" s="2314">
        <f>IFERROR(INDEX('Annex 2_Code'!J$8:J$33,MATCH('Annex 3_MAFF'!$AG231,'Annex 2_Code'!$G$8:$G$33,0)),"")</f>
        <v>0</v>
      </c>
      <c r="V231" s="2314">
        <f>IFERROR(INDEX('Annex 2_Code'!K$8:K$33,MATCH('Annex 3_MAFF'!$AG231,'Annex 2_Code'!$G$8:$G$33,0)),"")</f>
        <v>1</v>
      </c>
      <c r="W231" s="2314">
        <f>IFERROR(INDEX('Annex 2_Code'!L$8:L$33,MATCH('Annex 3_MAFF'!$AG231,'Annex 2_Code'!$G$8:$G$33,0)),"")</f>
        <v>0</v>
      </c>
      <c r="X231" s="2314">
        <f>IFERROR(INDEX('Annex 2_Code'!M$8:M$33,MATCH('Annex 3_MAFF'!$AG231,'Annex 2_Code'!$G$8:$G$33,0)),"")</f>
        <v>0</v>
      </c>
      <c r="Y231" s="1745">
        <f t="shared" si="268"/>
        <v>0</v>
      </c>
      <c r="Z231" s="807">
        <f t="shared" si="269"/>
        <v>0</v>
      </c>
      <c r="AA231" s="807">
        <f t="shared" si="270"/>
        <v>16</v>
      </c>
      <c r="AB231" s="807">
        <f t="shared" si="271"/>
        <v>0</v>
      </c>
      <c r="AC231" s="808">
        <f t="shared" si="272"/>
        <v>0</v>
      </c>
      <c r="AD231" s="764">
        <f t="shared" si="273"/>
        <v>16</v>
      </c>
      <c r="AE231" s="764">
        <f t="shared" si="274"/>
        <v>0</v>
      </c>
      <c r="AF231" s="605" t="s">
        <v>301</v>
      </c>
      <c r="AG231" s="605" t="s">
        <v>201</v>
      </c>
      <c r="AH231" s="605" t="s">
        <v>372</v>
      </c>
      <c r="AI231" s="605" t="str">
        <f t="shared" si="255"/>
        <v>MAFF</v>
      </c>
      <c r="AJ231" s="612"/>
      <c r="AK231" s="1552"/>
      <c r="AL231" s="1552"/>
      <c r="AM231" s="1552"/>
      <c r="AN231" s="1552"/>
      <c r="AO231" s="1552"/>
      <c r="AP231" s="1552"/>
      <c r="AQ231" s="1552"/>
      <c r="AR231" s="1552"/>
      <c r="AS231" s="1552"/>
      <c r="AT231" s="1552"/>
    </row>
    <row r="232" spans="1:46" s="1553" customFormat="1" ht="42" customHeight="1" outlineLevel="1">
      <c r="A232" s="882"/>
      <c r="B232" s="669" t="s">
        <v>1451</v>
      </c>
      <c r="C232" s="669" t="s">
        <v>33</v>
      </c>
      <c r="D232" s="701"/>
      <c r="E232" s="307" t="s">
        <v>1169</v>
      </c>
      <c r="F232" s="615"/>
      <c r="G232" s="1922" t="s">
        <v>1341</v>
      </c>
      <c r="H232" s="1730" t="s">
        <v>859</v>
      </c>
      <c r="I232" s="2179">
        <v>8</v>
      </c>
      <c r="J232" s="620"/>
      <c r="K232" s="620">
        <v>1</v>
      </c>
      <c r="L232" s="620">
        <v>1</v>
      </c>
      <c r="M232" s="620">
        <v>1</v>
      </c>
      <c r="N232" s="731">
        <f>SUM(J232:M232)</f>
        <v>3</v>
      </c>
      <c r="O232" s="760">
        <f t="shared" si="289"/>
        <v>0</v>
      </c>
      <c r="P232" s="760">
        <f t="shared" si="290"/>
        <v>8</v>
      </c>
      <c r="Q232" s="760">
        <f>($I232*L232)</f>
        <v>8</v>
      </c>
      <c r="R232" s="760">
        <f t="shared" ref="R232" si="292">($I232*M232)</f>
        <v>8</v>
      </c>
      <c r="S232" s="1356">
        <f>SUM(O232:R232)</f>
        <v>24</v>
      </c>
      <c r="T232" s="2314">
        <f>IFERROR(INDEX('Annex 2_Code'!I$8:I$33,MATCH('Annex 3_MAFF'!$AG232,'Annex 2_Code'!$G$8:$G$33,0)),"")</f>
        <v>0</v>
      </c>
      <c r="U232" s="2314">
        <f>IFERROR(INDEX('Annex 2_Code'!J$8:J$33,MATCH('Annex 3_MAFF'!$AG232,'Annex 2_Code'!$G$8:$G$33,0)),"")</f>
        <v>0</v>
      </c>
      <c r="V232" s="2314">
        <f>IFERROR(INDEX('Annex 2_Code'!K$8:K$33,MATCH('Annex 3_MAFF'!$AG232,'Annex 2_Code'!$G$8:$G$33,0)),"")</f>
        <v>1</v>
      </c>
      <c r="W232" s="2314">
        <f>IFERROR(INDEX('Annex 2_Code'!L$8:L$33,MATCH('Annex 3_MAFF'!$AG232,'Annex 2_Code'!$G$8:$G$33,0)),"")</f>
        <v>0</v>
      </c>
      <c r="X232" s="2314">
        <f>IFERROR(INDEX('Annex 2_Code'!M$8:M$33,MATCH('Annex 3_MAFF'!$AG232,'Annex 2_Code'!$G$8:$G$33,0)),"")</f>
        <v>0</v>
      </c>
      <c r="Y232" s="1745">
        <f t="shared" ref="Y232:Y233" si="293">IFERROR($S232*T232,"")</f>
        <v>0</v>
      </c>
      <c r="Z232" s="807">
        <f t="shared" ref="Z232:Z233" si="294">IFERROR($S232*U232,"")</f>
        <v>0</v>
      </c>
      <c r="AA232" s="807">
        <f t="shared" ref="AA232:AA233" si="295">IFERROR($S232*V232,"")</f>
        <v>24</v>
      </c>
      <c r="AB232" s="807">
        <f t="shared" ref="AB232:AB233" si="296">IFERROR($S232*W232,"")</f>
        <v>0</v>
      </c>
      <c r="AC232" s="808">
        <f t="shared" ref="AC232:AC233" si="297">IFERROR($S232*X232,"")</f>
        <v>0</v>
      </c>
      <c r="AD232" s="764">
        <f t="shared" ref="AD232:AD233" si="298">SUM(Y232:AC232)</f>
        <v>24</v>
      </c>
      <c r="AE232" s="764">
        <f t="shared" ref="AE232:AE233" si="299">AD232-S232</f>
        <v>0</v>
      </c>
      <c r="AF232" s="605" t="s">
        <v>301</v>
      </c>
      <c r="AG232" s="605" t="s">
        <v>201</v>
      </c>
      <c r="AH232" s="605" t="s">
        <v>372</v>
      </c>
      <c r="AI232" s="605" t="str">
        <f t="shared" ref="AI232:AI233" si="300">IF(ISNUMBER(FIND("-",AH232,1))=FALSE,LEFT(AH232,LEN(AH232)),LEFT(AH232,(FIND("-",AH232,1))-1))</f>
        <v>MAFF</v>
      </c>
      <c r="AJ232" s="612"/>
      <c r="AK232" s="1552"/>
      <c r="AL232" s="1552"/>
      <c r="AM232" s="1552"/>
      <c r="AN232" s="1552"/>
      <c r="AO232" s="1552"/>
      <c r="AP232" s="1552"/>
      <c r="AQ232" s="1552"/>
      <c r="AR232" s="1552"/>
      <c r="AS232" s="1552"/>
      <c r="AT232" s="1552"/>
    </row>
    <row r="233" spans="1:46" s="1939" customFormat="1" ht="42" customHeight="1" outlineLevel="1">
      <c r="A233" s="1930"/>
      <c r="B233" s="669" t="s">
        <v>1451</v>
      </c>
      <c r="C233" s="669" t="s">
        <v>33</v>
      </c>
      <c r="D233" s="701"/>
      <c r="E233" s="307" t="s">
        <v>1252</v>
      </c>
      <c r="F233" s="615"/>
      <c r="G233" s="1922" t="s">
        <v>1473</v>
      </c>
      <c r="H233" s="1730" t="s">
        <v>865</v>
      </c>
      <c r="I233" s="2316">
        <v>3.5</v>
      </c>
      <c r="J233" s="620">
        <v>0</v>
      </c>
      <c r="K233" s="620">
        <v>0</v>
      </c>
      <c r="L233" s="620">
        <v>2</v>
      </c>
      <c r="M233" s="620">
        <v>0</v>
      </c>
      <c r="N233" s="731">
        <f t="shared" ref="N233" si="301">SUM(J233:M233)</f>
        <v>2</v>
      </c>
      <c r="O233" s="760">
        <f t="shared" si="289"/>
        <v>0</v>
      </c>
      <c r="P233" s="760">
        <f t="shared" si="290"/>
        <v>0</v>
      </c>
      <c r="Q233" s="760">
        <f>($I233*L233)</f>
        <v>7</v>
      </c>
      <c r="R233" s="760">
        <f>($I233*M233)</f>
        <v>0</v>
      </c>
      <c r="S233" s="1566">
        <f>($I233*N233)</f>
        <v>7</v>
      </c>
      <c r="T233" s="2314">
        <f>IFERROR(INDEX('Annex 2_Code'!I$8:I$33,MATCH('Annex 3_MAFF'!$AG233,'Annex 2_Code'!$G$8:$G$33,0)),"")</f>
        <v>0</v>
      </c>
      <c r="U233" s="2314">
        <f>IFERROR(INDEX('Annex 2_Code'!J$8:J$33,MATCH('Annex 3_MAFF'!$AG233,'Annex 2_Code'!$G$8:$G$33,0)),"")</f>
        <v>0</v>
      </c>
      <c r="V233" s="2314">
        <f>IFERROR(INDEX('Annex 2_Code'!K$8:K$33,MATCH('Annex 3_MAFF'!$AG233,'Annex 2_Code'!$G$8:$G$33,0)),"")</f>
        <v>1</v>
      </c>
      <c r="W233" s="2314">
        <f>IFERROR(INDEX('Annex 2_Code'!L$8:L$33,MATCH('Annex 3_MAFF'!$AG233,'Annex 2_Code'!$G$8:$G$33,0)),"")</f>
        <v>0</v>
      </c>
      <c r="X233" s="2314">
        <f>IFERROR(INDEX('Annex 2_Code'!M$8:M$33,MATCH('Annex 3_MAFF'!$AG233,'Annex 2_Code'!$G$8:$G$33,0)),"")</f>
        <v>0</v>
      </c>
      <c r="Y233" s="1745">
        <f t="shared" si="293"/>
        <v>0</v>
      </c>
      <c r="Z233" s="807">
        <f t="shared" si="294"/>
        <v>0</v>
      </c>
      <c r="AA233" s="807">
        <f t="shared" si="295"/>
        <v>7</v>
      </c>
      <c r="AB233" s="807">
        <f t="shared" si="296"/>
        <v>0</v>
      </c>
      <c r="AC233" s="808">
        <f t="shared" si="297"/>
        <v>0</v>
      </c>
      <c r="AD233" s="764">
        <f t="shared" si="298"/>
        <v>7</v>
      </c>
      <c r="AE233" s="764">
        <f t="shared" si="299"/>
        <v>0</v>
      </c>
      <c r="AF233" s="605" t="s">
        <v>301</v>
      </c>
      <c r="AG233" s="605" t="s">
        <v>201</v>
      </c>
      <c r="AH233" s="605" t="s">
        <v>372</v>
      </c>
      <c r="AI233" s="605" t="str">
        <f t="shared" si="300"/>
        <v>MAFF</v>
      </c>
      <c r="AJ233" s="612"/>
      <c r="AK233" s="1938"/>
      <c r="AL233" s="1938"/>
      <c r="AM233" s="1938"/>
      <c r="AN233" s="1938"/>
      <c r="AO233" s="1938"/>
      <c r="AP233" s="1938"/>
      <c r="AQ233" s="1938"/>
      <c r="AR233" s="1938"/>
      <c r="AS233" s="1938"/>
      <c r="AT233" s="1938"/>
    </row>
    <row r="234" spans="1:46" s="607" customFormat="1" ht="46.5" outlineLevel="1">
      <c r="A234" s="584"/>
      <c r="B234" s="669" t="s">
        <v>1451</v>
      </c>
      <c r="C234" s="669" t="s">
        <v>33</v>
      </c>
      <c r="D234" s="701"/>
      <c r="E234" s="307" t="s">
        <v>1342</v>
      </c>
      <c r="F234" s="615"/>
      <c r="G234" s="616" t="s">
        <v>1548</v>
      </c>
      <c r="H234" s="811" t="s">
        <v>1526</v>
      </c>
      <c r="I234" s="794">
        <v>2.6</v>
      </c>
      <c r="J234" s="620">
        <v>1</v>
      </c>
      <c r="K234" s="620">
        <v>1</v>
      </c>
      <c r="L234" s="620">
        <v>1</v>
      </c>
      <c r="M234" s="620">
        <v>1</v>
      </c>
      <c r="N234" s="731">
        <f t="shared" si="285"/>
        <v>4</v>
      </c>
      <c r="O234" s="759">
        <f t="shared" si="289"/>
        <v>2.6</v>
      </c>
      <c r="P234" s="760">
        <f t="shared" si="290"/>
        <v>2.6</v>
      </c>
      <c r="Q234" s="760">
        <f>($I234*L234)</f>
        <v>2.6</v>
      </c>
      <c r="R234" s="760">
        <f>($I234*M234)</f>
        <v>2.6</v>
      </c>
      <c r="S234" s="1356">
        <f>SUM(O234:R234)</f>
        <v>10.4</v>
      </c>
      <c r="T234" s="2314">
        <f>IFERROR(INDEX('Annex 2_Code'!I$8:I$33,MATCH('Annex 3_MAFF'!$AG234,'Annex 2_Code'!$G$8:$G$33,0)),"")</f>
        <v>0</v>
      </c>
      <c r="U234" s="2314">
        <f>IFERROR(INDEX('Annex 2_Code'!J$8:J$33,MATCH('Annex 3_MAFF'!$AG234,'Annex 2_Code'!$G$8:$G$33,0)),"")</f>
        <v>0</v>
      </c>
      <c r="V234" s="2314">
        <f>IFERROR(INDEX('Annex 2_Code'!K$8:K$33,MATCH('Annex 3_MAFF'!$AG234,'Annex 2_Code'!$G$8:$G$33,0)),"")</f>
        <v>1</v>
      </c>
      <c r="W234" s="2314">
        <f>IFERROR(INDEX('Annex 2_Code'!L$8:L$33,MATCH('Annex 3_MAFF'!$AG234,'Annex 2_Code'!$G$8:$G$33,0)),"")</f>
        <v>0</v>
      </c>
      <c r="X234" s="2314">
        <f>IFERROR(INDEX('Annex 2_Code'!M$8:M$33,MATCH('Annex 3_MAFF'!$AG234,'Annex 2_Code'!$G$8:$G$33,0)),"")</f>
        <v>0</v>
      </c>
      <c r="Y234" s="1745">
        <f>IFERROR($S234*T234,"")</f>
        <v>0</v>
      </c>
      <c r="Z234" s="807">
        <f>IFERROR($S234*U234,"")</f>
        <v>0</v>
      </c>
      <c r="AA234" s="807">
        <f>IFERROR($S234*V234,"")</f>
        <v>10.4</v>
      </c>
      <c r="AB234" s="807">
        <f>IFERROR($S234*W234,"")</f>
        <v>0</v>
      </c>
      <c r="AC234" s="808">
        <f>IFERROR($S234*X234,"")</f>
        <v>0</v>
      </c>
      <c r="AD234" s="764">
        <f>SUM(Y234:AC234)</f>
        <v>10.4</v>
      </c>
      <c r="AE234" s="764">
        <f>AD234-S234</f>
        <v>0</v>
      </c>
      <c r="AF234" s="605" t="s">
        <v>301</v>
      </c>
      <c r="AG234" s="605" t="s">
        <v>201</v>
      </c>
      <c r="AH234" s="605" t="s">
        <v>372</v>
      </c>
      <c r="AI234" s="605" t="str">
        <f t="shared" si="255"/>
        <v>MAFF</v>
      </c>
      <c r="AJ234" s="612" t="s">
        <v>456</v>
      </c>
      <c r="AK234" s="743"/>
      <c r="AL234" s="743"/>
      <c r="AM234" s="743"/>
      <c r="AN234" s="743"/>
      <c r="AO234" s="743"/>
      <c r="AP234" s="743"/>
      <c r="AQ234" s="743"/>
      <c r="AR234" s="743"/>
      <c r="AS234" s="743"/>
      <c r="AT234" s="743"/>
    </row>
    <row r="235" spans="1:46" s="743" customFormat="1" ht="27" customHeight="1">
      <c r="A235" s="587"/>
      <c r="B235" s="659"/>
      <c r="C235" s="659"/>
      <c r="D235" s="704"/>
      <c r="E235" s="591" t="s">
        <v>583</v>
      </c>
      <c r="F235" s="592"/>
      <c r="G235" s="734"/>
      <c r="H235" s="714"/>
      <c r="I235" s="717"/>
      <c r="J235" s="595">
        <f>SUM(J197:J234)</f>
        <v>14</v>
      </c>
      <c r="K235" s="595">
        <f>SUM(K197:K234)</f>
        <v>42</v>
      </c>
      <c r="L235" s="595">
        <f>SUM(L197:L234)</f>
        <v>22</v>
      </c>
      <c r="M235" s="595">
        <f>SUM(M197:M234)</f>
        <v>9</v>
      </c>
      <c r="N235" s="758">
        <f>SUM(N197:N234)</f>
        <v>87</v>
      </c>
      <c r="O235" s="797">
        <f>SUM(O190:O234)</f>
        <v>112.6</v>
      </c>
      <c r="P235" s="798">
        <f>SUM(P190:P234)</f>
        <v>276.60000000000002</v>
      </c>
      <c r="Q235" s="798">
        <f>SUM(Q190:Q234)</f>
        <v>157.6</v>
      </c>
      <c r="R235" s="798">
        <f>SUM(R190:R234)</f>
        <v>60.6</v>
      </c>
      <c r="S235" s="1408">
        <f>SUM(S190:S234)</f>
        <v>607.4</v>
      </c>
      <c r="T235" s="793"/>
      <c r="U235" s="793"/>
      <c r="V235" s="793"/>
      <c r="W235" s="793"/>
      <c r="X235" s="793"/>
      <c r="Y235" s="647"/>
      <c r="Z235" s="600"/>
      <c r="AA235" s="600"/>
      <c r="AB235" s="600"/>
      <c r="AC235" s="601"/>
      <c r="AD235" s="602"/>
      <c r="AE235" s="602"/>
      <c r="AF235" s="605"/>
      <c r="AG235" s="605"/>
      <c r="AH235" s="605"/>
      <c r="AI235" s="724"/>
    </row>
    <row r="236" spans="1:46" s="607" customFormat="1" ht="29.25" customHeight="1">
      <c r="A236" s="587"/>
      <c r="B236" s="659"/>
      <c r="C236" s="659"/>
      <c r="D236" s="1597"/>
      <c r="E236" s="1624" t="s">
        <v>607</v>
      </c>
      <c r="F236" s="1764" t="s">
        <v>1087</v>
      </c>
      <c r="G236" s="960"/>
      <c r="H236" s="955"/>
      <c r="I236" s="961"/>
      <c r="J236" s="956"/>
      <c r="K236" s="956"/>
      <c r="L236" s="956"/>
      <c r="M236" s="956"/>
      <c r="N236" s="957"/>
      <c r="O236" s="958"/>
      <c r="P236" s="959"/>
      <c r="Q236" s="959"/>
      <c r="R236" s="962"/>
      <c r="S236" s="1695">
        <f>SUM(O235:R235)</f>
        <v>607.40000000000009</v>
      </c>
      <c r="T236" s="793"/>
      <c r="U236" s="793"/>
      <c r="V236" s="793"/>
      <c r="W236" s="793"/>
      <c r="X236" s="793"/>
      <c r="Y236" s="647"/>
      <c r="Z236" s="600"/>
      <c r="AA236" s="600"/>
      <c r="AB236" s="600"/>
      <c r="AC236" s="601"/>
      <c r="AD236" s="602"/>
      <c r="AE236" s="602"/>
      <c r="AF236" s="605"/>
      <c r="AG236" s="605"/>
      <c r="AH236" s="605"/>
      <c r="AI236" s="624"/>
    </row>
    <row r="237" spans="1:46" s="607" customFormat="1" ht="66" customHeight="1" outlineLevel="1">
      <c r="A237" s="725"/>
      <c r="B237" s="669" t="s">
        <v>1451</v>
      </c>
      <c r="C237" s="669" t="s">
        <v>33</v>
      </c>
      <c r="D237" s="701"/>
      <c r="E237" s="307" t="s">
        <v>505</v>
      </c>
      <c r="F237" s="615"/>
      <c r="G237" s="616" t="s">
        <v>1549</v>
      </c>
      <c r="H237" s="811" t="s">
        <v>1537</v>
      </c>
      <c r="I237" s="794">
        <v>1.5</v>
      </c>
      <c r="J237" s="620">
        <v>0</v>
      </c>
      <c r="K237" s="620">
        <v>30</v>
      </c>
      <c r="L237" s="620">
        <v>30</v>
      </c>
      <c r="M237" s="620">
        <v>28</v>
      </c>
      <c r="N237" s="784">
        <f>SUM(J237:M237)</f>
        <v>88</v>
      </c>
      <c r="O237" s="759">
        <f>($I237*J237)</f>
        <v>0</v>
      </c>
      <c r="P237" s="760">
        <f>($I237*K237)</f>
        <v>45</v>
      </c>
      <c r="Q237" s="760">
        <f>($I237*L237)</f>
        <v>45</v>
      </c>
      <c r="R237" s="760">
        <f>($I237*M237)</f>
        <v>42</v>
      </c>
      <c r="S237" s="1356">
        <f t="shared" ref="S237:S247" si="302">SUM(O237:R237)</f>
        <v>132</v>
      </c>
      <c r="T237" s="2314">
        <f>IFERROR(INDEX('Annex 2_Code'!I$8:I$33,MATCH('Annex 3_MAFF'!$AG237,'Annex 2_Code'!$G$8:$G$33,0)),"")</f>
        <v>0</v>
      </c>
      <c r="U237" s="2314">
        <f>IFERROR(INDEX('Annex 2_Code'!J$8:J$33,MATCH('Annex 3_MAFF'!$AG237,'Annex 2_Code'!$G$8:$G$33,0)),"")</f>
        <v>0</v>
      </c>
      <c r="V237" s="2314">
        <f>IFERROR(INDEX('Annex 2_Code'!K$8:K$33,MATCH('Annex 3_MAFF'!$AG237,'Annex 2_Code'!$G$8:$G$33,0)),"")</f>
        <v>1</v>
      </c>
      <c r="W237" s="2314">
        <f>IFERROR(INDEX('Annex 2_Code'!L$8:L$33,MATCH('Annex 3_MAFF'!$AG237,'Annex 2_Code'!$G$8:$G$33,0)),"")</f>
        <v>0</v>
      </c>
      <c r="X237" s="2314">
        <f>IFERROR(INDEX('Annex 2_Code'!M$8:M$33,MATCH('Annex 3_MAFF'!$AG237,'Annex 2_Code'!$G$8:$G$33,0)),"")</f>
        <v>0</v>
      </c>
      <c r="Y237" s="1745">
        <f t="shared" ref="Y237:AC240" si="303">IFERROR($S237*T237,"")</f>
        <v>0</v>
      </c>
      <c r="Z237" s="807">
        <f t="shared" si="303"/>
        <v>0</v>
      </c>
      <c r="AA237" s="807">
        <f t="shared" si="303"/>
        <v>132</v>
      </c>
      <c r="AB237" s="807">
        <f t="shared" si="303"/>
        <v>0</v>
      </c>
      <c r="AC237" s="808">
        <f t="shared" si="303"/>
        <v>0</v>
      </c>
      <c r="AD237" s="764">
        <f t="shared" ref="AD237:AD248" si="304">SUM(Y237:AC237)</f>
        <v>132</v>
      </c>
      <c r="AE237" s="764">
        <f t="shared" ref="AE237:AE248" si="305">AD237-S237</f>
        <v>0</v>
      </c>
      <c r="AF237" s="605" t="s">
        <v>301</v>
      </c>
      <c r="AG237" s="605" t="s">
        <v>201</v>
      </c>
      <c r="AH237" s="605" t="str">
        <f>IFERROR(INDEX('[5]Annex 2'!$J$110:$J$122,MATCH('[5]Annex 3 (''MEF)'!AF260,'[5]Annex 2'!$G$110:$G$122,0)),"")</f>
        <v>MAFF-GDA</v>
      </c>
      <c r="AI237" s="646" t="str">
        <f>IF(ISNUMBER(FIND("-",AH237,1))=FALSE,LEFT(AH237,LEN(AH237)),LEFT(AH237,(FIND("-",AH237,1))-1))</f>
        <v>MAFF</v>
      </c>
      <c r="AJ237" s="683" t="s">
        <v>456</v>
      </c>
    </row>
    <row r="238" spans="1:46" s="607" customFormat="1" ht="42" customHeight="1" outlineLevel="1">
      <c r="A238" s="725"/>
      <c r="B238" s="669" t="s">
        <v>1451</v>
      </c>
      <c r="C238" s="669" t="s">
        <v>33</v>
      </c>
      <c r="D238" s="701"/>
      <c r="E238" s="307" t="s">
        <v>506</v>
      </c>
      <c r="F238" s="615"/>
      <c r="G238" s="616" t="s">
        <v>1550</v>
      </c>
      <c r="H238" s="811" t="s">
        <v>1537</v>
      </c>
      <c r="I238" s="794">
        <v>1.5</v>
      </c>
      <c r="J238" s="620">
        <v>0</v>
      </c>
      <c r="K238" s="620">
        <v>30</v>
      </c>
      <c r="L238" s="620">
        <v>25</v>
      </c>
      <c r="M238" s="620">
        <v>20</v>
      </c>
      <c r="N238" s="784">
        <f>SUM(J238:M238)</f>
        <v>75</v>
      </c>
      <c r="O238" s="759">
        <f>($I$238*J238)</f>
        <v>0</v>
      </c>
      <c r="P238" s="760">
        <f>($I$238*K238)</f>
        <v>45</v>
      </c>
      <c r="Q238" s="760">
        <f>($I$238*L238)</f>
        <v>37.5</v>
      </c>
      <c r="R238" s="760">
        <f>($I$238*M238)</f>
        <v>30</v>
      </c>
      <c r="S238" s="1356">
        <f t="shared" si="302"/>
        <v>112.5</v>
      </c>
      <c r="T238" s="2314">
        <f>IFERROR(INDEX('Annex 2_Code'!I$8:I$33,MATCH('Annex 3_MAFF'!$AG238,'Annex 2_Code'!$G$8:$G$33,0)),"")</f>
        <v>0</v>
      </c>
      <c r="U238" s="2314">
        <f>IFERROR(INDEX('Annex 2_Code'!J$8:J$33,MATCH('Annex 3_MAFF'!$AG238,'Annex 2_Code'!$G$8:$G$33,0)),"")</f>
        <v>0</v>
      </c>
      <c r="V238" s="2314">
        <f>IFERROR(INDEX('Annex 2_Code'!K$8:K$33,MATCH('Annex 3_MAFF'!$AG238,'Annex 2_Code'!$G$8:$G$33,0)),"")</f>
        <v>1</v>
      </c>
      <c r="W238" s="2314">
        <f>IFERROR(INDEX('Annex 2_Code'!L$8:L$33,MATCH('Annex 3_MAFF'!$AG238,'Annex 2_Code'!$G$8:$G$33,0)),"")</f>
        <v>0</v>
      </c>
      <c r="X238" s="2314">
        <f>IFERROR(INDEX('Annex 2_Code'!M$8:M$33,MATCH('Annex 3_MAFF'!$AG238,'Annex 2_Code'!$G$8:$G$33,0)),"")</f>
        <v>0</v>
      </c>
      <c r="Y238" s="1745">
        <f t="shared" si="303"/>
        <v>0</v>
      </c>
      <c r="Z238" s="807">
        <f t="shared" si="303"/>
        <v>0</v>
      </c>
      <c r="AA238" s="807">
        <f t="shared" si="303"/>
        <v>112.5</v>
      </c>
      <c r="AB238" s="807">
        <f t="shared" si="303"/>
        <v>0</v>
      </c>
      <c r="AC238" s="808">
        <f t="shared" si="303"/>
        <v>0</v>
      </c>
      <c r="AD238" s="764">
        <f t="shared" si="304"/>
        <v>112.5</v>
      </c>
      <c r="AE238" s="764">
        <f t="shared" si="305"/>
        <v>0</v>
      </c>
      <c r="AF238" s="605" t="s">
        <v>301</v>
      </c>
      <c r="AG238" s="605" t="s">
        <v>201</v>
      </c>
      <c r="AH238" s="605" t="str">
        <f>IFERROR(INDEX('[5]Annex 2'!$J$110:$J$122,MATCH('[5]Annex 3 (''MEF)'!AF261,'[5]Annex 2'!$G$110:$G$122,0)),"")</f>
        <v>MAFF-GDA</v>
      </c>
      <c r="AI238" s="646" t="str">
        <f>IF(ISNUMBER(FIND("-",AH238,1))=FALSE,LEFT(AH238,LEN(AH238)),LEFT(AH238,(FIND("-",AH238,1))-1))</f>
        <v>MAFF</v>
      </c>
      <c r="AJ238" s="683" t="s">
        <v>456</v>
      </c>
    </row>
    <row r="239" spans="1:46" s="607" customFormat="1" ht="42" customHeight="1" outlineLevel="1">
      <c r="A239" s="725"/>
      <c r="B239" s="669" t="s">
        <v>1451</v>
      </c>
      <c r="C239" s="669" t="s">
        <v>33</v>
      </c>
      <c r="D239" s="701"/>
      <c r="E239" s="307" t="s">
        <v>507</v>
      </c>
      <c r="F239" s="615"/>
      <c r="G239" s="616" t="s">
        <v>1551</v>
      </c>
      <c r="H239" s="811" t="s">
        <v>1537</v>
      </c>
      <c r="I239" s="794">
        <v>1.5</v>
      </c>
      <c r="J239" s="620">
        <v>0</v>
      </c>
      <c r="K239" s="620">
        <v>15</v>
      </c>
      <c r="L239" s="620">
        <v>15</v>
      </c>
      <c r="M239" s="620">
        <v>15</v>
      </c>
      <c r="N239" s="784">
        <f>SUM(J239:M239)</f>
        <v>45</v>
      </c>
      <c r="O239" s="759">
        <f t="shared" ref="O239:O247" si="306">($I239*J239)</f>
        <v>0</v>
      </c>
      <c r="P239" s="760">
        <f t="shared" ref="P239:P247" si="307">($I239*K239)</f>
        <v>22.5</v>
      </c>
      <c r="Q239" s="760">
        <f t="shared" ref="Q239:Q247" si="308">($I239*L239)</f>
        <v>22.5</v>
      </c>
      <c r="R239" s="760">
        <f t="shared" ref="R239:R247" si="309">($I239*M239)</f>
        <v>22.5</v>
      </c>
      <c r="S239" s="1356">
        <f t="shared" si="302"/>
        <v>67.5</v>
      </c>
      <c r="T239" s="2314">
        <f>IFERROR(INDEX('Annex 2_Code'!I$8:I$33,MATCH('Annex 3_MAFF'!$AG239,'Annex 2_Code'!$G$8:$G$33,0)),"")</f>
        <v>0</v>
      </c>
      <c r="U239" s="2314">
        <f>IFERROR(INDEX('Annex 2_Code'!J$8:J$33,MATCH('Annex 3_MAFF'!$AG239,'Annex 2_Code'!$G$8:$G$33,0)),"")</f>
        <v>0</v>
      </c>
      <c r="V239" s="2314">
        <f>IFERROR(INDEX('Annex 2_Code'!K$8:K$33,MATCH('Annex 3_MAFF'!$AG239,'Annex 2_Code'!$G$8:$G$33,0)),"")</f>
        <v>1</v>
      </c>
      <c r="W239" s="2314">
        <f>IFERROR(INDEX('Annex 2_Code'!L$8:L$33,MATCH('Annex 3_MAFF'!$AG239,'Annex 2_Code'!$G$8:$G$33,0)),"")</f>
        <v>0</v>
      </c>
      <c r="X239" s="2314">
        <f>IFERROR(INDEX('Annex 2_Code'!M$8:M$33,MATCH('Annex 3_MAFF'!$AG239,'Annex 2_Code'!$G$8:$G$33,0)),"")</f>
        <v>0</v>
      </c>
      <c r="Y239" s="1745">
        <f t="shared" si="303"/>
        <v>0</v>
      </c>
      <c r="Z239" s="807">
        <f t="shared" si="303"/>
        <v>0</v>
      </c>
      <c r="AA239" s="807">
        <f t="shared" si="303"/>
        <v>67.5</v>
      </c>
      <c r="AB239" s="807">
        <f t="shared" si="303"/>
        <v>0</v>
      </c>
      <c r="AC239" s="808">
        <f t="shared" si="303"/>
        <v>0</v>
      </c>
      <c r="AD239" s="764">
        <f t="shared" si="304"/>
        <v>67.5</v>
      </c>
      <c r="AE239" s="764">
        <f t="shared" si="305"/>
        <v>0</v>
      </c>
      <c r="AF239" s="605" t="s">
        <v>301</v>
      </c>
      <c r="AG239" s="605" t="s">
        <v>201</v>
      </c>
      <c r="AH239" s="605" t="s">
        <v>372</v>
      </c>
      <c r="AI239" s="646" t="str">
        <f>IF(ISNUMBER(FIND("-",AH239,1))=FALSE,LEFT(AH239,LEN(AH239)),LEFT(AH239,(FIND("-",AH239,1))-1))</f>
        <v>MAFF</v>
      </c>
      <c r="AJ239" s="683" t="s">
        <v>456</v>
      </c>
    </row>
    <row r="240" spans="1:46" s="607" customFormat="1" ht="42" customHeight="1" outlineLevel="1">
      <c r="A240" s="725"/>
      <c r="B240" s="669" t="s">
        <v>1451</v>
      </c>
      <c r="C240" s="669" t="s">
        <v>33</v>
      </c>
      <c r="D240" s="701"/>
      <c r="E240" s="307" t="s">
        <v>1154</v>
      </c>
      <c r="F240" s="615"/>
      <c r="G240" s="616" t="s">
        <v>1552</v>
      </c>
      <c r="H240" s="966" t="s">
        <v>1537</v>
      </c>
      <c r="I240" s="787">
        <v>1.5</v>
      </c>
      <c r="J240" s="620">
        <v>6</v>
      </c>
      <c r="K240" s="620">
        <v>10</v>
      </c>
      <c r="L240" s="620">
        <v>11</v>
      </c>
      <c r="M240" s="620">
        <v>10</v>
      </c>
      <c r="N240" s="784">
        <f>SUM(J240:M240)</f>
        <v>37</v>
      </c>
      <c r="O240" s="759">
        <f t="shared" si="306"/>
        <v>9</v>
      </c>
      <c r="P240" s="760">
        <f t="shared" si="307"/>
        <v>15</v>
      </c>
      <c r="Q240" s="760">
        <f t="shared" si="308"/>
        <v>16.5</v>
      </c>
      <c r="R240" s="760">
        <f t="shared" si="309"/>
        <v>15</v>
      </c>
      <c r="S240" s="1356">
        <f t="shared" si="302"/>
        <v>55.5</v>
      </c>
      <c r="T240" s="2314">
        <f>IFERROR(INDEX('Annex 2_Code'!I$8:I$33,MATCH('Annex 3_MAFF'!$AG240,'Annex 2_Code'!$G$8:$G$33,0)),"")</f>
        <v>0</v>
      </c>
      <c r="U240" s="2314">
        <f>IFERROR(INDEX('Annex 2_Code'!J$8:J$33,MATCH('Annex 3_MAFF'!$AG240,'Annex 2_Code'!$G$8:$G$33,0)),"")</f>
        <v>0</v>
      </c>
      <c r="V240" s="2314">
        <f>IFERROR(INDEX('Annex 2_Code'!K$8:K$33,MATCH('Annex 3_MAFF'!$AG240,'Annex 2_Code'!$G$8:$G$33,0)),"")</f>
        <v>1</v>
      </c>
      <c r="W240" s="2314">
        <f>IFERROR(INDEX('Annex 2_Code'!L$8:L$33,MATCH('Annex 3_MAFF'!$AG240,'Annex 2_Code'!$G$8:$G$33,0)),"")</f>
        <v>0</v>
      </c>
      <c r="X240" s="2314">
        <f>IFERROR(INDEX('Annex 2_Code'!M$8:M$33,MATCH('Annex 3_MAFF'!$AG240,'Annex 2_Code'!$G$8:$G$33,0)),"")</f>
        <v>0</v>
      </c>
      <c r="Y240" s="1745">
        <f t="shared" si="303"/>
        <v>0</v>
      </c>
      <c r="Z240" s="807">
        <f t="shared" si="303"/>
        <v>0</v>
      </c>
      <c r="AA240" s="807">
        <f t="shared" si="303"/>
        <v>55.5</v>
      </c>
      <c r="AB240" s="807">
        <f t="shared" si="303"/>
        <v>0</v>
      </c>
      <c r="AC240" s="808">
        <f t="shared" si="303"/>
        <v>0</v>
      </c>
      <c r="AD240" s="764">
        <f t="shared" si="304"/>
        <v>55.5</v>
      </c>
      <c r="AE240" s="764">
        <f t="shared" si="305"/>
        <v>0</v>
      </c>
      <c r="AF240" s="605" t="s">
        <v>301</v>
      </c>
      <c r="AG240" s="605" t="s">
        <v>201</v>
      </c>
      <c r="AH240" s="605" t="str">
        <f>IFERROR(INDEX('[5]Annex 2'!$J$110:$J$122,MATCH('[5]Annex 3 (''MEF)'!AF265,'[5]Annex 2'!$G$110:$G$122,0)),"")</f>
        <v>MAFF-GDA</v>
      </c>
      <c r="AI240" s="646" t="str">
        <f t="shared" ref="AI240:AI269" si="310">IF(ISNUMBER(FIND("-",AH240,1))=FALSE,LEFT(AH240,LEN(AH240)),LEFT(AH240,(FIND("-",AH240,1))-1))</f>
        <v>MAFF</v>
      </c>
      <c r="AJ240" s="683" t="s">
        <v>456</v>
      </c>
    </row>
    <row r="241" spans="1:36" s="607" customFormat="1" ht="42" customHeight="1" outlineLevel="1">
      <c r="A241" s="725"/>
      <c r="B241" s="669" t="s">
        <v>1451</v>
      </c>
      <c r="C241" s="669" t="s">
        <v>33</v>
      </c>
      <c r="D241" s="701"/>
      <c r="E241" s="307" t="s">
        <v>744</v>
      </c>
      <c r="F241" s="615"/>
      <c r="G241" s="1922" t="s">
        <v>1263</v>
      </c>
      <c r="H241" s="1719" t="s">
        <v>837</v>
      </c>
      <c r="I241" s="794">
        <v>1.5</v>
      </c>
      <c r="J241" s="620">
        <v>1</v>
      </c>
      <c r="K241" s="620">
        <v>2</v>
      </c>
      <c r="L241" s="620">
        <v>2</v>
      </c>
      <c r="M241" s="620">
        <v>1</v>
      </c>
      <c r="N241" s="784">
        <f>SUM(J241:M241)</f>
        <v>6</v>
      </c>
      <c r="O241" s="759">
        <f t="shared" si="306"/>
        <v>1.5</v>
      </c>
      <c r="P241" s="760">
        <f t="shared" si="307"/>
        <v>3</v>
      </c>
      <c r="Q241" s="760">
        <f t="shared" si="308"/>
        <v>3</v>
      </c>
      <c r="R241" s="760">
        <f t="shared" si="309"/>
        <v>1.5</v>
      </c>
      <c r="S241" s="1356">
        <f t="shared" si="302"/>
        <v>9</v>
      </c>
      <c r="T241" s="2314">
        <f>IFERROR(INDEX('Annex 2_Code'!I$8:I$33,MATCH('Annex 3_MAFF'!$AG241,'Annex 2_Code'!$G$8:$G$33,0)),"")</f>
        <v>0</v>
      </c>
      <c r="U241" s="2314">
        <f>IFERROR(INDEX('Annex 2_Code'!J$8:J$33,MATCH('Annex 3_MAFF'!$AG241,'Annex 2_Code'!$G$8:$G$33,0)),"")</f>
        <v>0</v>
      </c>
      <c r="V241" s="2314">
        <f>IFERROR(INDEX('Annex 2_Code'!K$8:K$33,MATCH('Annex 3_MAFF'!$AG241,'Annex 2_Code'!$G$8:$G$33,0)),"")</f>
        <v>1</v>
      </c>
      <c r="W241" s="2314">
        <f>IFERROR(INDEX('Annex 2_Code'!L$8:L$33,MATCH('Annex 3_MAFF'!$AG241,'Annex 2_Code'!$G$8:$G$33,0)),"")</f>
        <v>0</v>
      </c>
      <c r="X241" s="2314">
        <f>IFERROR(INDEX('Annex 2_Code'!M$8:M$33,MATCH('Annex 3_MAFF'!$AG241,'Annex 2_Code'!$G$8:$G$33,0)),"")</f>
        <v>0</v>
      </c>
      <c r="Y241" s="1745">
        <f t="shared" ref="Y241:Y247" si="311">IFERROR($S241*T241,"")</f>
        <v>0</v>
      </c>
      <c r="Z241" s="807">
        <f t="shared" ref="Z241:Z247" si="312">IFERROR($S241*U241,"")</f>
        <v>0</v>
      </c>
      <c r="AA241" s="807">
        <f t="shared" ref="AA241:AA247" si="313">IFERROR($S241*V241,"")</f>
        <v>9</v>
      </c>
      <c r="AB241" s="807">
        <f t="shared" ref="AB241:AB247" si="314">IFERROR($S241*W241,"")</f>
        <v>0</v>
      </c>
      <c r="AC241" s="808">
        <f t="shared" ref="AC241:AC247" si="315">IFERROR($S241*X241,"")</f>
        <v>0</v>
      </c>
      <c r="AD241" s="764">
        <f t="shared" ref="AD241:AD247" si="316">SUM(Y241:AC241)</f>
        <v>9</v>
      </c>
      <c r="AE241" s="764">
        <f t="shared" ref="AE241:AE247" si="317">AD241-S241</f>
        <v>0</v>
      </c>
      <c r="AF241" s="605" t="s">
        <v>301</v>
      </c>
      <c r="AG241" s="605" t="s">
        <v>201</v>
      </c>
      <c r="AH241" s="605" t="s">
        <v>372</v>
      </c>
      <c r="AI241" s="646" t="str">
        <f t="shared" si="310"/>
        <v>MAFF</v>
      </c>
      <c r="AJ241" s="683" t="s">
        <v>456</v>
      </c>
    </row>
    <row r="242" spans="1:36" s="607" customFormat="1" ht="42" customHeight="1" outlineLevel="1">
      <c r="A242" s="725"/>
      <c r="B242" s="669" t="s">
        <v>1451</v>
      </c>
      <c r="C242" s="669" t="s">
        <v>33</v>
      </c>
      <c r="D242" s="701"/>
      <c r="E242" s="307" t="s">
        <v>1277</v>
      </c>
      <c r="F242" s="615"/>
      <c r="G242" s="1922" t="s">
        <v>1264</v>
      </c>
      <c r="H242" s="1719" t="s">
        <v>837</v>
      </c>
      <c r="I242" s="794">
        <v>1.5</v>
      </c>
      <c r="J242" s="620">
        <v>1</v>
      </c>
      <c r="K242" s="620">
        <v>2</v>
      </c>
      <c r="L242" s="620">
        <v>2</v>
      </c>
      <c r="M242" s="620">
        <v>1</v>
      </c>
      <c r="N242" s="784">
        <f t="shared" ref="N242:N247" si="318">SUM(J242:M242)</f>
        <v>6</v>
      </c>
      <c r="O242" s="759">
        <f t="shared" si="306"/>
        <v>1.5</v>
      </c>
      <c r="P242" s="760">
        <f t="shared" si="307"/>
        <v>3</v>
      </c>
      <c r="Q242" s="760">
        <f t="shared" si="308"/>
        <v>3</v>
      </c>
      <c r="R242" s="760">
        <f t="shared" si="309"/>
        <v>1.5</v>
      </c>
      <c r="S242" s="1356">
        <f t="shared" si="302"/>
        <v>9</v>
      </c>
      <c r="T242" s="2314">
        <f>IFERROR(INDEX('Annex 2_Code'!I$8:I$33,MATCH('Annex 3_MAFF'!$AG242,'Annex 2_Code'!$G$8:$G$33,0)),"")</f>
        <v>0</v>
      </c>
      <c r="U242" s="2314">
        <f>IFERROR(INDEX('Annex 2_Code'!J$8:J$33,MATCH('Annex 3_MAFF'!$AG242,'Annex 2_Code'!$G$8:$G$33,0)),"")</f>
        <v>0</v>
      </c>
      <c r="V242" s="2314">
        <f>IFERROR(INDEX('Annex 2_Code'!K$8:K$33,MATCH('Annex 3_MAFF'!$AG242,'Annex 2_Code'!$G$8:$G$33,0)),"")</f>
        <v>1</v>
      </c>
      <c r="W242" s="2314">
        <f>IFERROR(INDEX('Annex 2_Code'!L$8:L$33,MATCH('Annex 3_MAFF'!$AG242,'Annex 2_Code'!$G$8:$G$33,0)),"")</f>
        <v>0</v>
      </c>
      <c r="X242" s="2314">
        <f>IFERROR(INDEX('Annex 2_Code'!M$8:M$33,MATCH('Annex 3_MAFF'!$AG242,'Annex 2_Code'!$G$8:$G$33,0)),"")</f>
        <v>0</v>
      </c>
      <c r="Y242" s="1745">
        <f t="shared" si="311"/>
        <v>0</v>
      </c>
      <c r="Z242" s="807">
        <f t="shared" si="312"/>
        <v>0</v>
      </c>
      <c r="AA242" s="807">
        <f t="shared" si="313"/>
        <v>9</v>
      </c>
      <c r="AB242" s="807">
        <f t="shared" si="314"/>
        <v>0</v>
      </c>
      <c r="AC242" s="808">
        <f t="shared" si="315"/>
        <v>0</v>
      </c>
      <c r="AD242" s="764">
        <f t="shared" si="316"/>
        <v>9</v>
      </c>
      <c r="AE242" s="764">
        <f t="shared" si="317"/>
        <v>0</v>
      </c>
      <c r="AF242" s="605" t="s">
        <v>301</v>
      </c>
      <c r="AG242" s="605" t="s">
        <v>201</v>
      </c>
      <c r="AH242" s="605" t="s">
        <v>372</v>
      </c>
      <c r="AI242" s="646" t="str">
        <f t="shared" si="310"/>
        <v>MAFF</v>
      </c>
      <c r="AJ242" s="683" t="s">
        <v>456</v>
      </c>
    </row>
    <row r="243" spans="1:36" s="1939" customFormat="1" ht="42" customHeight="1" outlineLevel="1">
      <c r="A243" s="1940"/>
      <c r="B243" s="669" t="s">
        <v>1451</v>
      </c>
      <c r="C243" s="669" t="s">
        <v>33</v>
      </c>
      <c r="D243" s="701"/>
      <c r="E243" s="307" t="s">
        <v>1278</v>
      </c>
      <c r="F243" s="615"/>
      <c r="G243" s="1922" t="s">
        <v>1276</v>
      </c>
      <c r="H243" s="1719" t="s">
        <v>837</v>
      </c>
      <c r="I243" s="794">
        <v>1.5</v>
      </c>
      <c r="J243" s="620">
        <v>1</v>
      </c>
      <c r="K243" s="620">
        <v>2</v>
      </c>
      <c r="L243" s="620">
        <v>2</v>
      </c>
      <c r="M243" s="620">
        <v>1</v>
      </c>
      <c r="N243" s="784">
        <f t="shared" si="318"/>
        <v>6</v>
      </c>
      <c r="O243" s="759">
        <f t="shared" si="306"/>
        <v>1.5</v>
      </c>
      <c r="P243" s="760">
        <f t="shared" si="307"/>
        <v>3</v>
      </c>
      <c r="Q243" s="760">
        <f t="shared" si="308"/>
        <v>3</v>
      </c>
      <c r="R243" s="760">
        <f t="shared" si="309"/>
        <v>1.5</v>
      </c>
      <c r="S243" s="1356">
        <f t="shared" si="302"/>
        <v>9</v>
      </c>
      <c r="T243" s="2314">
        <f>IFERROR(INDEX('Annex 2_Code'!I$8:I$33,MATCH('Annex 3_MAFF'!$AG243,'Annex 2_Code'!$G$8:$G$33,0)),"")</f>
        <v>0</v>
      </c>
      <c r="U243" s="2314">
        <f>IFERROR(INDEX('Annex 2_Code'!J$8:J$33,MATCH('Annex 3_MAFF'!$AG243,'Annex 2_Code'!$G$8:$G$33,0)),"")</f>
        <v>0</v>
      </c>
      <c r="V243" s="2314">
        <f>IFERROR(INDEX('Annex 2_Code'!K$8:K$33,MATCH('Annex 3_MAFF'!$AG243,'Annex 2_Code'!$G$8:$G$33,0)),"")</f>
        <v>1</v>
      </c>
      <c r="W243" s="2314">
        <f>IFERROR(INDEX('Annex 2_Code'!L$8:L$33,MATCH('Annex 3_MAFF'!$AG243,'Annex 2_Code'!$G$8:$G$33,0)),"")</f>
        <v>0</v>
      </c>
      <c r="X243" s="2314">
        <f>IFERROR(INDEX('Annex 2_Code'!M$8:M$33,MATCH('Annex 3_MAFF'!$AG243,'Annex 2_Code'!$G$8:$G$33,0)),"")</f>
        <v>0</v>
      </c>
      <c r="Y243" s="1745">
        <f t="shared" si="311"/>
        <v>0</v>
      </c>
      <c r="Z243" s="807">
        <f t="shared" si="312"/>
        <v>0</v>
      </c>
      <c r="AA243" s="807">
        <f t="shared" si="313"/>
        <v>9</v>
      </c>
      <c r="AB243" s="807">
        <f t="shared" si="314"/>
        <v>0</v>
      </c>
      <c r="AC243" s="808">
        <f t="shared" si="315"/>
        <v>0</v>
      </c>
      <c r="AD243" s="764">
        <f t="shared" si="316"/>
        <v>9</v>
      </c>
      <c r="AE243" s="764">
        <f t="shared" si="317"/>
        <v>0</v>
      </c>
      <c r="AF243" s="605" t="s">
        <v>301</v>
      </c>
      <c r="AG243" s="605" t="s">
        <v>201</v>
      </c>
      <c r="AH243" s="605" t="s">
        <v>372</v>
      </c>
      <c r="AI243" s="646" t="str">
        <f t="shared" si="310"/>
        <v>MAFF</v>
      </c>
      <c r="AJ243" s="683" t="s">
        <v>456</v>
      </c>
    </row>
    <row r="244" spans="1:36" s="607" customFormat="1" ht="42" customHeight="1" outlineLevel="1">
      <c r="A244" s="725"/>
      <c r="B244" s="669" t="s">
        <v>1451</v>
      </c>
      <c r="C244" s="669" t="s">
        <v>33</v>
      </c>
      <c r="D244" s="701"/>
      <c r="E244" s="307" t="s">
        <v>1279</v>
      </c>
      <c r="F244" s="615"/>
      <c r="G244" s="1922" t="s">
        <v>1265</v>
      </c>
      <c r="H244" s="1719" t="s">
        <v>837</v>
      </c>
      <c r="I244" s="794">
        <v>1.5</v>
      </c>
      <c r="J244" s="620">
        <v>1</v>
      </c>
      <c r="K244" s="620">
        <v>2</v>
      </c>
      <c r="L244" s="620">
        <v>2</v>
      </c>
      <c r="M244" s="620">
        <v>1</v>
      </c>
      <c r="N244" s="784">
        <f t="shared" si="318"/>
        <v>6</v>
      </c>
      <c r="O244" s="759">
        <f t="shared" si="306"/>
        <v>1.5</v>
      </c>
      <c r="P244" s="760">
        <f t="shared" si="307"/>
        <v>3</v>
      </c>
      <c r="Q244" s="760">
        <f t="shared" si="308"/>
        <v>3</v>
      </c>
      <c r="R244" s="760">
        <f t="shared" si="309"/>
        <v>1.5</v>
      </c>
      <c r="S244" s="1356">
        <f t="shared" si="302"/>
        <v>9</v>
      </c>
      <c r="T244" s="2314">
        <f>IFERROR(INDEX('Annex 2_Code'!I$8:I$33,MATCH('Annex 3_MAFF'!$AG244,'Annex 2_Code'!$G$8:$G$33,0)),"")</f>
        <v>0</v>
      </c>
      <c r="U244" s="2314">
        <f>IFERROR(INDEX('Annex 2_Code'!J$8:J$33,MATCH('Annex 3_MAFF'!$AG244,'Annex 2_Code'!$G$8:$G$33,0)),"")</f>
        <v>0</v>
      </c>
      <c r="V244" s="2314">
        <f>IFERROR(INDEX('Annex 2_Code'!K$8:K$33,MATCH('Annex 3_MAFF'!$AG244,'Annex 2_Code'!$G$8:$G$33,0)),"")</f>
        <v>1</v>
      </c>
      <c r="W244" s="2314">
        <f>IFERROR(INDEX('Annex 2_Code'!L$8:L$33,MATCH('Annex 3_MAFF'!$AG244,'Annex 2_Code'!$G$8:$G$33,0)),"")</f>
        <v>0</v>
      </c>
      <c r="X244" s="2314">
        <f>IFERROR(INDEX('Annex 2_Code'!M$8:M$33,MATCH('Annex 3_MAFF'!$AG244,'Annex 2_Code'!$G$8:$G$33,0)),"")</f>
        <v>0</v>
      </c>
      <c r="Y244" s="1745">
        <f t="shared" si="311"/>
        <v>0</v>
      </c>
      <c r="Z244" s="807">
        <f t="shared" si="312"/>
        <v>0</v>
      </c>
      <c r="AA244" s="807">
        <f t="shared" si="313"/>
        <v>9</v>
      </c>
      <c r="AB244" s="807">
        <f t="shared" si="314"/>
        <v>0</v>
      </c>
      <c r="AC244" s="808">
        <f t="shared" si="315"/>
        <v>0</v>
      </c>
      <c r="AD244" s="764">
        <f t="shared" si="316"/>
        <v>9</v>
      </c>
      <c r="AE244" s="764">
        <f t="shared" si="317"/>
        <v>0</v>
      </c>
      <c r="AF244" s="605" t="s">
        <v>301</v>
      </c>
      <c r="AG244" s="605" t="s">
        <v>201</v>
      </c>
      <c r="AH244" s="605" t="s">
        <v>372</v>
      </c>
      <c r="AI244" s="646" t="str">
        <f t="shared" si="310"/>
        <v>MAFF</v>
      </c>
      <c r="AJ244" s="683" t="s">
        <v>456</v>
      </c>
    </row>
    <row r="245" spans="1:36" s="607" customFormat="1" ht="42" customHeight="1" outlineLevel="1">
      <c r="A245" s="725"/>
      <c r="B245" s="669" t="s">
        <v>1451</v>
      </c>
      <c r="C245" s="669" t="s">
        <v>33</v>
      </c>
      <c r="D245" s="701"/>
      <c r="E245" s="307" t="s">
        <v>1280</v>
      </c>
      <c r="F245" s="615"/>
      <c r="G245" s="1922" t="s">
        <v>1275</v>
      </c>
      <c r="H245" s="1719" t="s">
        <v>837</v>
      </c>
      <c r="I245" s="794">
        <v>1.5</v>
      </c>
      <c r="J245" s="620">
        <v>1</v>
      </c>
      <c r="K245" s="620">
        <v>2</v>
      </c>
      <c r="L245" s="620">
        <v>2</v>
      </c>
      <c r="M245" s="620">
        <v>1</v>
      </c>
      <c r="N245" s="784">
        <f t="shared" si="318"/>
        <v>6</v>
      </c>
      <c r="O245" s="759">
        <f t="shared" si="306"/>
        <v>1.5</v>
      </c>
      <c r="P245" s="760">
        <f t="shared" si="307"/>
        <v>3</v>
      </c>
      <c r="Q245" s="760">
        <f t="shared" si="308"/>
        <v>3</v>
      </c>
      <c r="R245" s="760">
        <f t="shared" si="309"/>
        <v>1.5</v>
      </c>
      <c r="S245" s="1356">
        <f t="shared" si="302"/>
        <v>9</v>
      </c>
      <c r="T245" s="2314">
        <f>IFERROR(INDEX('Annex 2_Code'!I$8:I$33,MATCH('Annex 3_MAFF'!$AG245,'Annex 2_Code'!$G$8:$G$33,0)),"")</f>
        <v>0</v>
      </c>
      <c r="U245" s="2314">
        <f>IFERROR(INDEX('Annex 2_Code'!J$8:J$33,MATCH('Annex 3_MAFF'!$AG245,'Annex 2_Code'!$G$8:$G$33,0)),"")</f>
        <v>0</v>
      </c>
      <c r="V245" s="2314">
        <f>IFERROR(INDEX('Annex 2_Code'!K$8:K$33,MATCH('Annex 3_MAFF'!$AG245,'Annex 2_Code'!$G$8:$G$33,0)),"")</f>
        <v>1</v>
      </c>
      <c r="W245" s="2314">
        <f>IFERROR(INDEX('Annex 2_Code'!L$8:L$33,MATCH('Annex 3_MAFF'!$AG245,'Annex 2_Code'!$G$8:$G$33,0)),"")</f>
        <v>0</v>
      </c>
      <c r="X245" s="2314">
        <f>IFERROR(INDEX('Annex 2_Code'!M$8:M$33,MATCH('Annex 3_MAFF'!$AG245,'Annex 2_Code'!$G$8:$G$33,0)),"")</f>
        <v>0</v>
      </c>
      <c r="Y245" s="1745">
        <f t="shared" si="311"/>
        <v>0</v>
      </c>
      <c r="Z245" s="807">
        <f t="shared" si="312"/>
        <v>0</v>
      </c>
      <c r="AA245" s="807">
        <f t="shared" si="313"/>
        <v>9</v>
      </c>
      <c r="AB245" s="807">
        <f t="shared" si="314"/>
        <v>0</v>
      </c>
      <c r="AC245" s="808">
        <f t="shared" si="315"/>
        <v>0</v>
      </c>
      <c r="AD245" s="764">
        <f t="shared" si="316"/>
        <v>9</v>
      </c>
      <c r="AE245" s="764">
        <f t="shared" si="317"/>
        <v>0</v>
      </c>
      <c r="AF245" s="605" t="s">
        <v>301</v>
      </c>
      <c r="AG245" s="605" t="s">
        <v>201</v>
      </c>
      <c r="AH245" s="605" t="s">
        <v>372</v>
      </c>
      <c r="AI245" s="646" t="str">
        <f t="shared" si="310"/>
        <v>MAFF</v>
      </c>
      <c r="AJ245" s="683" t="s">
        <v>456</v>
      </c>
    </row>
    <row r="246" spans="1:36" s="607" customFormat="1" ht="42" customHeight="1" outlineLevel="1">
      <c r="A246" s="725"/>
      <c r="B246" s="669" t="s">
        <v>1451</v>
      </c>
      <c r="C246" s="669" t="s">
        <v>33</v>
      </c>
      <c r="D246" s="701"/>
      <c r="E246" s="307" t="s">
        <v>1281</v>
      </c>
      <c r="F246" s="615"/>
      <c r="G246" s="1922" t="s">
        <v>1266</v>
      </c>
      <c r="H246" s="1719" t="s">
        <v>837</v>
      </c>
      <c r="I246" s="794">
        <v>1.5</v>
      </c>
      <c r="J246" s="620">
        <v>1</v>
      </c>
      <c r="K246" s="620">
        <v>2</v>
      </c>
      <c r="L246" s="620">
        <v>2</v>
      </c>
      <c r="M246" s="620">
        <v>1</v>
      </c>
      <c r="N246" s="784">
        <f t="shared" si="318"/>
        <v>6</v>
      </c>
      <c r="O246" s="759">
        <f t="shared" si="306"/>
        <v>1.5</v>
      </c>
      <c r="P246" s="760">
        <f t="shared" si="307"/>
        <v>3</v>
      </c>
      <c r="Q246" s="760">
        <f t="shared" si="308"/>
        <v>3</v>
      </c>
      <c r="R246" s="760">
        <f t="shared" si="309"/>
        <v>1.5</v>
      </c>
      <c r="S246" s="1356">
        <f t="shared" si="302"/>
        <v>9</v>
      </c>
      <c r="T246" s="2314">
        <f>IFERROR(INDEX('Annex 2_Code'!I$8:I$33,MATCH('Annex 3_MAFF'!$AG246,'Annex 2_Code'!$G$8:$G$33,0)),"")</f>
        <v>0</v>
      </c>
      <c r="U246" s="2314">
        <f>IFERROR(INDEX('Annex 2_Code'!J$8:J$33,MATCH('Annex 3_MAFF'!$AG246,'Annex 2_Code'!$G$8:$G$33,0)),"")</f>
        <v>0</v>
      </c>
      <c r="V246" s="2314">
        <f>IFERROR(INDEX('Annex 2_Code'!K$8:K$33,MATCH('Annex 3_MAFF'!$AG246,'Annex 2_Code'!$G$8:$G$33,0)),"")</f>
        <v>1</v>
      </c>
      <c r="W246" s="2314">
        <f>IFERROR(INDEX('Annex 2_Code'!L$8:L$33,MATCH('Annex 3_MAFF'!$AG246,'Annex 2_Code'!$G$8:$G$33,0)),"")</f>
        <v>0</v>
      </c>
      <c r="X246" s="2314">
        <f>IFERROR(INDEX('Annex 2_Code'!M$8:M$33,MATCH('Annex 3_MAFF'!$AG246,'Annex 2_Code'!$G$8:$G$33,0)),"")</f>
        <v>0</v>
      </c>
      <c r="Y246" s="1745">
        <f t="shared" si="311"/>
        <v>0</v>
      </c>
      <c r="Z246" s="807">
        <f t="shared" si="312"/>
        <v>0</v>
      </c>
      <c r="AA246" s="807">
        <f t="shared" si="313"/>
        <v>9</v>
      </c>
      <c r="AB246" s="807">
        <f t="shared" si="314"/>
        <v>0</v>
      </c>
      <c r="AC246" s="808">
        <f t="shared" si="315"/>
        <v>0</v>
      </c>
      <c r="AD246" s="764">
        <f t="shared" si="316"/>
        <v>9</v>
      </c>
      <c r="AE246" s="764">
        <f t="shared" si="317"/>
        <v>0</v>
      </c>
      <c r="AF246" s="605" t="s">
        <v>301</v>
      </c>
      <c r="AG246" s="605" t="s">
        <v>201</v>
      </c>
      <c r="AH246" s="605" t="s">
        <v>372</v>
      </c>
      <c r="AI246" s="646" t="str">
        <f t="shared" si="310"/>
        <v>MAFF</v>
      </c>
      <c r="AJ246" s="683" t="s">
        <v>456</v>
      </c>
    </row>
    <row r="247" spans="1:36" s="607" customFormat="1" ht="42" customHeight="1" outlineLevel="1">
      <c r="A247" s="725"/>
      <c r="B247" s="669" t="s">
        <v>1451</v>
      </c>
      <c r="C247" s="669" t="s">
        <v>33</v>
      </c>
      <c r="D247" s="701"/>
      <c r="E247" s="307" t="s">
        <v>1282</v>
      </c>
      <c r="F247" s="615"/>
      <c r="G247" s="1922" t="s">
        <v>1274</v>
      </c>
      <c r="H247" s="1719" t="s">
        <v>837</v>
      </c>
      <c r="I247" s="794">
        <v>1.5</v>
      </c>
      <c r="J247" s="620">
        <v>1</v>
      </c>
      <c r="K247" s="620">
        <v>2</v>
      </c>
      <c r="L247" s="620">
        <v>2</v>
      </c>
      <c r="M247" s="620">
        <v>1</v>
      </c>
      <c r="N247" s="784">
        <f t="shared" si="318"/>
        <v>6</v>
      </c>
      <c r="O247" s="759">
        <f t="shared" si="306"/>
        <v>1.5</v>
      </c>
      <c r="P247" s="760">
        <f t="shared" si="307"/>
        <v>3</v>
      </c>
      <c r="Q247" s="760">
        <f t="shared" si="308"/>
        <v>3</v>
      </c>
      <c r="R247" s="760">
        <f t="shared" si="309"/>
        <v>1.5</v>
      </c>
      <c r="S247" s="1356">
        <f t="shared" si="302"/>
        <v>9</v>
      </c>
      <c r="T247" s="2314">
        <f>IFERROR(INDEX('Annex 2_Code'!I$8:I$33,MATCH('Annex 3_MAFF'!$AG247,'Annex 2_Code'!$G$8:$G$33,0)),"")</f>
        <v>0</v>
      </c>
      <c r="U247" s="2314">
        <f>IFERROR(INDEX('Annex 2_Code'!J$8:J$33,MATCH('Annex 3_MAFF'!$AG247,'Annex 2_Code'!$G$8:$G$33,0)),"")</f>
        <v>0</v>
      </c>
      <c r="V247" s="2314">
        <f>IFERROR(INDEX('Annex 2_Code'!K$8:K$33,MATCH('Annex 3_MAFF'!$AG247,'Annex 2_Code'!$G$8:$G$33,0)),"")</f>
        <v>1</v>
      </c>
      <c r="W247" s="2314">
        <f>IFERROR(INDEX('Annex 2_Code'!L$8:L$33,MATCH('Annex 3_MAFF'!$AG247,'Annex 2_Code'!$G$8:$G$33,0)),"")</f>
        <v>0</v>
      </c>
      <c r="X247" s="2314">
        <f>IFERROR(INDEX('Annex 2_Code'!M$8:M$33,MATCH('Annex 3_MAFF'!$AG247,'Annex 2_Code'!$G$8:$G$33,0)),"")</f>
        <v>0</v>
      </c>
      <c r="Y247" s="1745">
        <f t="shared" si="311"/>
        <v>0</v>
      </c>
      <c r="Z247" s="807">
        <f t="shared" si="312"/>
        <v>0</v>
      </c>
      <c r="AA247" s="807">
        <f t="shared" si="313"/>
        <v>9</v>
      </c>
      <c r="AB247" s="807">
        <f t="shared" si="314"/>
        <v>0</v>
      </c>
      <c r="AC247" s="808">
        <f t="shared" si="315"/>
        <v>0</v>
      </c>
      <c r="AD247" s="764">
        <f t="shared" si="316"/>
        <v>9</v>
      </c>
      <c r="AE247" s="764">
        <f t="shared" si="317"/>
        <v>0</v>
      </c>
      <c r="AF247" s="605" t="s">
        <v>301</v>
      </c>
      <c r="AG247" s="605" t="s">
        <v>201</v>
      </c>
      <c r="AH247" s="605" t="s">
        <v>372</v>
      </c>
      <c r="AI247" s="646" t="str">
        <f t="shared" si="310"/>
        <v>MAFF</v>
      </c>
      <c r="AJ247" s="683" t="s">
        <v>456</v>
      </c>
    </row>
    <row r="248" spans="1:36" s="965" customFormat="1" ht="27" customHeight="1">
      <c r="A248" s="587"/>
      <c r="B248" s="659"/>
      <c r="C248" s="659"/>
      <c r="D248" s="963"/>
      <c r="E248" s="591" t="s">
        <v>583</v>
      </c>
      <c r="F248" s="592"/>
      <c r="G248" s="734"/>
      <c r="H248" s="714"/>
      <c r="I248" s="964"/>
      <c r="J248" s="675">
        <f>SUM(J237:J241)</f>
        <v>7</v>
      </c>
      <c r="K248" s="675">
        <f>SUM(K237:K241)</f>
        <v>87</v>
      </c>
      <c r="L248" s="675">
        <f>SUM(L237:L241)</f>
        <v>83</v>
      </c>
      <c r="M248" s="675">
        <f>SUM(M237:M241)</f>
        <v>74</v>
      </c>
      <c r="N248" s="758">
        <f>SUM(N237:N241)</f>
        <v>251</v>
      </c>
      <c r="O248" s="797">
        <f>SUM(O237:O247)</f>
        <v>19.5</v>
      </c>
      <c r="P248" s="798">
        <f>SUM(P237:P247)</f>
        <v>148.5</v>
      </c>
      <c r="Q248" s="798">
        <f>SUM(Q237:Q247)</f>
        <v>142.5</v>
      </c>
      <c r="R248" s="798">
        <f>SUM(R237:R247)</f>
        <v>120</v>
      </c>
      <c r="S248" s="1408">
        <f>SUM(S237:S247)</f>
        <v>430.5</v>
      </c>
      <c r="T248" s="793" t="str">
        <f>IFERROR(INDEX('Annex 2_Code'!I$8:I$33,MATCH('Annex 3_MAFF'!$AG248,'Annex 2_Code'!$G$8:$G$33,0)),"")</f>
        <v/>
      </c>
      <c r="U248" s="793" t="str">
        <f>IFERROR(INDEX('Annex 2_Code'!J$8:J$33,MATCH('Annex 3_MAFF'!$AG248,'Annex 2_Code'!$G$8:$G$33,0)),"")</f>
        <v/>
      </c>
      <c r="V248" s="793" t="str">
        <f>IFERROR(INDEX('Annex 2_Code'!K$8:K$33,MATCH('Annex 3_MAFF'!$AG248,'Annex 2_Code'!$G$8:$G$33,0)),"")</f>
        <v/>
      </c>
      <c r="W248" s="793" t="str">
        <f>IFERROR(INDEX('Annex 2_Code'!L$8:L$33,MATCH('Annex 3_MAFF'!$AG248,'Annex 2_Code'!$G$8:$G$33,0)),"")</f>
        <v/>
      </c>
      <c r="X248" s="793" t="str">
        <f>IFERROR(INDEX('Annex 2_Code'!M$8:M$33,MATCH('Annex 3_MAFF'!$AG248,'Annex 2_Code'!$G$8:$G$33,0)),"")</f>
        <v/>
      </c>
      <c r="Y248" s="647" t="str">
        <f t="shared" ref="Y248:Y269" si="319">IFERROR($S248*T248,"")</f>
        <v/>
      </c>
      <c r="Z248" s="600" t="str">
        <f t="shared" ref="Z248:Z269" si="320">IFERROR($S248*U248,"")</f>
        <v/>
      </c>
      <c r="AA248" s="600" t="str">
        <f t="shared" ref="AA248:AA269" si="321">IFERROR($S248*V248,"")</f>
        <v/>
      </c>
      <c r="AB248" s="600" t="str">
        <f t="shared" ref="AB248:AB269" si="322">IFERROR($S248*W248,"")</f>
        <v/>
      </c>
      <c r="AC248" s="601" t="str">
        <f t="shared" ref="AC248:AC269" si="323">IFERROR($S248*X248,"")</f>
        <v/>
      </c>
      <c r="AD248" s="602">
        <f t="shared" si="304"/>
        <v>0</v>
      </c>
      <c r="AE248" s="602">
        <f t="shared" si="305"/>
        <v>-430.5</v>
      </c>
      <c r="AF248" s="605"/>
      <c r="AG248" s="605"/>
      <c r="AH248" s="605"/>
      <c r="AI248" s="724"/>
      <c r="AJ248" s="743"/>
    </row>
    <row r="249" spans="1:36" s="607" customFormat="1" ht="42" customHeight="1">
      <c r="A249" s="587"/>
      <c r="B249" s="659"/>
      <c r="C249" s="659"/>
      <c r="D249" s="1597"/>
      <c r="E249" s="1624" t="s">
        <v>608</v>
      </c>
      <c r="F249" s="2603" t="s">
        <v>1088</v>
      </c>
      <c r="G249" s="2604"/>
      <c r="H249" s="617"/>
      <c r="I249" s="1352"/>
      <c r="J249" s="620"/>
      <c r="K249" s="620"/>
      <c r="L249" s="620" t="s">
        <v>462</v>
      </c>
      <c r="M249" s="620"/>
      <c r="N249" s="784"/>
      <c r="O249" s="759" t="s">
        <v>462</v>
      </c>
      <c r="P249" s="760"/>
      <c r="Q249" s="760"/>
      <c r="R249" s="792"/>
      <c r="S249" s="1695">
        <f>SUM(O248:R248)</f>
        <v>430.5</v>
      </c>
      <c r="T249" s="793" t="str">
        <f>IFERROR(INDEX('Annex 2_Code'!I$8:I$33,MATCH('Annex 3_MAFF'!$AG249,'Annex 2_Code'!$G$8:$G$33,0)),"")</f>
        <v/>
      </c>
      <c r="U249" s="793" t="str">
        <f>IFERROR(INDEX('Annex 2_Code'!J$8:J$33,MATCH('Annex 3_MAFF'!$AG249,'Annex 2_Code'!$G$8:$G$33,0)),"")</f>
        <v/>
      </c>
      <c r="V249" s="793" t="str">
        <f>IFERROR(INDEX('Annex 2_Code'!K$8:K$33,MATCH('Annex 3_MAFF'!$AG249,'Annex 2_Code'!$G$8:$G$33,0)),"")</f>
        <v/>
      </c>
      <c r="W249" s="793" t="str">
        <f>IFERROR(INDEX('Annex 2_Code'!L$8:L$33,MATCH('Annex 3_MAFF'!$AG249,'Annex 2_Code'!$G$8:$G$33,0)),"")</f>
        <v/>
      </c>
      <c r="X249" s="793" t="str">
        <f>IFERROR(INDEX('Annex 2_Code'!M$8:M$33,MATCH('Annex 3_MAFF'!$AG249,'Annex 2_Code'!$G$8:$G$33,0)),"")</f>
        <v/>
      </c>
      <c r="Y249" s="647" t="str">
        <f t="shared" si="319"/>
        <v/>
      </c>
      <c r="Z249" s="600" t="str">
        <f t="shared" si="320"/>
        <v/>
      </c>
      <c r="AA249" s="600" t="str">
        <f t="shared" si="321"/>
        <v/>
      </c>
      <c r="AB249" s="600" t="str">
        <f t="shared" si="322"/>
        <v/>
      </c>
      <c r="AC249" s="601" t="str">
        <f t="shared" si="323"/>
        <v/>
      </c>
      <c r="AD249" s="602">
        <f t="shared" ref="AD249:AD269" si="324">SUM(Y249:AC249)</f>
        <v>0</v>
      </c>
      <c r="AE249" s="602">
        <f t="shared" ref="AE249:AE269" si="325">AD249-S249</f>
        <v>-430.5</v>
      </c>
      <c r="AF249" s="605"/>
      <c r="AG249" s="605"/>
      <c r="AH249" s="605" t="str">
        <f>IFERROR(INDEX('[5]Annex 2'!$J$110:$J$122,MATCH('[5]Annex 3 (''MEF)'!AF268,'[5]Annex 2'!$G$110:$G$122,0)),"")</f>
        <v/>
      </c>
      <c r="AI249" s="624" t="str">
        <f t="shared" si="310"/>
        <v/>
      </c>
      <c r="AJ249" s="607" t="s">
        <v>456</v>
      </c>
    </row>
    <row r="250" spans="1:36" s="607" customFormat="1" ht="43.5" customHeight="1" outlineLevel="1">
      <c r="A250" s="725"/>
      <c r="B250" s="669" t="s">
        <v>1451</v>
      </c>
      <c r="C250" s="669" t="s">
        <v>33</v>
      </c>
      <c r="D250" s="701"/>
      <c r="E250" s="307" t="s">
        <v>508</v>
      </c>
      <c r="F250" s="2317"/>
      <c r="G250" s="1859" t="s">
        <v>1553</v>
      </c>
      <c r="H250" s="811" t="s">
        <v>1537</v>
      </c>
      <c r="I250" s="794">
        <v>1.5</v>
      </c>
      <c r="J250" s="620">
        <v>0</v>
      </c>
      <c r="K250" s="620">
        <v>5</v>
      </c>
      <c r="L250" s="620">
        <v>5</v>
      </c>
      <c r="M250" s="620">
        <v>4</v>
      </c>
      <c r="N250" s="784">
        <f t="shared" ref="N250:N269" si="326">SUM(J250:M250)</f>
        <v>14</v>
      </c>
      <c r="O250" s="759">
        <f>($I250*J250)</f>
        <v>0</v>
      </c>
      <c r="P250" s="760">
        <f t="shared" ref="O250:R269" si="327">($I250*K250)</f>
        <v>7.5</v>
      </c>
      <c r="Q250" s="760">
        <f t="shared" si="327"/>
        <v>7.5</v>
      </c>
      <c r="R250" s="760">
        <f t="shared" si="327"/>
        <v>6</v>
      </c>
      <c r="S250" s="1356">
        <f t="shared" ref="S250:S269" si="328">SUM(O250:R250)</f>
        <v>21</v>
      </c>
      <c r="T250" s="2314">
        <f>IFERROR(INDEX('Annex 2_Code'!I$8:I$33,MATCH('Annex 3_MAFF'!$AG250,'Annex 2_Code'!$G$8:$G$33,0)),"")</f>
        <v>0</v>
      </c>
      <c r="U250" s="2314">
        <f>IFERROR(INDEX('Annex 2_Code'!J$8:J$33,MATCH('Annex 3_MAFF'!$AG250,'Annex 2_Code'!$G$8:$G$33,0)),"")</f>
        <v>0</v>
      </c>
      <c r="V250" s="2314">
        <f>IFERROR(INDEX('Annex 2_Code'!K$8:K$33,MATCH('Annex 3_MAFF'!$AG250,'Annex 2_Code'!$G$8:$G$33,0)),"")</f>
        <v>1</v>
      </c>
      <c r="W250" s="2314">
        <f>IFERROR(INDEX('Annex 2_Code'!L$8:L$33,MATCH('Annex 3_MAFF'!$AG250,'Annex 2_Code'!$G$8:$G$33,0)),"")</f>
        <v>0</v>
      </c>
      <c r="X250" s="2314">
        <f>IFERROR(INDEX('Annex 2_Code'!M$8:M$33,MATCH('Annex 3_MAFF'!$AG250,'Annex 2_Code'!$G$8:$G$33,0)),"")</f>
        <v>0</v>
      </c>
      <c r="Y250" s="1745">
        <f t="shared" si="319"/>
        <v>0</v>
      </c>
      <c r="Z250" s="807">
        <f t="shared" si="320"/>
        <v>0</v>
      </c>
      <c r="AA250" s="807">
        <f t="shared" si="321"/>
        <v>21</v>
      </c>
      <c r="AB250" s="807">
        <f t="shared" si="322"/>
        <v>0</v>
      </c>
      <c r="AC250" s="808">
        <f t="shared" si="323"/>
        <v>0</v>
      </c>
      <c r="AD250" s="764">
        <f t="shared" si="324"/>
        <v>21</v>
      </c>
      <c r="AE250" s="764">
        <f t="shared" si="325"/>
        <v>0</v>
      </c>
      <c r="AF250" s="605" t="s">
        <v>301</v>
      </c>
      <c r="AG250" s="605" t="s">
        <v>201</v>
      </c>
      <c r="AH250" s="605" t="str">
        <f>IFERROR(INDEX('[5]Annex 2'!$J$110:$J$122,MATCH('[5]Annex 3 (''MEF)'!AF269,'[5]Annex 2'!$G$110:$G$122,0)),"")</f>
        <v>MAFF-GDA</v>
      </c>
      <c r="AI250" s="646" t="str">
        <f t="shared" si="310"/>
        <v>MAFF</v>
      </c>
      <c r="AJ250" s="683" t="s">
        <v>456</v>
      </c>
    </row>
    <row r="251" spans="1:36" s="607" customFormat="1" ht="49.5" customHeight="1" outlineLevel="1">
      <c r="A251" s="725"/>
      <c r="B251" s="669" t="s">
        <v>1451</v>
      </c>
      <c r="C251" s="669" t="s">
        <v>33</v>
      </c>
      <c r="D251" s="701"/>
      <c r="E251" s="307" t="s">
        <v>509</v>
      </c>
      <c r="F251" s="2317"/>
      <c r="G251" s="1859" t="s">
        <v>1554</v>
      </c>
      <c r="H251" s="811" t="s">
        <v>1537</v>
      </c>
      <c r="I251" s="794">
        <v>1.5</v>
      </c>
      <c r="J251" s="620">
        <v>3</v>
      </c>
      <c r="K251" s="620">
        <v>3</v>
      </c>
      <c r="L251" s="620">
        <v>3</v>
      </c>
      <c r="M251" s="620">
        <v>3</v>
      </c>
      <c r="N251" s="784">
        <f t="shared" si="326"/>
        <v>12</v>
      </c>
      <c r="O251" s="759">
        <f t="shared" si="327"/>
        <v>4.5</v>
      </c>
      <c r="P251" s="760">
        <f t="shared" si="327"/>
        <v>4.5</v>
      </c>
      <c r="Q251" s="760">
        <f t="shared" si="327"/>
        <v>4.5</v>
      </c>
      <c r="R251" s="760">
        <f t="shared" si="327"/>
        <v>4.5</v>
      </c>
      <c r="S251" s="1356">
        <f t="shared" si="328"/>
        <v>18</v>
      </c>
      <c r="T251" s="2314">
        <f>IFERROR(INDEX('Annex 2_Code'!I$8:I$33,MATCH('Annex 3_MAFF'!$AG251,'Annex 2_Code'!$G$8:$G$33,0)),"")</f>
        <v>0</v>
      </c>
      <c r="U251" s="2314">
        <f>IFERROR(INDEX('Annex 2_Code'!J$8:J$33,MATCH('Annex 3_MAFF'!$AG251,'Annex 2_Code'!$G$8:$G$33,0)),"")</f>
        <v>0</v>
      </c>
      <c r="V251" s="2314">
        <f>IFERROR(INDEX('Annex 2_Code'!K$8:K$33,MATCH('Annex 3_MAFF'!$AG251,'Annex 2_Code'!$G$8:$G$33,0)),"")</f>
        <v>1</v>
      </c>
      <c r="W251" s="2314">
        <f>IFERROR(INDEX('Annex 2_Code'!L$8:L$33,MATCH('Annex 3_MAFF'!$AG251,'Annex 2_Code'!$G$8:$G$33,0)),"")</f>
        <v>0</v>
      </c>
      <c r="X251" s="2314">
        <f>IFERROR(INDEX('Annex 2_Code'!M$8:M$33,MATCH('Annex 3_MAFF'!$AG251,'Annex 2_Code'!$G$8:$G$33,0)),"")</f>
        <v>0</v>
      </c>
      <c r="Y251" s="1745">
        <f t="shared" si="319"/>
        <v>0</v>
      </c>
      <c r="Z251" s="807">
        <f t="shared" si="320"/>
        <v>0</v>
      </c>
      <c r="AA251" s="807">
        <f t="shared" si="321"/>
        <v>18</v>
      </c>
      <c r="AB251" s="807">
        <f t="shared" si="322"/>
        <v>0</v>
      </c>
      <c r="AC251" s="808">
        <f t="shared" si="323"/>
        <v>0</v>
      </c>
      <c r="AD251" s="764">
        <f t="shared" si="324"/>
        <v>18</v>
      </c>
      <c r="AE251" s="764">
        <f t="shared" si="325"/>
        <v>0</v>
      </c>
      <c r="AF251" s="605" t="s">
        <v>301</v>
      </c>
      <c r="AG251" s="605" t="s">
        <v>201</v>
      </c>
      <c r="AH251" s="605" t="str">
        <f>IFERROR(INDEX('[5]Annex 2'!$J$110:$J$122,MATCH('[5]Annex 3 (''MEF)'!AF270,'[5]Annex 2'!$G$110:$G$122,0)),"")</f>
        <v>MAFF-GDA</v>
      </c>
      <c r="AI251" s="646" t="str">
        <f t="shared" si="310"/>
        <v>MAFF</v>
      </c>
      <c r="AJ251" s="683" t="s">
        <v>456</v>
      </c>
    </row>
    <row r="252" spans="1:36" s="607" customFormat="1" ht="45.75" customHeight="1" outlineLevel="1">
      <c r="A252" s="725"/>
      <c r="B252" s="669" t="s">
        <v>1451</v>
      </c>
      <c r="C252" s="669" t="s">
        <v>33</v>
      </c>
      <c r="D252" s="701"/>
      <c r="E252" s="307" t="s">
        <v>888</v>
      </c>
      <c r="F252" s="2317"/>
      <c r="G252" s="1859" t="s">
        <v>1555</v>
      </c>
      <c r="H252" s="811" t="s">
        <v>1537</v>
      </c>
      <c r="I252" s="794">
        <v>1.5</v>
      </c>
      <c r="J252" s="620">
        <v>0</v>
      </c>
      <c r="K252" s="620">
        <v>5</v>
      </c>
      <c r="L252" s="620">
        <v>5</v>
      </c>
      <c r="M252" s="620">
        <v>4</v>
      </c>
      <c r="N252" s="784">
        <f t="shared" si="326"/>
        <v>14</v>
      </c>
      <c r="O252" s="759">
        <f t="shared" si="327"/>
        <v>0</v>
      </c>
      <c r="P252" s="760">
        <f t="shared" si="327"/>
        <v>7.5</v>
      </c>
      <c r="Q252" s="760">
        <f t="shared" si="327"/>
        <v>7.5</v>
      </c>
      <c r="R252" s="760">
        <f t="shared" si="327"/>
        <v>6</v>
      </c>
      <c r="S252" s="1356">
        <f t="shared" si="328"/>
        <v>21</v>
      </c>
      <c r="T252" s="2314">
        <f>IFERROR(INDEX('Annex 2_Code'!I$8:I$33,MATCH('Annex 3_MAFF'!$AG252,'Annex 2_Code'!$G$8:$G$33,0)),"")</f>
        <v>0</v>
      </c>
      <c r="U252" s="2314">
        <f>IFERROR(INDEX('Annex 2_Code'!J$8:J$33,MATCH('Annex 3_MAFF'!$AG252,'Annex 2_Code'!$G$8:$G$33,0)),"")</f>
        <v>0</v>
      </c>
      <c r="V252" s="2314">
        <f>IFERROR(INDEX('Annex 2_Code'!K$8:K$33,MATCH('Annex 3_MAFF'!$AG252,'Annex 2_Code'!$G$8:$G$33,0)),"")</f>
        <v>1</v>
      </c>
      <c r="W252" s="2314">
        <f>IFERROR(INDEX('Annex 2_Code'!L$8:L$33,MATCH('Annex 3_MAFF'!$AG252,'Annex 2_Code'!$G$8:$G$33,0)),"")</f>
        <v>0</v>
      </c>
      <c r="X252" s="2314">
        <f>IFERROR(INDEX('Annex 2_Code'!M$8:M$33,MATCH('Annex 3_MAFF'!$AG252,'Annex 2_Code'!$G$8:$G$33,0)),"")</f>
        <v>0</v>
      </c>
      <c r="Y252" s="1745">
        <f t="shared" si="319"/>
        <v>0</v>
      </c>
      <c r="Z252" s="807">
        <f t="shared" si="320"/>
        <v>0</v>
      </c>
      <c r="AA252" s="807">
        <f t="shared" si="321"/>
        <v>21</v>
      </c>
      <c r="AB252" s="807">
        <f t="shared" si="322"/>
        <v>0</v>
      </c>
      <c r="AC252" s="808">
        <f t="shared" si="323"/>
        <v>0</v>
      </c>
      <c r="AD252" s="764">
        <f t="shared" si="324"/>
        <v>21</v>
      </c>
      <c r="AE252" s="764">
        <f t="shared" si="325"/>
        <v>0</v>
      </c>
      <c r="AF252" s="605" t="s">
        <v>301</v>
      </c>
      <c r="AG252" s="605" t="s">
        <v>201</v>
      </c>
      <c r="AH252" s="605" t="s">
        <v>372</v>
      </c>
      <c r="AI252" s="646" t="str">
        <f t="shared" si="310"/>
        <v>MAFF</v>
      </c>
      <c r="AJ252" s="683" t="s">
        <v>456</v>
      </c>
    </row>
    <row r="253" spans="1:36" s="607" customFormat="1" ht="44.25" customHeight="1" outlineLevel="1">
      <c r="A253" s="725"/>
      <c r="B253" s="669" t="s">
        <v>1451</v>
      </c>
      <c r="C253" s="669" t="s">
        <v>33</v>
      </c>
      <c r="D253" s="701"/>
      <c r="E253" s="307" t="s">
        <v>510</v>
      </c>
      <c r="F253" s="2317"/>
      <c r="G253" s="2318" t="s">
        <v>1556</v>
      </c>
      <c r="H253" s="966" t="s">
        <v>1537</v>
      </c>
      <c r="I253" s="787">
        <v>1.5</v>
      </c>
      <c r="J253" s="620">
        <v>4</v>
      </c>
      <c r="K253" s="620">
        <v>4</v>
      </c>
      <c r="L253" s="620">
        <v>4</v>
      </c>
      <c r="M253" s="620">
        <v>4</v>
      </c>
      <c r="N253" s="784">
        <f t="shared" si="326"/>
        <v>16</v>
      </c>
      <c r="O253" s="759">
        <f t="shared" si="327"/>
        <v>6</v>
      </c>
      <c r="P253" s="760">
        <f t="shared" si="327"/>
        <v>6</v>
      </c>
      <c r="Q253" s="760">
        <f t="shared" si="327"/>
        <v>6</v>
      </c>
      <c r="R253" s="760">
        <f t="shared" si="327"/>
        <v>6</v>
      </c>
      <c r="S253" s="1356">
        <f t="shared" si="328"/>
        <v>24</v>
      </c>
      <c r="T253" s="2314">
        <f>IFERROR(INDEX('Annex 2_Code'!I$8:I$33,MATCH('Annex 3_MAFF'!$AG253,'Annex 2_Code'!$G$8:$G$33,0)),"")</f>
        <v>0</v>
      </c>
      <c r="U253" s="2314">
        <f>IFERROR(INDEX('Annex 2_Code'!J$8:J$33,MATCH('Annex 3_MAFF'!$AG253,'Annex 2_Code'!$G$8:$G$33,0)),"")</f>
        <v>0</v>
      </c>
      <c r="V253" s="2314">
        <f>IFERROR(INDEX('Annex 2_Code'!K$8:K$33,MATCH('Annex 3_MAFF'!$AG253,'Annex 2_Code'!$G$8:$G$33,0)),"")</f>
        <v>1</v>
      </c>
      <c r="W253" s="2314">
        <f>IFERROR(INDEX('Annex 2_Code'!L$8:L$33,MATCH('Annex 3_MAFF'!$AG253,'Annex 2_Code'!$G$8:$G$33,0)),"")</f>
        <v>0</v>
      </c>
      <c r="X253" s="2314">
        <f>IFERROR(INDEX('Annex 2_Code'!M$8:M$33,MATCH('Annex 3_MAFF'!$AG253,'Annex 2_Code'!$G$8:$G$33,0)),"")</f>
        <v>0</v>
      </c>
      <c r="Y253" s="1745">
        <f t="shared" si="319"/>
        <v>0</v>
      </c>
      <c r="Z253" s="807">
        <f t="shared" si="320"/>
        <v>0</v>
      </c>
      <c r="AA253" s="807">
        <f t="shared" si="321"/>
        <v>24</v>
      </c>
      <c r="AB253" s="807">
        <f t="shared" si="322"/>
        <v>0</v>
      </c>
      <c r="AC253" s="808">
        <f t="shared" si="323"/>
        <v>0</v>
      </c>
      <c r="AD253" s="764">
        <f t="shared" si="324"/>
        <v>24</v>
      </c>
      <c r="AE253" s="764">
        <f t="shared" si="325"/>
        <v>0</v>
      </c>
      <c r="AF253" s="605" t="s">
        <v>301</v>
      </c>
      <c r="AG253" s="605" t="s">
        <v>201</v>
      </c>
      <c r="AH253" s="605" t="str">
        <f>IFERROR(INDEX('[5]Annex 2'!$J$110:$J$122,MATCH('[5]Annex 3 (''MEF)'!AF272,'[5]Annex 2'!$G$110:$G$122,0)),"")</f>
        <v>MAFF-GDA</v>
      </c>
      <c r="AI253" s="646" t="str">
        <f t="shared" si="310"/>
        <v>MAFF</v>
      </c>
      <c r="AJ253" s="683" t="s">
        <v>456</v>
      </c>
    </row>
    <row r="254" spans="1:36" s="607" customFormat="1" ht="50.25" customHeight="1" outlineLevel="1">
      <c r="A254" s="725"/>
      <c r="B254" s="669" t="s">
        <v>1451</v>
      </c>
      <c r="C254" s="669" t="s">
        <v>33</v>
      </c>
      <c r="D254" s="701"/>
      <c r="E254" s="307" t="s">
        <v>511</v>
      </c>
      <c r="F254" s="2317"/>
      <c r="G254" s="2318" t="s">
        <v>1557</v>
      </c>
      <c r="H254" s="966" t="s">
        <v>1537</v>
      </c>
      <c r="I254" s="787">
        <v>1.5</v>
      </c>
      <c r="J254" s="620">
        <v>2</v>
      </c>
      <c r="K254" s="620">
        <v>4</v>
      </c>
      <c r="L254" s="620">
        <v>4</v>
      </c>
      <c r="M254" s="620">
        <v>4</v>
      </c>
      <c r="N254" s="784">
        <f t="shared" si="326"/>
        <v>14</v>
      </c>
      <c r="O254" s="759">
        <f t="shared" si="327"/>
        <v>3</v>
      </c>
      <c r="P254" s="760">
        <f t="shared" si="327"/>
        <v>6</v>
      </c>
      <c r="Q254" s="760">
        <f t="shared" si="327"/>
        <v>6</v>
      </c>
      <c r="R254" s="760">
        <f t="shared" si="327"/>
        <v>6</v>
      </c>
      <c r="S254" s="1356">
        <f t="shared" si="328"/>
        <v>21</v>
      </c>
      <c r="T254" s="2314">
        <f>IFERROR(INDEX('Annex 2_Code'!I$8:I$33,MATCH('Annex 3_MAFF'!$AG254,'Annex 2_Code'!$G$8:$G$33,0)),"")</f>
        <v>0</v>
      </c>
      <c r="U254" s="2314">
        <f>IFERROR(INDEX('Annex 2_Code'!J$8:J$33,MATCH('Annex 3_MAFF'!$AG254,'Annex 2_Code'!$G$8:$G$33,0)),"")</f>
        <v>0</v>
      </c>
      <c r="V254" s="2314">
        <f>IFERROR(INDEX('Annex 2_Code'!K$8:K$33,MATCH('Annex 3_MAFF'!$AG254,'Annex 2_Code'!$G$8:$G$33,0)),"")</f>
        <v>1</v>
      </c>
      <c r="W254" s="2314">
        <f>IFERROR(INDEX('Annex 2_Code'!L$8:L$33,MATCH('Annex 3_MAFF'!$AG254,'Annex 2_Code'!$G$8:$G$33,0)),"")</f>
        <v>0</v>
      </c>
      <c r="X254" s="2314">
        <f>IFERROR(INDEX('Annex 2_Code'!M$8:M$33,MATCH('Annex 3_MAFF'!$AG254,'Annex 2_Code'!$G$8:$G$33,0)),"")</f>
        <v>0</v>
      </c>
      <c r="Y254" s="1745">
        <f t="shared" si="319"/>
        <v>0</v>
      </c>
      <c r="Z254" s="807">
        <f t="shared" si="320"/>
        <v>0</v>
      </c>
      <c r="AA254" s="807">
        <f t="shared" si="321"/>
        <v>21</v>
      </c>
      <c r="AB254" s="807">
        <f t="shared" si="322"/>
        <v>0</v>
      </c>
      <c r="AC254" s="808">
        <f t="shared" si="323"/>
        <v>0</v>
      </c>
      <c r="AD254" s="764">
        <f t="shared" si="324"/>
        <v>21</v>
      </c>
      <c r="AE254" s="764">
        <f t="shared" si="325"/>
        <v>0</v>
      </c>
      <c r="AF254" s="605" t="s">
        <v>301</v>
      </c>
      <c r="AG254" s="605" t="s">
        <v>201</v>
      </c>
      <c r="AH254" s="605" t="str">
        <f>IFERROR(INDEX('[5]Annex 2'!$J$110:$J$122,MATCH('[5]Annex 3 (''MEF)'!AF273,'[5]Annex 2'!$G$110:$G$122,0)),"")</f>
        <v>MAFF-GDA</v>
      </c>
      <c r="AI254" s="646" t="str">
        <f t="shared" si="310"/>
        <v>MAFF</v>
      </c>
      <c r="AJ254" s="683" t="s">
        <v>456</v>
      </c>
    </row>
    <row r="255" spans="1:36" s="607" customFormat="1" ht="47.25" customHeight="1" outlineLevel="1">
      <c r="A255" s="725"/>
      <c r="B255" s="669" t="s">
        <v>1451</v>
      </c>
      <c r="C255" s="669" t="s">
        <v>33</v>
      </c>
      <c r="D255" s="701"/>
      <c r="E255" s="307" t="s">
        <v>512</v>
      </c>
      <c r="F255" s="649"/>
      <c r="G255" s="785" t="s">
        <v>1558</v>
      </c>
      <c r="H255" s="966" t="s">
        <v>1537</v>
      </c>
      <c r="I255" s="794">
        <v>1.5</v>
      </c>
      <c r="J255" s="620">
        <v>2</v>
      </c>
      <c r="K255" s="620">
        <v>2</v>
      </c>
      <c r="L255" s="620">
        <v>2</v>
      </c>
      <c r="M255" s="620">
        <v>2</v>
      </c>
      <c r="N255" s="784">
        <f t="shared" si="326"/>
        <v>8</v>
      </c>
      <c r="O255" s="759">
        <f t="shared" si="327"/>
        <v>3</v>
      </c>
      <c r="P255" s="760">
        <f t="shared" si="327"/>
        <v>3</v>
      </c>
      <c r="Q255" s="760">
        <f t="shared" si="327"/>
        <v>3</v>
      </c>
      <c r="R255" s="760">
        <f t="shared" si="327"/>
        <v>3</v>
      </c>
      <c r="S255" s="1356">
        <f t="shared" si="328"/>
        <v>12</v>
      </c>
      <c r="T255" s="2314">
        <f>IFERROR(INDEX('Annex 2_Code'!I$8:I$33,MATCH('Annex 3_MAFF'!$AG255,'Annex 2_Code'!$G$8:$G$33,0)),"")</f>
        <v>0</v>
      </c>
      <c r="U255" s="2314">
        <f>IFERROR(INDEX('Annex 2_Code'!J$8:J$33,MATCH('Annex 3_MAFF'!$AG255,'Annex 2_Code'!$G$8:$G$33,0)),"")</f>
        <v>0</v>
      </c>
      <c r="V255" s="2314">
        <f>IFERROR(INDEX('Annex 2_Code'!K$8:K$33,MATCH('Annex 3_MAFF'!$AG255,'Annex 2_Code'!$G$8:$G$33,0)),"")</f>
        <v>1</v>
      </c>
      <c r="W255" s="2314">
        <f>IFERROR(INDEX('Annex 2_Code'!L$8:L$33,MATCH('Annex 3_MAFF'!$AG255,'Annex 2_Code'!$G$8:$G$33,0)),"")</f>
        <v>0</v>
      </c>
      <c r="X255" s="2314">
        <f>IFERROR(INDEX('Annex 2_Code'!M$8:M$33,MATCH('Annex 3_MAFF'!$AG255,'Annex 2_Code'!$G$8:$G$33,0)),"")</f>
        <v>0</v>
      </c>
      <c r="Y255" s="1745">
        <f t="shared" si="319"/>
        <v>0</v>
      </c>
      <c r="Z255" s="807">
        <f t="shared" si="320"/>
        <v>0</v>
      </c>
      <c r="AA255" s="807">
        <f t="shared" si="321"/>
        <v>12</v>
      </c>
      <c r="AB255" s="807">
        <f t="shared" si="322"/>
        <v>0</v>
      </c>
      <c r="AC255" s="808">
        <f t="shared" si="323"/>
        <v>0</v>
      </c>
      <c r="AD255" s="764">
        <f t="shared" si="324"/>
        <v>12</v>
      </c>
      <c r="AE255" s="764">
        <f t="shared" si="325"/>
        <v>0</v>
      </c>
      <c r="AF255" s="605" t="s">
        <v>301</v>
      </c>
      <c r="AG255" s="605" t="s">
        <v>201</v>
      </c>
      <c r="AH255" s="605" t="str">
        <f>IFERROR(INDEX('[5]Annex 2'!$J$110:$J$122,MATCH('[5]Annex 3 (''MEF)'!AF274,'[5]Annex 2'!$G$110:$G$122,0)),"")</f>
        <v>MAFF-GDA</v>
      </c>
      <c r="AI255" s="646" t="str">
        <f t="shared" si="310"/>
        <v>MAFF</v>
      </c>
      <c r="AJ255" s="683" t="s">
        <v>456</v>
      </c>
    </row>
    <row r="256" spans="1:36" s="607" customFormat="1" ht="42.75" customHeight="1" outlineLevel="1">
      <c r="A256" s="725"/>
      <c r="B256" s="669" t="s">
        <v>1451</v>
      </c>
      <c r="C256" s="669" t="s">
        <v>33</v>
      </c>
      <c r="D256" s="701"/>
      <c r="E256" s="307" t="s">
        <v>513</v>
      </c>
      <c r="F256" s="649"/>
      <c r="G256" s="785" t="s">
        <v>1559</v>
      </c>
      <c r="H256" s="966" t="s">
        <v>1537</v>
      </c>
      <c r="I256" s="794">
        <v>1.5</v>
      </c>
      <c r="J256" s="620">
        <v>2</v>
      </c>
      <c r="K256" s="620">
        <v>2</v>
      </c>
      <c r="L256" s="620">
        <v>2</v>
      </c>
      <c r="M256" s="620">
        <v>2</v>
      </c>
      <c r="N256" s="784">
        <f t="shared" si="326"/>
        <v>8</v>
      </c>
      <c r="O256" s="759">
        <f t="shared" si="327"/>
        <v>3</v>
      </c>
      <c r="P256" s="760">
        <f t="shared" si="327"/>
        <v>3</v>
      </c>
      <c r="Q256" s="760">
        <f>($I256*L256)</f>
        <v>3</v>
      </c>
      <c r="R256" s="760">
        <f t="shared" si="327"/>
        <v>3</v>
      </c>
      <c r="S256" s="1356">
        <f t="shared" si="328"/>
        <v>12</v>
      </c>
      <c r="T256" s="2314">
        <f>IFERROR(INDEX('Annex 2_Code'!I$8:I$33,MATCH('Annex 3_MAFF'!$AG256,'Annex 2_Code'!$G$8:$G$33,0)),"")</f>
        <v>0</v>
      </c>
      <c r="U256" s="2314">
        <f>IFERROR(INDEX('Annex 2_Code'!J$8:J$33,MATCH('Annex 3_MAFF'!$AG256,'Annex 2_Code'!$G$8:$G$33,0)),"")</f>
        <v>0</v>
      </c>
      <c r="V256" s="2314">
        <f>IFERROR(INDEX('Annex 2_Code'!K$8:K$33,MATCH('Annex 3_MAFF'!$AG256,'Annex 2_Code'!$G$8:$G$33,0)),"")</f>
        <v>1</v>
      </c>
      <c r="W256" s="2314">
        <f>IFERROR(INDEX('Annex 2_Code'!L$8:L$33,MATCH('Annex 3_MAFF'!$AG256,'Annex 2_Code'!$G$8:$G$33,0)),"")</f>
        <v>0</v>
      </c>
      <c r="X256" s="2314">
        <f>IFERROR(INDEX('Annex 2_Code'!M$8:M$33,MATCH('Annex 3_MAFF'!$AG256,'Annex 2_Code'!$G$8:$G$33,0)),"")</f>
        <v>0</v>
      </c>
      <c r="Y256" s="1745">
        <f t="shared" si="319"/>
        <v>0</v>
      </c>
      <c r="Z256" s="807">
        <f t="shared" si="320"/>
        <v>0</v>
      </c>
      <c r="AA256" s="807">
        <f t="shared" si="321"/>
        <v>12</v>
      </c>
      <c r="AB256" s="807">
        <f t="shared" si="322"/>
        <v>0</v>
      </c>
      <c r="AC256" s="808">
        <f t="shared" si="323"/>
        <v>0</v>
      </c>
      <c r="AD256" s="764">
        <f t="shared" si="324"/>
        <v>12</v>
      </c>
      <c r="AE256" s="764">
        <f t="shared" si="325"/>
        <v>0</v>
      </c>
      <c r="AF256" s="605" t="s">
        <v>301</v>
      </c>
      <c r="AG256" s="605" t="s">
        <v>201</v>
      </c>
      <c r="AH256" s="605" t="s">
        <v>372</v>
      </c>
      <c r="AI256" s="646" t="str">
        <f t="shared" si="310"/>
        <v>MAFF</v>
      </c>
      <c r="AJ256" s="683" t="s">
        <v>456</v>
      </c>
    </row>
    <row r="257" spans="1:36" s="607" customFormat="1" ht="57" customHeight="1" outlineLevel="1">
      <c r="A257" s="725"/>
      <c r="B257" s="669" t="s">
        <v>1451</v>
      </c>
      <c r="C257" s="669" t="s">
        <v>33</v>
      </c>
      <c r="D257" s="701"/>
      <c r="E257" s="307" t="s">
        <v>514</v>
      </c>
      <c r="F257" s="649"/>
      <c r="G257" s="2319" t="s">
        <v>1560</v>
      </c>
      <c r="H257" s="966" t="s">
        <v>1537</v>
      </c>
      <c r="I257" s="794">
        <v>1.5</v>
      </c>
      <c r="J257" s="620">
        <v>1</v>
      </c>
      <c r="K257" s="620">
        <v>2</v>
      </c>
      <c r="L257" s="620">
        <v>2</v>
      </c>
      <c r="M257" s="620">
        <v>2</v>
      </c>
      <c r="N257" s="784">
        <f t="shared" si="326"/>
        <v>7</v>
      </c>
      <c r="O257" s="759">
        <f t="shared" si="327"/>
        <v>1.5</v>
      </c>
      <c r="P257" s="760">
        <f t="shared" si="327"/>
        <v>3</v>
      </c>
      <c r="Q257" s="760">
        <f t="shared" si="327"/>
        <v>3</v>
      </c>
      <c r="R257" s="760">
        <f t="shared" si="327"/>
        <v>3</v>
      </c>
      <c r="S257" s="1356">
        <f t="shared" si="328"/>
        <v>10.5</v>
      </c>
      <c r="T257" s="2314">
        <f>IFERROR(INDEX('Annex 2_Code'!I$8:I$33,MATCH('Annex 3_MAFF'!$AG257,'Annex 2_Code'!$G$8:$G$33,0)),"")</f>
        <v>0</v>
      </c>
      <c r="U257" s="2314">
        <f>IFERROR(INDEX('Annex 2_Code'!J$8:J$33,MATCH('Annex 3_MAFF'!$AG257,'Annex 2_Code'!$G$8:$G$33,0)),"")</f>
        <v>0</v>
      </c>
      <c r="V257" s="2314">
        <f>IFERROR(INDEX('Annex 2_Code'!K$8:K$33,MATCH('Annex 3_MAFF'!$AG257,'Annex 2_Code'!$G$8:$G$33,0)),"")</f>
        <v>1</v>
      </c>
      <c r="W257" s="2314">
        <f>IFERROR(INDEX('Annex 2_Code'!L$8:L$33,MATCH('Annex 3_MAFF'!$AG257,'Annex 2_Code'!$G$8:$G$33,0)),"")</f>
        <v>0</v>
      </c>
      <c r="X257" s="2314">
        <f>IFERROR(INDEX('Annex 2_Code'!M$8:M$33,MATCH('Annex 3_MAFF'!$AG257,'Annex 2_Code'!$G$8:$G$33,0)),"")</f>
        <v>0</v>
      </c>
      <c r="Y257" s="1745">
        <f t="shared" si="319"/>
        <v>0</v>
      </c>
      <c r="Z257" s="807">
        <f t="shared" si="320"/>
        <v>0</v>
      </c>
      <c r="AA257" s="807">
        <f t="shared" si="321"/>
        <v>10.5</v>
      </c>
      <c r="AB257" s="807">
        <f t="shared" si="322"/>
        <v>0</v>
      </c>
      <c r="AC257" s="808">
        <f t="shared" si="323"/>
        <v>0</v>
      </c>
      <c r="AD257" s="764">
        <f t="shared" si="324"/>
        <v>10.5</v>
      </c>
      <c r="AE257" s="764">
        <f t="shared" si="325"/>
        <v>0</v>
      </c>
      <c r="AF257" s="605" t="s">
        <v>301</v>
      </c>
      <c r="AG257" s="605" t="s">
        <v>201</v>
      </c>
      <c r="AH257" s="605" t="s">
        <v>372</v>
      </c>
      <c r="AI257" s="646" t="str">
        <f t="shared" si="310"/>
        <v>MAFF</v>
      </c>
      <c r="AJ257" s="683" t="s">
        <v>456</v>
      </c>
    </row>
    <row r="258" spans="1:36" s="607" customFormat="1" ht="66.75" customHeight="1" outlineLevel="1">
      <c r="A258" s="725"/>
      <c r="B258" s="669" t="s">
        <v>1451</v>
      </c>
      <c r="C258" s="669" t="s">
        <v>33</v>
      </c>
      <c r="D258" s="701"/>
      <c r="E258" s="307" t="s">
        <v>515</v>
      </c>
      <c r="F258" s="649"/>
      <c r="G258" s="2319" t="s">
        <v>1561</v>
      </c>
      <c r="H258" s="966" t="s">
        <v>1537</v>
      </c>
      <c r="I258" s="794">
        <v>1.5</v>
      </c>
      <c r="J258" s="620">
        <v>0</v>
      </c>
      <c r="K258" s="620">
        <v>2</v>
      </c>
      <c r="L258" s="620">
        <v>2</v>
      </c>
      <c r="M258" s="620">
        <v>2</v>
      </c>
      <c r="N258" s="784">
        <f t="shared" si="326"/>
        <v>6</v>
      </c>
      <c r="O258" s="759">
        <f t="shared" si="327"/>
        <v>0</v>
      </c>
      <c r="P258" s="760">
        <f t="shared" si="327"/>
        <v>3</v>
      </c>
      <c r="Q258" s="760">
        <f t="shared" si="327"/>
        <v>3</v>
      </c>
      <c r="R258" s="760">
        <f t="shared" si="327"/>
        <v>3</v>
      </c>
      <c r="S258" s="1356">
        <f t="shared" si="328"/>
        <v>9</v>
      </c>
      <c r="T258" s="2314">
        <f>IFERROR(INDEX('Annex 2_Code'!I$8:I$33,MATCH('Annex 3_MAFF'!$AG258,'Annex 2_Code'!$G$8:$G$33,0)),"")</f>
        <v>0</v>
      </c>
      <c r="U258" s="2314">
        <f>IFERROR(INDEX('Annex 2_Code'!J$8:J$33,MATCH('Annex 3_MAFF'!$AG258,'Annex 2_Code'!$G$8:$G$33,0)),"")</f>
        <v>0</v>
      </c>
      <c r="V258" s="2314">
        <f>IFERROR(INDEX('Annex 2_Code'!K$8:K$33,MATCH('Annex 3_MAFF'!$AG258,'Annex 2_Code'!$G$8:$G$33,0)),"")</f>
        <v>1</v>
      </c>
      <c r="W258" s="2314">
        <f>IFERROR(INDEX('Annex 2_Code'!L$8:L$33,MATCH('Annex 3_MAFF'!$AG258,'Annex 2_Code'!$G$8:$G$33,0)),"")</f>
        <v>0</v>
      </c>
      <c r="X258" s="2314">
        <f>IFERROR(INDEX('Annex 2_Code'!M$8:M$33,MATCH('Annex 3_MAFF'!$AG258,'Annex 2_Code'!$G$8:$G$33,0)),"")</f>
        <v>0</v>
      </c>
      <c r="Y258" s="1745">
        <f t="shared" si="319"/>
        <v>0</v>
      </c>
      <c r="Z258" s="807">
        <f t="shared" si="320"/>
        <v>0</v>
      </c>
      <c r="AA258" s="807">
        <f t="shared" si="321"/>
        <v>9</v>
      </c>
      <c r="AB258" s="807">
        <f t="shared" si="322"/>
        <v>0</v>
      </c>
      <c r="AC258" s="808">
        <f t="shared" si="323"/>
        <v>0</v>
      </c>
      <c r="AD258" s="764">
        <f t="shared" si="324"/>
        <v>9</v>
      </c>
      <c r="AE258" s="764">
        <f t="shared" si="325"/>
        <v>0</v>
      </c>
      <c r="AF258" s="605" t="s">
        <v>301</v>
      </c>
      <c r="AG258" s="605" t="s">
        <v>201</v>
      </c>
      <c r="AH258" s="605" t="s">
        <v>372</v>
      </c>
      <c r="AI258" s="646" t="str">
        <f t="shared" si="310"/>
        <v>MAFF</v>
      </c>
      <c r="AJ258" s="683" t="s">
        <v>456</v>
      </c>
    </row>
    <row r="259" spans="1:36" s="607" customFormat="1" ht="76.5" customHeight="1" outlineLevel="1">
      <c r="A259" s="725"/>
      <c r="B259" s="669" t="s">
        <v>1451</v>
      </c>
      <c r="C259" s="669" t="s">
        <v>33</v>
      </c>
      <c r="D259" s="701"/>
      <c r="E259" s="307" t="s">
        <v>516</v>
      </c>
      <c r="F259" s="649"/>
      <c r="G259" s="2319" t="s">
        <v>1562</v>
      </c>
      <c r="H259" s="966" t="s">
        <v>1537</v>
      </c>
      <c r="I259" s="794">
        <v>1.5</v>
      </c>
      <c r="J259" s="620">
        <v>0</v>
      </c>
      <c r="K259" s="620">
        <v>1</v>
      </c>
      <c r="L259" s="620">
        <v>2</v>
      </c>
      <c r="M259" s="620">
        <v>2</v>
      </c>
      <c r="N259" s="784">
        <f t="shared" si="326"/>
        <v>5</v>
      </c>
      <c r="O259" s="759">
        <f t="shared" si="327"/>
        <v>0</v>
      </c>
      <c r="P259" s="760">
        <f t="shared" si="327"/>
        <v>1.5</v>
      </c>
      <c r="Q259" s="760">
        <f t="shared" si="327"/>
        <v>3</v>
      </c>
      <c r="R259" s="760">
        <f t="shared" si="327"/>
        <v>3</v>
      </c>
      <c r="S259" s="1356">
        <f t="shared" si="328"/>
        <v>7.5</v>
      </c>
      <c r="T259" s="2314">
        <f>IFERROR(INDEX('Annex 2_Code'!I$8:I$33,MATCH('Annex 3_MAFF'!$AG259,'Annex 2_Code'!$G$8:$G$33,0)),"")</f>
        <v>0</v>
      </c>
      <c r="U259" s="2314">
        <f>IFERROR(INDEX('Annex 2_Code'!J$8:J$33,MATCH('Annex 3_MAFF'!$AG259,'Annex 2_Code'!$G$8:$G$33,0)),"")</f>
        <v>0</v>
      </c>
      <c r="V259" s="2314">
        <f>IFERROR(INDEX('Annex 2_Code'!K$8:K$33,MATCH('Annex 3_MAFF'!$AG259,'Annex 2_Code'!$G$8:$G$33,0)),"")</f>
        <v>1</v>
      </c>
      <c r="W259" s="2314">
        <f>IFERROR(INDEX('Annex 2_Code'!L$8:L$33,MATCH('Annex 3_MAFF'!$AG259,'Annex 2_Code'!$G$8:$G$33,0)),"")</f>
        <v>0</v>
      </c>
      <c r="X259" s="2314">
        <f>IFERROR(INDEX('Annex 2_Code'!M$8:M$33,MATCH('Annex 3_MAFF'!$AG259,'Annex 2_Code'!$G$8:$G$33,0)),"")</f>
        <v>0</v>
      </c>
      <c r="Y259" s="1745">
        <f t="shared" si="319"/>
        <v>0</v>
      </c>
      <c r="Z259" s="807">
        <f t="shared" si="320"/>
        <v>0</v>
      </c>
      <c r="AA259" s="807">
        <f t="shared" si="321"/>
        <v>7.5</v>
      </c>
      <c r="AB259" s="807">
        <f t="shared" si="322"/>
        <v>0</v>
      </c>
      <c r="AC259" s="808">
        <f t="shared" si="323"/>
        <v>0</v>
      </c>
      <c r="AD259" s="764">
        <f t="shared" si="324"/>
        <v>7.5</v>
      </c>
      <c r="AE259" s="764">
        <f t="shared" si="325"/>
        <v>0</v>
      </c>
      <c r="AF259" s="605" t="s">
        <v>301</v>
      </c>
      <c r="AG259" s="605" t="s">
        <v>201</v>
      </c>
      <c r="AH259" s="605" t="str">
        <f>IFERROR(INDEX('[5]Annex 2'!$J$110:$J$122,MATCH('[5]Annex 3 (''MEF)'!AF278,'[5]Annex 2'!$G$110:$G$122,0)),"")</f>
        <v>MAFF-GDA</v>
      </c>
      <c r="AI259" s="646" t="str">
        <f t="shared" si="310"/>
        <v>MAFF</v>
      </c>
      <c r="AJ259" s="683" t="s">
        <v>456</v>
      </c>
    </row>
    <row r="260" spans="1:36" s="1568" customFormat="1" ht="42" customHeight="1" outlineLevel="1">
      <c r="A260" s="1567"/>
      <c r="B260" s="669" t="s">
        <v>1451</v>
      </c>
      <c r="C260" s="669" t="s">
        <v>33</v>
      </c>
      <c r="D260" s="701"/>
      <c r="E260" s="307" t="s">
        <v>517</v>
      </c>
      <c r="F260" s="615"/>
      <c r="G260" s="2313" t="s">
        <v>883</v>
      </c>
      <c r="H260" s="811" t="s">
        <v>1537</v>
      </c>
      <c r="I260" s="794">
        <v>1.5</v>
      </c>
      <c r="J260" s="620">
        <v>0</v>
      </c>
      <c r="K260" s="620">
        <v>3</v>
      </c>
      <c r="L260" s="620">
        <v>2</v>
      </c>
      <c r="M260" s="620">
        <v>2</v>
      </c>
      <c r="N260" s="784">
        <f t="shared" si="326"/>
        <v>7</v>
      </c>
      <c r="O260" s="759">
        <f t="shared" si="327"/>
        <v>0</v>
      </c>
      <c r="P260" s="760">
        <f t="shared" ref="P260:P267" si="329">($I260*K260)</f>
        <v>4.5</v>
      </c>
      <c r="Q260" s="760">
        <f t="shared" ref="Q260:Q267" si="330">($I260*L260)</f>
        <v>3</v>
      </c>
      <c r="R260" s="760">
        <f t="shared" ref="R260:R267" si="331">($I260*M260)</f>
        <v>3</v>
      </c>
      <c r="S260" s="1356">
        <f t="shared" si="328"/>
        <v>10.5</v>
      </c>
      <c r="T260" s="2314">
        <f>IFERROR(INDEX('Annex 2_Code'!I$8:I$33,MATCH('Annex 3_MAFF'!$AG260,'Annex 2_Code'!$G$8:$G$33,0)),"")</f>
        <v>0</v>
      </c>
      <c r="U260" s="2314">
        <f>IFERROR(INDEX('Annex 2_Code'!J$8:J$33,MATCH('Annex 3_MAFF'!$AG260,'Annex 2_Code'!$G$8:$G$33,0)),"")</f>
        <v>0</v>
      </c>
      <c r="V260" s="2314">
        <f>IFERROR(INDEX('Annex 2_Code'!K$8:K$33,MATCH('Annex 3_MAFF'!$AG260,'Annex 2_Code'!$G$8:$G$33,0)),"")</f>
        <v>1</v>
      </c>
      <c r="W260" s="2314">
        <f>IFERROR(INDEX('Annex 2_Code'!L$8:L$33,MATCH('Annex 3_MAFF'!$AG260,'Annex 2_Code'!$G$8:$G$33,0)),"")</f>
        <v>0</v>
      </c>
      <c r="X260" s="2314">
        <f>IFERROR(INDEX('Annex 2_Code'!M$8:M$33,MATCH('Annex 3_MAFF'!$AG260,'Annex 2_Code'!$G$8:$G$33,0)),"")</f>
        <v>0</v>
      </c>
      <c r="Y260" s="1745">
        <f t="shared" ref="Y260:Y267" si="332">IFERROR($S260*T260,"")</f>
        <v>0</v>
      </c>
      <c r="Z260" s="807">
        <f t="shared" ref="Z260:Z267" si="333">IFERROR($S260*U260,"")</f>
        <v>0</v>
      </c>
      <c r="AA260" s="807">
        <f t="shared" ref="AA260:AA267" si="334">IFERROR($S260*V260,"")</f>
        <v>10.5</v>
      </c>
      <c r="AB260" s="807">
        <f t="shared" ref="AB260:AB267" si="335">IFERROR($S260*W260,"")</f>
        <v>0</v>
      </c>
      <c r="AC260" s="808">
        <f t="shared" ref="AC260:AC267" si="336">IFERROR($S260*X260,"")</f>
        <v>0</v>
      </c>
      <c r="AD260" s="764">
        <f t="shared" ref="AD260:AD267" si="337">SUM(Y260:AC260)</f>
        <v>10.5</v>
      </c>
      <c r="AE260" s="764">
        <f t="shared" ref="AE260:AE267" si="338">AD260-S260</f>
        <v>0</v>
      </c>
      <c r="AF260" s="605" t="s">
        <v>301</v>
      </c>
      <c r="AG260" s="605" t="s">
        <v>201</v>
      </c>
      <c r="AH260" s="605" t="s">
        <v>372</v>
      </c>
      <c r="AI260" s="605" t="str">
        <f t="shared" si="310"/>
        <v>MAFF</v>
      </c>
      <c r="AJ260" s="683"/>
    </row>
    <row r="261" spans="1:36" s="1568" customFormat="1" ht="69.75" outlineLevel="1">
      <c r="A261" s="1567"/>
      <c r="B261" s="669" t="s">
        <v>1451</v>
      </c>
      <c r="C261" s="669" t="s">
        <v>33</v>
      </c>
      <c r="D261" s="701"/>
      <c r="E261" s="307" t="s">
        <v>518</v>
      </c>
      <c r="F261" s="615"/>
      <c r="G261" s="2313" t="s">
        <v>884</v>
      </c>
      <c r="H261" s="811" t="s">
        <v>1537</v>
      </c>
      <c r="I261" s="794">
        <v>1.5</v>
      </c>
      <c r="J261" s="620">
        <v>0</v>
      </c>
      <c r="K261" s="620">
        <v>5</v>
      </c>
      <c r="L261" s="620">
        <v>5</v>
      </c>
      <c r="M261" s="620">
        <v>5</v>
      </c>
      <c r="N261" s="784">
        <f t="shared" si="326"/>
        <v>15</v>
      </c>
      <c r="O261" s="759">
        <f t="shared" si="327"/>
        <v>0</v>
      </c>
      <c r="P261" s="760">
        <f t="shared" si="329"/>
        <v>7.5</v>
      </c>
      <c r="Q261" s="760">
        <f t="shared" si="330"/>
        <v>7.5</v>
      </c>
      <c r="R261" s="760">
        <f t="shared" si="331"/>
        <v>7.5</v>
      </c>
      <c r="S261" s="1356">
        <f t="shared" si="328"/>
        <v>22.5</v>
      </c>
      <c r="T261" s="2314">
        <f>IFERROR(INDEX('Annex 2_Code'!I$8:I$33,MATCH('Annex 3_MAFF'!$AG261,'Annex 2_Code'!$G$8:$G$33,0)),"")</f>
        <v>0</v>
      </c>
      <c r="U261" s="2314">
        <f>IFERROR(INDEX('Annex 2_Code'!J$8:J$33,MATCH('Annex 3_MAFF'!$AG261,'Annex 2_Code'!$G$8:$G$33,0)),"")</f>
        <v>0</v>
      </c>
      <c r="V261" s="2314">
        <f>IFERROR(INDEX('Annex 2_Code'!K$8:K$33,MATCH('Annex 3_MAFF'!$AG261,'Annex 2_Code'!$G$8:$G$33,0)),"")</f>
        <v>1</v>
      </c>
      <c r="W261" s="2314">
        <f>IFERROR(INDEX('Annex 2_Code'!L$8:L$33,MATCH('Annex 3_MAFF'!$AG261,'Annex 2_Code'!$G$8:$G$33,0)),"")</f>
        <v>0</v>
      </c>
      <c r="X261" s="2314">
        <f>IFERROR(INDEX('Annex 2_Code'!M$8:M$33,MATCH('Annex 3_MAFF'!$AG261,'Annex 2_Code'!$G$8:$G$33,0)),"")</f>
        <v>0</v>
      </c>
      <c r="Y261" s="1745">
        <f t="shared" si="332"/>
        <v>0</v>
      </c>
      <c r="Z261" s="807">
        <f t="shared" si="333"/>
        <v>0</v>
      </c>
      <c r="AA261" s="807">
        <f t="shared" si="334"/>
        <v>22.5</v>
      </c>
      <c r="AB261" s="807">
        <f t="shared" si="335"/>
        <v>0</v>
      </c>
      <c r="AC261" s="808">
        <f t="shared" si="336"/>
        <v>0</v>
      </c>
      <c r="AD261" s="764">
        <f t="shared" si="337"/>
        <v>22.5</v>
      </c>
      <c r="AE261" s="764">
        <f t="shared" si="338"/>
        <v>0</v>
      </c>
      <c r="AF261" s="605" t="s">
        <v>301</v>
      </c>
      <c r="AG261" s="605" t="s">
        <v>201</v>
      </c>
      <c r="AH261" s="605" t="s">
        <v>372</v>
      </c>
      <c r="AI261" s="605" t="str">
        <f t="shared" si="310"/>
        <v>MAFF</v>
      </c>
      <c r="AJ261" s="683"/>
    </row>
    <row r="262" spans="1:36" s="1568" customFormat="1" ht="42" customHeight="1" outlineLevel="1">
      <c r="A262" s="1567"/>
      <c r="B262" s="669" t="s">
        <v>1451</v>
      </c>
      <c r="C262" s="669" t="s">
        <v>33</v>
      </c>
      <c r="D262" s="701"/>
      <c r="E262" s="307" t="s">
        <v>519</v>
      </c>
      <c r="F262" s="615"/>
      <c r="G262" s="2313" t="s">
        <v>885</v>
      </c>
      <c r="H262" s="811" t="s">
        <v>1537</v>
      </c>
      <c r="I262" s="794">
        <v>1.5</v>
      </c>
      <c r="J262" s="620">
        <v>1</v>
      </c>
      <c r="K262" s="620">
        <v>2</v>
      </c>
      <c r="L262" s="620">
        <v>2</v>
      </c>
      <c r="M262" s="620">
        <v>2</v>
      </c>
      <c r="N262" s="784">
        <f t="shared" si="326"/>
        <v>7</v>
      </c>
      <c r="O262" s="759">
        <f t="shared" si="327"/>
        <v>1.5</v>
      </c>
      <c r="P262" s="760">
        <f t="shared" si="329"/>
        <v>3</v>
      </c>
      <c r="Q262" s="760">
        <f t="shared" si="330"/>
        <v>3</v>
      </c>
      <c r="R262" s="760">
        <f t="shared" si="331"/>
        <v>3</v>
      </c>
      <c r="S262" s="1356">
        <f t="shared" si="328"/>
        <v>10.5</v>
      </c>
      <c r="T262" s="2314">
        <f>IFERROR(INDEX('Annex 2_Code'!I$8:I$33,MATCH('Annex 3_MAFF'!$AG262,'Annex 2_Code'!$G$8:$G$33,0)),"")</f>
        <v>0</v>
      </c>
      <c r="U262" s="2314">
        <f>IFERROR(INDEX('Annex 2_Code'!J$8:J$33,MATCH('Annex 3_MAFF'!$AG262,'Annex 2_Code'!$G$8:$G$33,0)),"")</f>
        <v>0</v>
      </c>
      <c r="V262" s="2314">
        <f>IFERROR(INDEX('Annex 2_Code'!K$8:K$33,MATCH('Annex 3_MAFF'!$AG262,'Annex 2_Code'!$G$8:$G$33,0)),"")</f>
        <v>1</v>
      </c>
      <c r="W262" s="2314">
        <f>IFERROR(INDEX('Annex 2_Code'!L$8:L$33,MATCH('Annex 3_MAFF'!$AG262,'Annex 2_Code'!$G$8:$G$33,0)),"")</f>
        <v>0</v>
      </c>
      <c r="X262" s="2314">
        <f>IFERROR(INDEX('Annex 2_Code'!M$8:M$33,MATCH('Annex 3_MAFF'!$AG262,'Annex 2_Code'!$G$8:$G$33,0)),"")</f>
        <v>0</v>
      </c>
      <c r="Y262" s="1745">
        <f t="shared" si="332"/>
        <v>0</v>
      </c>
      <c r="Z262" s="807">
        <f t="shared" si="333"/>
        <v>0</v>
      </c>
      <c r="AA262" s="807">
        <f t="shared" si="334"/>
        <v>10.5</v>
      </c>
      <c r="AB262" s="807">
        <f t="shared" si="335"/>
        <v>0</v>
      </c>
      <c r="AC262" s="808">
        <f t="shared" si="336"/>
        <v>0</v>
      </c>
      <c r="AD262" s="764">
        <f t="shared" si="337"/>
        <v>10.5</v>
      </c>
      <c r="AE262" s="764">
        <f t="shared" si="338"/>
        <v>0</v>
      </c>
      <c r="AF262" s="605" t="s">
        <v>301</v>
      </c>
      <c r="AG262" s="605" t="s">
        <v>201</v>
      </c>
      <c r="AH262" s="605" t="s">
        <v>372</v>
      </c>
      <c r="AI262" s="605" t="str">
        <f t="shared" si="310"/>
        <v>MAFF</v>
      </c>
      <c r="AJ262" s="683"/>
    </row>
    <row r="263" spans="1:36" s="1378" customFormat="1" ht="42" customHeight="1" outlineLevel="1">
      <c r="A263" s="1380"/>
      <c r="B263" s="669" t="s">
        <v>1451</v>
      </c>
      <c r="C263" s="669" t="s">
        <v>33</v>
      </c>
      <c r="D263" s="701"/>
      <c r="E263" s="307" t="s">
        <v>889</v>
      </c>
      <c r="F263" s="615"/>
      <c r="G263" s="2313" t="s">
        <v>886</v>
      </c>
      <c r="H263" s="811" t="s">
        <v>1537</v>
      </c>
      <c r="I263" s="794">
        <v>1.5</v>
      </c>
      <c r="J263" s="620">
        <v>1</v>
      </c>
      <c r="K263" s="620">
        <v>2</v>
      </c>
      <c r="L263" s="620">
        <v>2</v>
      </c>
      <c r="M263" s="620">
        <v>2</v>
      </c>
      <c r="N263" s="784">
        <f t="shared" si="326"/>
        <v>7</v>
      </c>
      <c r="O263" s="759">
        <f t="shared" si="327"/>
        <v>1.5</v>
      </c>
      <c r="P263" s="760">
        <f t="shared" si="329"/>
        <v>3</v>
      </c>
      <c r="Q263" s="760">
        <f t="shared" si="330"/>
        <v>3</v>
      </c>
      <c r="R263" s="760">
        <f t="shared" si="331"/>
        <v>3</v>
      </c>
      <c r="S263" s="1356">
        <f t="shared" si="328"/>
        <v>10.5</v>
      </c>
      <c r="T263" s="2314">
        <f>IFERROR(INDEX('Annex 2_Code'!I$8:I$33,MATCH('Annex 3_MAFF'!$AG263,'Annex 2_Code'!$G$8:$G$33,0)),"")</f>
        <v>0</v>
      </c>
      <c r="U263" s="2314">
        <f>IFERROR(INDEX('Annex 2_Code'!J$8:J$33,MATCH('Annex 3_MAFF'!$AG263,'Annex 2_Code'!$G$8:$G$33,0)),"")</f>
        <v>0</v>
      </c>
      <c r="V263" s="2314">
        <f>IFERROR(INDEX('Annex 2_Code'!K$8:K$33,MATCH('Annex 3_MAFF'!$AG263,'Annex 2_Code'!$G$8:$G$33,0)),"")</f>
        <v>1</v>
      </c>
      <c r="W263" s="2314">
        <f>IFERROR(INDEX('Annex 2_Code'!L$8:L$33,MATCH('Annex 3_MAFF'!$AG263,'Annex 2_Code'!$G$8:$G$33,0)),"")</f>
        <v>0</v>
      </c>
      <c r="X263" s="2314">
        <f>IFERROR(INDEX('Annex 2_Code'!M$8:M$33,MATCH('Annex 3_MAFF'!$AG263,'Annex 2_Code'!$G$8:$G$33,0)),"")</f>
        <v>0</v>
      </c>
      <c r="Y263" s="1745">
        <f t="shared" si="332"/>
        <v>0</v>
      </c>
      <c r="Z263" s="807">
        <f t="shared" si="333"/>
        <v>0</v>
      </c>
      <c r="AA263" s="807">
        <f t="shared" si="334"/>
        <v>10.5</v>
      </c>
      <c r="AB263" s="807">
        <f t="shared" si="335"/>
        <v>0</v>
      </c>
      <c r="AC263" s="808">
        <f t="shared" si="336"/>
        <v>0</v>
      </c>
      <c r="AD263" s="764">
        <f t="shared" si="337"/>
        <v>10.5</v>
      </c>
      <c r="AE263" s="764">
        <f t="shared" si="338"/>
        <v>0</v>
      </c>
      <c r="AF263" s="605" t="s">
        <v>301</v>
      </c>
      <c r="AG263" s="605" t="s">
        <v>201</v>
      </c>
      <c r="AH263" s="605" t="s">
        <v>372</v>
      </c>
      <c r="AI263" s="605" t="str">
        <f t="shared" si="310"/>
        <v>MAFF</v>
      </c>
      <c r="AJ263" s="683"/>
    </row>
    <row r="264" spans="1:36" s="1568" customFormat="1" ht="42" customHeight="1" outlineLevel="1">
      <c r="A264" s="1567"/>
      <c r="B264" s="669" t="s">
        <v>1451</v>
      </c>
      <c r="C264" s="669" t="s">
        <v>33</v>
      </c>
      <c r="D264" s="701"/>
      <c r="E264" s="307" t="s">
        <v>890</v>
      </c>
      <c r="F264" s="615"/>
      <c r="G264" s="2313" t="s">
        <v>887</v>
      </c>
      <c r="H264" s="811" t="s">
        <v>1537</v>
      </c>
      <c r="I264" s="794">
        <v>1.5</v>
      </c>
      <c r="J264" s="620">
        <v>1</v>
      </c>
      <c r="K264" s="620">
        <v>2</v>
      </c>
      <c r="L264" s="620">
        <v>2</v>
      </c>
      <c r="M264" s="620">
        <v>2</v>
      </c>
      <c r="N264" s="784">
        <f t="shared" si="326"/>
        <v>7</v>
      </c>
      <c r="O264" s="759">
        <f>($I264*J264)</f>
        <v>1.5</v>
      </c>
      <c r="P264" s="760">
        <f t="shared" si="329"/>
        <v>3</v>
      </c>
      <c r="Q264" s="760">
        <f t="shared" si="330"/>
        <v>3</v>
      </c>
      <c r="R264" s="760">
        <f t="shared" si="331"/>
        <v>3</v>
      </c>
      <c r="S264" s="1356">
        <f t="shared" si="328"/>
        <v>10.5</v>
      </c>
      <c r="T264" s="2314">
        <f>IFERROR(INDEX('Annex 2_Code'!I$8:I$33,MATCH('Annex 3_MAFF'!$AG264,'Annex 2_Code'!$G$8:$G$33,0)),"")</f>
        <v>0</v>
      </c>
      <c r="U264" s="2314">
        <f>IFERROR(INDEX('Annex 2_Code'!J$8:J$33,MATCH('Annex 3_MAFF'!$AG264,'Annex 2_Code'!$G$8:$G$33,0)),"")</f>
        <v>0</v>
      </c>
      <c r="V264" s="2314">
        <f>IFERROR(INDEX('Annex 2_Code'!K$8:K$33,MATCH('Annex 3_MAFF'!$AG264,'Annex 2_Code'!$G$8:$G$33,0)),"")</f>
        <v>1</v>
      </c>
      <c r="W264" s="2314">
        <f>IFERROR(INDEX('Annex 2_Code'!L$8:L$33,MATCH('Annex 3_MAFF'!$AG264,'Annex 2_Code'!$G$8:$G$33,0)),"")</f>
        <v>0</v>
      </c>
      <c r="X264" s="2314">
        <f>IFERROR(INDEX('Annex 2_Code'!M$8:M$33,MATCH('Annex 3_MAFF'!$AG264,'Annex 2_Code'!$G$8:$G$33,0)),"")</f>
        <v>0</v>
      </c>
      <c r="Y264" s="1745">
        <f t="shared" si="332"/>
        <v>0</v>
      </c>
      <c r="Z264" s="807">
        <f t="shared" si="333"/>
        <v>0</v>
      </c>
      <c r="AA264" s="807">
        <f t="shared" si="334"/>
        <v>10.5</v>
      </c>
      <c r="AB264" s="807">
        <f t="shared" si="335"/>
        <v>0</v>
      </c>
      <c r="AC264" s="808">
        <f t="shared" si="336"/>
        <v>0</v>
      </c>
      <c r="AD264" s="764">
        <f t="shared" si="337"/>
        <v>10.5</v>
      </c>
      <c r="AE264" s="764">
        <f t="shared" si="338"/>
        <v>0</v>
      </c>
      <c r="AF264" s="605" t="s">
        <v>301</v>
      </c>
      <c r="AG264" s="605" t="s">
        <v>201</v>
      </c>
      <c r="AH264" s="605" t="s">
        <v>372</v>
      </c>
      <c r="AI264" s="605" t="str">
        <f t="shared" si="310"/>
        <v>MAFF</v>
      </c>
      <c r="AJ264" s="683"/>
    </row>
    <row r="265" spans="1:36" s="1939" customFormat="1" ht="42" customHeight="1" outlineLevel="1">
      <c r="A265" s="1930"/>
      <c r="B265" s="669" t="s">
        <v>1451</v>
      </c>
      <c r="C265" s="669" t="s">
        <v>33</v>
      </c>
      <c r="D265" s="701"/>
      <c r="E265" s="307" t="s">
        <v>891</v>
      </c>
      <c r="F265" s="615"/>
      <c r="G265" s="2313" t="s">
        <v>1249</v>
      </c>
      <c r="H265" s="811" t="s">
        <v>1537</v>
      </c>
      <c r="I265" s="794">
        <v>1.5</v>
      </c>
      <c r="J265" s="620">
        <v>0</v>
      </c>
      <c r="K265" s="620">
        <v>6</v>
      </c>
      <c r="L265" s="620">
        <v>4</v>
      </c>
      <c r="M265" s="620">
        <v>0</v>
      </c>
      <c r="N265" s="784">
        <f t="shared" si="326"/>
        <v>10</v>
      </c>
      <c r="O265" s="759">
        <f>($I265*J265)</f>
        <v>0</v>
      </c>
      <c r="P265" s="760">
        <f t="shared" si="329"/>
        <v>9</v>
      </c>
      <c r="Q265" s="760">
        <f t="shared" si="330"/>
        <v>6</v>
      </c>
      <c r="R265" s="760">
        <f t="shared" si="331"/>
        <v>0</v>
      </c>
      <c r="S265" s="1356">
        <f t="shared" si="328"/>
        <v>15</v>
      </c>
      <c r="T265" s="2314">
        <f>IFERROR(INDEX('Annex 2_Code'!I$8:I$33,MATCH('Annex 3_MAFF'!$AG265,'Annex 2_Code'!$G$8:$G$33,0)),"")</f>
        <v>0</v>
      </c>
      <c r="U265" s="2314">
        <f>IFERROR(INDEX('Annex 2_Code'!J$8:J$33,MATCH('Annex 3_MAFF'!$AG265,'Annex 2_Code'!$G$8:$G$33,0)),"")</f>
        <v>0</v>
      </c>
      <c r="V265" s="2314">
        <f>IFERROR(INDEX('Annex 2_Code'!K$8:K$33,MATCH('Annex 3_MAFF'!$AG265,'Annex 2_Code'!$G$8:$G$33,0)),"")</f>
        <v>1</v>
      </c>
      <c r="W265" s="2314">
        <f>IFERROR(INDEX('Annex 2_Code'!L$8:L$33,MATCH('Annex 3_MAFF'!$AG265,'Annex 2_Code'!$G$8:$G$33,0)),"")</f>
        <v>0</v>
      </c>
      <c r="X265" s="2314">
        <f>IFERROR(INDEX('Annex 2_Code'!M$8:M$33,MATCH('Annex 3_MAFF'!$AG265,'Annex 2_Code'!$G$8:$G$33,0)),"")</f>
        <v>0</v>
      </c>
      <c r="Y265" s="1745">
        <f t="shared" ref="Y265:Y266" si="339">IFERROR($S265*T265,"")</f>
        <v>0</v>
      </c>
      <c r="Z265" s="807">
        <f t="shared" ref="Z265:Z266" si="340">IFERROR($S265*U265,"")</f>
        <v>0</v>
      </c>
      <c r="AA265" s="807">
        <f t="shared" ref="AA265:AA266" si="341">IFERROR($S265*V265,"")</f>
        <v>15</v>
      </c>
      <c r="AB265" s="807">
        <f t="shared" ref="AB265:AB266" si="342">IFERROR($S265*W265,"")</f>
        <v>0</v>
      </c>
      <c r="AC265" s="808">
        <f t="shared" ref="AC265:AC266" si="343">IFERROR($S265*X265,"")</f>
        <v>0</v>
      </c>
      <c r="AD265" s="764">
        <f t="shared" ref="AD265:AD266" si="344">SUM(Y265:AC265)</f>
        <v>15</v>
      </c>
      <c r="AE265" s="764">
        <f t="shared" ref="AE265:AE266" si="345">AD265-S265</f>
        <v>0</v>
      </c>
      <c r="AF265" s="605" t="s">
        <v>301</v>
      </c>
      <c r="AG265" s="605" t="s">
        <v>201</v>
      </c>
      <c r="AH265" s="605" t="s">
        <v>372</v>
      </c>
      <c r="AI265" s="605" t="str">
        <f t="shared" ref="AI265:AI266" si="346">IF(ISNUMBER(FIND("-",AH265,1))=FALSE,LEFT(AH265,LEN(AH265)),LEFT(AH265,(FIND("-",AH265,1))-1))</f>
        <v>MAFF</v>
      </c>
      <c r="AJ265" s="683"/>
    </row>
    <row r="266" spans="1:36" s="1939" customFormat="1" ht="42" customHeight="1" outlineLevel="1">
      <c r="A266" s="1930"/>
      <c r="B266" s="669" t="s">
        <v>1451</v>
      </c>
      <c r="C266" s="669" t="s">
        <v>33</v>
      </c>
      <c r="D266" s="701"/>
      <c r="E266" s="307" t="s">
        <v>892</v>
      </c>
      <c r="F266" s="615"/>
      <c r="G266" s="2313" t="s">
        <v>1254</v>
      </c>
      <c r="H266" s="811" t="s">
        <v>1537</v>
      </c>
      <c r="I266" s="794">
        <v>1.5</v>
      </c>
      <c r="J266" s="620">
        <v>0</v>
      </c>
      <c r="K266" s="620">
        <v>0</v>
      </c>
      <c r="L266" s="620">
        <v>0</v>
      </c>
      <c r="M266" s="620">
        <v>0</v>
      </c>
      <c r="N266" s="784">
        <f t="shared" si="326"/>
        <v>0</v>
      </c>
      <c r="O266" s="759">
        <f>($I266*J266)</f>
        <v>0</v>
      </c>
      <c r="P266" s="760">
        <f t="shared" si="329"/>
        <v>0</v>
      </c>
      <c r="Q266" s="760">
        <f t="shared" si="330"/>
        <v>0</v>
      </c>
      <c r="R266" s="760">
        <f t="shared" si="331"/>
        <v>0</v>
      </c>
      <c r="S266" s="1356">
        <f t="shared" si="328"/>
        <v>0</v>
      </c>
      <c r="T266" s="2314">
        <f>IFERROR(INDEX('Annex 2_Code'!I$8:I$33,MATCH('Annex 3_MAFF'!$AG266,'Annex 2_Code'!$G$8:$G$33,0)),"")</f>
        <v>0</v>
      </c>
      <c r="U266" s="2314">
        <f>IFERROR(INDEX('Annex 2_Code'!J$8:J$33,MATCH('Annex 3_MAFF'!$AG266,'Annex 2_Code'!$G$8:$G$33,0)),"")</f>
        <v>0</v>
      </c>
      <c r="V266" s="2314">
        <f>IFERROR(INDEX('Annex 2_Code'!K$8:K$33,MATCH('Annex 3_MAFF'!$AG266,'Annex 2_Code'!$G$8:$G$33,0)),"")</f>
        <v>1</v>
      </c>
      <c r="W266" s="2314">
        <f>IFERROR(INDEX('Annex 2_Code'!L$8:L$33,MATCH('Annex 3_MAFF'!$AG266,'Annex 2_Code'!$G$8:$G$33,0)),"")</f>
        <v>0</v>
      </c>
      <c r="X266" s="2314">
        <f>IFERROR(INDEX('Annex 2_Code'!M$8:M$33,MATCH('Annex 3_MAFF'!$AG266,'Annex 2_Code'!$G$8:$G$33,0)),"")</f>
        <v>0</v>
      </c>
      <c r="Y266" s="1745">
        <f t="shared" si="339"/>
        <v>0</v>
      </c>
      <c r="Z266" s="807">
        <f t="shared" si="340"/>
        <v>0</v>
      </c>
      <c r="AA266" s="807">
        <f t="shared" si="341"/>
        <v>0</v>
      </c>
      <c r="AB266" s="807">
        <f t="shared" si="342"/>
        <v>0</v>
      </c>
      <c r="AC266" s="808">
        <f t="shared" si="343"/>
        <v>0</v>
      </c>
      <c r="AD266" s="764">
        <f t="shared" si="344"/>
        <v>0</v>
      </c>
      <c r="AE266" s="764">
        <f t="shared" si="345"/>
        <v>0</v>
      </c>
      <c r="AF266" s="605" t="s">
        <v>301</v>
      </c>
      <c r="AG266" s="605" t="s">
        <v>201</v>
      </c>
      <c r="AH266" s="605" t="s">
        <v>372</v>
      </c>
      <c r="AI266" s="605" t="str">
        <f t="shared" si="346"/>
        <v>MAFF</v>
      </c>
      <c r="AJ266" s="683"/>
    </row>
    <row r="267" spans="1:36" s="1568" customFormat="1" ht="39.75" customHeight="1" outlineLevel="1">
      <c r="A267" s="1569"/>
      <c r="B267" s="669" t="s">
        <v>1451</v>
      </c>
      <c r="C267" s="669" t="s">
        <v>33</v>
      </c>
      <c r="D267" s="701"/>
      <c r="E267" s="307" t="s">
        <v>893</v>
      </c>
      <c r="F267" s="649"/>
      <c r="G267" s="1452" t="s">
        <v>1563</v>
      </c>
      <c r="H267" s="811" t="s">
        <v>1537</v>
      </c>
      <c r="I267" s="794">
        <v>2.5</v>
      </c>
      <c r="J267" s="620">
        <v>0</v>
      </c>
      <c r="K267" s="620">
        <v>0</v>
      </c>
      <c r="L267" s="620">
        <v>2</v>
      </c>
      <c r="M267" s="620">
        <v>2</v>
      </c>
      <c r="N267" s="784">
        <f t="shared" si="326"/>
        <v>4</v>
      </c>
      <c r="O267" s="759">
        <f t="shared" si="327"/>
        <v>0</v>
      </c>
      <c r="P267" s="760">
        <f t="shared" si="329"/>
        <v>0</v>
      </c>
      <c r="Q267" s="760">
        <f t="shared" si="330"/>
        <v>5</v>
      </c>
      <c r="R267" s="760">
        <f t="shared" si="331"/>
        <v>5</v>
      </c>
      <c r="S267" s="1356">
        <f t="shared" si="328"/>
        <v>10</v>
      </c>
      <c r="T267" s="2314">
        <f>IFERROR(INDEX('Annex 2_Code'!I$8:I$33,MATCH('Annex 3_MAFF'!$AG267,'Annex 2_Code'!$G$8:$G$33,0)),"")</f>
        <v>0</v>
      </c>
      <c r="U267" s="2314">
        <f>IFERROR(INDEX('Annex 2_Code'!J$8:J$33,MATCH('Annex 3_MAFF'!$AG267,'Annex 2_Code'!$G$8:$G$33,0)),"")</f>
        <v>0</v>
      </c>
      <c r="V267" s="2314">
        <f>IFERROR(INDEX('Annex 2_Code'!K$8:K$33,MATCH('Annex 3_MAFF'!$AG267,'Annex 2_Code'!$G$8:$G$33,0)),"")</f>
        <v>1</v>
      </c>
      <c r="W267" s="2314">
        <f>IFERROR(INDEX('Annex 2_Code'!L$8:L$33,MATCH('Annex 3_MAFF'!$AG267,'Annex 2_Code'!$G$8:$G$33,0)),"")</f>
        <v>0</v>
      </c>
      <c r="X267" s="2314">
        <f>IFERROR(INDEX('Annex 2_Code'!M$8:M$33,MATCH('Annex 3_MAFF'!$AG267,'Annex 2_Code'!$G$8:$G$33,0)),"")</f>
        <v>0</v>
      </c>
      <c r="Y267" s="1745">
        <f t="shared" si="332"/>
        <v>0</v>
      </c>
      <c r="Z267" s="807">
        <f t="shared" si="333"/>
        <v>0</v>
      </c>
      <c r="AA267" s="807">
        <f t="shared" si="334"/>
        <v>10</v>
      </c>
      <c r="AB267" s="807">
        <f t="shared" si="335"/>
        <v>0</v>
      </c>
      <c r="AC267" s="808">
        <f t="shared" si="336"/>
        <v>0</v>
      </c>
      <c r="AD267" s="764">
        <f t="shared" si="337"/>
        <v>10</v>
      </c>
      <c r="AE267" s="764">
        <f t="shared" si="338"/>
        <v>0</v>
      </c>
      <c r="AF267" s="605" t="s">
        <v>301</v>
      </c>
      <c r="AG267" s="605" t="s">
        <v>201</v>
      </c>
      <c r="AH267" s="605" t="s">
        <v>372</v>
      </c>
      <c r="AI267" s="605" t="str">
        <f t="shared" si="310"/>
        <v>MAFF</v>
      </c>
      <c r="AJ267" s="683"/>
    </row>
    <row r="268" spans="1:36" s="607" customFormat="1" ht="46.5" outlineLevel="1">
      <c r="A268" s="587"/>
      <c r="B268" s="669" t="s">
        <v>1451</v>
      </c>
      <c r="C268" s="669" t="s">
        <v>33</v>
      </c>
      <c r="D268" s="701"/>
      <c r="E268" s="307" t="s">
        <v>1255</v>
      </c>
      <c r="F268" s="615"/>
      <c r="G268" s="2313" t="s">
        <v>1243</v>
      </c>
      <c r="H268" s="811" t="s">
        <v>595</v>
      </c>
      <c r="I268" s="794">
        <v>8</v>
      </c>
      <c r="J268" s="620">
        <v>1</v>
      </c>
      <c r="K268" s="620">
        <v>1</v>
      </c>
      <c r="L268" s="620"/>
      <c r="M268" s="620"/>
      <c r="N268" s="784">
        <f t="shared" si="326"/>
        <v>2</v>
      </c>
      <c r="O268" s="759">
        <f t="shared" si="327"/>
        <v>8</v>
      </c>
      <c r="P268" s="760">
        <f t="shared" si="327"/>
        <v>8</v>
      </c>
      <c r="Q268" s="760">
        <f t="shared" si="327"/>
        <v>0</v>
      </c>
      <c r="R268" s="760">
        <f t="shared" si="327"/>
        <v>0</v>
      </c>
      <c r="S268" s="1356">
        <f t="shared" si="328"/>
        <v>16</v>
      </c>
      <c r="T268" s="2314">
        <f>IFERROR(INDEX('Annex 2_Code'!I$8:I$33,MATCH('Annex 3_MAFF'!$AG268,'Annex 2_Code'!$G$8:$G$33,0)),"")</f>
        <v>0</v>
      </c>
      <c r="U268" s="2314">
        <f>IFERROR(INDEX('Annex 2_Code'!J$8:J$33,MATCH('Annex 3_MAFF'!$AG268,'Annex 2_Code'!$G$8:$G$33,0)),"")</f>
        <v>0</v>
      </c>
      <c r="V268" s="2314">
        <f>IFERROR(INDEX('Annex 2_Code'!K$8:K$33,MATCH('Annex 3_MAFF'!$AG268,'Annex 2_Code'!$G$8:$G$33,0)),"")</f>
        <v>1</v>
      </c>
      <c r="W268" s="2314">
        <f>IFERROR(INDEX('Annex 2_Code'!L$8:L$33,MATCH('Annex 3_MAFF'!$AG268,'Annex 2_Code'!$G$8:$G$33,0)),"")</f>
        <v>0</v>
      </c>
      <c r="X268" s="2314">
        <f>IFERROR(INDEX('Annex 2_Code'!M$8:M$33,MATCH('Annex 3_MAFF'!$AG268,'Annex 2_Code'!$G$8:$G$33,0)),"")</f>
        <v>0</v>
      </c>
      <c r="Y268" s="1745">
        <f t="shared" si="319"/>
        <v>0</v>
      </c>
      <c r="Z268" s="807">
        <f t="shared" si="320"/>
        <v>0</v>
      </c>
      <c r="AA268" s="807">
        <f t="shared" si="321"/>
        <v>16</v>
      </c>
      <c r="AB268" s="807">
        <f t="shared" si="322"/>
        <v>0</v>
      </c>
      <c r="AC268" s="808">
        <f t="shared" si="323"/>
        <v>0</v>
      </c>
      <c r="AD268" s="764">
        <f t="shared" si="324"/>
        <v>16</v>
      </c>
      <c r="AE268" s="764">
        <f t="shared" si="325"/>
        <v>0</v>
      </c>
      <c r="AF268" s="605" t="s">
        <v>301</v>
      </c>
      <c r="AG268" s="605" t="s">
        <v>201</v>
      </c>
      <c r="AH268" s="605" t="str">
        <f>IFERROR(INDEX('[5]Annex 2'!$J$110:$J$122,MATCH('[5]Annex 3 (''MEF)'!AF279,'[5]Annex 2'!$G$110:$G$122,0)),"")</f>
        <v>MAFF-GDA</v>
      </c>
      <c r="AI268" s="646" t="str">
        <f t="shared" si="310"/>
        <v>MAFF</v>
      </c>
      <c r="AJ268" s="683" t="s">
        <v>456</v>
      </c>
    </row>
    <row r="269" spans="1:36" s="607" customFormat="1" ht="55.5" customHeight="1" outlineLevel="1">
      <c r="A269" s="587"/>
      <c r="B269" s="669" t="s">
        <v>1451</v>
      </c>
      <c r="C269" s="669" t="s">
        <v>33</v>
      </c>
      <c r="D269" s="701"/>
      <c r="E269" s="307" t="s">
        <v>1256</v>
      </c>
      <c r="F269" s="615"/>
      <c r="G269" s="2313" t="s">
        <v>1241</v>
      </c>
      <c r="H269" s="811" t="s">
        <v>1537</v>
      </c>
      <c r="I269" s="794">
        <v>8</v>
      </c>
      <c r="J269" s="620">
        <v>0</v>
      </c>
      <c r="K269" s="620">
        <v>1</v>
      </c>
      <c r="L269" s="620">
        <v>1</v>
      </c>
      <c r="M269" s="620">
        <v>0</v>
      </c>
      <c r="N269" s="784">
        <f t="shared" si="326"/>
        <v>2</v>
      </c>
      <c r="O269" s="759">
        <f t="shared" si="327"/>
        <v>0</v>
      </c>
      <c r="P269" s="760">
        <f t="shared" si="327"/>
        <v>8</v>
      </c>
      <c r="Q269" s="760">
        <f t="shared" si="327"/>
        <v>8</v>
      </c>
      <c r="R269" s="760">
        <f t="shared" si="327"/>
        <v>0</v>
      </c>
      <c r="S269" s="1356">
        <f t="shared" si="328"/>
        <v>16</v>
      </c>
      <c r="T269" s="2314">
        <f>IFERROR(INDEX('Annex 2_Code'!I$8:I$33,MATCH('Annex 3_MAFF'!$AG269,'Annex 2_Code'!$G$8:$G$33,0)),"")</f>
        <v>0</v>
      </c>
      <c r="U269" s="2314">
        <f>IFERROR(INDEX('Annex 2_Code'!J$8:J$33,MATCH('Annex 3_MAFF'!$AG269,'Annex 2_Code'!$G$8:$G$33,0)),"")</f>
        <v>0</v>
      </c>
      <c r="V269" s="2314">
        <f>IFERROR(INDEX('Annex 2_Code'!K$8:K$33,MATCH('Annex 3_MAFF'!$AG269,'Annex 2_Code'!$G$8:$G$33,0)),"")</f>
        <v>1</v>
      </c>
      <c r="W269" s="2314">
        <f>IFERROR(INDEX('Annex 2_Code'!L$8:L$33,MATCH('Annex 3_MAFF'!$AG269,'Annex 2_Code'!$G$8:$G$33,0)),"")</f>
        <v>0</v>
      </c>
      <c r="X269" s="2314">
        <f>IFERROR(INDEX('Annex 2_Code'!M$8:M$33,MATCH('Annex 3_MAFF'!$AG269,'Annex 2_Code'!$G$8:$G$33,0)),"")</f>
        <v>0</v>
      </c>
      <c r="Y269" s="1745">
        <f t="shared" si="319"/>
        <v>0</v>
      </c>
      <c r="Z269" s="807">
        <f t="shared" si="320"/>
        <v>0</v>
      </c>
      <c r="AA269" s="807">
        <f t="shared" si="321"/>
        <v>16</v>
      </c>
      <c r="AB269" s="807">
        <f t="shared" si="322"/>
        <v>0</v>
      </c>
      <c r="AC269" s="808">
        <f t="shared" si="323"/>
        <v>0</v>
      </c>
      <c r="AD269" s="764">
        <f t="shared" si="324"/>
        <v>16</v>
      </c>
      <c r="AE269" s="764">
        <f t="shared" si="325"/>
        <v>0</v>
      </c>
      <c r="AF269" s="605" t="s">
        <v>301</v>
      </c>
      <c r="AG269" s="605" t="s">
        <v>201</v>
      </c>
      <c r="AH269" s="605" t="s">
        <v>13</v>
      </c>
      <c r="AI269" s="646" t="str">
        <f t="shared" si="310"/>
        <v>MAFF</v>
      </c>
      <c r="AJ269" s="683" t="s">
        <v>456</v>
      </c>
    </row>
    <row r="270" spans="1:36" s="607" customFormat="1" ht="24.75" customHeight="1" outlineLevel="1">
      <c r="A270" s="587"/>
      <c r="B270" s="669"/>
      <c r="C270" s="659"/>
      <c r="D270" s="1767"/>
      <c r="E270" s="1810" t="s">
        <v>798</v>
      </c>
      <c r="F270" s="1768"/>
      <c r="G270" s="1769" t="s">
        <v>1090</v>
      </c>
      <c r="H270" s="1351"/>
      <c r="I270" s="1352"/>
      <c r="J270" s="1353"/>
      <c r="K270" s="1353"/>
      <c r="L270" s="1353"/>
      <c r="M270" s="1353"/>
      <c r="N270" s="650"/>
      <c r="O270" s="1354"/>
      <c r="P270" s="1355"/>
      <c r="Q270" s="1355"/>
      <c r="R270" s="1355"/>
      <c r="S270" s="1356"/>
      <c r="T270" s="793" t="str">
        <f>IFERROR(INDEX('Annex 2_Code'!I$8:I$33,MATCH('Annex 3_MAFF'!$AG270,'Annex 2_Code'!$G$8:$G$33,0)),"")</f>
        <v/>
      </c>
      <c r="U270" s="793" t="str">
        <f>IFERROR(INDEX('Annex 2_Code'!J$8:J$33,MATCH('Annex 3_MAFF'!$AG270,'Annex 2_Code'!$G$8:$G$33,0)),"")</f>
        <v/>
      </c>
      <c r="V270" s="793" t="str">
        <f>IFERROR(INDEX('Annex 2_Code'!K$8:K$33,MATCH('Annex 3_MAFF'!$AG270,'Annex 2_Code'!$G$8:$G$33,0)),"")</f>
        <v/>
      </c>
      <c r="W270" s="793" t="str">
        <f>IFERROR(INDEX('Annex 2_Code'!L$8:L$33,MATCH('Annex 3_MAFF'!$AG270,'Annex 2_Code'!$G$8:$G$33,0)),"")</f>
        <v/>
      </c>
      <c r="X270" s="793" t="str">
        <f>IFERROR(INDEX('Annex 2_Code'!M$8:M$33,MATCH('Annex 3_MAFF'!$AG270,'Annex 2_Code'!$G$8:$G$33,0)),"")</f>
        <v/>
      </c>
      <c r="Y270" s="647" t="str">
        <f>IFERROR($S270*T270,"")</f>
        <v/>
      </c>
      <c r="Z270" s="600" t="str">
        <f>IFERROR($S270*U270,"")</f>
        <v/>
      </c>
      <c r="AA270" s="600" t="str">
        <f>IFERROR($S270*V270,"")</f>
        <v/>
      </c>
      <c r="AB270" s="600" t="str">
        <f>IFERROR($S270*W270,"")</f>
        <v/>
      </c>
      <c r="AC270" s="601" t="str">
        <f>IFERROR($S270*X270,"")</f>
        <v/>
      </c>
      <c r="AD270" s="602">
        <f>SUM(Y270:AC270)</f>
        <v>0</v>
      </c>
      <c r="AE270" s="602">
        <f>AD270-S270</f>
        <v>0</v>
      </c>
      <c r="AF270" s="605"/>
      <c r="AG270" s="605"/>
      <c r="AH270" s="605"/>
      <c r="AI270" s="624"/>
    </row>
    <row r="271" spans="1:36" s="607" customFormat="1" ht="63" customHeight="1" outlineLevel="1">
      <c r="A271" s="307"/>
      <c r="B271" s="669" t="s">
        <v>1451</v>
      </c>
      <c r="C271" s="669" t="s">
        <v>33</v>
      </c>
      <c r="D271" s="2598" t="s">
        <v>799</v>
      </c>
      <c r="E271" s="2599"/>
      <c r="F271" s="615"/>
      <c r="G271" s="2313" t="s">
        <v>1239</v>
      </c>
      <c r="H271" s="811" t="s">
        <v>1071</v>
      </c>
      <c r="I271" s="794">
        <v>8</v>
      </c>
      <c r="J271" s="620">
        <v>1</v>
      </c>
      <c r="K271" s="620">
        <v>1</v>
      </c>
      <c r="L271" s="620">
        <v>1</v>
      </c>
      <c r="M271" s="620">
        <v>1</v>
      </c>
      <c r="N271" s="784">
        <f t="shared" ref="N271:N272" si="347">SUM(J271:M271)</f>
        <v>4</v>
      </c>
      <c r="O271" s="759">
        <f t="shared" ref="O271:O273" si="348">($I271*J271)</f>
        <v>8</v>
      </c>
      <c r="P271" s="760">
        <f t="shared" ref="P271:P273" si="349">($I271*K271)</f>
        <v>8</v>
      </c>
      <c r="Q271" s="760">
        <f t="shared" ref="Q271:Q273" si="350">($I271*L271)</f>
        <v>8</v>
      </c>
      <c r="R271" s="760">
        <f t="shared" ref="R271:R273" si="351">($I271*M271)</f>
        <v>8</v>
      </c>
      <c r="S271" s="1356">
        <f t="shared" ref="S271:S273" si="352">SUM(O271:R271)</f>
        <v>32</v>
      </c>
      <c r="T271" s="2314">
        <f>IFERROR(INDEX('Annex 2_Code'!I$8:I$33,MATCH('Annex 3_MAFF'!$AG271,'Annex 2_Code'!$G$8:$G$33,0)),"")</f>
        <v>0</v>
      </c>
      <c r="U271" s="2314">
        <f>IFERROR(INDEX('Annex 2_Code'!J$8:J$33,MATCH('Annex 3_MAFF'!$AG271,'Annex 2_Code'!$G$8:$G$33,0)),"")</f>
        <v>0</v>
      </c>
      <c r="V271" s="2314">
        <f>IFERROR(INDEX('Annex 2_Code'!K$8:K$33,MATCH('Annex 3_MAFF'!$AG271,'Annex 2_Code'!$G$8:$G$33,0)),"")</f>
        <v>1</v>
      </c>
      <c r="W271" s="2314">
        <f>IFERROR(INDEX('Annex 2_Code'!L$8:L$33,MATCH('Annex 3_MAFF'!$AG271,'Annex 2_Code'!$G$8:$G$33,0)),"")</f>
        <v>0</v>
      </c>
      <c r="X271" s="2314">
        <f>IFERROR(INDEX('Annex 2_Code'!M$8:M$33,MATCH('Annex 3_MAFF'!$AG271,'Annex 2_Code'!$G$8:$G$33,0)),"")</f>
        <v>0</v>
      </c>
      <c r="Y271" s="1745">
        <f t="shared" ref="Y271:Y273" si="353">IFERROR($S271*T271,"")</f>
        <v>0</v>
      </c>
      <c r="Z271" s="807">
        <f t="shared" ref="Z271:Z273" si="354">IFERROR($S271*U271,"")</f>
        <v>0</v>
      </c>
      <c r="AA271" s="807">
        <f t="shared" ref="AA271:AA273" si="355">IFERROR($S271*V271,"")</f>
        <v>32</v>
      </c>
      <c r="AB271" s="807">
        <f t="shared" ref="AB271:AB273" si="356">IFERROR($S271*W271,"")</f>
        <v>0</v>
      </c>
      <c r="AC271" s="808">
        <f t="shared" ref="AC271:AC273" si="357">IFERROR($S271*X271,"")</f>
        <v>0</v>
      </c>
      <c r="AD271" s="764">
        <f t="shared" ref="AD271:AD273" si="358">SUM(Y271:AC271)</f>
        <v>32</v>
      </c>
      <c r="AE271" s="764">
        <f t="shared" ref="AE271:AE273" si="359">AD271-S271</f>
        <v>0</v>
      </c>
      <c r="AF271" s="605" t="s">
        <v>301</v>
      </c>
      <c r="AG271" s="605" t="s">
        <v>201</v>
      </c>
      <c r="AH271" s="605" t="s">
        <v>13</v>
      </c>
      <c r="AI271" s="605" t="str">
        <f t="shared" ref="AI271:AI273" si="360">IF(ISNUMBER(FIND("-",AH271,1))=FALSE,LEFT(AH271,LEN(AH271)),LEFT(AH271,(FIND("-",AH271,1))-1))</f>
        <v>MAFF</v>
      </c>
    </row>
    <row r="272" spans="1:36" s="607" customFormat="1" ht="87" customHeight="1" outlineLevel="1">
      <c r="A272" s="307"/>
      <c r="B272" s="669" t="s">
        <v>1451</v>
      </c>
      <c r="C272" s="669" t="s">
        <v>33</v>
      </c>
      <c r="D272" s="2598" t="s">
        <v>800</v>
      </c>
      <c r="E272" s="2599"/>
      <c r="F272" s="615"/>
      <c r="G272" s="1452" t="s">
        <v>1240</v>
      </c>
      <c r="H272" s="811" t="s">
        <v>1071</v>
      </c>
      <c r="I272" s="794">
        <v>8</v>
      </c>
      <c r="J272" s="620">
        <v>1</v>
      </c>
      <c r="K272" s="620">
        <v>1</v>
      </c>
      <c r="L272" s="620">
        <v>1</v>
      </c>
      <c r="M272" s="620">
        <v>1</v>
      </c>
      <c r="N272" s="784">
        <f t="shared" si="347"/>
        <v>4</v>
      </c>
      <c r="O272" s="759">
        <f t="shared" si="348"/>
        <v>8</v>
      </c>
      <c r="P272" s="760">
        <f t="shared" si="349"/>
        <v>8</v>
      </c>
      <c r="Q272" s="760">
        <f t="shared" si="350"/>
        <v>8</v>
      </c>
      <c r="R272" s="760">
        <f t="shared" si="351"/>
        <v>8</v>
      </c>
      <c r="S272" s="1356">
        <f t="shared" si="352"/>
        <v>32</v>
      </c>
      <c r="T272" s="2314">
        <f>IFERROR(INDEX('Annex 2_Code'!I$8:I$33,MATCH('Annex 3_MAFF'!$AG272,'Annex 2_Code'!$G$8:$G$33,0)),"")</f>
        <v>0</v>
      </c>
      <c r="U272" s="2314">
        <f>IFERROR(INDEX('Annex 2_Code'!J$8:J$33,MATCH('Annex 3_MAFF'!$AG272,'Annex 2_Code'!$G$8:$G$33,0)),"")</f>
        <v>0</v>
      </c>
      <c r="V272" s="2314">
        <f>IFERROR(INDEX('Annex 2_Code'!K$8:K$33,MATCH('Annex 3_MAFF'!$AG272,'Annex 2_Code'!$G$8:$G$33,0)),"")</f>
        <v>1</v>
      </c>
      <c r="W272" s="2314">
        <f>IFERROR(INDEX('Annex 2_Code'!L$8:L$33,MATCH('Annex 3_MAFF'!$AG272,'Annex 2_Code'!$G$8:$G$33,0)),"")</f>
        <v>0</v>
      </c>
      <c r="X272" s="2314">
        <f>IFERROR(INDEX('Annex 2_Code'!M$8:M$33,MATCH('Annex 3_MAFF'!$AG272,'Annex 2_Code'!$G$8:$G$33,0)),"")</f>
        <v>0</v>
      </c>
      <c r="Y272" s="1745">
        <f t="shared" si="353"/>
        <v>0</v>
      </c>
      <c r="Z272" s="807">
        <f t="shared" si="354"/>
        <v>0</v>
      </c>
      <c r="AA272" s="807">
        <f t="shared" si="355"/>
        <v>32</v>
      </c>
      <c r="AB272" s="807">
        <f t="shared" si="356"/>
        <v>0</v>
      </c>
      <c r="AC272" s="808">
        <f t="shared" si="357"/>
        <v>0</v>
      </c>
      <c r="AD272" s="764">
        <f t="shared" si="358"/>
        <v>32</v>
      </c>
      <c r="AE272" s="764">
        <f t="shared" si="359"/>
        <v>0</v>
      </c>
      <c r="AF272" s="605" t="s">
        <v>301</v>
      </c>
      <c r="AG272" s="605" t="s">
        <v>201</v>
      </c>
      <c r="AH272" s="605" t="s">
        <v>13</v>
      </c>
      <c r="AI272" s="605" t="str">
        <f t="shared" si="360"/>
        <v>MAFF</v>
      </c>
    </row>
    <row r="273" spans="1:38" s="607" customFormat="1" ht="42.75" customHeight="1" outlineLevel="1">
      <c r="A273" s="584"/>
      <c r="B273" s="669" t="s">
        <v>1451</v>
      </c>
      <c r="C273" s="669" t="s">
        <v>33</v>
      </c>
      <c r="D273" s="2598" t="s">
        <v>801</v>
      </c>
      <c r="E273" s="2599"/>
      <c r="F273" s="615"/>
      <c r="G273" s="2313" t="s">
        <v>802</v>
      </c>
      <c r="H273" s="811" t="s">
        <v>1564</v>
      </c>
      <c r="I273" s="794">
        <v>0.49</v>
      </c>
      <c r="J273" s="620">
        <v>0</v>
      </c>
      <c r="K273" s="620">
        <v>2</v>
      </c>
      <c r="L273" s="620">
        <v>2</v>
      </c>
      <c r="M273" s="620">
        <v>0</v>
      </c>
      <c r="N273" s="784">
        <f>SUM(J273:M273)</f>
        <v>4</v>
      </c>
      <c r="O273" s="759">
        <f t="shared" si="348"/>
        <v>0</v>
      </c>
      <c r="P273" s="760">
        <f t="shared" si="349"/>
        <v>0.98</v>
      </c>
      <c r="Q273" s="760">
        <f t="shared" si="350"/>
        <v>0.98</v>
      </c>
      <c r="R273" s="760">
        <f t="shared" si="351"/>
        <v>0</v>
      </c>
      <c r="S273" s="1356">
        <f t="shared" si="352"/>
        <v>1.96</v>
      </c>
      <c r="T273" s="2314">
        <f>IFERROR(INDEX('Annex 2_Code'!I$8:I$33,MATCH('Annex 3_MAFF'!$AG273,'Annex 2_Code'!$G$8:$G$33,0)),"")</f>
        <v>0</v>
      </c>
      <c r="U273" s="2314">
        <f>IFERROR(INDEX('Annex 2_Code'!J$8:J$33,MATCH('Annex 3_MAFF'!$AG273,'Annex 2_Code'!$G$8:$G$33,0)),"")</f>
        <v>0</v>
      </c>
      <c r="V273" s="2314">
        <f>IFERROR(INDEX('Annex 2_Code'!K$8:K$33,MATCH('Annex 3_MAFF'!$AG273,'Annex 2_Code'!$G$8:$G$33,0)),"")</f>
        <v>1</v>
      </c>
      <c r="W273" s="2314">
        <f>IFERROR(INDEX('Annex 2_Code'!L$8:L$33,MATCH('Annex 3_MAFF'!$AG273,'Annex 2_Code'!$G$8:$G$33,0)),"")</f>
        <v>0</v>
      </c>
      <c r="X273" s="2314">
        <f>IFERROR(INDEX('Annex 2_Code'!M$8:M$33,MATCH('Annex 3_MAFF'!$AG273,'Annex 2_Code'!$G$8:$G$33,0)),"")</f>
        <v>0</v>
      </c>
      <c r="Y273" s="1745">
        <f t="shared" si="353"/>
        <v>0</v>
      </c>
      <c r="Z273" s="807">
        <f t="shared" si="354"/>
        <v>0</v>
      </c>
      <c r="AA273" s="807">
        <f t="shared" si="355"/>
        <v>1.96</v>
      </c>
      <c r="AB273" s="807">
        <f t="shared" si="356"/>
        <v>0</v>
      </c>
      <c r="AC273" s="808">
        <f t="shared" si="357"/>
        <v>0</v>
      </c>
      <c r="AD273" s="764">
        <f t="shared" si="358"/>
        <v>1.96</v>
      </c>
      <c r="AE273" s="764">
        <f t="shared" si="359"/>
        <v>0</v>
      </c>
      <c r="AF273" s="605" t="s">
        <v>301</v>
      </c>
      <c r="AG273" s="605" t="s">
        <v>201</v>
      </c>
      <c r="AH273" s="605" t="s">
        <v>13</v>
      </c>
      <c r="AI273" s="605" t="str">
        <f t="shared" si="360"/>
        <v>MAFF</v>
      </c>
    </row>
    <row r="274" spans="1:38" s="607" customFormat="1" ht="32.25" customHeight="1">
      <c r="A274" s="587"/>
      <c r="B274" s="669"/>
      <c r="C274" s="669"/>
      <c r="D274" s="704"/>
      <c r="E274" s="591" t="s">
        <v>583</v>
      </c>
      <c r="F274" s="592"/>
      <c r="G274" s="795"/>
      <c r="H274" s="714"/>
      <c r="I274" s="964"/>
      <c r="J274" s="595">
        <f t="shared" ref="J274:R274" si="361">SUM(J250:J273)</f>
        <v>20</v>
      </c>
      <c r="K274" s="595">
        <f t="shared" si="361"/>
        <v>56</v>
      </c>
      <c r="L274" s="595">
        <f t="shared" si="361"/>
        <v>55</v>
      </c>
      <c r="M274" s="595">
        <f t="shared" si="361"/>
        <v>46</v>
      </c>
      <c r="N274" s="758">
        <f t="shared" si="361"/>
        <v>177</v>
      </c>
      <c r="O274" s="797">
        <f t="shared" si="361"/>
        <v>49.5</v>
      </c>
      <c r="P274" s="798">
        <f t="shared" si="361"/>
        <v>107.98</v>
      </c>
      <c r="Q274" s="798">
        <f t="shared" si="361"/>
        <v>101.98</v>
      </c>
      <c r="R274" s="798">
        <f t="shared" si="361"/>
        <v>84</v>
      </c>
      <c r="S274" s="1408">
        <f>SUM(S250:S273)</f>
        <v>343.46</v>
      </c>
      <c r="T274" s="793" t="str">
        <f>IFERROR(INDEX('Annex 2_Code'!I$8:I$33,MATCH('Annex 3_MAFF'!$AG274,'Annex 2_Code'!$G$8:$G$33,0)),"")</f>
        <v/>
      </c>
      <c r="U274" s="793" t="str">
        <f>IFERROR(INDEX('Annex 2_Code'!J$8:J$33,MATCH('Annex 3_MAFF'!$AG274,'Annex 2_Code'!$G$8:$G$33,0)),"")</f>
        <v/>
      </c>
      <c r="V274" s="793" t="str">
        <f>IFERROR(INDEX('Annex 2_Code'!K$8:K$33,MATCH('Annex 3_MAFF'!$AG274,'Annex 2_Code'!$G$8:$G$33,0)),"")</f>
        <v/>
      </c>
      <c r="W274" s="793" t="str">
        <f>IFERROR(INDEX('Annex 2_Code'!L$8:L$33,MATCH('Annex 3_MAFF'!$AG274,'Annex 2_Code'!$G$8:$G$33,0)),"")</f>
        <v/>
      </c>
      <c r="X274" s="793" t="str">
        <f>IFERROR(INDEX('Annex 2_Code'!M$8:M$33,MATCH('Annex 3_MAFF'!$AG274,'Annex 2_Code'!$G$8:$G$33,0)),"")</f>
        <v/>
      </c>
      <c r="Y274" s="647" t="str">
        <f>IFERROR($S274*T274,"")</f>
        <v/>
      </c>
      <c r="Z274" s="600" t="str">
        <f>IFERROR($S274*U274,"")</f>
        <v/>
      </c>
      <c r="AA274" s="600" t="str">
        <f>IFERROR($S274*V274,"")</f>
        <v/>
      </c>
      <c r="AB274" s="600" t="str">
        <f>IFERROR($S274*W274,"")</f>
        <v/>
      </c>
      <c r="AC274" s="601" t="str">
        <f>IFERROR($S274*X274,"")</f>
        <v/>
      </c>
      <c r="AD274" s="602"/>
      <c r="AE274" s="602"/>
      <c r="AF274" s="605"/>
      <c r="AG274" s="605"/>
      <c r="AH274" s="605"/>
      <c r="AI274" s="624"/>
    </row>
    <row r="275" spans="1:38" s="607" customFormat="1" ht="32.25" customHeight="1">
      <c r="A275" s="587"/>
      <c r="B275" s="669"/>
      <c r="C275" s="669"/>
      <c r="D275" s="590" t="s">
        <v>700</v>
      </c>
      <c r="E275" s="591"/>
      <c r="F275" s="592"/>
      <c r="G275" s="795"/>
      <c r="H275" s="973"/>
      <c r="I275" s="964"/>
      <c r="J275" s="775">
        <f t="shared" ref="J275:S275" si="362">SUM(J274,J248,J235)</f>
        <v>41</v>
      </c>
      <c r="K275" s="775">
        <f t="shared" si="362"/>
        <v>185</v>
      </c>
      <c r="L275" s="775">
        <f t="shared" si="362"/>
        <v>160</v>
      </c>
      <c r="M275" s="775">
        <f t="shared" si="362"/>
        <v>129</v>
      </c>
      <c r="N275" s="837">
        <f t="shared" si="362"/>
        <v>515</v>
      </c>
      <c r="O275" s="977">
        <f>SUM(O274,O248,O235)</f>
        <v>181.6</v>
      </c>
      <c r="P275" s="978">
        <f t="shared" si="362"/>
        <v>533.08000000000004</v>
      </c>
      <c r="Q275" s="978">
        <f t="shared" si="362"/>
        <v>402.08000000000004</v>
      </c>
      <c r="R275" s="978">
        <f t="shared" si="362"/>
        <v>264.60000000000002</v>
      </c>
      <c r="S275" s="1408">
        <f t="shared" si="362"/>
        <v>1381.3600000000001</v>
      </c>
      <c r="T275" s="793"/>
      <c r="U275" s="793"/>
      <c r="V275" s="793"/>
      <c r="W275" s="793"/>
      <c r="X275" s="793"/>
      <c r="Y275" s="647"/>
      <c r="Z275" s="600"/>
      <c r="AA275" s="600"/>
      <c r="AB275" s="600"/>
      <c r="AC275" s="601"/>
      <c r="AD275" s="602"/>
      <c r="AE275" s="602">
        <f>AD275-S275</f>
        <v>-1381.3600000000001</v>
      </c>
      <c r="AF275" s="605"/>
      <c r="AG275" s="605"/>
      <c r="AH275" s="605"/>
      <c r="AI275" s="624"/>
    </row>
    <row r="276" spans="1:38" s="607" customFormat="1" ht="43.5" customHeight="1">
      <c r="A276" s="587"/>
      <c r="B276" s="589" t="s">
        <v>54</v>
      </c>
      <c r="C276" s="589"/>
      <c r="D276" s="2597" t="s">
        <v>969</v>
      </c>
      <c r="E276" s="2597"/>
      <c r="F276" s="2597"/>
      <c r="G276" s="2597"/>
      <c r="H276" s="643" t="s">
        <v>12</v>
      </c>
      <c r="I276" s="643"/>
      <c r="J276" s="813"/>
      <c r="K276" s="732"/>
      <c r="L276" s="814"/>
      <c r="M276" s="814"/>
      <c r="N276" s="833"/>
      <c r="O276" s="622"/>
      <c r="P276" s="623"/>
      <c r="Q276" s="623"/>
      <c r="R276" s="623"/>
      <c r="S276" s="1695">
        <f>SUM(O275:R275)</f>
        <v>1381.3600000000001</v>
      </c>
      <c r="T276" s="599"/>
      <c r="U276" s="599"/>
      <c r="V276" s="599"/>
      <c r="W276" s="599"/>
      <c r="X276" s="599"/>
      <c r="Y276" s="647"/>
      <c r="Z276" s="600"/>
      <c r="AA276" s="600">
        <f t="shared" ref="AA276:AA278" si="363">IFERROR($S276*V276,"")</f>
        <v>0</v>
      </c>
      <c r="AB276" s="600"/>
      <c r="AC276" s="601"/>
      <c r="AD276" s="602"/>
      <c r="AE276" s="602"/>
      <c r="AF276" s="605"/>
      <c r="AG276" s="605"/>
      <c r="AH276" s="605"/>
      <c r="AI276" s="624"/>
    </row>
    <row r="277" spans="1:38" s="60" customFormat="1" ht="69.75">
      <c r="A277" s="63"/>
      <c r="B277" s="57" t="s">
        <v>54</v>
      </c>
      <c r="C277" s="58"/>
      <c r="D277" s="1782"/>
      <c r="E277" s="1783" t="s">
        <v>1104</v>
      </c>
      <c r="F277" s="1783"/>
      <c r="G277" s="1786" t="s">
        <v>1283</v>
      </c>
      <c r="H277" s="315"/>
      <c r="I277" s="573"/>
      <c r="J277" s="483"/>
      <c r="K277" s="484"/>
      <c r="L277" s="484"/>
      <c r="M277" s="484"/>
      <c r="N277" s="355"/>
      <c r="O277" s="560"/>
      <c r="P277" s="561"/>
      <c r="Q277" s="561"/>
      <c r="R277" s="561"/>
      <c r="S277" s="1424"/>
      <c r="T277" s="558" t="str">
        <f>IFERROR(INDEX('Annex 2_Code'!I$8:I$33,MATCH('Annex 3_MAFF'!$AG277,'Annex 2_Code'!$G$8:$G$33,0)),"")</f>
        <v/>
      </c>
      <c r="U277" s="558" t="str">
        <f>IFERROR(INDEX('Annex 2_Code'!J$8:J$33,MATCH('Annex 3_MAFF'!$AG277,'Annex 2_Code'!$G$8:$G$33,0)),"")</f>
        <v/>
      </c>
      <c r="V277" s="558" t="str">
        <f>IFERROR(INDEX('Annex 2_Code'!K$8:K$33,MATCH('Annex 3_MAFF'!$AG277,'Annex 2_Code'!$G$8:$G$33,0)),"")</f>
        <v/>
      </c>
      <c r="W277" s="558" t="str">
        <f>IFERROR(INDEX('Annex 2_Code'!L$8:L$33,MATCH('Annex 3_MAFF'!$AG277,'Annex 2_Code'!$G$8:$G$33,0)),"")</f>
        <v/>
      </c>
      <c r="X277" s="558" t="str">
        <f>IFERROR(INDEX('Annex 2_Code'!M$8:M$33,MATCH('Annex 3_MAFF'!$AG277,'Annex 2_Code'!$G$8:$G$33,0)),"")</f>
        <v/>
      </c>
      <c r="Y277" s="1758" t="str">
        <f t="shared" ref="Y277:Z278" si="364">IFERROR($S277*T277,"")</f>
        <v/>
      </c>
      <c r="Z277" s="562" t="str">
        <f t="shared" si="364"/>
        <v/>
      </c>
      <c r="AA277" s="562" t="str">
        <f t="shared" si="363"/>
        <v/>
      </c>
      <c r="AB277" s="562" t="str">
        <f t="shared" ref="AB277:AC278" si="365">IFERROR($S277*W277,"")</f>
        <v/>
      </c>
      <c r="AC277" s="563" t="str">
        <f t="shared" si="365"/>
        <v/>
      </c>
      <c r="AD277" s="559">
        <f>SUM(Y277:AC277)</f>
        <v>0</v>
      </c>
      <c r="AE277" s="602">
        <f t="shared" ref="AE277:AE279" si="366">AD277-S277</f>
        <v>0</v>
      </c>
      <c r="AF277" s="557"/>
      <c r="AG277" s="557"/>
      <c r="AH277" s="557" t="str">
        <f>IFERROR(INDEX('Annex 2_Code'!$J$114:$J$126,MATCH('Annex 3_MAFF'!AF277,'Annex 2_Code'!$G$114:$G$126,0)),"")</f>
        <v/>
      </c>
      <c r="AI277" s="389" t="str">
        <f>IF(ISNUMBER(FIND("-",AH277,1))=FALSE,LEFT(AH277,LEN(AH277)),LEFT(AH277,(FIND("-",AH277,1))-1))</f>
        <v/>
      </c>
      <c r="AK277" s="480"/>
      <c r="AL277" s="480"/>
    </row>
    <row r="278" spans="1:38" s="625" customFormat="1" ht="60.75" outlineLevel="1">
      <c r="A278" s="584"/>
      <c r="B278" s="613" t="s">
        <v>1464</v>
      </c>
      <c r="C278" s="613" t="s">
        <v>129</v>
      </c>
      <c r="D278" s="2155"/>
      <c r="E278" s="751" t="s">
        <v>922</v>
      </c>
      <c r="F278" s="1550"/>
      <c r="G278" s="2156" t="s">
        <v>1422</v>
      </c>
      <c r="H278" s="2157" t="s">
        <v>1</v>
      </c>
      <c r="I278" s="2469">
        <f>(99891.35/1000)</f>
        <v>99.891350000000003</v>
      </c>
      <c r="J278" s="2516">
        <v>0</v>
      </c>
      <c r="K278" s="2517">
        <v>0.3</v>
      </c>
      <c r="L278" s="2517">
        <v>0.6</v>
      </c>
      <c r="M278" s="1551">
        <v>0.1</v>
      </c>
      <c r="N278" s="731">
        <f>SUM(J278:M278)</f>
        <v>0.99999999999999989</v>
      </c>
      <c r="O278" s="1866">
        <f t="shared" ref="O278:R278" si="367">($I278*J278)</f>
        <v>0</v>
      </c>
      <c r="P278" s="1857">
        <f t="shared" si="367"/>
        <v>29.967404999999999</v>
      </c>
      <c r="Q278" s="1857">
        <f t="shared" si="367"/>
        <v>59.934809999999999</v>
      </c>
      <c r="R278" s="1857">
        <f t="shared" si="367"/>
        <v>9.989135000000001</v>
      </c>
      <c r="S278" s="1425">
        <f>SUM(O278:R278)</f>
        <v>99.891350000000003</v>
      </c>
      <c r="T278" s="719">
        <f>IFERROR(INDEX('Annex 2_Code'!I$8:I$33,MATCH('Annex 3_MAFF'!$AG278,'Annex 2_Code'!$G$8:$G$33,0)),"")</f>
        <v>1</v>
      </c>
      <c r="U278" s="719">
        <f>IFERROR(INDEX('Annex 2_Code'!J$8:J$33,MATCH('Annex 3_MAFF'!$AG278,'Annex 2_Code'!$G$8:$G$33,0)),"")</f>
        <v>0</v>
      </c>
      <c r="V278" s="719">
        <f>IFERROR(INDEX('Annex 2_Code'!K$8:K$33,MATCH('Annex 3_MAFF'!$AG278,'Annex 2_Code'!$G$8:$G$33,0)),"")</f>
        <v>0</v>
      </c>
      <c r="W278" s="719">
        <f>IFERROR(INDEX('Annex 2_Code'!L$8:L$33,MATCH('Annex 3_MAFF'!$AG278,'Annex 2_Code'!$G$8:$G$33,0)),"")</f>
        <v>0</v>
      </c>
      <c r="X278" s="719">
        <f>IFERROR(INDEX('Annex 2_Code'!M$8:M$33,MATCH('Annex 3_MAFF'!$AG278,'Annex 2_Code'!$G$8:$G$33,0)),"")</f>
        <v>0</v>
      </c>
      <c r="Y278" s="1760">
        <f t="shared" si="364"/>
        <v>99.891350000000003</v>
      </c>
      <c r="Z278" s="1761">
        <f t="shared" si="364"/>
        <v>0</v>
      </c>
      <c r="AA278" s="1761">
        <f t="shared" si="363"/>
        <v>0</v>
      </c>
      <c r="AB278" s="1761">
        <f t="shared" si="365"/>
        <v>0</v>
      </c>
      <c r="AC278" s="1762">
        <f t="shared" si="365"/>
        <v>0</v>
      </c>
      <c r="AD278" s="1749">
        <f>SUM(Y278:AC278)</f>
        <v>99.891350000000003</v>
      </c>
      <c r="AE278" s="1749">
        <f t="shared" si="366"/>
        <v>0</v>
      </c>
      <c r="AF278" s="605" t="s">
        <v>303</v>
      </c>
      <c r="AG278" s="605" t="s">
        <v>185</v>
      </c>
      <c r="AH278" s="605" t="str">
        <f>IFERROR(INDEX('Annex 2_Code'!$J$114:$J$126,MATCH('Annex 3_MAFF'!AF278,'Annex 2_Code'!$G$114:$G$126,0)),"")</f>
        <v>MAFF-GDA</v>
      </c>
      <c r="AI278" s="646" t="str">
        <f>IF(ISNUMBER(FIND("-",AH278,1))=FALSE,LEFT(AH278,LEN(AH278)),LEFT(AH278,(FIND("-",AH278,1))-1))</f>
        <v>MAFF</v>
      </c>
      <c r="AJ278" s="1520"/>
    </row>
    <row r="279" spans="1:38" s="625" customFormat="1" ht="23.25">
      <c r="A279" s="587"/>
      <c r="B279" s="659" t="s">
        <v>54</v>
      </c>
      <c r="C279" s="669"/>
      <c r="D279" s="691"/>
      <c r="E279" s="692" t="s">
        <v>583</v>
      </c>
      <c r="F279" s="967"/>
      <c r="G279" s="703"/>
      <c r="H279" s="968"/>
      <c r="I279" s="969"/>
      <c r="J279" s="970">
        <f>SUM(J278)</f>
        <v>0</v>
      </c>
      <c r="K279" s="696">
        <f>SUM(K278)</f>
        <v>0.3</v>
      </c>
      <c r="L279" s="696">
        <f>SUM(L278)</f>
        <v>0.6</v>
      </c>
      <c r="M279" s="696">
        <f>SUM(M278)</f>
        <v>0.1</v>
      </c>
      <c r="N279" s="971">
        <f>SUM(J279:M279)</f>
        <v>0.99999999999999989</v>
      </c>
      <c r="O279" s="1516">
        <f>SUM(O278:O278)</f>
        <v>0</v>
      </c>
      <c r="P279" s="1515">
        <f>SUM(P278:P278)</f>
        <v>29.967404999999999</v>
      </c>
      <c r="Q279" s="1515">
        <f>SUM(Q278:Q278)</f>
        <v>59.934809999999999</v>
      </c>
      <c r="R279" s="1515">
        <f>SUM(R278:R278)</f>
        <v>9.989135000000001</v>
      </c>
      <c r="S279" s="1426">
        <f>SUM(S278:S278)</f>
        <v>99.891350000000003</v>
      </c>
      <c r="T279" s="599"/>
      <c r="U279" s="599"/>
      <c r="V279" s="599"/>
      <c r="W279" s="599"/>
      <c r="X279" s="802"/>
      <c r="Y279" s="1747"/>
      <c r="Z279" s="1747"/>
      <c r="AA279" s="1747"/>
      <c r="AB279" s="1747"/>
      <c r="AC279" s="1748"/>
      <c r="AD279" s="634"/>
      <c r="AE279" s="602">
        <f t="shared" si="366"/>
        <v>-99.891350000000003</v>
      </c>
      <c r="AF279" s="635"/>
      <c r="AG279" s="635"/>
      <c r="AH279" s="605"/>
      <c r="AI279" s="636"/>
    </row>
    <row r="280" spans="1:38" s="625" customFormat="1" ht="51.75" customHeight="1">
      <c r="A280" s="587"/>
      <c r="B280" s="659"/>
      <c r="C280" s="613"/>
      <c r="D280" s="1784" t="s">
        <v>12</v>
      </c>
      <c r="E280" s="1785" t="s">
        <v>1105</v>
      </c>
      <c r="F280" s="1785"/>
      <c r="G280" s="1787" t="s">
        <v>1284</v>
      </c>
      <c r="H280" s="652"/>
      <c r="I280" s="653"/>
      <c r="J280" s="654"/>
      <c r="K280" s="655"/>
      <c r="L280" s="620"/>
      <c r="M280" s="620"/>
      <c r="N280" s="621" t="s">
        <v>12</v>
      </c>
      <c r="O280" s="622"/>
      <c r="P280" s="623"/>
      <c r="Q280" s="623"/>
      <c r="R280" s="715"/>
      <c r="S280" s="1695">
        <f>SUM(O279:R279)</f>
        <v>99.891350000000003</v>
      </c>
      <c r="T280" s="599" t="str">
        <f>IFERROR(INDEX('Annex 2_Code'!I$8:I$33,MATCH('Annex 3_MAFF'!$AG280,'Annex 2_Code'!$G$8:$G$33,0)),"")</f>
        <v/>
      </c>
      <c r="U280" s="599" t="str">
        <f>IFERROR(INDEX('Annex 2_Code'!J$8:J$33,MATCH('Annex 3_MAFF'!$AG280,'Annex 2_Code'!$G$8:$G$33,0)),"")</f>
        <v/>
      </c>
      <c r="V280" s="599" t="str">
        <f>IFERROR(INDEX('Annex 2_Code'!K$8:K$33,MATCH('Annex 3_MAFF'!$AG280,'Annex 2_Code'!$G$8:$G$33,0)),"")</f>
        <v/>
      </c>
      <c r="W280" s="599" t="str">
        <f>IFERROR(INDEX('Annex 2_Code'!L$8:L$33,MATCH('Annex 3_MAFF'!$AG280,'Annex 2_Code'!$G$8:$G$33,0)),"")</f>
        <v/>
      </c>
      <c r="X280" s="599" t="str">
        <f>IFERROR(INDEX('Annex 2_Code'!M$8:M$33,MATCH('Annex 3_MAFF'!$AG280,'Annex 2_Code'!$G$8:$G$33,0)),"")</f>
        <v/>
      </c>
      <c r="Y280" s="647" t="str">
        <f t="shared" ref="Y280:AC281" si="368">IFERROR($S280*T280,"")</f>
        <v/>
      </c>
      <c r="Z280" s="600" t="str">
        <f t="shared" si="368"/>
        <v/>
      </c>
      <c r="AA280" s="600" t="str">
        <f t="shared" si="368"/>
        <v/>
      </c>
      <c r="AB280" s="600" t="str">
        <f t="shared" si="368"/>
        <v/>
      </c>
      <c r="AC280" s="601" t="str">
        <f t="shared" si="368"/>
        <v/>
      </c>
      <c r="AD280" s="602">
        <f>SUM(Y280:AC280)</f>
        <v>0</v>
      </c>
      <c r="AE280" s="1342"/>
      <c r="AF280" s="605"/>
      <c r="AG280" s="605"/>
      <c r="AH280" s="605" t="str">
        <f>IFERROR(INDEX('Annex 2_Code'!$J$114:$J$126,MATCH('Annex 3_MAFF'!AF280,'Annex 2_Code'!$G$114:$G$126,0)),"")</f>
        <v/>
      </c>
      <c r="AI280" s="636" t="str">
        <f t="shared" ref="AI280:AI283" si="369">IF(ISNUMBER(FIND("-",AH280,1))=FALSE,LEFT(AH280,LEN(AH280)),LEFT(AH280,(FIND("-",AH280,1))-1))</f>
        <v/>
      </c>
    </row>
    <row r="281" spans="1:38" s="625" customFormat="1" ht="70.5" customHeight="1" outlineLevel="1">
      <c r="A281" s="725"/>
      <c r="B281" s="613" t="s">
        <v>1464</v>
      </c>
      <c r="C281" s="613" t="s">
        <v>237</v>
      </c>
      <c r="D281" s="701"/>
      <c r="E281" s="882" t="s">
        <v>923</v>
      </c>
      <c r="F281" s="1909"/>
      <c r="G281" s="2158" t="s">
        <v>1423</v>
      </c>
      <c r="H281" s="2157" t="s">
        <v>1</v>
      </c>
      <c r="I281" s="1544">
        <f>(99686.48/1000)</f>
        <v>99.686479999999989</v>
      </c>
      <c r="J281" s="2516">
        <v>0</v>
      </c>
      <c r="K281" s="2517">
        <v>0.3</v>
      </c>
      <c r="L281" s="2517">
        <v>0.6</v>
      </c>
      <c r="M281" s="1551">
        <v>0.1</v>
      </c>
      <c r="N281" s="1867">
        <f>SUM(J281:M281)</f>
        <v>0.99999999999999989</v>
      </c>
      <c r="O281" s="1868">
        <f>($I281*J281)</f>
        <v>0</v>
      </c>
      <c r="P281" s="1869">
        <f>($I281*K281)</f>
        <v>29.905943999999995</v>
      </c>
      <c r="Q281" s="1869">
        <f>($I281*L281)</f>
        <v>59.811887999999989</v>
      </c>
      <c r="R281" s="767">
        <f>($I281*M281)</f>
        <v>9.968648</v>
      </c>
      <c r="S281" s="1425">
        <f>SUM(O281:R281)</f>
        <v>99.686479999999989</v>
      </c>
      <c r="T281" s="719">
        <f>IFERROR(INDEX('Annex 2_Code'!I$8:I$33,MATCH('Annex 3_MAFF'!$AG281,'Annex 2_Code'!$G$8:$G$33,0)),"")</f>
        <v>1</v>
      </c>
      <c r="U281" s="719">
        <f>IFERROR(INDEX('Annex 2_Code'!J$8:J$33,MATCH('Annex 3_MAFF'!$AG281,'Annex 2_Code'!$G$8:$G$33,0)),"")</f>
        <v>0</v>
      </c>
      <c r="V281" s="719">
        <f>IFERROR(INDEX('Annex 2_Code'!K$8:K$33,MATCH('Annex 3_MAFF'!$AG281,'Annex 2_Code'!$G$8:$G$33,0)),"")</f>
        <v>0</v>
      </c>
      <c r="W281" s="719">
        <f>IFERROR(INDEX('Annex 2_Code'!L$8:L$33,MATCH('Annex 3_MAFF'!$AG281,'Annex 2_Code'!$G$8:$G$33,0)),"")</f>
        <v>0</v>
      </c>
      <c r="X281" s="719">
        <f>IFERROR(INDEX('Annex 2_Code'!M$8:M$33,MATCH('Annex 3_MAFF'!$AG281,'Annex 2_Code'!$G$8:$G$33,0)),"")</f>
        <v>0</v>
      </c>
      <c r="Y281" s="1760">
        <f t="shared" si="368"/>
        <v>99.686479999999989</v>
      </c>
      <c r="Z281" s="1761">
        <f t="shared" si="368"/>
        <v>0</v>
      </c>
      <c r="AA281" s="1761">
        <f t="shared" si="368"/>
        <v>0</v>
      </c>
      <c r="AB281" s="1761">
        <f t="shared" si="368"/>
        <v>0</v>
      </c>
      <c r="AC281" s="1762">
        <f t="shared" si="368"/>
        <v>0</v>
      </c>
      <c r="AD281" s="1749">
        <f>SUM(Y281:AC281)</f>
        <v>99.686479999999989</v>
      </c>
      <c r="AE281" s="1749">
        <f>AD281-S281</f>
        <v>0</v>
      </c>
      <c r="AF281" s="605" t="s">
        <v>303</v>
      </c>
      <c r="AG281" s="605" t="s">
        <v>185</v>
      </c>
      <c r="AH281" s="605" t="str">
        <f>IFERROR(INDEX('Annex 2_Code'!$J$114:$J$126,MATCH('Annex 3_MAFF'!AF281,'Annex 2_Code'!$G$114:$G$126,0)),"")</f>
        <v>MAFF-GDA</v>
      </c>
      <c r="AI281" s="646" t="str">
        <f t="shared" si="369"/>
        <v>MAFF</v>
      </c>
    </row>
    <row r="282" spans="1:38" s="625" customFormat="1" ht="20.25" customHeight="1">
      <c r="A282" s="587"/>
      <c r="B282" s="659"/>
      <c r="C282" s="669"/>
      <c r="D282" s="590"/>
      <c r="E282" s="660"/>
      <c r="F282" s="591" t="s">
        <v>583</v>
      </c>
      <c r="G282" s="1517"/>
      <c r="H282" s="678"/>
      <c r="I282" s="661"/>
      <c r="J282" s="594">
        <f>SUM(J281)</f>
        <v>0</v>
      </c>
      <c r="K282" s="595">
        <f>SUM(K281)</f>
        <v>0.3</v>
      </c>
      <c r="L282" s="595">
        <f>SUM(L281)</f>
        <v>0.6</v>
      </c>
      <c r="M282" s="595">
        <f>SUM(M281)</f>
        <v>0.1</v>
      </c>
      <c r="N282" s="596">
        <f>SUM(J282:M282)</f>
        <v>0.99999999999999989</v>
      </c>
      <c r="O282" s="597">
        <f>SUM(O281:O281)</f>
        <v>0</v>
      </c>
      <c r="P282" s="1450">
        <f>SUM(P281:P281)</f>
        <v>29.905943999999995</v>
      </c>
      <c r="Q282" s="1450">
        <f>SUM(Q281:Q281)</f>
        <v>59.811887999999989</v>
      </c>
      <c r="R282" s="1450">
        <f>SUM(R281:R281)</f>
        <v>9.968648</v>
      </c>
      <c r="S282" s="1410">
        <f>SUM(S281:S281)</f>
        <v>99.686479999999989</v>
      </c>
      <c r="T282" s="599"/>
      <c r="U282" s="599"/>
      <c r="V282" s="599"/>
      <c r="W282" s="599"/>
      <c r="X282" s="599"/>
      <c r="Y282" s="647"/>
      <c r="Z282" s="600"/>
      <c r="AA282" s="600"/>
      <c r="AB282" s="600"/>
      <c r="AC282" s="601"/>
      <c r="AD282" s="602"/>
      <c r="AE282" s="602">
        <f>S282-AD282</f>
        <v>99.686479999999989</v>
      </c>
      <c r="AF282" s="605"/>
      <c r="AG282" s="605"/>
      <c r="AH282" s="605" t="str">
        <f>IFERROR(INDEX('Annex 2_Code'!$J$114:$J$126,MATCH('Annex 3_MAFF'!AF282,'Annex 2_Code'!$G$114:$G$126,0)),"")</f>
        <v/>
      </c>
      <c r="AI282" s="636" t="str">
        <f t="shared" si="369"/>
        <v/>
      </c>
    </row>
    <row r="283" spans="1:38" s="625" customFormat="1" ht="23.25" customHeight="1">
      <c r="A283" s="587"/>
      <c r="B283" s="659"/>
      <c r="C283" s="669"/>
      <c r="D283" s="1766"/>
      <c r="E283" s="1624" t="s">
        <v>636</v>
      </c>
      <c r="F283" s="1773"/>
      <c r="G283" s="1804" t="s">
        <v>1285</v>
      </c>
      <c r="H283" s="617"/>
      <c r="I283" s="618"/>
      <c r="J283" s="619"/>
      <c r="K283" s="620"/>
      <c r="L283" s="620"/>
      <c r="M283" s="620"/>
      <c r="N283" s="621"/>
      <c r="O283" s="657"/>
      <c r="P283" s="623"/>
      <c r="Q283" s="623"/>
      <c r="R283" s="715"/>
      <c r="S283" s="1695">
        <f>SUM(O282:R282)</f>
        <v>99.686479999999989</v>
      </c>
      <c r="T283" s="599"/>
      <c r="U283" s="599"/>
      <c r="V283" s="599"/>
      <c r="W283" s="599"/>
      <c r="X283" s="599"/>
      <c r="Y283" s="647"/>
      <c r="Z283" s="600"/>
      <c r="AA283" s="600"/>
      <c r="AB283" s="600"/>
      <c r="AC283" s="601"/>
      <c r="AD283" s="602"/>
      <c r="AE283" s="602"/>
      <c r="AF283" s="605"/>
      <c r="AG283" s="605"/>
      <c r="AH283" s="605" t="str">
        <f>IFERROR(INDEX('Annex 2_Code'!$J$114:$J$126,MATCH('Annex 3_MAFF'!AF283,'Annex 2_Code'!$G$114:$G$126,0)),"")</f>
        <v/>
      </c>
      <c r="AI283" s="636" t="str">
        <f t="shared" si="369"/>
        <v/>
      </c>
    </row>
    <row r="284" spans="1:38" s="625" customFormat="1" ht="42" customHeight="1" outlineLevel="1">
      <c r="A284" s="587"/>
      <c r="B284" s="613" t="s">
        <v>1464</v>
      </c>
      <c r="C284" s="613" t="s">
        <v>237</v>
      </c>
      <c r="D284" s="701"/>
      <c r="E284" s="307" t="s">
        <v>638</v>
      </c>
      <c r="F284" s="2320"/>
      <c r="G284" s="2159" t="s">
        <v>1287</v>
      </c>
      <c r="H284" s="2160" t="s">
        <v>1286</v>
      </c>
      <c r="I284" s="727">
        <f>(634076/1000)</f>
        <v>634.07600000000002</v>
      </c>
      <c r="J284" s="619">
        <v>0</v>
      </c>
      <c r="K284" s="620">
        <v>0</v>
      </c>
      <c r="L284" s="620">
        <v>0.9</v>
      </c>
      <c r="M284" s="620">
        <v>0.1</v>
      </c>
      <c r="N284" s="731">
        <f t="shared" ref="N284" si="370">SUM(J284:M284)</f>
        <v>1</v>
      </c>
      <c r="O284" s="657">
        <f t="shared" ref="O284" si="371">($I284*J284)</f>
        <v>0</v>
      </c>
      <c r="P284" s="623">
        <f t="shared" ref="P284" si="372">($I284*K284)</f>
        <v>0</v>
      </c>
      <c r="Q284" s="623">
        <f t="shared" ref="Q284" si="373">($I284*L284)</f>
        <v>570.66840000000002</v>
      </c>
      <c r="R284" s="623">
        <f>($I284*M284)</f>
        <v>63.407600000000002</v>
      </c>
      <c r="S284" s="1425">
        <f t="shared" ref="S284" si="374">SUM(O284:R284)</f>
        <v>634.07600000000002</v>
      </c>
      <c r="T284" s="599">
        <f>IFERROR(INDEX('Annex 2_Code'!I$8:I$33,MATCH('Annex 3_MAFF'!$AG284,'Annex 2_Code'!$G$8:$G$33,0)),"")</f>
        <v>1</v>
      </c>
      <c r="U284" s="599">
        <f>IFERROR(INDEX('Annex 2_Code'!J$8:J$33,MATCH('Annex 3_MAFF'!$AG284,'Annex 2_Code'!$G$8:$G$33,0)),"")</f>
        <v>0</v>
      </c>
      <c r="V284" s="599">
        <f>IFERROR(INDEX('Annex 2_Code'!K$8:K$33,MATCH('Annex 3_MAFF'!$AG284,'Annex 2_Code'!$G$8:$G$33,0)),"")</f>
        <v>0</v>
      </c>
      <c r="W284" s="599">
        <f>IFERROR(INDEX('Annex 2_Code'!L$8:L$33,MATCH('Annex 3_MAFF'!$AG284,'Annex 2_Code'!$G$8:$G$33,0)),"")</f>
        <v>0</v>
      </c>
      <c r="X284" s="599">
        <f>IFERROR(INDEX('Annex 2_Code'!M$8:M$33,MATCH('Annex 3_MAFF'!$AG284,'Annex 2_Code'!$G$8:$G$33,0)),"")</f>
        <v>0</v>
      </c>
      <c r="Y284" s="647">
        <f t="shared" ref="Y284" si="375">IFERROR($S284*T284,"")</f>
        <v>634.07600000000002</v>
      </c>
      <c r="Z284" s="600">
        <f t="shared" ref="Z284" si="376">IFERROR($S284*U284,"")</f>
        <v>0</v>
      </c>
      <c r="AA284" s="600">
        <f t="shared" ref="AA284" si="377">IFERROR($S284*V284,"")</f>
        <v>0</v>
      </c>
      <c r="AB284" s="600">
        <f t="shared" ref="AB284" si="378">IFERROR($S284*W284,"")</f>
        <v>0</v>
      </c>
      <c r="AC284" s="601">
        <f t="shared" ref="AC284" si="379">IFERROR($S284*X284,"")</f>
        <v>0</v>
      </c>
      <c r="AD284" s="602">
        <f t="shared" ref="AD284" si="380">SUM(Y284:AC284)</f>
        <v>634.07600000000002</v>
      </c>
      <c r="AE284" s="602">
        <f t="shared" ref="AE284" si="381">AD284-S284</f>
        <v>0</v>
      </c>
      <c r="AF284" s="605" t="s">
        <v>303</v>
      </c>
      <c r="AG284" s="605" t="s">
        <v>185</v>
      </c>
      <c r="AH284" s="605" t="str">
        <f>IFERROR(INDEX('Annex 2_Code'!$J$114:$J$126,MATCH('Annex 3_MAFF'!AF284,'Annex 2_Code'!$G$114:$G$126,0)),"")</f>
        <v>MAFF-GDA</v>
      </c>
      <c r="AI284" s="646" t="str">
        <f t="shared" ref="AI284" si="382">IF(ISNUMBER(FIND("-",AH284,1))=FALSE,LEFT(AH284,LEN(AH284)),LEFT(AH284,(FIND("-",AH284,1))-1))</f>
        <v>MAFF</v>
      </c>
      <c r="AJ284" s="637" t="s">
        <v>452</v>
      </c>
    </row>
    <row r="285" spans="1:38" s="607" customFormat="1" ht="23.25">
      <c r="A285" s="240"/>
      <c r="B285" s="588" t="s">
        <v>54</v>
      </c>
      <c r="C285" s="710"/>
      <c r="D285" s="590"/>
      <c r="E285" s="591" t="s">
        <v>583</v>
      </c>
      <c r="F285" s="592"/>
      <c r="G285" s="577"/>
      <c r="H285" s="663"/>
      <c r="I285" s="661"/>
      <c r="J285" s="594">
        <f t="shared" ref="J285:S285" si="383">SUM(J284:J284)</f>
        <v>0</v>
      </c>
      <c r="K285" s="595">
        <f t="shared" si="383"/>
        <v>0</v>
      </c>
      <c r="L285" s="595">
        <f t="shared" si="383"/>
        <v>0.9</v>
      </c>
      <c r="M285" s="595">
        <f t="shared" si="383"/>
        <v>0.1</v>
      </c>
      <c r="N285" s="596">
        <f t="shared" si="383"/>
        <v>1</v>
      </c>
      <c r="O285" s="664">
        <f t="shared" si="383"/>
        <v>0</v>
      </c>
      <c r="P285" s="665">
        <f t="shared" si="383"/>
        <v>0</v>
      </c>
      <c r="Q285" s="665">
        <f t="shared" si="383"/>
        <v>570.66840000000002</v>
      </c>
      <c r="R285" s="665">
        <f t="shared" si="383"/>
        <v>63.407600000000002</v>
      </c>
      <c r="S285" s="1408">
        <f t="shared" si="383"/>
        <v>634.07600000000002</v>
      </c>
      <c r="T285" s="599" t="str">
        <f>IFERROR(INDEX('Annex 2_Code'!I$8:I$33,MATCH('Annex 3_MAFF'!$AG285,'Annex 2_Code'!$G$8:$G$33,0)),"")</f>
        <v/>
      </c>
      <c r="U285" s="599" t="str">
        <f>IFERROR(INDEX('Annex 2_Code'!J$8:J$33,MATCH('Annex 3_MAFF'!$AG285,'Annex 2_Code'!$G$8:$G$33,0)),"")</f>
        <v/>
      </c>
      <c r="V285" s="599" t="str">
        <f>IFERROR(INDEX('Annex 2_Code'!K$8:K$33,MATCH('Annex 3_MAFF'!$AG285,'Annex 2_Code'!$G$8:$G$33,0)),"")</f>
        <v/>
      </c>
      <c r="W285" s="599" t="str">
        <f>IFERROR(INDEX('Annex 2_Code'!L$8:L$33,MATCH('Annex 3_MAFF'!$AG285,'Annex 2_Code'!$G$8:$G$33,0)),"")</f>
        <v/>
      </c>
      <c r="X285" s="599" t="str">
        <f>IFERROR(INDEX('Annex 2_Code'!M$8:M$33,MATCH('Annex 3_MAFF'!$AG285,'Annex 2_Code'!$G$8:$G$33,0)),"")</f>
        <v/>
      </c>
      <c r="Y285" s="1399"/>
      <c r="Z285" s="666"/>
      <c r="AA285" s="666" t="str">
        <f t="shared" ref="AA285:AA293" si="384">IFERROR($S285*V285,"")</f>
        <v/>
      </c>
      <c r="AB285" s="666"/>
      <c r="AC285" s="667"/>
      <c r="AD285" s="634">
        <f>SUM(Y285:AC285)</f>
        <v>0</v>
      </c>
      <c r="AE285" s="634">
        <f>AD285-S285</f>
        <v>-634.07600000000002</v>
      </c>
      <c r="AF285" s="604"/>
      <c r="AG285" s="604"/>
      <c r="AH285" s="604"/>
      <c r="AI285" s="606"/>
    </row>
    <row r="286" spans="1:38" s="607" customFormat="1" ht="51.75" customHeight="1">
      <c r="A286" s="587"/>
      <c r="B286" s="588"/>
      <c r="C286" s="710"/>
      <c r="D286" s="1765"/>
      <c r="E286" s="1805" t="s">
        <v>637</v>
      </c>
      <c r="F286" s="1780"/>
      <c r="G286" s="1781" t="s">
        <v>1103</v>
      </c>
      <c r="H286" s="790"/>
      <c r="I286" s="789"/>
      <c r="J286" s="655"/>
      <c r="K286" s="655"/>
      <c r="L286" s="655"/>
      <c r="M286" s="655"/>
      <c r="N286" s="791"/>
      <c r="O286" s="759"/>
      <c r="P286" s="760"/>
      <c r="Q286" s="760"/>
      <c r="R286" s="792"/>
      <c r="S286" s="1695">
        <f>SUM(O285:R285)</f>
        <v>634.07600000000002</v>
      </c>
      <c r="T286" s="793" t="str">
        <f>IFERROR(INDEX('Annex 2_Code'!I$8:I$33,MATCH('Annex 3_MAFF'!$AG286,'Annex 2_Code'!$G$8:$G$33,0)),"")</f>
        <v/>
      </c>
      <c r="U286" s="793" t="str">
        <f>IFERROR(INDEX('Annex 2_Code'!J$8:J$33,MATCH('Annex 3_MAFF'!$AG286,'Annex 2_Code'!$G$8:$G$33,0)),"")</f>
        <v/>
      </c>
      <c r="V286" s="793" t="str">
        <f>IFERROR(INDEX('Annex 2_Code'!K$8:K$33,MATCH('Annex 3_MAFF'!$AG286,'Annex 2_Code'!$G$8:$G$33,0)),"")</f>
        <v/>
      </c>
      <c r="W286" s="793" t="str">
        <f>IFERROR(INDEX('Annex 2_Code'!L$8:L$33,MATCH('Annex 3_MAFF'!$AG286,'Annex 2_Code'!$G$8:$G$33,0)),"")</f>
        <v/>
      </c>
      <c r="X286" s="793" t="str">
        <f>IFERROR(INDEX('Annex 2_Code'!M$8:M$33,MATCH('Annex 3_MAFF'!$AG286,'Annex 2_Code'!$G$8:$G$33,0)),"")</f>
        <v/>
      </c>
      <c r="Y286" s="1399" t="str">
        <f t="shared" ref="Y286:Y293" si="385">IFERROR($S286*T286,"")</f>
        <v/>
      </c>
      <c r="Z286" s="666" t="str">
        <f t="shared" ref="Z286:Z293" si="386">IFERROR($S286*U286,"")</f>
        <v/>
      </c>
      <c r="AA286" s="600" t="str">
        <f t="shared" si="384"/>
        <v/>
      </c>
      <c r="AB286" s="666" t="str">
        <f t="shared" ref="AB286:AB293" si="387">IFERROR($S286*W286,"")</f>
        <v/>
      </c>
      <c r="AC286" s="667" t="str">
        <f t="shared" ref="AC286:AC293" si="388">IFERROR($S286*X286,"")</f>
        <v/>
      </c>
      <c r="AD286" s="602">
        <f t="shared" ref="AD286:AD293" si="389">SUM(Y286:AC286)</f>
        <v>0</v>
      </c>
      <c r="AE286" s="602">
        <f t="shared" ref="AE286:AE293" si="390">AD286-S286</f>
        <v>-634.07600000000002</v>
      </c>
      <c r="AF286" s="605"/>
      <c r="AG286" s="605"/>
      <c r="AH286" s="605"/>
      <c r="AI286" s="624"/>
    </row>
    <row r="287" spans="1:38" s="1363" customFormat="1" ht="37.5" outlineLevel="1">
      <c r="A287" s="1357"/>
      <c r="B287" s="669" t="s">
        <v>1451</v>
      </c>
      <c r="C287" s="669" t="s">
        <v>33</v>
      </c>
      <c r="D287" s="644"/>
      <c r="E287" s="587" t="s">
        <v>767</v>
      </c>
      <c r="F287" s="649"/>
      <c r="G287" s="785" t="s">
        <v>1565</v>
      </c>
      <c r="H287" s="2321" t="s">
        <v>1566</v>
      </c>
      <c r="I287" s="794">
        <v>1.5</v>
      </c>
      <c r="J287" s="620">
        <v>2</v>
      </c>
      <c r="K287" s="620">
        <v>4</v>
      </c>
      <c r="L287" s="620">
        <v>4</v>
      </c>
      <c r="M287" s="620">
        <v>4</v>
      </c>
      <c r="N287" s="784">
        <f t="shared" ref="N287:N293" si="391">SUM(J287:M287)</f>
        <v>14</v>
      </c>
      <c r="O287" s="759">
        <f t="shared" ref="O287:R293" si="392">($I287*J287)</f>
        <v>3</v>
      </c>
      <c r="P287" s="760">
        <f t="shared" si="392"/>
        <v>6</v>
      </c>
      <c r="Q287" s="760">
        <f t="shared" si="392"/>
        <v>6</v>
      </c>
      <c r="R287" s="760">
        <f t="shared" si="392"/>
        <v>6</v>
      </c>
      <c r="S287" s="1356">
        <f t="shared" ref="S287:S293" si="393">SUM(O287:R287)</f>
        <v>21</v>
      </c>
      <c r="T287" s="2314">
        <f>IFERROR(INDEX('Annex 2_Code'!I$8:I$33,MATCH('Annex 3_MAFF'!$AG287,'Annex 2_Code'!$G$8:$G$33,0)),"")</f>
        <v>0</v>
      </c>
      <c r="U287" s="2314">
        <f>IFERROR(INDEX('Annex 2_Code'!J$8:J$33,MATCH('Annex 3_MAFF'!$AG287,'Annex 2_Code'!$G$8:$G$33,0)),"")</f>
        <v>0</v>
      </c>
      <c r="V287" s="2314">
        <f>IFERROR(INDEX('Annex 2_Code'!K$8:K$33,MATCH('Annex 3_MAFF'!$AG287,'Annex 2_Code'!$G$8:$G$33,0)),"")</f>
        <v>1</v>
      </c>
      <c r="W287" s="2314">
        <f>IFERROR(INDEX('Annex 2_Code'!L$8:L$33,MATCH('Annex 3_MAFF'!$AG287,'Annex 2_Code'!$G$8:$G$33,0)),"")</f>
        <v>0</v>
      </c>
      <c r="X287" s="2314">
        <f>IFERROR(INDEX('Annex 2_Code'!M$8:M$33,MATCH('Annex 3_MAFF'!$AG287,'Annex 2_Code'!$G$8:$G$33,0)),"")</f>
        <v>0</v>
      </c>
      <c r="Y287" s="1745">
        <f t="shared" si="385"/>
        <v>0</v>
      </c>
      <c r="Z287" s="807">
        <f t="shared" si="386"/>
        <v>0</v>
      </c>
      <c r="AA287" s="807">
        <f t="shared" si="384"/>
        <v>21</v>
      </c>
      <c r="AB287" s="807">
        <f t="shared" si="387"/>
        <v>0</v>
      </c>
      <c r="AC287" s="808">
        <f t="shared" si="388"/>
        <v>0</v>
      </c>
      <c r="AD287" s="764">
        <f t="shared" si="389"/>
        <v>21</v>
      </c>
      <c r="AE287" s="764">
        <f t="shared" si="390"/>
        <v>0</v>
      </c>
      <c r="AF287" s="605" t="s">
        <v>303</v>
      </c>
      <c r="AG287" s="605" t="s">
        <v>201</v>
      </c>
      <c r="AH287" s="605" t="s">
        <v>372</v>
      </c>
      <c r="AI287" s="605" t="str">
        <f t="shared" ref="AI287:AI293" si="394">IF(ISNUMBER(FIND("-",AH287,1))=FALSE,LEFT(AH287,LEN(AH287)),LEFT(AH287,(FIND("-",AH287,1))-1))</f>
        <v>MAFF</v>
      </c>
      <c r="AJ287" s="612" t="s">
        <v>456</v>
      </c>
    </row>
    <row r="288" spans="1:38" s="1363" customFormat="1" ht="37.5" outlineLevel="1">
      <c r="A288" s="1357"/>
      <c r="B288" s="669" t="s">
        <v>1451</v>
      </c>
      <c r="C288" s="669" t="s">
        <v>33</v>
      </c>
      <c r="D288" s="644"/>
      <c r="E288" s="587" t="s">
        <v>768</v>
      </c>
      <c r="F288" s="649"/>
      <c r="G288" s="616" t="s">
        <v>1567</v>
      </c>
      <c r="H288" s="2322" t="s">
        <v>1566</v>
      </c>
      <c r="I288" s="794">
        <v>1.5</v>
      </c>
      <c r="J288" s="620">
        <v>2</v>
      </c>
      <c r="K288" s="620">
        <v>6</v>
      </c>
      <c r="L288" s="620">
        <v>6</v>
      </c>
      <c r="M288" s="620">
        <v>4</v>
      </c>
      <c r="N288" s="784">
        <f t="shared" si="391"/>
        <v>18</v>
      </c>
      <c r="O288" s="759">
        <f t="shared" si="392"/>
        <v>3</v>
      </c>
      <c r="P288" s="760">
        <f t="shared" si="392"/>
        <v>9</v>
      </c>
      <c r="Q288" s="760">
        <f t="shared" si="392"/>
        <v>9</v>
      </c>
      <c r="R288" s="760">
        <f t="shared" si="392"/>
        <v>6</v>
      </c>
      <c r="S288" s="1356">
        <f t="shared" si="393"/>
        <v>27</v>
      </c>
      <c r="T288" s="2314">
        <f>IFERROR(INDEX('Annex 2_Code'!I$8:I$33,MATCH('Annex 3_MAFF'!$AG288,'Annex 2_Code'!$G$8:$G$33,0)),"")</f>
        <v>0</v>
      </c>
      <c r="U288" s="2314">
        <f>IFERROR(INDEX('Annex 2_Code'!J$8:J$33,MATCH('Annex 3_MAFF'!$AG288,'Annex 2_Code'!$G$8:$G$33,0)),"")</f>
        <v>0</v>
      </c>
      <c r="V288" s="2314">
        <f>IFERROR(INDEX('Annex 2_Code'!K$8:K$33,MATCH('Annex 3_MAFF'!$AG288,'Annex 2_Code'!$G$8:$G$33,0)),"")</f>
        <v>1</v>
      </c>
      <c r="W288" s="2314">
        <f>IFERROR(INDEX('Annex 2_Code'!L$8:L$33,MATCH('Annex 3_MAFF'!$AG288,'Annex 2_Code'!$G$8:$G$33,0)),"")</f>
        <v>0</v>
      </c>
      <c r="X288" s="2314">
        <f>IFERROR(INDEX('Annex 2_Code'!M$8:M$33,MATCH('Annex 3_MAFF'!$AG288,'Annex 2_Code'!$G$8:$G$33,0)),"")</f>
        <v>0</v>
      </c>
      <c r="Y288" s="1745">
        <f t="shared" si="385"/>
        <v>0</v>
      </c>
      <c r="Z288" s="807">
        <f t="shared" si="386"/>
        <v>0</v>
      </c>
      <c r="AA288" s="807">
        <f t="shared" si="384"/>
        <v>27</v>
      </c>
      <c r="AB288" s="807">
        <f t="shared" si="387"/>
        <v>0</v>
      </c>
      <c r="AC288" s="808">
        <f t="shared" si="388"/>
        <v>0</v>
      </c>
      <c r="AD288" s="764">
        <f t="shared" si="389"/>
        <v>27</v>
      </c>
      <c r="AE288" s="764">
        <f t="shared" si="390"/>
        <v>0</v>
      </c>
      <c r="AF288" s="605" t="s">
        <v>303</v>
      </c>
      <c r="AG288" s="605" t="s">
        <v>201</v>
      </c>
      <c r="AH288" s="605" t="s">
        <v>372</v>
      </c>
      <c r="AI288" s="605" t="str">
        <f t="shared" si="394"/>
        <v>MAFF</v>
      </c>
      <c r="AJ288" s="612" t="s">
        <v>456</v>
      </c>
    </row>
    <row r="289" spans="1:36" s="1363" customFormat="1" ht="37.5" outlineLevel="1">
      <c r="A289" s="1357"/>
      <c r="B289" s="669" t="s">
        <v>1451</v>
      </c>
      <c r="C289" s="669" t="s">
        <v>33</v>
      </c>
      <c r="D289" s="644"/>
      <c r="E289" s="587" t="s">
        <v>769</v>
      </c>
      <c r="F289" s="649"/>
      <c r="G289" s="616" t="s">
        <v>1568</v>
      </c>
      <c r="H289" s="2322" t="s">
        <v>1566</v>
      </c>
      <c r="I289" s="794">
        <v>1.5</v>
      </c>
      <c r="J289" s="620">
        <v>2</v>
      </c>
      <c r="K289" s="620">
        <v>2</v>
      </c>
      <c r="L289" s="620">
        <v>2</v>
      </c>
      <c r="M289" s="620">
        <v>2</v>
      </c>
      <c r="N289" s="784">
        <f t="shared" si="391"/>
        <v>8</v>
      </c>
      <c r="O289" s="759">
        <f t="shared" si="392"/>
        <v>3</v>
      </c>
      <c r="P289" s="760">
        <f t="shared" si="392"/>
        <v>3</v>
      </c>
      <c r="Q289" s="760">
        <f t="shared" si="392"/>
        <v>3</v>
      </c>
      <c r="R289" s="760">
        <f t="shared" si="392"/>
        <v>3</v>
      </c>
      <c r="S289" s="1356">
        <f t="shared" si="393"/>
        <v>12</v>
      </c>
      <c r="T289" s="2314">
        <f>IFERROR(INDEX('Annex 2_Code'!I$8:I$33,MATCH('Annex 3_MAFF'!$AG289,'Annex 2_Code'!$G$8:$G$33,0)),"")</f>
        <v>0</v>
      </c>
      <c r="U289" s="2314">
        <f>IFERROR(INDEX('Annex 2_Code'!J$8:J$33,MATCH('Annex 3_MAFF'!$AG289,'Annex 2_Code'!$G$8:$G$33,0)),"")</f>
        <v>0</v>
      </c>
      <c r="V289" s="2314">
        <f>IFERROR(INDEX('Annex 2_Code'!K$8:K$33,MATCH('Annex 3_MAFF'!$AG289,'Annex 2_Code'!$G$8:$G$33,0)),"")</f>
        <v>1</v>
      </c>
      <c r="W289" s="2314">
        <f>IFERROR(INDEX('Annex 2_Code'!L$8:L$33,MATCH('Annex 3_MAFF'!$AG289,'Annex 2_Code'!$G$8:$G$33,0)),"")</f>
        <v>0</v>
      </c>
      <c r="X289" s="2314">
        <f>IFERROR(INDEX('Annex 2_Code'!M$8:M$33,MATCH('Annex 3_MAFF'!$AG289,'Annex 2_Code'!$G$8:$G$33,0)),"")</f>
        <v>0</v>
      </c>
      <c r="Y289" s="1745">
        <f t="shared" si="385"/>
        <v>0</v>
      </c>
      <c r="Z289" s="807">
        <f t="shared" si="386"/>
        <v>0</v>
      </c>
      <c r="AA289" s="807">
        <f t="shared" si="384"/>
        <v>12</v>
      </c>
      <c r="AB289" s="807">
        <f t="shared" si="387"/>
        <v>0</v>
      </c>
      <c r="AC289" s="808">
        <f t="shared" si="388"/>
        <v>0</v>
      </c>
      <c r="AD289" s="764">
        <f t="shared" si="389"/>
        <v>12</v>
      </c>
      <c r="AE289" s="764">
        <f t="shared" si="390"/>
        <v>0</v>
      </c>
      <c r="AF289" s="605" t="s">
        <v>303</v>
      </c>
      <c r="AG289" s="605" t="s">
        <v>201</v>
      </c>
      <c r="AH289" s="605" t="s">
        <v>372</v>
      </c>
      <c r="AI289" s="605" t="str">
        <f t="shared" si="394"/>
        <v>MAFF</v>
      </c>
      <c r="AJ289" s="612" t="s">
        <v>456</v>
      </c>
    </row>
    <row r="290" spans="1:36" s="1363" customFormat="1" ht="37.5" outlineLevel="1">
      <c r="A290" s="1357"/>
      <c r="B290" s="669" t="s">
        <v>1451</v>
      </c>
      <c r="C290" s="669" t="s">
        <v>33</v>
      </c>
      <c r="D290" s="644"/>
      <c r="E290" s="587" t="s">
        <v>770</v>
      </c>
      <c r="F290" s="649"/>
      <c r="G290" s="616" t="s">
        <v>1569</v>
      </c>
      <c r="H290" s="2322" t="s">
        <v>1566</v>
      </c>
      <c r="I290" s="794">
        <v>1.5</v>
      </c>
      <c r="J290" s="620">
        <v>2</v>
      </c>
      <c r="K290" s="620">
        <v>6</v>
      </c>
      <c r="L290" s="620">
        <v>6</v>
      </c>
      <c r="M290" s="620">
        <v>4</v>
      </c>
      <c r="N290" s="784">
        <f t="shared" si="391"/>
        <v>18</v>
      </c>
      <c r="O290" s="759">
        <f t="shared" si="392"/>
        <v>3</v>
      </c>
      <c r="P290" s="760">
        <f t="shared" si="392"/>
        <v>9</v>
      </c>
      <c r="Q290" s="760">
        <f t="shared" si="392"/>
        <v>9</v>
      </c>
      <c r="R290" s="760">
        <f t="shared" si="392"/>
        <v>6</v>
      </c>
      <c r="S290" s="1356">
        <f t="shared" si="393"/>
        <v>27</v>
      </c>
      <c r="T290" s="2314">
        <f>IFERROR(INDEX('Annex 2_Code'!I$8:I$33,MATCH('Annex 3_MAFF'!$AG290,'Annex 2_Code'!$G$8:$G$33,0)),"")</f>
        <v>0</v>
      </c>
      <c r="U290" s="2314">
        <f>IFERROR(INDEX('Annex 2_Code'!J$8:J$33,MATCH('Annex 3_MAFF'!$AG290,'Annex 2_Code'!$G$8:$G$33,0)),"")</f>
        <v>0</v>
      </c>
      <c r="V290" s="2314">
        <f>IFERROR(INDEX('Annex 2_Code'!K$8:K$33,MATCH('Annex 3_MAFF'!$AG290,'Annex 2_Code'!$G$8:$G$33,0)),"")</f>
        <v>1</v>
      </c>
      <c r="W290" s="2314">
        <f>IFERROR(INDEX('Annex 2_Code'!L$8:L$33,MATCH('Annex 3_MAFF'!$AG290,'Annex 2_Code'!$G$8:$G$33,0)),"")</f>
        <v>0</v>
      </c>
      <c r="X290" s="2314">
        <f>IFERROR(INDEX('Annex 2_Code'!M$8:M$33,MATCH('Annex 3_MAFF'!$AG290,'Annex 2_Code'!$G$8:$G$33,0)),"")</f>
        <v>0</v>
      </c>
      <c r="Y290" s="1745">
        <f t="shared" si="385"/>
        <v>0</v>
      </c>
      <c r="Z290" s="807">
        <f t="shared" si="386"/>
        <v>0</v>
      </c>
      <c r="AA290" s="807">
        <f t="shared" si="384"/>
        <v>27</v>
      </c>
      <c r="AB290" s="807">
        <f t="shared" si="387"/>
        <v>0</v>
      </c>
      <c r="AC290" s="808">
        <f t="shared" si="388"/>
        <v>0</v>
      </c>
      <c r="AD290" s="764">
        <f t="shared" si="389"/>
        <v>27</v>
      </c>
      <c r="AE290" s="764">
        <f t="shared" si="390"/>
        <v>0</v>
      </c>
      <c r="AF290" s="605" t="s">
        <v>303</v>
      </c>
      <c r="AG290" s="605" t="s">
        <v>201</v>
      </c>
      <c r="AH290" s="605" t="s">
        <v>372</v>
      </c>
      <c r="AI290" s="605" t="str">
        <f t="shared" si="394"/>
        <v>MAFF</v>
      </c>
      <c r="AJ290" s="612" t="s">
        <v>456</v>
      </c>
    </row>
    <row r="291" spans="1:36" s="1363" customFormat="1" ht="37.5" outlineLevel="1">
      <c r="A291" s="1357"/>
      <c r="B291" s="669" t="s">
        <v>1451</v>
      </c>
      <c r="C291" s="669" t="s">
        <v>33</v>
      </c>
      <c r="D291" s="644"/>
      <c r="E291" s="587" t="s">
        <v>771</v>
      </c>
      <c r="F291" s="649"/>
      <c r="G291" s="616" t="s">
        <v>1570</v>
      </c>
      <c r="H291" s="2322" t="s">
        <v>1566</v>
      </c>
      <c r="I291" s="794">
        <v>1.5</v>
      </c>
      <c r="J291" s="620">
        <v>3</v>
      </c>
      <c r="K291" s="620">
        <v>3</v>
      </c>
      <c r="L291" s="620">
        <v>3</v>
      </c>
      <c r="M291" s="620">
        <v>3</v>
      </c>
      <c r="N291" s="784">
        <f t="shared" si="391"/>
        <v>12</v>
      </c>
      <c r="O291" s="759">
        <f t="shared" si="392"/>
        <v>4.5</v>
      </c>
      <c r="P291" s="760">
        <f t="shared" si="392"/>
        <v>4.5</v>
      </c>
      <c r="Q291" s="760">
        <f t="shared" si="392"/>
        <v>4.5</v>
      </c>
      <c r="R291" s="760">
        <f t="shared" si="392"/>
        <v>4.5</v>
      </c>
      <c r="S291" s="1356">
        <f t="shared" si="393"/>
        <v>18</v>
      </c>
      <c r="T291" s="2314">
        <f>IFERROR(INDEX('Annex 2_Code'!I$8:I$33,MATCH('Annex 3_MAFF'!$AG291,'Annex 2_Code'!$G$8:$G$33,0)),"")</f>
        <v>0</v>
      </c>
      <c r="U291" s="2314">
        <f>IFERROR(INDEX('Annex 2_Code'!J$8:J$33,MATCH('Annex 3_MAFF'!$AG291,'Annex 2_Code'!$G$8:$G$33,0)),"")</f>
        <v>0</v>
      </c>
      <c r="V291" s="2314">
        <f>IFERROR(INDEX('Annex 2_Code'!K$8:K$33,MATCH('Annex 3_MAFF'!$AG291,'Annex 2_Code'!$G$8:$G$33,0)),"")</f>
        <v>1</v>
      </c>
      <c r="W291" s="2314">
        <f>IFERROR(INDEX('Annex 2_Code'!L$8:L$33,MATCH('Annex 3_MAFF'!$AG291,'Annex 2_Code'!$G$8:$G$33,0)),"")</f>
        <v>0</v>
      </c>
      <c r="X291" s="2314">
        <f>IFERROR(INDEX('Annex 2_Code'!M$8:M$33,MATCH('Annex 3_MAFF'!$AG291,'Annex 2_Code'!$G$8:$G$33,0)),"")</f>
        <v>0</v>
      </c>
      <c r="Y291" s="1745">
        <f t="shared" si="385"/>
        <v>0</v>
      </c>
      <c r="Z291" s="807">
        <f t="shared" si="386"/>
        <v>0</v>
      </c>
      <c r="AA291" s="807">
        <f t="shared" si="384"/>
        <v>18</v>
      </c>
      <c r="AB291" s="807">
        <f t="shared" si="387"/>
        <v>0</v>
      </c>
      <c r="AC291" s="808">
        <f t="shared" si="388"/>
        <v>0</v>
      </c>
      <c r="AD291" s="764">
        <f t="shared" si="389"/>
        <v>18</v>
      </c>
      <c r="AE291" s="764">
        <f t="shared" si="390"/>
        <v>0</v>
      </c>
      <c r="AF291" s="605" t="s">
        <v>303</v>
      </c>
      <c r="AG291" s="605" t="s">
        <v>201</v>
      </c>
      <c r="AH291" s="605" t="s">
        <v>372</v>
      </c>
      <c r="AI291" s="605" t="str">
        <f t="shared" si="394"/>
        <v>MAFF</v>
      </c>
      <c r="AJ291" s="612" t="s">
        <v>456</v>
      </c>
    </row>
    <row r="292" spans="1:36" s="1363" customFormat="1" ht="37.5" outlineLevel="1">
      <c r="A292" s="1357"/>
      <c r="B292" s="669" t="s">
        <v>1451</v>
      </c>
      <c r="C292" s="669" t="s">
        <v>33</v>
      </c>
      <c r="D292" s="644"/>
      <c r="E292" s="587" t="s">
        <v>772</v>
      </c>
      <c r="F292" s="649"/>
      <c r="G292" s="616" t="s">
        <v>1571</v>
      </c>
      <c r="H292" s="2322" t="s">
        <v>1566</v>
      </c>
      <c r="I292" s="794">
        <v>1.5</v>
      </c>
      <c r="J292" s="620">
        <v>2</v>
      </c>
      <c r="K292" s="620">
        <v>2</v>
      </c>
      <c r="L292" s="620">
        <v>2</v>
      </c>
      <c r="M292" s="620">
        <v>2</v>
      </c>
      <c r="N292" s="784">
        <f t="shared" si="391"/>
        <v>8</v>
      </c>
      <c r="O292" s="759">
        <f t="shared" si="392"/>
        <v>3</v>
      </c>
      <c r="P292" s="760">
        <f t="shared" si="392"/>
        <v>3</v>
      </c>
      <c r="Q292" s="760">
        <f t="shared" si="392"/>
        <v>3</v>
      </c>
      <c r="R292" s="760">
        <f t="shared" si="392"/>
        <v>3</v>
      </c>
      <c r="S292" s="1356">
        <f t="shared" si="393"/>
        <v>12</v>
      </c>
      <c r="T292" s="2314">
        <f>IFERROR(INDEX('Annex 2_Code'!I$8:I$33,MATCH('Annex 3_MAFF'!$AG292,'Annex 2_Code'!$G$8:$G$33,0)),"")</f>
        <v>0</v>
      </c>
      <c r="U292" s="2314">
        <f>IFERROR(INDEX('Annex 2_Code'!J$8:J$33,MATCH('Annex 3_MAFF'!$AG292,'Annex 2_Code'!$G$8:$G$33,0)),"")</f>
        <v>0</v>
      </c>
      <c r="V292" s="2314">
        <f>IFERROR(INDEX('Annex 2_Code'!K$8:K$33,MATCH('Annex 3_MAFF'!$AG292,'Annex 2_Code'!$G$8:$G$33,0)),"")</f>
        <v>1</v>
      </c>
      <c r="W292" s="2314">
        <f>IFERROR(INDEX('Annex 2_Code'!L$8:L$33,MATCH('Annex 3_MAFF'!$AG292,'Annex 2_Code'!$G$8:$G$33,0)),"")</f>
        <v>0</v>
      </c>
      <c r="X292" s="2314">
        <f>IFERROR(INDEX('Annex 2_Code'!M$8:M$33,MATCH('Annex 3_MAFF'!$AG292,'Annex 2_Code'!$G$8:$G$33,0)),"")</f>
        <v>0</v>
      </c>
      <c r="Y292" s="1745">
        <f t="shared" si="385"/>
        <v>0</v>
      </c>
      <c r="Z292" s="807">
        <f t="shared" si="386"/>
        <v>0</v>
      </c>
      <c r="AA292" s="807">
        <f t="shared" si="384"/>
        <v>12</v>
      </c>
      <c r="AB292" s="807">
        <f t="shared" si="387"/>
        <v>0</v>
      </c>
      <c r="AC292" s="808">
        <f t="shared" si="388"/>
        <v>0</v>
      </c>
      <c r="AD292" s="764">
        <f t="shared" si="389"/>
        <v>12</v>
      </c>
      <c r="AE292" s="764">
        <f t="shared" si="390"/>
        <v>0</v>
      </c>
      <c r="AF292" s="605" t="s">
        <v>303</v>
      </c>
      <c r="AG292" s="605" t="s">
        <v>201</v>
      </c>
      <c r="AH292" s="605" t="s">
        <v>372</v>
      </c>
      <c r="AI292" s="605" t="str">
        <f t="shared" si="394"/>
        <v>MAFF</v>
      </c>
      <c r="AJ292" s="612" t="s">
        <v>456</v>
      </c>
    </row>
    <row r="293" spans="1:36" s="1363" customFormat="1" ht="37.5" outlineLevel="1">
      <c r="A293" s="1357"/>
      <c r="B293" s="669" t="s">
        <v>1451</v>
      </c>
      <c r="C293" s="669" t="s">
        <v>33</v>
      </c>
      <c r="D293" s="644"/>
      <c r="E293" s="307" t="s">
        <v>773</v>
      </c>
      <c r="F293" s="615"/>
      <c r="G293" s="616" t="s">
        <v>1572</v>
      </c>
      <c r="H293" s="2322" t="s">
        <v>1566</v>
      </c>
      <c r="I293" s="2323">
        <v>1.5</v>
      </c>
      <c r="J293" s="620">
        <v>0</v>
      </c>
      <c r="K293" s="620">
        <v>5</v>
      </c>
      <c r="L293" s="620">
        <v>5</v>
      </c>
      <c r="M293" s="620">
        <v>5</v>
      </c>
      <c r="N293" s="784">
        <f t="shared" si="391"/>
        <v>15</v>
      </c>
      <c r="O293" s="759">
        <f t="shared" si="392"/>
        <v>0</v>
      </c>
      <c r="P293" s="760">
        <f t="shared" si="392"/>
        <v>7.5</v>
      </c>
      <c r="Q293" s="760">
        <f t="shared" si="392"/>
        <v>7.5</v>
      </c>
      <c r="R293" s="760">
        <f t="shared" si="392"/>
        <v>7.5</v>
      </c>
      <c r="S293" s="1356">
        <f t="shared" si="393"/>
        <v>22.5</v>
      </c>
      <c r="T293" s="2314">
        <f>IFERROR(INDEX('Annex 2_Code'!I$8:I$33,MATCH('Annex 3_MAFF'!$AG293,'Annex 2_Code'!$G$8:$G$33,0)),"")</f>
        <v>0</v>
      </c>
      <c r="U293" s="2314">
        <f>IFERROR(INDEX('Annex 2_Code'!J$8:J$33,MATCH('Annex 3_MAFF'!$AG293,'Annex 2_Code'!$G$8:$G$33,0)),"")</f>
        <v>0</v>
      </c>
      <c r="V293" s="2314">
        <f>IFERROR(INDEX('Annex 2_Code'!K$8:K$33,MATCH('Annex 3_MAFF'!$AG293,'Annex 2_Code'!$G$8:$G$33,0)),"")</f>
        <v>1</v>
      </c>
      <c r="W293" s="2314">
        <f>IFERROR(INDEX('Annex 2_Code'!L$8:L$33,MATCH('Annex 3_MAFF'!$AG293,'Annex 2_Code'!$G$8:$G$33,0)),"")</f>
        <v>0</v>
      </c>
      <c r="X293" s="2314">
        <f>IFERROR(INDEX('Annex 2_Code'!M$8:M$33,MATCH('Annex 3_MAFF'!$AG293,'Annex 2_Code'!$G$8:$G$33,0)),"")</f>
        <v>0</v>
      </c>
      <c r="Y293" s="1745">
        <f t="shared" si="385"/>
        <v>0</v>
      </c>
      <c r="Z293" s="807">
        <f t="shared" si="386"/>
        <v>0</v>
      </c>
      <c r="AA293" s="807">
        <f t="shared" si="384"/>
        <v>22.5</v>
      </c>
      <c r="AB293" s="807">
        <f t="shared" si="387"/>
        <v>0</v>
      </c>
      <c r="AC293" s="808">
        <f t="shared" si="388"/>
        <v>0</v>
      </c>
      <c r="AD293" s="764">
        <f t="shared" si="389"/>
        <v>22.5</v>
      </c>
      <c r="AE293" s="764">
        <f t="shared" si="390"/>
        <v>0</v>
      </c>
      <c r="AF293" s="605" t="s">
        <v>303</v>
      </c>
      <c r="AG293" s="605" t="s">
        <v>201</v>
      </c>
      <c r="AH293" s="605" t="s">
        <v>372</v>
      </c>
      <c r="AI293" s="605" t="str">
        <f t="shared" si="394"/>
        <v>MAFF</v>
      </c>
      <c r="AJ293" s="612" t="s">
        <v>456</v>
      </c>
    </row>
    <row r="294" spans="1:36" s="607" customFormat="1" ht="30.75" customHeight="1" outlineLevel="1">
      <c r="A294" s="587"/>
      <c r="B294" s="659"/>
      <c r="C294" s="659" t="s">
        <v>462</v>
      </c>
      <c r="D294" s="704"/>
      <c r="E294" s="591" t="s">
        <v>583</v>
      </c>
      <c r="F294" s="592"/>
      <c r="G294" s="795"/>
      <c r="H294" s="714"/>
      <c r="I294" s="796"/>
      <c r="J294" s="595">
        <f>SUM(J287:J293)</f>
        <v>13</v>
      </c>
      <c r="K294" s="595">
        <f>SUM(K287:K293)</f>
        <v>28</v>
      </c>
      <c r="L294" s="595">
        <f>SUM(L284:L293)</f>
        <v>29.8</v>
      </c>
      <c r="M294" s="595">
        <f>SUM(M284:M293)</f>
        <v>24.2</v>
      </c>
      <c r="N294" s="758">
        <f>SUM(N284:N293)</f>
        <v>95</v>
      </c>
      <c r="O294" s="797">
        <f>SUM(O287:O293)</f>
        <v>19.5</v>
      </c>
      <c r="P294" s="798">
        <f>SUM(P287:P293)</f>
        <v>42</v>
      </c>
      <c r="Q294" s="798">
        <f>SUM(Q287:Q293)</f>
        <v>42</v>
      </c>
      <c r="R294" s="798">
        <f>SUM(R287:R293)</f>
        <v>36</v>
      </c>
      <c r="S294" s="1408">
        <f>SUM(S287:S293)</f>
        <v>139.5</v>
      </c>
      <c r="T294" s="793"/>
      <c r="U294" s="793"/>
      <c r="V294" s="793"/>
      <c r="W294" s="793"/>
      <c r="X294" s="793"/>
      <c r="Y294" s="647"/>
      <c r="Z294" s="600"/>
      <c r="AA294" s="600"/>
      <c r="AB294" s="600"/>
      <c r="AC294" s="601"/>
      <c r="AD294" s="602"/>
      <c r="AE294" s="602"/>
      <c r="AF294" s="605"/>
      <c r="AG294" s="605"/>
      <c r="AH294" s="605"/>
      <c r="AI294" s="624"/>
    </row>
    <row r="295" spans="1:36" s="607" customFormat="1" ht="23.25" customHeight="1">
      <c r="A295" s="587"/>
      <c r="B295" s="659"/>
      <c r="C295" s="659"/>
      <c r="D295" s="1766"/>
      <c r="E295" s="1770" t="s">
        <v>691</v>
      </c>
      <c r="F295" s="1770"/>
      <c r="G295" s="1771" t="s">
        <v>1102</v>
      </c>
      <c r="H295" s="927" t="s">
        <v>12</v>
      </c>
      <c r="I295" s="800"/>
      <c r="J295" s="620"/>
      <c r="K295" s="620"/>
      <c r="L295" s="620"/>
      <c r="M295" s="620"/>
      <c r="N295" s="650"/>
      <c r="O295" s="657"/>
      <c r="P295" s="623"/>
      <c r="Q295" s="623"/>
      <c r="R295" s="715"/>
      <c r="S295" s="1695">
        <f>SUM(O294:R294)</f>
        <v>139.5</v>
      </c>
      <c r="T295" s="801" t="str">
        <f>IFERROR(INDEX('Annex 2_Code'!I$8:I$33,MATCH('Annex 3_MAFF'!$AG295,'Annex 2_Code'!$G$8:$G$33,0)),"")</f>
        <v/>
      </c>
      <c r="U295" s="793" t="str">
        <f>IFERROR(INDEX('Annex 2_Code'!J$8:J$33,MATCH('Annex 3_MAFF'!$AG295,'Annex 2_Code'!$G$8:$G$33,0)),"")</f>
        <v/>
      </c>
      <c r="V295" s="793" t="str">
        <f>IFERROR(INDEX('Annex 2_Code'!K$8:K$33,MATCH('Annex 3_MAFF'!$AG295,'Annex 2_Code'!$G$8:$G$33,0)),"")</f>
        <v/>
      </c>
      <c r="W295" s="793" t="str">
        <f>IFERROR(INDEX('Annex 2_Code'!L$8:L$33,MATCH('Annex 3_MAFF'!$AG295,'Annex 2_Code'!$G$8:$G$33,0)),"")</f>
        <v/>
      </c>
      <c r="X295" s="802" t="str">
        <f>IFERROR(INDEX('Annex 2_Code'!M$8:M$33,MATCH('Annex 3_MAFF'!$AG295,'Annex 2_Code'!$G$8:$G$33,0)),"")</f>
        <v/>
      </c>
      <c r="Y295" s="600" t="str">
        <f t="shared" ref="Y295:Y303" si="395">IFERROR($S295*T295,"")</f>
        <v/>
      </c>
      <c r="Z295" s="600" t="str">
        <f t="shared" ref="Z295:Z303" si="396">IFERROR($S295*U295,"")</f>
        <v/>
      </c>
      <c r="AA295" s="600" t="str">
        <f t="shared" ref="AA295:AA303" si="397">IFERROR($S295*V295,"")</f>
        <v/>
      </c>
      <c r="AB295" s="600" t="str">
        <f t="shared" ref="AB295:AB303" si="398">IFERROR($S295*W295,"")</f>
        <v/>
      </c>
      <c r="AC295" s="601" t="str">
        <f t="shared" ref="AC295:AC303" si="399">IFERROR($S295*X295,"")</f>
        <v/>
      </c>
      <c r="AD295" s="602">
        <f t="shared" ref="AD295:AD303" si="400">SUM(Y295:AC295)</f>
        <v>0</v>
      </c>
      <c r="AE295" s="602">
        <f t="shared" ref="AE295:AE303" si="401">AD295-S295</f>
        <v>-139.5</v>
      </c>
      <c r="AF295" s="605"/>
      <c r="AG295" s="605"/>
      <c r="AH295" s="605" t="str">
        <f>IFERROR(INDEX('Annex 2_Code'!$J$114:$J$126,MATCH('Annex 3_MAFF'!AF295,'Annex 2_Code'!$G$114:$G$126,0)),"")</f>
        <v/>
      </c>
      <c r="AI295" s="624" t="str">
        <f t="shared" ref="AI295:AI301" si="402">IF(ISNUMBER(FIND("-",AH295,1))=FALSE,LEFT(AH295,LEN(AH295)),LEFT(AH295,(FIND("-",AH295,1))-1))</f>
        <v/>
      </c>
    </row>
    <row r="296" spans="1:36" s="607" customFormat="1" ht="33.75" customHeight="1" outlineLevel="1">
      <c r="A296" s="307"/>
      <c r="B296" s="669" t="s">
        <v>1463</v>
      </c>
      <c r="C296" s="669" t="s">
        <v>33</v>
      </c>
      <c r="D296" s="701"/>
      <c r="E296" s="626" t="s">
        <v>692</v>
      </c>
      <c r="F296" s="683"/>
      <c r="G296" s="616" t="s">
        <v>1573</v>
      </c>
      <c r="H296" s="677" t="s">
        <v>863</v>
      </c>
      <c r="I296" s="794">
        <v>0.37</v>
      </c>
      <c r="J296" s="620">
        <v>0</v>
      </c>
      <c r="K296" s="620">
        <v>40</v>
      </c>
      <c r="L296" s="620">
        <v>38</v>
      </c>
      <c r="M296" s="620">
        <v>12</v>
      </c>
      <c r="N296" s="731">
        <f t="shared" ref="N296:N303" si="403">SUM(J296:M296)</f>
        <v>90</v>
      </c>
      <c r="O296" s="759">
        <f>($I296*J296)</f>
        <v>0</v>
      </c>
      <c r="P296" s="760">
        <f>($I296*K296)</f>
        <v>14.8</v>
      </c>
      <c r="Q296" s="760">
        <f>($I$296*L296)</f>
        <v>14.06</v>
      </c>
      <c r="R296" s="760">
        <f>($I$296*M296)</f>
        <v>4.4399999999999995</v>
      </c>
      <c r="S296" s="1356">
        <f t="shared" ref="S296:S312" si="404">SUM(O296:R296)</f>
        <v>33.299999999999997</v>
      </c>
      <c r="T296" s="2324">
        <f>IFERROR(INDEX('Annex 2_Code'!I$8:I$33,MATCH('Annex 3_MAFF'!$AG296,'Annex 2_Code'!$G$8:$G$33,0)),"")</f>
        <v>0</v>
      </c>
      <c r="U296" s="2314">
        <f>IFERROR(INDEX('Annex 2_Code'!J$8:J$33,MATCH('Annex 3_MAFF'!$AG296,'Annex 2_Code'!$G$8:$G$33,0)),"")</f>
        <v>0</v>
      </c>
      <c r="V296" s="2314">
        <f>IFERROR(INDEX('Annex 2_Code'!K$8:K$33,MATCH('Annex 3_MAFF'!$AG296,'Annex 2_Code'!$G$8:$G$33,0)),"")</f>
        <v>1</v>
      </c>
      <c r="W296" s="2314">
        <f>IFERROR(INDEX('Annex 2_Code'!L$8:L$33,MATCH('Annex 3_MAFF'!$AG296,'Annex 2_Code'!$G$8:$G$33,0)),"")</f>
        <v>0</v>
      </c>
      <c r="X296" s="2325">
        <f>IFERROR(INDEX('Annex 2_Code'!M$8:M$33,MATCH('Annex 3_MAFF'!$AG296,'Annex 2_Code'!$G$8:$G$33,0)),"")</f>
        <v>0</v>
      </c>
      <c r="Y296" s="807">
        <f t="shared" si="395"/>
        <v>0</v>
      </c>
      <c r="Z296" s="807">
        <f t="shared" si="396"/>
        <v>0</v>
      </c>
      <c r="AA296" s="807">
        <f t="shared" si="397"/>
        <v>33.299999999999997</v>
      </c>
      <c r="AB296" s="807">
        <f t="shared" si="398"/>
        <v>0</v>
      </c>
      <c r="AC296" s="808">
        <f t="shared" si="399"/>
        <v>0</v>
      </c>
      <c r="AD296" s="764">
        <f t="shared" si="400"/>
        <v>33.299999999999997</v>
      </c>
      <c r="AE296" s="764">
        <f t="shared" si="401"/>
        <v>0</v>
      </c>
      <c r="AF296" s="605" t="s">
        <v>303</v>
      </c>
      <c r="AG296" s="605" t="s">
        <v>217</v>
      </c>
      <c r="AH296" s="605" t="s">
        <v>372</v>
      </c>
      <c r="AI296" s="646" t="str">
        <f t="shared" si="402"/>
        <v>MAFF</v>
      </c>
      <c r="AJ296" s="683" t="s">
        <v>450</v>
      </c>
    </row>
    <row r="297" spans="1:36" s="607" customFormat="1" ht="39.75" customHeight="1" outlineLevel="1">
      <c r="A297" s="584"/>
      <c r="B297" s="669" t="s">
        <v>1463</v>
      </c>
      <c r="C297" s="669" t="s">
        <v>33</v>
      </c>
      <c r="D297" s="701"/>
      <c r="E297" s="626" t="s">
        <v>693</v>
      </c>
      <c r="F297" s="683"/>
      <c r="G297" s="616" t="s">
        <v>1574</v>
      </c>
      <c r="H297" s="677" t="s">
        <v>863</v>
      </c>
      <c r="I297" s="676">
        <v>2.5</v>
      </c>
      <c r="J297" s="620">
        <v>0</v>
      </c>
      <c r="K297" s="620">
        <v>30</v>
      </c>
      <c r="L297" s="620">
        <v>0</v>
      </c>
      <c r="M297" s="620">
        <v>0</v>
      </c>
      <c r="N297" s="731">
        <f t="shared" si="403"/>
        <v>30</v>
      </c>
      <c r="O297" s="759">
        <f t="shared" ref="O297:O312" si="405">($I297*J297)</f>
        <v>0</v>
      </c>
      <c r="P297" s="760">
        <f>($I$297*K297)</f>
        <v>75</v>
      </c>
      <c r="Q297" s="760">
        <f>($I$297*L297)</f>
        <v>0</v>
      </c>
      <c r="R297" s="760">
        <f>($I$297*M297)</f>
        <v>0</v>
      </c>
      <c r="S297" s="1356">
        <f t="shared" si="404"/>
        <v>75</v>
      </c>
      <c r="T297" s="2324">
        <f>IFERROR(INDEX('Annex 2_Code'!I$8:I$33,MATCH('Annex 3_MAFF'!$AG297,'Annex 2_Code'!$G$8:$G$33,0)),"")</f>
        <v>0</v>
      </c>
      <c r="U297" s="2314">
        <f>IFERROR(INDEX('Annex 2_Code'!J$8:J$33,MATCH('Annex 3_MAFF'!$AG297,'Annex 2_Code'!$G$8:$G$33,0)),"")</f>
        <v>0</v>
      </c>
      <c r="V297" s="2314">
        <f>IFERROR(INDEX('Annex 2_Code'!K$8:K$33,MATCH('Annex 3_MAFF'!$AG297,'Annex 2_Code'!$G$8:$G$33,0)),"")</f>
        <v>1</v>
      </c>
      <c r="W297" s="2314">
        <f>IFERROR(INDEX('Annex 2_Code'!L$8:L$33,MATCH('Annex 3_MAFF'!$AG297,'Annex 2_Code'!$G$8:$G$33,0)),"")</f>
        <v>0</v>
      </c>
      <c r="X297" s="2325">
        <f>IFERROR(INDEX('Annex 2_Code'!M$8:M$33,MATCH('Annex 3_MAFF'!$AG297,'Annex 2_Code'!$G$8:$G$33,0)),"")</f>
        <v>0</v>
      </c>
      <c r="Y297" s="807">
        <f t="shared" si="395"/>
        <v>0</v>
      </c>
      <c r="Z297" s="807">
        <f t="shared" si="396"/>
        <v>0</v>
      </c>
      <c r="AA297" s="807">
        <f t="shared" si="397"/>
        <v>75</v>
      </c>
      <c r="AB297" s="807">
        <f t="shared" si="398"/>
        <v>0</v>
      </c>
      <c r="AC297" s="808">
        <f t="shared" si="399"/>
        <v>0</v>
      </c>
      <c r="AD297" s="764">
        <f t="shared" si="400"/>
        <v>75</v>
      </c>
      <c r="AE297" s="764">
        <f t="shared" si="401"/>
        <v>0</v>
      </c>
      <c r="AF297" s="605" t="s">
        <v>303</v>
      </c>
      <c r="AG297" s="605" t="s">
        <v>217</v>
      </c>
      <c r="AH297" s="605" t="s">
        <v>372</v>
      </c>
      <c r="AI297" s="646" t="str">
        <f t="shared" si="402"/>
        <v>MAFF</v>
      </c>
      <c r="AJ297" s="683" t="s">
        <v>450</v>
      </c>
    </row>
    <row r="298" spans="1:36" s="607" customFormat="1" ht="23.25" outlineLevel="1">
      <c r="A298" s="584"/>
      <c r="B298" s="669" t="s">
        <v>1463</v>
      </c>
      <c r="C298" s="669" t="s">
        <v>33</v>
      </c>
      <c r="D298" s="701"/>
      <c r="E298" s="626" t="s">
        <v>694</v>
      </c>
      <c r="F298" s="683"/>
      <c r="G298" s="616" t="s">
        <v>1575</v>
      </c>
      <c r="H298" s="677" t="s">
        <v>863</v>
      </c>
      <c r="I298" s="676">
        <v>0.53</v>
      </c>
      <c r="J298" s="620"/>
      <c r="K298" s="620">
        <v>20</v>
      </c>
      <c r="L298" s="620">
        <v>10</v>
      </c>
      <c r="M298" s="620">
        <v>20</v>
      </c>
      <c r="N298" s="731">
        <f t="shared" si="403"/>
        <v>50</v>
      </c>
      <c r="O298" s="759">
        <f t="shared" si="405"/>
        <v>0</v>
      </c>
      <c r="P298" s="760">
        <f>($I$298*K298)</f>
        <v>10.600000000000001</v>
      </c>
      <c r="Q298" s="760">
        <f>($I$298*L298)</f>
        <v>5.3000000000000007</v>
      </c>
      <c r="R298" s="760">
        <f>($I$298*M298)</f>
        <v>10.600000000000001</v>
      </c>
      <c r="S298" s="1356">
        <f t="shared" si="404"/>
        <v>26.500000000000004</v>
      </c>
      <c r="T298" s="2324">
        <f>IFERROR(INDEX('Annex 2_Code'!I$8:I$33,MATCH('Annex 3_MAFF'!$AG298,'Annex 2_Code'!$G$8:$G$33,0)),"")</f>
        <v>0</v>
      </c>
      <c r="U298" s="2314">
        <f>IFERROR(INDEX('Annex 2_Code'!J$8:J$33,MATCH('Annex 3_MAFF'!$AG298,'Annex 2_Code'!$G$8:$G$33,0)),"")</f>
        <v>0</v>
      </c>
      <c r="V298" s="2314">
        <f>IFERROR(INDEX('Annex 2_Code'!K$8:K$33,MATCH('Annex 3_MAFF'!$AG298,'Annex 2_Code'!$G$8:$G$33,0)),"")</f>
        <v>1</v>
      </c>
      <c r="W298" s="2314">
        <f>IFERROR(INDEX('Annex 2_Code'!L$8:L$33,MATCH('Annex 3_MAFF'!$AG298,'Annex 2_Code'!$G$8:$G$33,0)),"")</f>
        <v>0</v>
      </c>
      <c r="X298" s="2325">
        <f>IFERROR(INDEX('Annex 2_Code'!M$8:M$33,MATCH('Annex 3_MAFF'!$AG298,'Annex 2_Code'!$G$8:$G$33,0)),"")</f>
        <v>0</v>
      </c>
      <c r="Y298" s="807">
        <f t="shared" si="395"/>
        <v>0</v>
      </c>
      <c r="Z298" s="807">
        <f t="shared" si="396"/>
        <v>0</v>
      </c>
      <c r="AA298" s="807">
        <f t="shared" si="397"/>
        <v>26.500000000000004</v>
      </c>
      <c r="AB298" s="807">
        <f t="shared" si="398"/>
        <v>0</v>
      </c>
      <c r="AC298" s="808">
        <f t="shared" si="399"/>
        <v>0</v>
      </c>
      <c r="AD298" s="764">
        <f t="shared" si="400"/>
        <v>26.500000000000004</v>
      </c>
      <c r="AE298" s="764">
        <f t="shared" si="401"/>
        <v>0</v>
      </c>
      <c r="AF298" s="605" t="s">
        <v>303</v>
      </c>
      <c r="AG298" s="605" t="s">
        <v>217</v>
      </c>
      <c r="AH298" s="605" t="s">
        <v>372</v>
      </c>
      <c r="AI298" s="646" t="str">
        <f t="shared" si="402"/>
        <v>MAFF</v>
      </c>
      <c r="AJ298" s="683" t="s">
        <v>450</v>
      </c>
    </row>
    <row r="299" spans="1:36" s="607" customFormat="1" ht="23.25" outlineLevel="1">
      <c r="A299" s="307"/>
      <c r="B299" s="669" t="s">
        <v>1463</v>
      </c>
      <c r="C299" s="669" t="s">
        <v>33</v>
      </c>
      <c r="D299" s="701"/>
      <c r="E299" s="626" t="s">
        <v>695</v>
      </c>
      <c r="F299" s="683"/>
      <c r="G299" s="616" t="s">
        <v>1576</v>
      </c>
      <c r="H299" s="677" t="s">
        <v>864</v>
      </c>
      <c r="I299" s="676">
        <v>1</v>
      </c>
      <c r="J299" s="620">
        <v>0</v>
      </c>
      <c r="K299" s="620">
        <v>5</v>
      </c>
      <c r="L299" s="620">
        <v>18</v>
      </c>
      <c r="M299" s="620">
        <v>22</v>
      </c>
      <c r="N299" s="731">
        <f t="shared" si="403"/>
        <v>45</v>
      </c>
      <c r="O299" s="760">
        <f t="shared" si="405"/>
        <v>0</v>
      </c>
      <c r="P299" s="760">
        <f>($I$299*K299)</f>
        <v>5</v>
      </c>
      <c r="Q299" s="760">
        <f>($I$299*L299)</f>
        <v>18</v>
      </c>
      <c r="R299" s="760">
        <f>($I$299*M299)</f>
        <v>22</v>
      </c>
      <c r="S299" s="1566">
        <f t="shared" si="404"/>
        <v>45</v>
      </c>
      <c r="T299" s="2324">
        <f>IFERROR(INDEX('Annex 2_Code'!I$8:I$33,MATCH('Annex 3_MAFF'!$AG299,'Annex 2_Code'!$G$8:$G$33,0)),"")</f>
        <v>0</v>
      </c>
      <c r="U299" s="2314">
        <f>IFERROR(INDEX('Annex 2_Code'!J$8:J$33,MATCH('Annex 3_MAFF'!$AG299,'Annex 2_Code'!$G$8:$G$33,0)),"")</f>
        <v>0</v>
      </c>
      <c r="V299" s="2314">
        <f>IFERROR(INDEX('Annex 2_Code'!K$8:K$33,MATCH('Annex 3_MAFF'!$AG299,'Annex 2_Code'!$G$8:$G$33,0)),"")</f>
        <v>1</v>
      </c>
      <c r="W299" s="2314">
        <f>IFERROR(INDEX('Annex 2_Code'!L$8:L$33,MATCH('Annex 3_MAFF'!$AG299,'Annex 2_Code'!$G$8:$G$33,0)),"")</f>
        <v>0</v>
      </c>
      <c r="X299" s="2325">
        <f>IFERROR(INDEX('Annex 2_Code'!M$8:M$33,MATCH('Annex 3_MAFF'!$AG299,'Annex 2_Code'!$G$8:$G$33,0)),"")</f>
        <v>0</v>
      </c>
      <c r="Y299" s="807">
        <f t="shared" si="395"/>
        <v>0</v>
      </c>
      <c r="Z299" s="807">
        <f t="shared" si="396"/>
        <v>0</v>
      </c>
      <c r="AA299" s="807">
        <f t="shared" si="397"/>
        <v>45</v>
      </c>
      <c r="AB299" s="807">
        <f t="shared" si="398"/>
        <v>0</v>
      </c>
      <c r="AC299" s="808">
        <f t="shared" si="399"/>
        <v>0</v>
      </c>
      <c r="AD299" s="764">
        <f t="shared" si="400"/>
        <v>45</v>
      </c>
      <c r="AE299" s="764">
        <f t="shared" si="401"/>
        <v>0</v>
      </c>
      <c r="AF299" s="605" t="s">
        <v>303</v>
      </c>
      <c r="AG299" s="605" t="s">
        <v>217</v>
      </c>
      <c r="AH299" s="605" t="s">
        <v>372</v>
      </c>
      <c r="AI299" s="646" t="str">
        <f t="shared" si="402"/>
        <v>MAFF</v>
      </c>
      <c r="AJ299" s="683" t="s">
        <v>450</v>
      </c>
    </row>
    <row r="300" spans="1:36" s="607" customFormat="1" ht="30" customHeight="1" outlineLevel="1">
      <c r="A300" s="584"/>
      <c r="B300" s="669" t="s">
        <v>1463</v>
      </c>
      <c r="C300" s="669" t="s">
        <v>33</v>
      </c>
      <c r="D300" s="701"/>
      <c r="E300" s="626" t="s">
        <v>696</v>
      </c>
      <c r="F300" s="683"/>
      <c r="G300" s="616" t="s">
        <v>1577</v>
      </c>
      <c r="H300" s="677" t="s">
        <v>864</v>
      </c>
      <c r="I300" s="676">
        <v>1</v>
      </c>
      <c r="J300" s="620">
        <v>0</v>
      </c>
      <c r="K300" s="620">
        <v>0</v>
      </c>
      <c r="L300" s="620">
        <v>8</v>
      </c>
      <c r="M300" s="620">
        <v>7</v>
      </c>
      <c r="N300" s="731">
        <f t="shared" si="403"/>
        <v>15</v>
      </c>
      <c r="O300" s="760">
        <f t="shared" si="405"/>
        <v>0</v>
      </c>
      <c r="P300" s="760">
        <f>($I$300*K300)</f>
        <v>0</v>
      </c>
      <c r="Q300" s="760">
        <f>($I$300*L300)</f>
        <v>8</v>
      </c>
      <c r="R300" s="760">
        <f>($I$300*M300)</f>
        <v>7</v>
      </c>
      <c r="S300" s="1566">
        <f t="shared" si="404"/>
        <v>15</v>
      </c>
      <c r="T300" s="2324">
        <f>IFERROR(INDEX('Annex 2_Code'!I$8:I$33,MATCH('Annex 3_MAFF'!$AG300,'Annex 2_Code'!$G$8:$G$33,0)),"")</f>
        <v>0</v>
      </c>
      <c r="U300" s="2314">
        <f>IFERROR(INDEX('Annex 2_Code'!J$8:J$33,MATCH('Annex 3_MAFF'!$AG300,'Annex 2_Code'!$G$8:$G$33,0)),"")</f>
        <v>0</v>
      </c>
      <c r="V300" s="2314">
        <f>IFERROR(INDEX('Annex 2_Code'!K$8:K$33,MATCH('Annex 3_MAFF'!$AG300,'Annex 2_Code'!$G$8:$G$33,0)),"")</f>
        <v>1</v>
      </c>
      <c r="W300" s="2314">
        <f>IFERROR(INDEX('Annex 2_Code'!L$8:L$33,MATCH('Annex 3_MAFF'!$AG300,'Annex 2_Code'!$G$8:$G$33,0)),"")</f>
        <v>0</v>
      </c>
      <c r="X300" s="2325">
        <f>IFERROR(INDEX('Annex 2_Code'!M$8:M$33,MATCH('Annex 3_MAFF'!$AG300,'Annex 2_Code'!$G$8:$G$33,0)),"")</f>
        <v>0</v>
      </c>
      <c r="Y300" s="807">
        <f t="shared" si="395"/>
        <v>0</v>
      </c>
      <c r="Z300" s="807">
        <f t="shared" si="396"/>
        <v>0</v>
      </c>
      <c r="AA300" s="807">
        <f t="shared" si="397"/>
        <v>15</v>
      </c>
      <c r="AB300" s="807">
        <f t="shared" si="398"/>
        <v>0</v>
      </c>
      <c r="AC300" s="808">
        <f t="shared" si="399"/>
        <v>0</v>
      </c>
      <c r="AD300" s="764">
        <f t="shared" si="400"/>
        <v>15</v>
      </c>
      <c r="AE300" s="764">
        <f t="shared" si="401"/>
        <v>0</v>
      </c>
      <c r="AF300" s="605" t="s">
        <v>303</v>
      </c>
      <c r="AG300" s="605" t="s">
        <v>217</v>
      </c>
      <c r="AH300" s="605" t="s">
        <v>372</v>
      </c>
      <c r="AI300" s="646" t="str">
        <f t="shared" si="402"/>
        <v>MAFF</v>
      </c>
      <c r="AJ300" s="683" t="s">
        <v>450</v>
      </c>
    </row>
    <row r="301" spans="1:36" s="607" customFormat="1" ht="23.25" outlineLevel="1">
      <c r="A301" s="307"/>
      <c r="B301" s="669" t="s">
        <v>1463</v>
      </c>
      <c r="C301" s="669" t="s">
        <v>33</v>
      </c>
      <c r="D301" s="701"/>
      <c r="E301" s="626" t="s">
        <v>697</v>
      </c>
      <c r="F301" s="683"/>
      <c r="G301" s="616" t="s">
        <v>1578</v>
      </c>
      <c r="H301" s="677" t="s">
        <v>864</v>
      </c>
      <c r="I301" s="676">
        <v>1</v>
      </c>
      <c r="J301" s="620">
        <v>0</v>
      </c>
      <c r="K301" s="620">
        <v>0</v>
      </c>
      <c r="L301" s="620">
        <v>15</v>
      </c>
      <c r="M301" s="620">
        <v>10</v>
      </c>
      <c r="N301" s="731">
        <f t="shared" si="403"/>
        <v>25</v>
      </c>
      <c r="O301" s="760">
        <f t="shared" si="405"/>
        <v>0</v>
      </c>
      <c r="P301" s="760">
        <f>($I$301*K301)</f>
        <v>0</v>
      </c>
      <c r="Q301" s="760">
        <f>($I$301*L301)</f>
        <v>15</v>
      </c>
      <c r="R301" s="760">
        <f>($I$301*M301)</f>
        <v>10</v>
      </c>
      <c r="S301" s="1356">
        <f t="shared" si="404"/>
        <v>25</v>
      </c>
      <c r="T301" s="2324">
        <f>IFERROR(INDEX('Annex 2_Code'!I$8:I$33,MATCH('Annex 3_MAFF'!$AG301,'Annex 2_Code'!$G$8:$G$33,0)),"")</f>
        <v>0</v>
      </c>
      <c r="U301" s="2314">
        <f>IFERROR(INDEX('Annex 2_Code'!J$8:J$33,MATCH('Annex 3_MAFF'!$AG301,'Annex 2_Code'!$G$8:$G$33,0)),"")</f>
        <v>0</v>
      </c>
      <c r="V301" s="2314">
        <f>IFERROR(INDEX('Annex 2_Code'!K$8:K$33,MATCH('Annex 3_MAFF'!$AG301,'Annex 2_Code'!$G$8:$G$33,0)),"")</f>
        <v>1</v>
      </c>
      <c r="W301" s="2314">
        <f>IFERROR(INDEX('Annex 2_Code'!L$8:L$33,MATCH('Annex 3_MAFF'!$AG301,'Annex 2_Code'!$G$8:$G$33,0)),"")</f>
        <v>0</v>
      </c>
      <c r="X301" s="2325">
        <f>IFERROR(INDEX('Annex 2_Code'!M$8:M$33,MATCH('Annex 3_MAFF'!$AG301,'Annex 2_Code'!$G$8:$G$33,0)),"")</f>
        <v>0</v>
      </c>
      <c r="Y301" s="807">
        <f t="shared" si="395"/>
        <v>0</v>
      </c>
      <c r="Z301" s="807">
        <f t="shared" si="396"/>
        <v>0</v>
      </c>
      <c r="AA301" s="807">
        <f t="shared" si="397"/>
        <v>25</v>
      </c>
      <c r="AB301" s="807">
        <f t="shared" si="398"/>
        <v>0</v>
      </c>
      <c r="AC301" s="808">
        <f t="shared" si="399"/>
        <v>0</v>
      </c>
      <c r="AD301" s="764">
        <f t="shared" si="400"/>
        <v>25</v>
      </c>
      <c r="AE301" s="764">
        <f t="shared" si="401"/>
        <v>0</v>
      </c>
      <c r="AF301" s="605" t="s">
        <v>303</v>
      </c>
      <c r="AG301" s="605" t="s">
        <v>217</v>
      </c>
      <c r="AH301" s="605" t="s">
        <v>372</v>
      </c>
      <c r="AI301" s="646" t="str">
        <f t="shared" si="402"/>
        <v>MAFF</v>
      </c>
      <c r="AJ301" s="683" t="s">
        <v>450</v>
      </c>
    </row>
    <row r="302" spans="1:36" s="607" customFormat="1" ht="23.25" outlineLevel="1">
      <c r="A302" s="725"/>
      <c r="B302" s="2391" t="s">
        <v>123</v>
      </c>
      <c r="C302" s="2392" t="s">
        <v>786</v>
      </c>
      <c r="D302" s="2383"/>
      <c r="E302" s="2370" t="s">
        <v>698</v>
      </c>
      <c r="F302" s="2384"/>
      <c r="G302" s="2385" t="s">
        <v>1615</v>
      </c>
      <c r="H302" s="2393" t="s">
        <v>686</v>
      </c>
      <c r="I302" s="2394">
        <f>(1125000/1000)</f>
        <v>1125</v>
      </c>
      <c r="J302" s="2361">
        <v>0</v>
      </c>
      <c r="K302" s="2360">
        <v>0.28000000000000003</v>
      </c>
      <c r="L302" s="2361">
        <v>0</v>
      </c>
      <c r="M302" s="2361">
        <v>0</v>
      </c>
      <c r="N302" s="2395">
        <f t="shared" si="403"/>
        <v>0.28000000000000003</v>
      </c>
      <c r="O302" s="2396">
        <f t="shared" si="405"/>
        <v>0</v>
      </c>
      <c r="P302" s="2396">
        <f t="shared" ref="P302:P312" si="406">($I302*K302)</f>
        <v>315.00000000000006</v>
      </c>
      <c r="Q302" s="2396">
        <f t="shared" ref="Q302:Q312" si="407">($I302*L302)</f>
        <v>0</v>
      </c>
      <c r="R302" s="2396">
        <f t="shared" ref="R302:R312" si="408">($I302*M302)</f>
        <v>0</v>
      </c>
      <c r="S302" s="2389">
        <f t="shared" si="404"/>
        <v>315.00000000000006</v>
      </c>
      <c r="T302" s="2324">
        <f>IFERROR(INDEX('Annex 2_Code'!I$8:I$33,MATCH('Annex 3_MAFF'!$AG302,'Annex 2_Code'!$G$8:$G$33,0)),"")</f>
        <v>1</v>
      </c>
      <c r="U302" s="2314">
        <f>IFERROR(INDEX('Annex 2_Code'!J$8:J$33,MATCH('Annex 3_MAFF'!$AG302,'Annex 2_Code'!$G$8:$G$33,0)),"")</f>
        <v>0</v>
      </c>
      <c r="V302" s="2314">
        <f>IFERROR(INDEX('Annex 2_Code'!K$8:K$33,MATCH('Annex 3_MAFF'!$AG302,'Annex 2_Code'!$G$8:$G$33,0)),"")</f>
        <v>0</v>
      </c>
      <c r="W302" s="2314">
        <f>IFERROR(INDEX('Annex 2_Code'!L$8:L$33,MATCH('Annex 3_MAFF'!$AG302,'Annex 2_Code'!$G$8:$G$33,0)),"")</f>
        <v>0</v>
      </c>
      <c r="X302" s="2325">
        <f>IFERROR(INDEX('Annex 2_Code'!M$8:M$33,MATCH('Annex 3_MAFF'!$AG302,'Annex 2_Code'!$G$8:$G$33,0)),"")</f>
        <v>0</v>
      </c>
      <c r="Y302" s="807">
        <f t="shared" si="395"/>
        <v>315.00000000000006</v>
      </c>
      <c r="Z302" s="807">
        <f t="shared" si="396"/>
        <v>0</v>
      </c>
      <c r="AA302" s="807">
        <f t="shared" si="397"/>
        <v>0</v>
      </c>
      <c r="AB302" s="807">
        <f t="shared" si="398"/>
        <v>0</v>
      </c>
      <c r="AC302" s="808">
        <f t="shared" si="399"/>
        <v>0</v>
      </c>
      <c r="AD302" s="764">
        <f t="shared" si="400"/>
        <v>315.00000000000006</v>
      </c>
      <c r="AE302" s="764">
        <f t="shared" si="401"/>
        <v>0</v>
      </c>
      <c r="AF302" s="605" t="s">
        <v>303</v>
      </c>
      <c r="AG302" s="605" t="s">
        <v>185</v>
      </c>
      <c r="AH302" s="605" t="s">
        <v>372</v>
      </c>
      <c r="AI302" s="646" t="str">
        <f t="shared" ref="AI302:AI312" si="409">IF(ISNUMBER(FIND("-",AH302,1))=FALSE,LEFT(AH302,LEN(AH302)),LEFT(AH302,(FIND("-",AH302,1))-1))</f>
        <v>MAFF</v>
      </c>
      <c r="AJ302" s="683" t="s">
        <v>456</v>
      </c>
    </row>
    <row r="303" spans="1:36" s="607" customFormat="1" ht="46.5" outlineLevel="1">
      <c r="A303" s="584"/>
      <c r="B303" s="669" t="s">
        <v>1463</v>
      </c>
      <c r="C303" s="669" t="s">
        <v>41</v>
      </c>
      <c r="D303" s="701"/>
      <c r="E303" s="626" t="s">
        <v>699</v>
      </c>
      <c r="F303" s="615"/>
      <c r="G303" s="1452" t="s">
        <v>1140</v>
      </c>
      <c r="H303" s="677" t="s">
        <v>686</v>
      </c>
      <c r="I303" s="794">
        <v>0.5</v>
      </c>
      <c r="J303" s="620">
        <v>0</v>
      </c>
      <c r="K303" s="620">
        <v>16</v>
      </c>
      <c r="L303" s="620">
        <v>4</v>
      </c>
      <c r="M303" s="620">
        <v>0</v>
      </c>
      <c r="N303" s="731">
        <f t="shared" si="403"/>
        <v>20</v>
      </c>
      <c r="O303" s="760">
        <f t="shared" si="405"/>
        <v>0</v>
      </c>
      <c r="P303" s="760">
        <f t="shared" si="406"/>
        <v>8</v>
      </c>
      <c r="Q303" s="760">
        <f t="shared" si="407"/>
        <v>2</v>
      </c>
      <c r="R303" s="760">
        <f t="shared" si="408"/>
        <v>0</v>
      </c>
      <c r="S303" s="1356">
        <f t="shared" si="404"/>
        <v>10</v>
      </c>
      <c r="T303" s="2324">
        <f>IFERROR(INDEX('Annex 2_Code'!I$8:I$33,MATCH('Annex 3_MAFF'!$AG303,'Annex 2_Code'!$G$8:$G$33,0)),"")</f>
        <v>0</v>
      </c>
      <c r="U303" s="2314">
        <f>IFERROR(INDEX('Annex 2_Code'!J$8:J$33,MATCH('Annex 3_MAFF'!$AG303,'Annex 2_Code'!$G$8:$G$33,0)),"")</f>
        <v>0</v>
      </c>
      <c r="V303" s="2314">
        <f>IFERROR(INDEX('Annex 2_Code'!K$8:K$33,MATCH('Annex 3_MAFF'!$AG303,'Annex 2_Code'!$G$8:$G$33,0)),"")</f>
        <v>1</v>
      </c>
      <c r="W303" s="2314">
        <f>IFERROR(INDEX('Annex 2_Code'!L$8:L$33,MATCH('Annex 3_MAFF'!$AG303,'Annex 2_Code'!$G$8:$G$33,0)),"")</f>
        <v>0</v>
      </c>
      <c r="X303" s="2325">
        <f>IFERROR(INDEX('Annex 2_Code'!M$8:M$33,MATCH('Annex 3_MAFF'!$AG303,'Annex 2_Code'!$G$8:$G$33,0)),"")</f>
        <v>0</v>
      </c>
      <c r="Y303" s="807">
        <f t="shared" si="395"/>
        <v>0</v>
      </c>
      <c r="Z303" s="807">
        <f t="shared" si="396"/>
        <v>0</v>
      </c>
      <c r="AA303" s="807">
        <f t="shared" si="397"/>
        <v>10</v>
      </c>
      <c r="AB303" s="807">
        <f t="shared" si="398"/>
        <v>0</v>
      </c>
      <c r="AC303" s="808">
        <f t="shared" si="399"/>
        <v>0</v>
      </c>
      <c r="AD303" s="764">
        <f t="shared" si="400"/>
        <v>10</v>
      </c>
      <c r="AE303" s="764">
        <f t="shared" si="401"/>
        <v>0</v>
      </c>
      <c r="AF303" s="605" t="s">
        <v>303</v>
      </c>
      <c r="AG303" s="605" t="s">
        <v>201</v>
      </c>
      <c r="AH303" s="605" t="s">
        <v>372</v>
      </c>
      <c r="AI303" s="646" t="str">
        <f t="shared" si="409"/>
        <v>MAFF</v>
      </c>
      <c r="AJ303" s="683" t="s">
        <v>456</v>
      </c>
    </row>
    <row r="304" spans="1:36" s="607" customFormat="1" ht="51.75" outlineLevel="1">
      <c r="A304" s="587"/>
      <c r="B304" s="669" t="s">
        <v>1451</v>
      </c>
      <c r="C304" s="669" t="s">
        <v>41</v>
      </c>
      <c r="D304" s="701"/>
      <c r="E304" s="626" t="s">
        <v>796</v>
      </c>
      <c r="F304" s="615"/>
      <c r="G304" s="616" t="s">
        <v>1579</v>
      </c>
      <c r="H304" s="677" t="s">
        <v>595</v>
      </c>
      <c r="I304" s="787">
        <v>6</v>
      </c>
      <c r="J304" s="620">
        <v>0</v>
      </c>
      <c r="K304" s="620">
        <v>0</v>
      </c>
      <c r="L304" s="620">
        <v>0</v>
      </c>
      <c r="M304" s="620">
        <v>1</v>
      </c>
      <c r="N304" s="731">
        <f t="shared" ref="N304:N312" si="410">SUM(J304:M304)</f>
        <v>1</v>
      </c>
      <c r="O304" s="760">
        <f t="shared" si="405"/>
        <v>0</v>
      </c>
      <c r="P304" s="760">
        <f t="shared" si="406"/>
        <v>0</v>
      </c>
      <c r="Q304" s="760">
        <f t="shared" si="407"/>
        <v>0</v>
      </c>
      <c r="R304" s="760">
        <f t="shared" si="408"/>
        <v>6</v>
      </c>
      <c r="S304" s="1356">
        <f t="shared" si="404"/>
        <v>6</v>
      </c>
      <c r="T304" s="763">
        <f>IFERROR(INDEX('Annex 2_Code'!I$8:I$33,MATCH('Annex 3_MAFF'!$AG304,'Annex 2_Code'!$G$8:$G$33,0)),"")</f>
        <v>0</v>
      </c>
      <c r="U304" s="763">
        <f>IFERROR(INDEX('Annex 2_Code'!J$8:J$33,MATCH('Annex 3_MAFF'!$AG304,'Annex 2_Code'!$G$8:$G$33,0)),"")</f>
        <v>0</v>
      </c>
      <c r="V304" s="763">
        <f>IFERROR(INDEX('Annex 2_Code'!K$8:K$33,MATCH('Annex 3_MAFF'!$AG304,'Annex 2_Code'!$G$8:$G$33,0)),"")</f>
        <v>1</v>
      </c>
      <c r="W304" s="763">
        <f>IFERROR(INDEX('Annex 2_Code'!L$8:L$33,MATCH('Annex 3_MAFF'!$AG304,'Annex 2_Code'!$G$8:$G$33,0)),"")</f>
        <v>0</v>
      </c>
      <c r="X304" s="763">
        <f>IFERROR(INDEX('Annex 2_Code'!M$8:M$33,MATCH('Annex 3_MAFF'!$AG304,'Annex 2_Code'!$G$8:$G$33,0)),"")</f>
        <v>0</v>
      </c>
      <c r="Y304" s="1745">
        <f t="shared" ref="Y304:Y308" si="411">IFERROR($S304*T304,"")</f>
        <v>0</v>
      </c>
      <c r="Z304" s="807">
        <f t="shared" ref="Z304:Z308" si="412">IFERROR($S304*U304,"")</f>
        <v>0</v>
      </c>
      <c r="AA304" s="807">
        <f t="shared" ref="AA304:AA308" si="413">IFERROR($S304*V304,"")</f>
        <v>6</v>
      </c>
      <c r="AB304" s="807">
        <f t="shared" ref="AB304:AB308" si="414">IFERROR($S304*W304,"")</f>
        <v>0</v>
      </c>
      <c r="AC304" s="808">
        <f t="shared" ref="AC304:AC308" si="415">IFERROR($S304*X304,"")</f>
        <v>0</v>
      </c>
      <c r="AD304" s="764">
        <f t="shared" ref="AD304:AD308" si="416">SUM(Y304:AC304)</f>
        <v>6</v>
      </c>
      <c r="AE304" s="764">
        <f t="shared" ref="AE304:AE308" si="417">AD304-S304</f>
        <v>0</v>
      </c>
      <c r="AF304" s="605" t="s">
        <v>303</v>
      </c>
      <c r="AG304" s="605" t="s">
        <v>201</v>
      </c>
      <c r="AH304" s="605" t="s">
        <v>372</v>
      </c>
      <c r="AI304" s="646" t="str">
        <f t="shared" ref="AI304:AI308" si="418">IF(ISNUMBER(FIND("-",AH304,1))=FALSE,LEFT(AH304,LEN(AH304)),LEFT(AH304,(FIND("-",AH304,1))-1))</f>
        <v>MAFF</v>
      </c>
      <c r="AJ304" s="683"/>
    </row>
    <row r="305" spans="1:50" s="607" customFormat="1" ht="51.75" outlineLevel="1">
      <c r="A305" s="587"/>
      <c r="B305" s="669" t="s">
        <v>1451</v>
      </c>
      <c r="C305" s="669" t="s">
        <v>41</v>
      </c>
      <c r="D305" s="701"/>
      <c r="E305" s="626" t="s">
        <v>827</v>
      </c>
      <c r="F305" s="615"/>
      <c r="G305" s="616" t="s">
        <v>1580</v>
      </c>
      <c r="H305" s="677" t="s">
        <v>595</v>
      </c>
      <c r="I305" s="787">
        <v>6</v>
      </c>
      <c r="J305" s="620">
        <v>0</v>
      </c>
      <c r="K305" s="620">
        <v>0</v>
      </c>
      <c r="L305" s="620">
        <v>0</v>
      </c>
      <c r="M305" s="620">
        <v>1</v>
      </c>
      <c r="N305" s="731">
        <f t="shared" si="410"/>
        <v>1</v>
      </c>
      <c r="O305" s="760">
        <f t="shared" si="405"/>
        <v>0</v>
      </c>
      <c r="P305" s="760">
        <f t="shared" si="406"/>
        <v>0</v>
      </c>
      <c r="Q305" s="760">
        <f t="shared" si="407"/>
        <v>0</v>
      </c>
      <c r="R305" s="760">
        <f t="shared" si="408"/>
        <v>6</v>
      </c>
      <c r="S305" s="1356">
        <f t="shared" si="404"/>
        <v>6</v>
      </c>
      <c r="T305" s="763">
        <f>IFERROR(INDEX('Annex 2_Code'!I$8:I$33,MATCH('Annex 3_MAFF'!$AG305,'Annex 2_Code'!$G$8:$G$33,0)),"")</f>
        <v>0</v>
      </c>
      <c r="U305" s="763">
        <f>IFERROR(INDEX('Annex 2_Code'!J$8:J$33,MATCH('Annex 3_MAFF'!$AG305,'Annex 2_Code'!$G$8:$G$33,0)),"")</f>
        <v>0</v>
      </c>
      <c r="V305" s="763">
        <f>IFERROR(INDEX('Annex 2_Code'!K$8:K$33,MATCH('Annex 3_MAFF'!$AG305,'Annex 2_Code'!$G$8:$G$33,0)),"")</f>
        <v>1</v>
      </c>
      <c r="W305" s="763">
        <f>IFERROR(INDEX('Annex 2_Code'!L$8:L$33,MATCH('Annex 3_MAFF'!$AG305,'Annex 2_Code'!$G$8:$G$33,0)),"")</f>
        <v>0</v>
      </c>
      <c r="X305" s="763">
        <f>IFERROR(INDEX('Annex 2_Code'!M$8:M$33,MATCH('Annex 3_MAFF'!$AG305,'Annex 2_Code'!$G$8:$G$33,0)),"")</f>
        <v>0</v>
      </c>
      <c r="Y305" s="1745">
        <f t="shared" si="411"/>
        <v>0</v>
      </c>
      <c r="Z305" s="807">
        <f t="shared" si="412"/>
        <v>0</v>
      </c>
      <c r="AA305" s="807">
        <f t="shared" si="413"/>
        <v>6</v>
      </c>
      <c r="AB305" s="807">
        <f t="shared" si="414"/>
        <v>0</v>
      </c>
      <c r="AC305" s="808">
        <f t="shared" si="415"/>
        <v>0</v>
      </c>
      <c r="AD305" s="764">
        <f t="shared" si="416"/>
        <v>6</v>
      </c>
      <c r="AE305" s="764">
        <f t="shared" si="417"/>
        <v>0</v>
      </c>
      <c r="AF305" s="605" t="s">
        <v>303</v>
      </c>
      <c r="AG305" s="605" t="s">
        <v>201</v>
      </c>
      <c r="AH305" s="605" t="s">
        <v>372</v>
      </c>
      <c r="AI305" s="646" t="str">
        <f t="shared" si="418"/>
        <v>MAFF</v>
      </c>
      <c r="AJ305" s="683"/>
    </row>
    <row r="306" spans="1:50" s="607" customFormat="1" ht="50.25" customHeight="1" outlineLevel="1">
      <c r="A306" s="587"/>
      <c r="B306" s="669" t="s">
        <v>1451</v>
      </c>
      <c r="C306" s="669" t="s">
        <v>41</v>
      </c>
      <c r="D306" s="701"/>
      <c r="E306" s="626" t="s">
        <v>828</v>
      </c>
      <c r="F306" s="615"/>
      <c r="G306" s="616" t="s">
        <v>1581</v>
      </c>
      <c r="H306" s="677" t="s">
        <v>595</v>
      </c>
      <c r="I306" s="787">
        <v>6</v>
      </c>
      <c r="J306" s="620">
        <v>0</v>
      </c>
      <c r="K306" s="620">
        <v>0</v>
      </c>
      <c r="L306" s="620">
        <v>1</v>
      </c>
      <c r="M306" s="620">
        <v>0</v>
      </c>
      <c r="N306" s="731">
        <f t="shared" si="410"/>
        <v>1</v>
      </c>
      <c r="O306" s="760">
        <f t="shared" si="405"/>
        <v>0</v>
      </c>
      <c r="P306" s="760">
        <f t="shared" si="406"/>
        <v>0</v>
      </c>
      <c r="Q306" s="760">
        <f t="shared" si="407"/>
        <v>6</v>
      </c>
      <c r="R306" s="760">
        <f t="shared" si="408"/>
        <v>0</v>
      </c>
      <c r="S306" s="1356">
        <f t="shared" si="404"/>
        <v>6</v>
      </c>
      <c r="T306" s="763">
        <f>IFERROR(INDEX('Annex 2_Code'!I$8:I$33,MATCH('Annex 3_MAFF'!$AG306,'Annex 2_Code'!$G$8:$G$33,0)),"")</f>
        <v>0</v>
      </c>
      <c r="U306" s="763">
        <f>IFERROR(INDEX('Annex 2_Code'!J$8:J$33,MATCH('Annex 3_MAFF'!$AG306,'Annex 2_Code'!$G$8:$G$33,0)),"")</f>
        <v>0</v>
      </c>
      <c r="V306" s="763">
        <f>IFERROR(INDEX('Annex 2_Code'!K$8:K$33,MATCH('Annex 3_MAFF'!$AG306,'Annex 2_Code'!$G$8:$G$33,0)),"")</f>
        <v>1</v>
      </c>
      <c r="W306" s="763">
        <f>IFERROR(INDEX('Annex 2_Code'!L$8:L$33,MATCH('Annex 3_MAFF'!$AG306,'Annex 2_Code'!$G$8:$G$33,0)),"")</f>
        <v>0</v>
      </c>
      <c r="X306" s="763">
        <f>IFERROR(INDEX('Annex 2_Code'!M$8:M$33,MATCH('Annex 3_MAFF'!$AG306,'Annex 2_Code'!$G$8:$G$33,0)),"")</f>
        <v>0</v>
      </c>
      <c r="Y306" s="1745">
        <f t="shared" si="411"/>
        <v>0</v>
      </c>
      <c r="Z306" s="807">
        <f t="shared" si="412"/>
        <v>0</v>
      </c>
      <c r="AA306" s="807">
        <f t="shared" si="413"/>
        <v>6</v>
      </c>
      <c r="AB306" s="807">
        <f t="shared" si="414"/>
        <v>0</v>
      </c>
      <c r="AC306" s="808">
        <f t="shared" si="415"/>
        <v>0</v>
      </c>
      <c r="AD306" s="764">
        <f t="shared" si="416"/>
        <v>6</v>
      </c>
      <c r="AE306" s="764">
        <f t="shared" si="417"/>
        <v>0</v>
      </c>
      <c r="AF306" s="605" t="s">
        <v>303</v>
      </c>
      <c r="AG306" s="605" t="s">
        <v>201</v>
      </c>
      <c r="AH306" s="605" t="s">
        <v>372</v>
      </c>
      <c r="AI306" s="646" t="str">
        <f t="shared" si="418"/>
        <v>MAFF</v>
      </c>
      <c r="AJ306" s="683"/>
    </row>
    <row r="307" spans="1:50" s="1871" customFormat="1" ht="69.75" outlineLevel="1">
      <c r="A307" s="1870"/>
      <c r="B307" s="669" t="s">
        <v>1451</v>
      </c>
      <c r="C307" s="669" t="s">
        <v>41</v>
      </c>
      <c r="D307" s="701"/>
      <c r="E307" s="626" t="s">
        <v>829</v>
      </c>
      <c r="F307" s="615"/>
      <c r="G307" s="1452" t="s">
        <v>1175</v>
      </c>
      <c r="H307" s="811" t="s">
        <v>1537</v>
      </c>
      <c r="I307" s="794">
        <v>1.5</v>
      </c>
      <c r="J307" s="620">
        <v>0</v>
      </c>
      <c r="K307" s="620">
        <v>17</v>
      </c>
      <c r="L307" s="620">
        <v>10</v>
      </c>
      <c r="M307" s="620">
        <v>0</v>
      </c>
      <c r="N307" s="731">
        <f t="shared" si="410"/>
        <v>27</v>
      </c>
      <c r="O307" s="760">
        <f t="shared" si="405"/>
        <v>0</v>
      </c>
      <c r="P307" s="760">
        <f t="shared" si="406"/>
        <v>25.5</v>
      </c>
      <c r="Q307" s="760">
        <f t="shared" si="407"/>
        <v>15</v>
      </c>
      <c r="R307" s="760">
        <f t="shared" si="408"/>
        <v>0</v>
      </c>
      <c r="S307" s="1356">
        <f t="shared" si="404"/>
        <v>40.5</v>
      </c>
      <c r="T307" s="763">
        <f>IFERROR(INDEX('Annex 2_Code'!I$8:I$33,MATCH('Annex 3_MAFF'!$AG307,'Annex 2_Code'!$G$8:$G$33,0)),"")</f>
        <v>0</v>
      </c>
      <c r="U307" s="763">
        <f>IFERROR(INDEX('Annex 2_Code'!J$8:J$33,MATCH('Annex 3_MAFF'!$AG307,'Annex 2_Code'!$G$8:$G$33,0)),"")</f>
        <v>0</v>
      </c>
      <c r="V307" s="763">
        <f>IFERROR(INDEX('Annex 2_Code'!K$8:K$33,MATCH('Annex 3_MAFF'!$AG307,'Annex 2_Code'!$G$8:$G$33,0)),"")</f>
        <v>1</v>
      </c>
      <c r="W307" s="763">
        <f>IFERROR(INDEX('Annex 2_Code'!L$8:L$33,MATCH('Annex 3_MAFF'!$AG307,'Annex 2_Code'!$G$8:$G$33,0)),"")</f>
        <v>0</v>
      </c>
      <c r="X307" s="763">
        <f>IFERROR(INDEX('Annex 2_Code'!M$8:M$33,MATCH('Annex 3_MAFF'!$AG307,'Annex 2_Code'!$G$8:$G$33,0)),"")</f>
        <v>0</v>
      </c>
      <c r="Y307" s="1745">
        <f t="shared" si="411"/>
        <v>0</v>
      </c>
      <c r="Z307" s="807">
        <f t="shared" si="412"/>
        <v>0</v>
      </c>
      <c r="AA307" s="807">
        <f t="shared" si="413"/>
        <v>40.5</v>
      </c>
      <c r="AB307" s="807">
        <f t="shared" si="414"/>
        <v>0</v>
      </c>
      <c r="AC307" s="808">
        <f t="shared" si="415"/>
        <v>0</v>
      </c>
      <c r="AD307" s="764">
        <f t="shared" si="416"/>
        <v>40.5</v>
      </c>
      <c r="AE307" s="764">
        <f t="shared" si="417"/>
        <v>0</v>
      </c>
      <c r="AF307" s="605" t="s">
        <v>303</v>
      </c>
      <c r="AG307" s="605" t="s">
        <v>201</v>
      </c>
      <c r="AH307" s="605" t="s">
        <v>372</v>
      </c>
      <c r="AI307" s="646" t="str">
        <f t="shared" si="418"/>
        <v>MAFF</v>
      </c>
      <c r="AJ307" s="683"/>
    </row>
    <row r="308" spans="1:50" s="607" customFormat="1" ht="93" outlineLevel="1">
      <c r="A308" s="587"/>
      <c r="B308" s="669" t="s">
        <v>1451</v>
      </c>
      <c r="C308" s="669" t="s">
        <v>41</v>
      </c>
      <c r="D308" s="701"/>
      <c r="E308" s="626" t="s">
        <v>830</v>
      </c>
      <c r="F308" s="615"/>
      <c r="G308" s="1922" t="s">
        <v>1157</v>
      </c>
      <c r="H308" s="1730" t="s">
        <v>1138</v>
      </c>
      <c r="I308" s="794">
        <v>20</v>
      </c>
      <c r="J308" s="620">
        <v>0</v>
      </c>
      <c r="K308" s="620">
        <v>0</v>
      </c>
      <c r="L308" s="620">
        <v>1</v>
      </c>
      <c r="M308" s="620">
        <v>0</v>
      </c>
      <c r="N308" s="731">
        <f t="shared" si="410"/>
        <v>1</v>
      </c>
      <c r="O308" s="760">
        <f t="shared" si="405"/>
        <v>0</v>
      </c>
      <c r="P308" s="760">
        <f t="shared" si="406"/>
        <v>0</v>
      </c>
      <c r="Q308" s="760">
        <f t="shared" si="407"/>
        <v>20</v>
      </c>
      <c r="R308" s="760">
        <f t="shared" si="408"/>
        <v>0</v>
      </c>
      <c r="S308" s="1356">
        <f t="shared" si="404"/>
        <v>20</v>
      </c>
      <c r="T308" s="763">
        <f>IFERROR(INDEX('Annex 2_Code'!I$8:I$33,MATCH('Annex 3_MAFF'!$AG308,'Annex 2_Code'!$G$8:$G$33,0)),"")</f>
        <v>0</v>
      </c>
      <c r="U308" s="763">
        <f>IFERROR(INDEX('Annex 2_Code'!J$8:J$33,MATCH('Annex 3_MAFF'!$AG308,'Annex 2_Code'!$G$8:$G$33,0)),"")</f>
        <v>0</v>
      </c>
      <c r="V308" s="763">
        <f>IFERROR(INDEX('Annex 2_Code'!K$8:K$33,MATCH('Annex 3_MAFF'!$AG308,'Annex 2_Code'!$G$8:$G$33,0)),"")</f>
        <v>1</v>
      </c>
      <c r="W308" s="763">
        <f>IFERROR(INDEX('Annex 2_Code'!L$8:L$33,MATCH('Annex 3_MAFF'!$AG308,'Annex 2_Code'!$G$8:$G$33,0)),"")</f>
        <v>0</v>
      </c>
      <c r="X308" s="763">
        <f>IFERROR(INDEX('Annex 2_Code'!M$8:M$33,MATCH('Annex 3_MAFF'!$AG308,'Annex 2_Code'!$G$8:$G$33,0)),"")</f>
        <v>0</v>
      </c>
      <c r="Y308" s="1745">
        <f t="shared" si="411"/>
        <v>0</v>
      </c>
      <c r="Z308" s="807">
        <f t="shared" si="412"/>
        <v>0</v>
      </c>
      <c r="AA308" s="807">
        <f t="shared" si="413"/>
        <v>20</v>
      </c>
      <c r="AB308" s="807">
        <f t="shared" si="414"/>
        <v>0</v>
      </c>
      <c r="AC308" s="808">
        <f t="shared" si="415"/>
        <v>0</v>
      </c>
      <c r="AD308" s="764">
        <f t="shared" si="416"/>
        <v>20</v>
      </c>
      <c r="AE308" s="764">
        <f t="shared" si="417"/>
        <v>0</v>
      </c>
      <c r="AF308" s="605" t="s">
        <v>303</v>
      </c>
      <c r="AG308" s="605" t="s">
        <v>201</v>
      </c>
      <c r="AH308" s="605" t="s">
        <v>372</v>
      </c>
      <c r="AI308" s="646" t="str">
        <f t="shared" si="418"/>
        <v>MAFF</v>
      </c>
      <c r="AJ308" s="683"/>
    </row>
    <row r="309" spans="1:50" s="607" customFormat="1" ht="46.5" outlineLevel="1">
      <c r="A309" s="584"/>
      <c r="B309" s="669" t="s">
        <v>1463</v>
      </c>
      <c r="C309" s="669" t="s">
        <v>41</v>
      </c>
      <c r="D309" s="701"/>
      <c r="E309" s="626" t="s">
        <v>1127</v>
      </c>
      <c r="F309" s="615"/>
      <c r="G309" s="1452" t="s">
        <v>1250</v>
      </c>
      <c r="H309" s="1454" t="s">
        <v>862</v>
      </c>
      <c r="I309" s="1723">
        <v>3</v>
      </c>
      <c r="J309" s="620">
        <v>1</v>
      </c>
      <c r="K309" s="620">
        <v>0</v>
      </c>
      <c r="L309" s="620">
        <v>0</v>
      </c>
      <c r="M309" s="620">
        <v>0</v>
      </c>
      <c r="N309" s="731">
        <f t="shared" si="410"/>
        <v>1</v>
      </c>
      <c r="O309" s="760">
        <f t="shared" si="405"/>
        <v>3</v>
      </c>
      <c r="P309" s="760">
        <f t="shared" si="406"/>
        <v>0</v>
      </c>
      <c r="Q309" s="760">
        <f t="shared" si="407"/>
        <v>0</v>
      </c>
      <c r="R309" s="760">
        <f t="shared" si="408"/>
        <v>0</v>
      </c>
      <c r="S309" s="1356">
        <f t="shared" si="404"/>
        <v>3</v>
      </c>
      <c r="T309" s="763">
        <f>IFERROR(INDEX('Annex 2_Code'!I$8:I$33,MATCH('Annex 3_MAFF'!$AG309,'Annex 2_Code'!$G$8:$G$33,0)),"")</f>
        <v>0</v>
      </c>
      <c r="U309" s="763">
        <f>IFERROR(INDEX('Annex 2_Code'!J$8:J$33,MATCH('Annex 3_MAFF'!$AG309,'Annex 2_Code'!$G$8:$G$33,0)),"")</f>
        <v>0</v>
      </c>
      <c r="V309" s="763">
        <f>IFERROR(INDEX('Annex 2_Code'!K$8:K$33,MATCH('Annex 3_MAFF'!$AG309,'Annex 2_Code'!$G$8:$G$33,0)),"")</f>
        <v>1</v>
      </c>
      <c r="W309" s="763">
        <f>IFERROR(INDEX('Annex 2_Code'!L$8:L$33,MATCH('Annex 3_MAFF'!$AG309,'Annex 2_Code'!$G$8:$G$33,0)),"")</f>
        <v>0</v>
      </c>
      <c r="X309" s="763">
        <f>IFERROR(INDEX('Annex 2_Code'!M$8:M$33,MATCH('Annex 3_MAFF'!$AG309,'Annex 2_Code'!$G$8:$G$33,0)),"")</f>
        <v>0</v>
      </c>
      <c r="Y309" s="1745">
        <f t="shared" ref="Y309:Y312" si="419">IFERROR($S309*T309,"")</f>
        <v>0</v>
      </c>
      <c r="Z309" s="807">
        <f t="shared" ref="Z309:Z312" si="420">IFERROR($S309*U309,"")</f>
        <v>0</v>
      </c>
      <c r="AA309" s="807">
        <f t="shared" ref="AA309:AA312" si="421">IFERROR($S309*V309,"")</f>
        <v>3</v>
      </c>
      <c r="AB309" s="807">
        <f t="shared" ref="AB309:AB312" si="422">IFERROR($S309*W309,"")</f>
        <v>0</v>
      </c>
      <c r="AC309" s="808">
        <f t="shared" ref="AC309:AC312" si="423">IFERROR($S309*X309,"")</f>
        <v>0</v>
      </c>
      <c r="AD309" s="764">
        <f t="shared" ref="AD309:AD312" si="424">SUM(Y309:AC309)</f>
        <v>3</v>
      </c>
      <c r="AE309" s="764">
        <f t="shared" ref="AE309:AE312" si="425">AD309-S309</f>
        <v>0</v>
      </c>
      <c r="AF309" s="605" t="s">
        <v>303</v>
      </c>
      <c r="AG309" s="605" t="s">
        <v>201</v>
      </c>
      <c r="AH309" s="605" t="s">
        <v>372</v>
      </c>
      <c r="AI309" s="646" t="str">
        <f t="shared" si="409"/>
        <v>MAFF</v>
      </c>
      <c r="AJ309" s="683"/>
    </row>
    <row r="310" spans="1:50" s="607" customFormat="1" ht="46.5" outlineLevel="1">
      <c r="A310" s="584"/>
      <c r="B310" s="669" t="s">
        <v>1463</v>
      </c>
      <c r="C310" s="669" t="s">
        <v>41</v>
      </c>
      <c r="D310" s="701"/>
      <c r="E310" s="626" t="s">
        <v>1128</v>
      </c>
      <c r="F310" s="615"/>
      <c r="G310" s="1452" t="s">
        <v>924</v>
      </c>
      <c r="H310" s="1454" t="s">
        <v>862</v>
      </c>
      <c r="I310" s="1723">
        <v>1</v>
      </c>
      <c r="J310" s="620">
        <v>0</v>
      </c>
      <c r="K310" s="620">
        <v>2</v>
      </c>
      <c r="L310" s="620">
        <v>2</v>
      </c>
      <c r="M310" s="620"/>
      <c r="N310" s="731">
        <f>SUM(J310:M310)</f>
        <v>4</v>
      </c>
      <c r="O310" s="760">
        <f t="shared" si="405"/>
        <v>0</v>
      </c>
      <c r="P310" s="760">
        <f t="shared" si="406"/>
        <v>2</v>
      </c>
      <c r="Q310" s="760">
        <f t="shared" si="407"/>
        <v>2</v>
      </c>
      <c r="R310" s="760">
        <f t="shared" si="408"/>
        <v>0</v>
      </c>
      <c r="S310" s="1356">
        <f t="shared" si="404"/>
        <v>4</v>
      </c>
      <c r="T310" s="763">
        <f>IFERROR(INDEX('Annex 2_Code'!I$8:I$33,MATCH('Annex 3_MAFF'!$AG310,'Annex 2_Code'!$G$8:$G$33,0)),"")</f>
        <v>0</v>
      </c>
      <c r="U310" s="763">
        <f>IFERROR(INDEX('Annex 2_Code'!J$8:J$33,MATCH('Annex 3_MAFF'!$AG310,'Annex 2_Code'!$G$8:$G$33,0)),"")</f>
        <v>0</v>
      </c>
      <c r="V310" s="763">
        <f>IFERROR(INDEX('Annex 2_Code'!K$8:K$33,MATCH('Annex 3_MAFF'!$AG310,'Annex 2_Code'!$G$8:$G$33,0)),"")</f>
        <v>1</v>
      </c>
      <c r="W310" s="763">
        <f>IFERROR(INDEX('Annex 2_Code'!L$8:L$33,MATCH('Annex 3_MAFF'!$AG310,'Annex 2_Code'!$G$8:$G$33,0)),"")</f>
        <v>0</v>
      </c>
      <c r="X310" s="763">
        <f>IFERROR(INDEX('Annex 2_Code'!M$8:M$33,MATCH('Annex 3_MAFF'!$AG310,'Annex 2_Code'!$G$8:$G$33,0)),"")</f>
        <v>0</v>
      </c>
      <c r="Y310" s="1745">
        <f t="shared" si="419"/>
        <v>0</v>
      </c>
      <c r="Z310" s="807">
        <f t="shared" si="420"/>
        <v>0</v>
      </c>
      <c r="AA310" s="807">
        <f t="shared" si="421"/>
        <v>4</v>
      </c>
      <c r="AB310" s="807">
        <f t="shared" si="422"/>
        <v>0</v>
      </c>
      <c r="AC310" s="808">
        <f t="shared" si="423"/>
        <v>0</v>
      </c>
      <c r="AD310" s="764">
        <f t="shared" si="424"/>
        <v>4</v>
      </c>
      <c r="AE310" s="764">
        <f t="shared" si="425"/>
        <v>0</v>
      </c>
      <c r="AF310" s="605" t="s">
        <v>303</v>
      </c>
      <c r="AG310" s="605" t="s">
        <v>201</v>
      </c>
      <c r="AH310" s="605" t="s">
        <v>372</v>
      </c>
      <c r="AI310" s="646" t="str">
        <f t="shared" si="409"/>
        <v>MAFF</v>
      </c>
      <c r="AJ310" s="683"/>
    </row>
    <row r="311" spans="1:50" s="683" customFormat="1" ht="46.5" outlineLevel="1">
      <c r="A311" s="307"/>
      <c r="B311" s="669" t="s">
        <v>1463</v>
      </c>
      <c r="C311" s="669" t="s">
        <v>41</v>
      </c>
      <c r="D311" s="701"/>
      <c r="E311" s="626" t="s">
        <v>898</v>
      </c>
      <c r="F311" s="615"/>
      <c r="G311" s="1452" t="s">
        <v>925</v>
      </c>
      <c r="H311" s="1454" t="s">
        <v>904</v>
      </c>
      <c r="I311" s="794">
        <v>1</v>
      </c>
      <c r="J311" s="620">
        <v>0</v>
      </c>
      <c r="K311" s="620">
        <v>0</v>
      </c>
      <c r="L311" s="620">
        <v>0</v>
      </c>
      <c r="M311" s="620">
        <v>2</v>
      </c>
      <c r="N311" s="731">
        <f t="shared" si="410"/>
        <v>2</v>
      </c>
      <c r="O311" s="760">
        <f t="shared" si="405"/>
        <v>0</v>
      </c>
      <c r="P311" s="760">
        <f t="shared" si="406"/>
        <v>0</v>
      </c>
      <c r="Q311" s="760">
        <f t="shared" si="407"/>
        <v>0</v>
      </c>
      <c r="R311" s="760">
        <f t="shared" si="408"/>
        <v>2</v>
      </c>
      <c r="S311" s="1356">
        <f t="shared" si="404"/>
        <v>2</v>
      </c>
      <c r="T311" s="763">
        <f>IFERROR(INDEX('Annex 2_Code'!I$8:I$33,MATCH('Annex 3_MAFF'!$AG311,'Annex 2_Code'!$G$8:$G$33,0)),"")</f>
        <v>0</v>
      </c>
      <c r="U311" s="763">
        <f>IFERROR(INDEX('Annex 2_Code'!J$8:J$33,MATCH('Annex 3_MAFF'!$AG311,'Annex 2_Code'!$G$8:$G$33,0)),"")</f>
        <v>0</v>
      </c>
      <c r="V311" s="763">
        <f>IFERROR(INDEX('Annex 2_Code'!K$8:K$33,MATCH('Annex 3_MAFF'!$AG311,'Annex 2_Code'!$G$8:$G$33,0)),"")</f>
        <v>1</v>
      </c>
      <c r="W311" s="763">
        <f>IFERROR(INDEX('Annex 2_Code'!L$8:L$33,MATCH('Annex 3_MAFF'!$AG311,'Annex 2_Code'!$G$8:$G$33,0)),"")</f>
        <v>0</v>
      </c>
      <c r="X311" s="763">
        <f>IFERROR(INDEX('Annex 2_Code'!M$8:M$33,MATCH('Annex 3_MAFF'!$AG311,'Annex 2_Code'!$G$8:$G$33,0)),"")</f>
        <v>0</v>
      </c>
      <c r="Y311" s="1745">
        <f t="shared" si="419"/>
        <v>0</v>
      </c>
      <c r="Z311" s="807">
        <f t="shared" si="420"/>
        <v>0</v>
      </c>
      <c r="AA311" s="807">
        <f t="shared" si="421"/>
        <v>2</v>
      </c>
      <c r="AB311" s="807">
        <f t="shared" si="422"/>
        <v>0</v>
      </c>
      <c r="AC311" s="808">
        <f t="shared" si="423"/>
        <v>0</v>
      </c>
      <c r="AD311" s="764">
        <f t="shared" si="424"/>
        <v>2</v>
      </c>
      <c r="AE311" s="764">
        <f t="shared" si="425"/>
        <v>0</v>
      </c>
      <c r="AF311" s="605" t="s">
        <v>303</v>
      </c>
      <c r="AG311" s="605" t="s">
        <v>201</v>
      </c>
      <c r="AH311" s="605" t="s">
        <v>372</v>
      </c>
      <c r="AI311" s="646" t="str">
        <f t="shared" si="409"/>
        <v>MAFF</v>
      </c>
    </row>
    <row r="312" spans="1:50" s="607" customFormat="1" ht="46.5" outlineLevel="1">
      <c r="A312" s="307"/>
      <c r="B312" s="669" t="s">
        <v>1463</v>
      </c>
      <c r="C312" s="669" t="s">
        <v>41</v>
      </c>
      <c r="D312" s="701"/>
      <c r="E312" s="626" t="s">
        <v>1168</v>
      </c>
      <c r="F312" s="2326"/>
      <c r="G312" s="2327" t="s">
        <v>1116</v>
      </c>
      <c r="H312" s="1454" t="s">
        <v>1082</v>
      </c>
      <c r="I312" s="1724">
        <v>3</v>
      </c>
      <c r="J312" s="620">
        <v>8</v>
      </c>
      <c r="K312" s="620">
        <v>0</v>
      </c>
      <c r="L312" s="620">
        <v>0</v>
      </c>
      <c r="M312" s="620">
        <v>0</v>
      </c>
      <c r="N312" s="731">
        <f t="shared" si="410"/>
        <v>8</v>
      </c>
      <c r="O312" s="760">
        <f t="shared" si="405"/>
        <v>24</v>
      </c>
      <c r="P312" s="760">
        <f t="shared" si="406"/>
        <v>0</v>
      </c>
      <c r="Q312" s="760">
        <f t="shared" si="407"/>
        <v>0</v>
      </c>
      <c r="R312" s="760">
        <f t="shared" si="408"/>
        <v>0</v>
      </c>
      <c r="S312" s="1356">
        <f t="shared" si="404"/>
        <v>24</v>
      </c>
      <c r="T312" s="763">
        <f>IFERROR(INDEX('Annex 2_Code'!I$8:I$33,MATCH('Annex 3_MAFF'!$AG312,'Annex 2_Code'!$G$8:$G$33,0)),"")</f>
        <v>1</v>
      </c>
      <c r="U312" s="763">
        <f>IFERROR(INDEX('Annex 2_Code'!J$8:J$33,MATCH('Annex 3_MAFF'!$AG312,'Annex 2_Code'!$G$8:$G$33,0)),"")</f>
        <v>0</v>
      </c>
      <c r="V312" s="763">
        <f>IFERROR(INDEX('Annex 2_Code'!K$8:K$33,MATCH('Annex 3_MAFF'!$AG312,'Annex 2_Code'!$G$8:$G$33,0)),"")</f>
        <v>0</v>
      </c>
      <c r="W312" s="763">
        <f>IFERROR(INDEX('Annex 2_Code'!L$8:L$33,MATCH('Annex 3_MAFF'!$AG312,'Annex 2_Code'!$G$8:$G$33,0)),"")</f>
        <v>0</v>
      </c>
      <c r="X312" s="763">
        <f>IFERROR(INDEX('Annex 2_Code'!M$8:M$33,MATCH('Annex 3_MAFF'!$AG312,'Annex 2_Code'!$G$8:$G$33,0)),"")</f>
        <v>0</v>
      </c>
      <c r="Y312" s="1745">
        <f t="shared" si="419"/>
        <v>24</v>
      </c>
      <c r="Z312" s="807">
        <f t="shared" si="420"/>
        <v>0</v>
      </c>
      <c r="AA312" s="807">
        <f t="shared" si="421"/>
        <v>0</v>
      </c>
      <c r="AB312" s="807">
        <f t="shared" si="422"/>
        <v>0</v>
      </c>
      <c r="AC312" s="808">
        <f t="shared" si="423"/>
        <v>0</v>
      </c>
      <c r="AD312" s="764">
        <f t="shared" si="424"/>
        <v>24</v>
      </c>
      <c r="AE312" s="764">
        <f t="shared" si="425"/>
        <v>0</v>
      </c>
      <c r="AF312" s="605" t="s">
        <v>303</v>
      </c>
      <c r="AG312" s="605" t="s">
        <v>197</v>
      </c>
      <c r="AH312" s="605" t="s">
        <v>372</v>
      </c>
      <c r="AI312" s="646" t="str">
        <f t="shared" si="409"/>
        <v>MAFF</v>
      </c>
      <c r="AJ312" s="683"/>
    </row>
    <row r="313" spans="1:50" s="607" customFormat="1" ht="23.25">
      <c r="A313" s="587"/>
      <c r="B313" s="659" t="s">
        <v>54</v>
      </c>
      <c r="C313" s="613"/>
      <c r="D313" s="720"/>
      <c r="E313" s="591" t="s">
        <v>583</v>
      </c>
      <c r="F313" s="803"/>
      <c r="G313" s="721"/>
      <c r="H313" s="735" t="s">
        <v>12</v>
      </c>
      <c r="I313" s="972"/>
      <c r="J313" s="594">
        <f>SUM(J296:J308)</f>
        <v>0</v>
      </c>
      <c r="K313" s="595">
        <f>SUM(K296:K308)</f>
        <v>128.28</v>
      </c>
      <c r="L313" s="595">
        <f>SUM(L296:L308)</f>
        <v>105</v>
      </c>
      <c r="M313" s="595">
        <f>SUM(M296:M308)</f>
        <v>73</v>
      </c>
      <c r="N313" s="596">
        <f>SUM(N296:N308)</f>
        <v>306.27999999999997</v>
      </c>
      <c r="O313" s="597">
        <f>SUM(O296:O312)</f>
        <v>27</v>
      </c>
      <c r="P313" s="598">
        <f>SUM(P296:P312)</f>
        <v>455.90000000000009</v>
      </c>
      <c r="Q313" s="598">
        <f>SUM(Q296:Q312)</f>
        <v>105.36</v>
      </c>
      <c r="R313" s="598">
        <f>SUM(R296:R312)</f>
        <v>68.039999999999992</v>
      </c>
      <c r="S313" s="2471">
        <f>SUM(S296:S312)</f>
        <v>656.30000000000007</v>
      </c>
      <c r="T313" s="801" t="str">
        <f>IFERROR(INDEX('Annex 2_Code'!I$8:I$33,MATCH('Annex 3_MAFF'!$AG313,'Annex 2_Code'!$G$8:$G$33,0)),"")</f>
        <v/>
      </c>
      <c r="U313" s="793" t="str">
        <f>IFERROR(INDEX('Annex 2_Code'!J$8:J$33,MATCH('Annex 3_MAFF'!$AG313,'Annex 2_Code'!$G$8:$G$33,0)),"")</f>
        <v/>
      </c>
      <c r="V313" s="793" t="str">
        <f>IFERROR(INDEX('Annex 2_Code'!K$8:K$33,MATCH('Annex 3_MAFF'!$AG313,'Annex 2_Code'!$G$8:$G$33,0)),"")</f>
        <v/>
      </c>
      <c r="W313" s="793" t="str">
        <f>IFERROR(INDEX('Annex 2_Code'!L$8:L$33,MATCH('Annex 3_MAFF'!$AG313,'Annex 2_Code'!$G$8:$G$33,0)),"")</f>
        <v/>
      </c>
      <c r="X313" s="802" t="str">
        <f>IFERROR(INDEX('Annex 2_Code'!M$8:M$33,MATCH('Annex 3_MAFF'!$AG313,'Annex 2_Code'!$G$8:$G$33,0)),"")</f>
        <v/>
      </c>
      <c r="Y313" s="600" t="str">
        <f>IFERROR($S313*T313,"")</f>
        <v/>
      </c>
      <c r="Z313" s="600" t="str">
        <f>IFERROR($S313*U313,"")</f>
        <v/>
      </c>
      <c r="AA313" s="600" t="str">
        <f>IFERROR($S313*V313,"")</f>
        <v/>
      </c>
      <c r="AB313" s="600" t="str">
        <f>IFERROR($S313*W313,"")</f>
        <v/>
      </c>
      <c r="AC313" s="601" t="str">
        <f>IFERROR($S313*X313,"")</f>
        <v/>
      </c>
      <c r="AD313" s="602">
        <f>SUM(Y313:AC313)</f>
        <v>0</v>
      </c>
      <c r="AE313" s="602">
        <f>AD313-S313</f>
        <v>-656.30000000000007</v>
      </c>
      <c r="AF313" s="605"/>
      <c r="AG313" s="605"/>
      <c r="AH313" s="605" t="str">
        <f>IFERROR(INDEX('Annex 2_Code'!$J$114:$J$126,MATCH('Annex 3_MAFF'!AF313,'Annex 2_Code'!$G$114:$G$126,0)),"")</f>
        <v/>
      </c>
      <c r="AI313" s="624" t="str">
        <f>IF(ISNUMBER(FIND("-",AH313,1))=FALSE,LEFT(AH313,LEN(AH313)),LEFT(AH313,(FIND("-",AH313,1))-1))</f>
        <v/>
      </c>
      <c r="AK313" s="740">
        <f>SUM(S189:S275)+SUM(S302:S302)</f>
        <v>5496.98</v>
      </c>
      <c r="AL313" s="742" t="s">
        <v>394</v>
      </c>
      <c r="AM313" s="742"/>
    </row>
    <row r="314" spans="1:50" s="607" customFormat="1" ht="23.25" customHeight="1">
      <c r="A314" s="587"/>
      <c r="B314" s="659" t="s">
        <v>54</v>
      </c>
      <c r="C314" s="613"/>
      <c r="D314" s="608" t="s">
        <v>701</v>
      </c>
      <c r="E314" s="609"/>
      <c r="F314" s="610"/>
      <c r="G314" s="611"/>
      <c r="H314" s="627" t="s">
        <v>12</v>
      </c>
      <c r="I314" s="628" t="s">
        <v>12</v>
      </c>
      <c r="J314" s="629">
        <f t="shared" ref="J314:S314" si="426">SUM(J313,J294,J285,J282,J279)</f>
        <v>13</v>
      </c>
      <c r="K314" s="630">
        <f t="shared" si="426"/>
        <v>156.88000000000002</v>
      </c>
      <c r="L314" s="630">
        <f t="shared" si="426"/>
        <v>136.9</v>
      </c>
      <c r="M314" s="630">
        <f t="shared" si="426"/>
        <v>97.499999999999986</v>
      </c>
      <c r="N314" s="631">
        <f t="shared" si="426"/>
        <v>404.28</v>
      </c>
      <c r="O314" s="632">
        <f t="shared" si="426"/>
        <v>46.5</v>
      </c>
      <c r="P314" s="633">
        <f t="shared" si="426"/>
        <v>557.77334900000005</v>
      </c>
      <c r="Q314" s="633">
        <f t="shared" si="426"/>
        <v>837.77509799999996</v>
      </c>
      <c r="R314" s="633">
        <f t="shared" si="426"/>
        <v>187.405383</v>
      </c>
      <c r="S314" s="2472">
        <f t="shared" si="426"/>
        <v>1629.4538300000004</v>
      </c>
      <c r="T314" s="599" t="str">
        <f>IFERROR(INDEX('Annex 2_Code'!I$8:I$33,MATCH('Annex 3_MAFF'!$AG314,'Annex 2_Code'!$G$8:$G$33,0)),"")</f>
        <v/>
      </c>
      <c r="U314" s="599" t="str">
        <f>IFERROR(INDEX('Annex 2_Code'!J$8:J$33,MATCH('Annex 3_MAFF'!$AG314,'Annex 2_Code'!$G$8:$G$33,0)),"")</f>
        <v/>
      </c>
      <c r="V314" s="599" t="str">
        <f>IFERROR(INDEX('Annex 2_Code'!K$8:K$33,MATCH('Annex 3_MAFF'!$AG314,'Annex 2_Code'!$G$8:$G$33,0)),"")</f>
        <v/>
      </c>
      <c r="W314" s="599" t="str">
        <f>IFERROR(INDEX('Annex 2_Code'!L$8:L$33,MATCH('Annex 3_MAFF'!$AG314,'Annex 2_Code'!$G$8:$G$33,0)),"")</f>
        <v/>
      </c>
      <c r="X314" s="599" t="str">
        <f>IFERROR(INDEX('Annex 2_Code'!M$8:M$33,MATCH('Annex 3_MAFF'!$AG314,'Annex 2_Code'!$G$8:$G$33,0)),"")</f>
        <v/>
      </c>
      <c r="Y314" s="1756"/>
      <c r="Z314" s="1704"/>
      <c r="AA314" s="1704"/>
      <c r="AB314" s="1704"/>
      <c r="AC314" s="1757"/>
      <c r="AD314" s="634"/>
      <c r="AE314" s="602">
        <f>AD314-S314</f>
        <v>-1629.4538300000004</v>
      </c>
      <c r="AF314" s="605"/>
      <c r="AG314" s="605"/>
      <c r="AH314" s="605" t="str">
        <f>IFERROR(INDEX('Annex 2_Code'!$J$114:$J$126,MATCH('Annex 3_MAFF'!AF314,'Annex 2_Code'!$G$114:$G$126,0)),"")</f>
        <v/>
      </c>
      <c r="AI314" s="624" t="str">
        <f>IF(ISNUMBER(FIND("-",AH314,1))=FALSE,LEFT(AH314,LEN(AH314)),LEFT(AH314,(FIND("-",AH314,1))-1))</f>
        <v/>
      </c>
    </row>
    <row r="315" spans="1:50" s="60" customFormat="1" ht="42" customHeight="1">
      <c r="A315" s="63"/>
      <c r="B315" s="57" t="s">
        <v>54</v>
      </c>
      <c r="C315" s="58"/>
      <c r="D315" s="2616" t="s">
        <v>683</v>
      </c>
      <c r="E315" s="2617"/>
      <c r="F315" s="2617"/>
      <c r="G315" s="2618"/>
      <c r="H315" s="1833"/>
      <c r="I315" s="1833"/>
      <c r="J315" s="356"/>
      <c r="K315" s="356"/>
      <c r="L315" s="356"/>
      <c r="M315" s="356"/>
      <c r="N315" s="357"/>
      <c r="O315" s="313"/>
      <c r="P315" s="77"/>
      <c r="Q315" s="77"/>
      <c r="R315" s="77"/>
      <c r="S315" s="2473">
        <f>SUM(O314:R314)</f>
        <v>1629.4538300000002</v>
      </c>
      <c r="T315" s="558"/>
      <c r="U315" s="558"/>
      <c r="V315" s="558"/>
      <c r="W315" s="558"/>
      <c r="X315" s="558"/>
      <c r="Y315" s="1759"/>
      <c r="Z315" s="562"/>
      <c r="AA315" s="562">
        <f>IFERROR($S315*V315,"")</f>
        <v>0</v>
      </c>
      <c r="AB315" s="562"/>
      <c r="AC315" s="563"/>
      <c r="AD315" s="559">
        <f>SUM(Y315:AC315)</f>
        <v>0</v>
      </c>
      <c r="AE315" s="1343"/>
      <c r="AF315" s="557"/>
      <c r="AG315" s="557"/>
      <c r="AH315" s="557"/>
      <c r="AI315" s="389"/>
      <c r="AK315" s="480"/>
      <c r="AL315" s="480"/>
    </row>
    <row r="316" spans="1:50" s="607" customFormat="1" ht="43.5" customHeight="1">
      <c r="A316" s="587"/>
      <c r="B316" s="659"/>
      <c r="C316" s="669"/>
      <c r="D316" s="2613" t="s">
        <v>1348</v>
      </c>
      <c r="E316" s="2614"/>
      <c r="F316" s="2614"/>
      <c r="G316" s="2615"/>
      <c r="H316" s="1834"/>
      <c r="I316" s="1834"/>
      <c r="J316" s="655"/>
      <c r="K316" s="655"/>
      <c r="L316" s="655"/>
      <c r="M316" s="655"/>
      <c r="N316" s="685"/>
      <c r="O316" s="622"/>
      <c r="P316" s="623"/>
      <c r="Q316" s="623"/>
      <c r="R316" s="623"/>
      <c r="S316" s="1423"/>
      <c r="T316" s="599"/>
      <c r="U316" s="599"/>
      <c r="V316" s="599"/>
      <c r="W316" s="599"/>
      <c r="X316" s="599"/>
      <c r="Y316" s="647"/>
      <c r="Z316" s="600"/>
      <c r="AA316" s="600"/>
      <c r="AB316" s="600"/>
      <c r="AC316" s="601"/>
      <c r="AD316" s="602"/>
      <c r="AE316" s="602"/>
      <c r="AF316" s="605"/>
      <c r="AG316" s="605"/>
      <c r="AH316" s="605"/>
      <c r="AI316" s="624"/>
    </row>
    <row r="317" spans="1:50" s="607" customFormat="1" ht="84.75">
      <c r="A317" s="587"/>
      <c r="B317" s="659"/>
      <c r="C317" s="659"/>
      <c r="D317" s="1597"/>
      <c r="E317" s="1624" t="s">
        <v>615</v>
      </c>
      <c r="F317" s="1773"/>
      <c r="G317" s="1874" t="s">
        <v>1347</v>
      </c>
      <c r="H317" s="2161"/>
      <c r="I317" s="707"/>
      <c r="J317" s="619"/>
      <c r="K317" s="620"/>
      <c r="L317" s="620"/>
      <c r="M317" s="620"/>
      <c r="N317" s="621"/>
      <c r="O317" s="622"/>
      <c r="P317" s="623"/>
      <c r="Q317" s="623"/>
      <c r="R317" s="715"/>
      <c r="S317" s="1356"/>
      <c r="T317" s="599" t="str">
        <f>IFERROR(INDEX('Annex 2_Code'!I$8:I$33,MATCH('Annex 3_MAFF'!$AG317,'Annex 2_Code'!$G$8:$G$33,0)),"")</f>
        <v/>
      </c>
      <c r="U317" s="599"/>
      <c r="V317" s="599"/>
      <c r="W317" s="599"/>
      <c r="X317" s="599"/>
      <c r="Y317" s="647" t="str">
        <f t="shared" ref="Y317:Y331" si="427">IFERROR($S317*T317,"")</f>
        <v/>
      </c>
      <c r="Z317" s="600">
        <f t="shared" ref="Z317:Z331" si="428">IFERROR($S317*U317,"")</f>
        <v>0</v>
      </c>
      <c r="AA317" s="600">
        <f t="shared" ref="AA317:AA343" si="429">IFERROR($S317*V317,"")</f>
        <v>0</v>
      </c>
      <c r="AB317" s="600">
        <f t="shared" ref="AB317:AB331" si="430">IFERROR($S317*W317,"")</f>
        <v>0</v>
      </c>
      <c r="AC317" s="601">
        <f t="shared" ref="AC317:AC331" si="431">IFERROR($S317*X317,"")</f>
        <v>0</v>
      </c>
      <c r="AD317" s="602">
        <f>SUM(Y317:AC317)</f>
        <v>0</v>
      </c>
      <c r="AE317" s="602">
        <f t="shared" ref="AE317:AE331" si="432">AD317-S317</f>
        <v>0</v>
      </c>
      <c r="AF317" s="605"/>
      <c r="AG317" s="605"/>
      <c r="AH317" s="605"/>
      <c r="AI317" s="624"/>
      <c r="AJ317" s="625"/>
      <c r="AK317" s="625"/>
      <c r="AL317" s="625"/>
      <c r="AM317" s="625"/>
      <c r="AN317" s="625"/>
      <c r="AO317" s="625"/>
      <c r="AP317" s="625"/>
      <c r="AQ317" s="625"/>
      <c r="AR317" s="625"/>
      <c r="AS317" s="625"/>
      <c r="AT317" s="625"/>
      <c r="AU317" s="625"/>
      <c r="AV317" s="625"/>
      <c r="AW317" s="625"/>
      <c r="AX317" s="625"/>
    </row>
    <row r="318" spans="1:50" s="1364" customFormat="1" ht="69.75">
      <c r="A318" s="901"/>
      <c r="B318" s="669" t="s">
        <v>1463</v>
      </c>
      <c r="C318" s="669" t="s">
        <v>41</v>
      </c>
      <c r="D318" s="701"/>
      <c r="E318" s="307" t="s">
        <v>486</v>
      </c>
      <c r="F318" s="615"/>
      <c r="G318" s="1922" t="s">
        <v>1343</v>
      </c>
      <c r="H318" s="1730" t="s">
        <v>860</v>
      </c>
      <c r="I318" s="2179">
        <v>1</v>
      </c>
      <c r="J318" s="1873">
        <v>0</v>
      </c>
      <c r="K318" s="1873">
        <v>2</v>
      </c>
      <c r="L318" s="1873">
        <v>2</v>
      </c>
      <c r="M318" s="1873">
        <v>0</v>
      </c>
      <c r="N318" s="731">
        <f t="shared" ref="N318:N324" si="433">SUM(J318:M318)</f>
        <v>4</v>
      </c>
      <c r="O318" s="622">
        <f>($I$318*J318)</f>
        <v>0</v>
      </c>
      <c r="P318" s="623">
        <f>($I$318*K318)</f>
        <v>2</v>
      </c>
      <c r="Q318" s="623">
        <f>($I$318*L318)</f>
        <v>2</v>
      </c>
      <c r="R318" s="623">
        <f>($I$318*M318)</f>
        <v>0</v>
      </c>
      <c r="S318" s="1356">
        <f t="shared" ref="S318:S330" si="434">SUM(O318:R318)</f>
        <v>4</v>
      </c>
      <c r="T318" s="763">
        <f>IFERROR(INDEX('Annex 2_Code'!I$8:I$33,MATCH('Annex 3_MAFF'!$AG318,'Annex 2_Code'!$G$8:$G$33,0)),"")</f>
        <v>0</v>
      </c>
      <c r="U318" s="763">
        <f>IFERROR(INDEX('Annex 2_Code'!J$8:J$33,MATCH('Annex 3_MAFF'!$AG318,'Annex 2_Code'!$G$8:$G$33,0)),"")</f>
        <v>0</v>
      </c>
      <c r="V318" s="763">
        <f>IFERROR(INDEX('Annex 2_Code'!K$8:K$33,MATCH('Annex 3_MAFF'!$AG318,'Annex 2_Code'!$G$8:$G$33,0)),"")</f>
        <v>1</v>
      </c>
      <c r="W318" s="763">
        <f>IFERROR(INDEX('Annex 2_Code'!L$8:L$33,MATCH('Annex 3_MAFF'!$AG318,'Annex 2_Code'!$G$8:$G$33,0)),"")</f>
        <v>0</v>
      </c>
      <c r="X318" s="763">
        <f>IFERROR(INDEX('Annex 2_Code'!M$8:M$33,MATCH('Annex 3_MAFF'!$AG318,'Annex 2_Code'!$G$8:$G$33,0)),"")</f>
        <v>0</v>
      </c>
      <c r="Y318" s="1745">
        <f t="shared" si="427"/>
        <v>0</v>
      </c>
      <c r="Z318" s="807">
        <f t="shared" si="428"/>
        <v>0</v>
      </c>
      <c r="AA318" s="807">
        <f t="shared" si="429"/>
        <v>4</v>
      </c>
      <c r="AB318" s="807">
        <f t="shared" si="430"/>
        <v>0</v>
      </c>
      <c r="AC318" s="808">
        <f t="shared" si="431"/>
        <v>0</v>
      </c>
      <c r="AD318" s="764">
        <f t="shared" ref="AD318:AD330" si="435">SUM(Y318:AC318)</f>
        <v>4</v>
      </c>
      <c r="AE318" s="764">
        <f t="shared" si="432"/>
        <v>0</v>
      </c>
      <c r="AF318" s="605" t="s">
        <v>306</v>
      </c>
      <c r="AG318" s="605" t="s">
        <v>203</v>
      </c>
      <c r="AH318" s="605" t="s">
        <v>372</v>
      </c>
      <c r="AI318" s="646" t="str">
        <f t="shared" ref="AI318:AI330" si="436">IF(ISNUMBER(FIND("-",AH318,1))=FALSE,LEFT(AH318,LEN(AH318)),LEFT(AH318,(FIND("-",AH318,1))-1))</f>
        <v>MAFF</v>
      </c>
      <c r="AJ318" s="637"/>
      <c r="AK318" s="902"/>
      <c r="AL318" s="902"/>
      <c r="AM318" s="902"/>
      <c r="AN318" s="902"/>
      <c r="AO318" s="902"/>
      <c r="AP318" s="902"/>
      <c r="AQ318" s="902"/>
      <c r="AR318" s="902"/>
      <c r="AS318" s="902"/>
      <c r="AT318" s="902"/>
      <c r="AU318" s="902"/>
      <c r="AV318" s="902"/>
      <c r="AW318" s="902"/>
      <c r="AX318" s="902"/>
    </row>
    <row r="319" spans="1:50" s="1364" customFormat="1" ht="46.5">
      <c r="A319" s="901"/>
      <c r="B319" s="669" t="s">
        <v>1463</v>
      </c>
      <c r="C319" s="669" t="s">
        <v>41</v>
      </c>
      <c r="D319" s="701"/>
      <c r="E319" s="307" t="s">
        <v>487</v>
      </c>
      <c r="F319" s="615"/>
      <c r="G319" s="1922" t="s">
        <v>1344</v>
      </c>
      <c r="H319" s="1730" t="s">
        <v>865</v>
      </c>
      <c r="I319" s="2179">
        <v>5</v>
      </c>
      <c r="J319" s="620">
        <v>0</v>
      </c>
      <c r="K319" s="620">
        <v>2</v>
      </c>
      <c r="L319" s="620">
        <v>0</v>
      </c>
      <c r="M319" s="620">
        <v>0</v>
      </c>
      <c r="N319" s="731">
        <f t="shared" si="433"/>
        <v>2</v>
      </c>
      <c r="O319" s="622">
        <f>($I$319*J319)</f>
        <v>0</v>
      </c>
      <c r="P319" s="623">
        <f>($I$319*K319)</f>
        <v>10</v>
      </c>
      <c r="Q319" s="623">
        <f>($I$319*L319)</f>
        <v>0</v>
      </c>
      <c r="R319" s="623">
        <f>($I$319*M319)</f>
        <v>0</v>
      </c>
      <c r="S319" s="1356">
        <f t="shared" si="434"/>
        <v>10</v>
      </c>
      <c r="T319" s="763">
        <f>IFERROR(INDEX('Annex 2_Code'!I$8:I$33,MATCH('Annex 3_MAFF'!$AG319,'Annex 2_Code'!$G$8:$G$33,0)),"")</f>
        <v>0</v>
      </c>
      <c r="U319" s="763">
        <f>IFERROR(INDEX('Annex 2_Code'!J$8:J$33,MATCH('Annex 3_MAFF'!$AG319,'Annex 2_Code'!$G$8:$G$33,0)),"")</f>
        <v>0</v>
      </c>
      <c r="V319" s="763">
        <f>IFERROR(INDEX('Annex 2_Code'!K$8:K$33,MATCH('Annex 3_MAFF'!$AG319,'Annex 2_Code'!$G$8:$G$33,0)),"")</f>
        <v>1</v>
      </c>
      <c r="W319" s="763">
        <f>IFERROR(INDEX('Annex 2_Code'!L$8:L$33,MATCH('Annex 3_MAFF'!$AG319,'Annex 2_Code'!$G$8:$G$33,0)),"")</f>
        <v>0</v>
      </c>
      <c r="X319" s="763">
        <f>IFERROR(INDEX('Annex 2_Code'!M$8:M$33,MATCH('Annex 3_MAFF'!$AG319,'Annex 2_Code'!$G$8:$G$33,0)),"")</f>
        <v>0</v>
      </c>
      <c r="Y319" s="1745">
        <f t="shared" si="427"/>
        <v>0</v>
      </c>
      <c r="Z319" s="807">
        <f t="shared" si="428"/>
        <v>0</v>
      </c>
      <c r="AA319" s="807">
        <f t="shared" si="429"/>
        <v>10</v>
      </c>
      <c r="AB319" s="807">
        <f t="shared" si="430"/>
        <v>0</v>
      </c>
      <c r="AC319" s="808">
        <f t="shared" si="431"/>
        <v>0</v>
      </c>
      <c r="AD319" s="764">
        <f t="shared" si="435"/>
        <v>10</v>
      </c>
      <c r="AE319" s="764">
        <f t="shared" si="432"/>
        <v>0</v>
      </c>
      <c r="AF319" s="605" t="s">
        <v>306</v>
      </c>
      <c r="AG319" s="605" t="s">
        <v>203</v>
      </c>
      <c r="AH319" s="605" t="s">
        <v>372</v>
      </c>
      <c r="AI319" s="646" t="str">
        <f t="shared" si="436"/>
        <v>MAFF</v>
      </c>
      <c r="AJ319" s="637"/>
      <c r="AK319" s="902"/>
      <c r="AL319" s="902"/>
      <c r="AM319" s="902"/>
      <c r="AN319" s="902"/>
      <c r="AO319" s="902"/>
      <c r="AP319" s="902"/>
      <c r="AQ319" s="902"/>
      <c r="AR319" s="902"/>
      <c r="AS319" s="902"/>
      <c r="AT319" s="902"/>
      <c r="AU319" s="902"/>
      <c r="AV319" s="902"/>
      <c r="AW319" s="902"/>
      <c r="AX319" s="902"/>
    </row>
    <row r="320" spans="1:50" s="1364" customFormat="1" ht="46.5">
      <c r="A320" s="901"/>
      <c r="B320" s="669" t="s">
        <v>1463</v>
      </c>
      <c r="C320" s="669" t="s">
        <v>41</v>
      </c>
      <c r="D320" s="701"/>
      <c r="E320" s="307" t="s">
        <v>488</v>
      </c>
      <c r="F320" s="615"/>
      <c r="G320" s="1922" t="s">
        <v>1345</v>
      </c>
      <c r="H320" s="1730" t="s">
        <v>865</v>
      </c>
      <c r="I320" s="2179">
        <v>5</v>
      </c>
      <c r="J320" s="620">
        <v>1</v>
      </c>
      <c r="K320" s="620">
        <v>0</v>
      </c>
      <c r="L320" s="620">
        <v>1</v>
      </c>
      <c r="M320" s="620">
        <v>0</v>
      </c>
      <c r="N320" s="731">
        <f t="shared" si="433"/>
        <v>2</v>
      </c>
      <c r="O320" s="622">
        <f>($I$320*J320)</f>
        <v>5</v>
      </c>
      <c r="P320" s="623">
        <f>($I$320*K320)</f>
        <v>0</v>
      </c>
      <c r="Q320" s="623">
        <f>($I$320*L320)</f>
        <v>5</v>
      </c>
      <c r="R320" s="623">
        <f>($I$320*M320)</f>
        <v>0</v>
      </c>
      <c r="S320" s="1356">
        <f t="shared" si="434"/>
        <v>10</v>
      </c>
      <c r="T320" s="763">
        <f>IFERROR(INDEX('Annex 2_Code'!I$8:I$33,MATCH('Annex 3_MAFF'!$AG320,'Annex 2_Code'!$G$8:$G$33,0)),"")</f>
        <v>0</v>
      </c>
      <c r="U320" s="763">
        <f>IFERROR(INDEX('Annex 2_Code'!J$8:J$33,MATCH('Annex 3_MAFF'!$AG320,'Annex 2_Code'!$G$8:$G$33,0)),"")</f>
        <v>0</v>
      </c>
      <c r="V320" s="763">
        <f>IFERROR(INDEX('Annex 2_Code'!K$8:K$33,MATCH('Annex 3_MAFF'!$AG320,'Annex 2_Code'!$G$8:$G$33,0)),"")</f>
        <v>1</v>
      </c>
      <c r="W320" s="763">
        <f>IFERROR(INDEX('Annex 2_Code'!L$8:L$33,MATCH('Annex 3_MAFF'!$AG320,'Annex 2_Code'!$G$8:$G$33,0)),"")</f>
        <v>0</v>
      </c>
      <c r="X320" s="763">
        <f>IFERROR(INDEX('Annex 2_Code'!M$8:M$33,MATCH('Annex 3_MAFF'!$AG320,'Annex 2_Code'!$G$8:$G$33,0)),"")</f>
        <v>0</v>
      </c>
      <c r="Y320" s="1745">
        <f t="shared" si="427"/>
        <v>0</v>
      </c>
      <c r="Z320" s="807">
        <f t="shared" si="428"/>
        <v>0</v>
      </c>
      <c r="AA320" s="807">
        <f t="shared" si="429"/>
        <v>10</v>
      </c>
      <c r="AB320" s="807">
        <f t="shared" si="430"/>
        <v>0</v>
      </c>
      <c r="AC320" s="808">
        <f t="shared" si="431"/>
        <v>0</v>
      </c>
      <c r="AD320" s="764">
        <f t="shared" si="435"/>
        <v>10</v>
      </c>
      <c r="AE320" s="764">
        <f t="shared" si="432"/>
        <v>0</v>
      </c>
      <c r="AF320" s="605" t="s">
        <v>306</v>
      </c>
      <c r="AG320" s="605" t="s">
        <v>203</v>
      </c>
      <c r="AH320" s="605" t="s">
        <v>372</v>
      </c>
      <c r="AI320" s="646" t="str">
        <f t="shared" si="436"/>
        <v>MAFF</v>
      </c>
      <c r="AJ320" s="637"/>
      <c r="AK320" s="902"/>
      <c r="AL320" s="902"/>
      <c r="AM320" s="902"/>
      <c r="AN320" s="902"/>
      <c r="AO320" s="902"/>
      <c r="AP320" s="902"/>
      <c r="AQ320" s="902"/>
      <c r="AR320" s="902"/>
      <c r="AS320" s="902"/>
      <c r="AT320" s="902"/>
      <c r="AU320" s="902"/>
      <c r="AV320" s="902"/>
      <c r="AW320" s="902"/>
      <c r="AX320" s="902"/>
    </row>
    <row r="321" spans="1:50" s="1364" customFormat="1" ht="46.5">
      <c r="A321" s="901"/>
      <c r="B321" s="669" t="s">
        <v>1463</v>
      </c>
      <c r="C321" s="669" t="s">
        <v>41</v>
      </c>
      <c r="D321" s="701"/>
      <c r="E321" s="307" t="s">
        <v>489</v>
      </c>
      <c r="F321" s="615"/>
      <c r="G321" s="1922" t="s">
        <v>1346</v>
      </c>
      <c r="H321" s="1730" t="s">
        <v>865</v>
      </c>
      <c r="I321" s="2179">
        <v>5</v>
      </c>
      <c r="J321" s="620">
        <v>0</v>
      </c>
      <c r="K321" s="620">
        <v>2</v>
      </c>
      <c r="L321" s="620">
        <v>0</v>
      </c>
      <c r="M321" s="620">
        <v>0</v>
      </c>
      <c r="N321" s="731">
        <f t="shared" si="433"/>
        <v>2</v>
      </c>
      <c r="O321" s="622">
        <f>($I$321*J321)</f>
        <v>0</v>
      </c>
      <c r="P321" s="623">
        <f>($I$321*K321)</f>
        <v>10</v>
      </c>
      <c r="Q321" s="623">
        <f>($I$321*L321)</f>
        <v>0</v>
      </c>
      <c r="R321" s="623">
        <f>($I$321*M321)</f>
        <v>0</v>
      </c>
      <c r="S321" s="1356">
        <f t="shared" si="434"/>
        <v>10</v>
      </c>
      <c r="T321" s="763">
        <f>IFERROR(INDEX('Annex 2_Code'!I$8:I$33,MATCH('Annex 3_MAFF'!$AG321,'Annex 2_Code'!$G$8:$G$33,0)),"")</f>
        <v>0</v>
      </c>
      <c r="U321" s="763">
        <f>IFERROR(INDEX('Annex 2_Code'!J$8:J$33,MATCH('Annex 3_MAFF'!$AG321,'Annex 2_Code'!$G$8:$G$33,0)),"")</f>
        <v>0</v>
      </c>
      <c r="V321" s="763">
        <f>IFERROR(INDEX('Annex 2_Code'!K$8:K$33,MATCH('Annex 3_MAFF'!$AG321,'Annex 2_Code'!$G$8:$G$33,0)),"")</f>
        <v>1</v>
      </c>
      <c r="W321" s="763">
        <f>IFERROR(INDEX('Annex 2_Code'!L$8:L$33,MATCH('Annex 3_MAFF'!$AG321,'Annex 2_Code'!$G$8:$G$33,0)),"")</f>
        <v>0</v>
      </c>
      <c r="X321" s="763">
        <f>IFERROR(INDEX('Annex 2_Code'!M$8:M$33,MATCH('Annex 3_MAFF'!$AG321,'Annex 2_Code'!$G$8:$G$33,0)),"")</f>
        <v>0</v>
      </c>
      <c r="Y321" s="1745">
        <f t="shared" si="427"/>
        <v>0</v>
      </c>
      <c r="Z321" s="807">
        <f t="shared" si="428"/>
        <v>0</v>
      </c>
      <c r="AA321" s="807">
        <f t="shared" si="429"/>
        <v>10</v>
      </c>
      <c r="AB321" s="807">
        <f t="shared" si="430"/>
        <v>0</v>
      </c>
      <c r="AC321" s="808">
        <f t="shared" si="431"/>
        <v>0</v>
      </c>
      <c r="AD321" s="764">
        <f t="shared" si="435"/>
        <v>10</v>
      </c>
      <c r="AE321" s="764">
        <f t="shared" si="432"/>
        <v>0</v>
      </c>
      <c r="AF321" s="605" t="s">
        <v>306</v>
      </c>
      <c r="AG321" s="605" t="s">
        <v>203</v>
      </c>
      <c r="AH321" s="605" t="s">
        <v>372</v>
      </c>
      <c r="AI321" s="646" t="str">
        <f t="shared" si="436"/>
        <v>MAFF</v>
      </c>
      <c r="AJ321" s="637"/>
      <c r="AK321" s="902"/>
      <c r="AL321" s="902"/>
      <c r="AM321" s="902"/>
      <c r="AN321" s="902"/>
      <c r="AO321" s="902"/>
      <c r="AP321" s="902"/>
      <c r="AQ321" s="902"/>
      <c r="AR321" s="902"/>
      <c r="AS321" s="902"/>
      <c r="AT321" s="902"/>
      <c r="AU321" s="902"/>
      <c r="AV321" s="902"/>
      <c r="AW321" s="902"/>
      <c r="AX321" s="902"/>
    </row>
    <row r="322" spans="1:50" s="1364" customFormat="1" ht="36.75" customHeight="1">
      <c r="A322" s="901"/>
      <c r="B322" s="669" t="s">
        <v>1463</v>
      </c>
      <c r="C322" s="669" t="s">
        <v>41</v>
      </c>
      <c r="D322" s="701"/>
      <c r="E322" s="307" t="s">
        <v>490</v>
      </c>
      <c r="F322" s="615"/>
      <c r="G322" s="1922" t="s">
        <v>1582</v>
      </c>
      <c r="H322" s="1730" t="s">
        <v>832</v>
      </c>
      <c r="I322" s="2179">
        <v>7</v>
      </c>
      <c r="J322" s="620">
        <v>0</v>
      </c>
      <c r="K322" s="620">
        <v>2</v>
      </c>
      <c r="L322" s="620">
        <v>1</v>
      </c>
      <c r="M322" s="620">
        <v>0</v>
      </c>
      <c r="N322" s="731">
        <f t="shared" si="433"/>
        <v>3</v>
      </c>
      <c r="O322" s="622">
        <f>($I$322*J322)</f>
        <v>0</v>
      </c>
      <c r="P322" s="623">
        <f>($I$322*K322)</f>
        <v>14</v>
      </c>
      <c r="Q322" s="623">
        <f>($I$322*L322)</f>
        <v>7</v>
      </c>
      <c r="R322" s="623">
        <f>($I$322*M322)</f>
        <v>0</v>
      </c>
      <c r="S322" s="1356">
        <f t="shared" si="434"/>
        <v>21</v>
      </c>
      <c r="T322" s="763">
        <f>IFERROR(INDEX('Annex 2_Code'!I$8:I$33,MATCH('Annex 3_MAFF'!$AG322,'Annex 2_Code'!$G$8:$G$33,0)),"")</f>
        <v>0</v>
      </c>
      <c r="U322" s="763">
        <f>IFERROR(INDEX('Annex 2_Code'!J$8:J$33,MATCH('Annex 3_MAFF'!$AG322,'Annex 2_Code'!$G$8:$G$33,0)),"")</f>
        <v>0</v>
      </c>
      <c r="V322" s="763">
        <f>IFERROR(INDEX('Annex 2_Code'!K$8:K$33,MATCH('Annex 3_MAFF'!$AG322,'Annex 2_Code'!$G$8:$G$33,0)),"")</f>
        <v>1</v>
      </c>
      <c r="W322" s="763">
        <f>IFERROR(INDEX('Annex 2_Code'!L$8:L$33,MATCH('Annex 3_MAFF'!$AG322,'Annex 2_Code'!$G$8:$G$33,0)),"")</f>
        <v>0</v>
      </c>
      <c r="X322" s="763">
        <f>IFERROR(INDEX('Annex 2_Code'!M$8:M$33,MATCH('Annex 3_MAFF'!$AG322,'Annex 2_Code'!$G$8:$G$33,0)),"")</f>
        <v>0</v>
      </c>
      <c r="Y322" s="1745">
        <f t="shared" si="427"/>
        <v>0</v>
      </c>
      <c r="Z322" s="807">
        <f t="shared" si="428"/>
        <v>0</v>
      </c>
      <c r="AA322" s="807">
        <f t="shared" si="429"/>
        <v>21</v>
      </c>
      <c r="AB322" s="807">
        <f t="shared" si="430"/>
        <v>0</v>
      </c>
      <c r="AC322" s="808">
        <f t="shared" si="431"/>
        <v>0</v>
      </c>
      <c r="AD322" s="764">
        <f t="shared" si="435"/>
        <v>21</v>
      </c>
      <c r="AE322" s="764">
        <f t="shared" si="432"/>
        <v>0</v>
      </c>
      <c r="AF322" s="605" t="s">
        <v>306</v>
      </c>
      <c r="AG322" s="605" t="s">
        <v>203</v>
      </c>
      <c r="AH322" s="605" t="s">
        <v>372</v>
      </c>
      <c r="AI322" s="646" t="str">
        <f t="shared" si="436"/>
        <v>MAFF</v>
      </c>
      <c r="AJ322" s="637"/>
      <c r="AK322" s="902"/>
      <c r="AL322" s="902"/>
      <c r="AM322" s="902"/>
      <c r="AN322" s="902"/>
      <c r="AO322" s="902"/>
      <c r="AP322" s="902"/>
      <c r="AQ322" s="902"/>
      <c r="AR322" s="902"/>
      <c r="AS322" s="902"/>
      <c r="AT322" s="902"/>
      <c r="AU322" s="902"/>
      <c r="AV322" s="902"/>
      <c r="AW322" s="902"/>
      <c r="AX322" s="902"/>
    </row>
    <row r="323" spans="1:50" s="1364" customFormat="1" ht="42.75" customHeight="1">
      <c r="A323" s="901"/>
      <c r="B323" s="669" t="s">
        <v>1463</v>
      </c>
      <c r="C323" s="669" t="s">
        <v>41</v>
      </c>
      <c r="D323" s="701"/>
      <c r="E323" s="307" t="s">
        <v>741</v>
      </c>
      <c r="F323" s="615"/>
      <c r="G323" s="1922" t="s">
        <v>1583</v>
      </c>
      <c r="H323" s="1730" t="s">
        <v>832</v>
      </c>
      <c r="I323" s="2179">
        <v>8</v>
      </c>
      <c r="J323" s="620">
        <v>0</v>
      </c>
      <c r="K323" s="620">
        <v>0</v>
      </c>
      <c r="L323" s="620">
        <v>1</v>
      </c>
      <c r="M323" s="620">
        <v>0</v>
      </c>
      <c r="N323" s="731">
        <f t="shared" si="433"/>
        <v>1</v>
      </c>
      <c r="O323" s="622">
        <f>($I$323*J323)</f>
        <v>0</v>
      </c>
      <c r="P323" s="623">
        <f>($I$323*K323)</f>
        <v>0</v>
      </c>
      <c r="Q323" s="623">
        <f>($I$323*L323)</f>
        <v>8</v>
      </c>
      <c r="R323" s="623">
        <f>($I$323*M323)</f>
        <v>0</v>
      </c>
      <c r="S323" s="1356">
        <f t="shared" si="434"/>
        <v>8</v>
      </c>
      <c r="T323" s="763">
        <f>IFERROR(INDEX('Annex 2_Code'!I$8:I$33,MATCH('Annex 3_MAFF'!$AG323,'Annex 2_Code'!$G$8:$G$33,0)),"")</f>
        <v>0</v>
      </c>
      <c r="U323" s="763">
        <f>IFERROR(INDEX('Annex 2_Code'!J$8:J$33,MATCH('Annex 3_MAFF'!$AG323,'Annex 2_Code'!$G$8:$G$33,0)),"")</f>
        <v>0</v>
      </c>
      <c r="V323" s="763">
        <f>IFERROR(INDEX('Annex 2_Code'!K$8:K$33,MATCH('Annex 3_MAFF'!$AG323,'Annex 2_Code'!$G$8:$G$33,0)),"")</f>
        <v>1</v>
      </c>
      <c r="W323" s="763">
        <f>IFERROR(INDEX('Annex 2_Code'!L$8:L$33,MATCH('Annex 3_MAFF'!$AG323,'Annex 2_Code'!$G$8:$G$33,0)),"")</f>
        <v>0</v>
      </c>
      <c r="X323" s="763">
        <f>IFERROR(INDEX('Annex 2_Code'!M$8:M$33,MATCH('Annex 3_MAFF'!$AG323,'Annex 2_Code'!$G$8:$G$33,0)),"")</f>
        <v>0</v>
      </c>
      <c r="Y323" s="1745">
        <f t="shared" si="427"/>
        <v>0</v>
      </c>
      <c r="Z323" s="807">
        <f t="shared" si="428"/>
        <v>0</v>
      </c>
      <c r="AA323" s="807">
        <f t="shared" si="429"/>
        <v>8</v>
      </c>
      <c r="AB323" s="807">
        <f t="shared" si="430"/>
        <v>0</v>
      </c>
      <c r="AC323" s="808">
        <f t="shared" si="431"/>
        <v>0</v>
      </c>
      <c r="AD323" s="764">
        <f t="shared" si="435"/>
        <v>8</v>
      </c>
      <c r="AE323" s="764">
        <f t="shared" si="432"/>
        <v>0</v>
      </c>
      <c r="AF323" s="605" t="s">
        <v>306</v>
      </c>
      <c r="AG323" s="605" t="s">
        <v>203</v>
      </c>
      <c r="AH323" s="605" t="s">
        <v>372</v>
      </c>
      <c r="AI323" s="646" t="str">
        <f t="shared" si="436"/>
        <v>MAFF</v>
      </c>
      <c r="AJ323" s="637"/>
      <c r="AK323" s="902"/>
      <c r="AL323" s="902"/>
      <c r="AM323" s="902"/>
      <c r="AN323" s="902"/>
      <c r="AO323" s="902"/>
      <c r="AP323" s="902"/>
      <c r="AQ323" s="902"/>
      <c r="AR323" s="902"/>
      <c r="AS323" s="902"/>
      <c r="AT323" s="902"/>
      <c r="AU323" s="902"/>
      <c r="AV323" s="902"/>
      <c r="AW323" s="902"/>
      <c r="AX323" s="902"/>
    </row>
    <row r="324" spans="1:50" s="1364" customFormat="1" ht="46.5" outlineLevel="1">
      <c r="A324" s="901"/>
      <c r="B324" s="669" t="s">
        <v>1463</v>
      </c>
      <c r="C324" s="669" t="s">
        <v>41</v>
      </c>
      <c r="D324" s="701"/>
      <c r="E324" s="307" t="s">
        <v>1349</v>
      </c>
      <c r="F324" s="615"/>
      <c r="G324" s="1922" t="s">
        <v>1584</v>
      </c>
      <c r="H324" s="1730" t="s">
        <v>1146</v>
      </c>
      <c r="I324" s="2179">
        <v>2</v>
      </c>
      <c r="J324" s="620">
        <v>0</v>
      </c>
      <c r="K324" s="620">
        <v>0</v>
      </c>
      <c r="L324" s="620">
        <v>1</v>
      </c>
      <c r="M324" s="620">
        <v>0</v>
      </c>
      <c r="N324" s="731">
        <f t="shared" si="433"/>
        <v>1</v>
      </c>
      <c r="O324" s="622">
        <f>($I$324*J324)</f>
        <v>0</v>
      </c>
      <c r="P324" s="623">
        <f>($I$324*K324)</f>
        <v>0</v>
      </c>
      <c r="Q324" s="623">
        <f>($I$324*L324)</f>
        <v>2</v>
      </c>
      <c r="R324" s="623">
        <f>($I$324*M324)</f>
        <v>0</v>
      </c>
      <c r="S324" s="1356">
        <f t="shared" si="434"/>
        <v>2</v>
      </c>
      <c r="T324" s="763">
        <f>IFERROR(INDEX('Annex 2_Code'!I$8:I$33,MATCH('Annex 3_MAFF'!$AG324,'Annex 2_Code'!$G$8:$G$33,0)),"")</f>
        <v>0</v>
      </c>
      <c r="U324" s="763">
        <f>IFERROR(INDEX('Annex 2_Code'!J$8:J$33,MATCH('Annex 3_MAFF'!$AG324,'Annex 2_Code'!$G$8:$G$33,0)),"")</f>
        <v>0</v>
      </c>
      <c r="V324" s="763">
        <f>IFERROR(INDEX('Annex 2_Code'!K$8:K$33,MATCH('Annex 3_MAFF'!$AG324,'Annex 2_Code'!$G$8:$G$33,0)),"")</f>
        <v>1</v>
      </c>
      <c r="W324" s="763">
        <f>IFERROR(INDEX('Annex 2_Code'!L$8:L$33,MATCH('Annex 3_MAFF'!$AG324,'Annex 2_Code'!$G$8:$G$33,0)),"")</f>
        <v>0</v>
      </c>
      <c r="X324" s="763">
        <f>IFERROR(INDEX('Annex 2_Code'!M$8:M$33,MATCH('Annex 3_MAFF'!$AG324,'Annex 2_Code'!$G$8:$G$33,0)),"")</f>
        <v>0</v>
      </c>
      <c r="Y324" s="1745">
        <f t="shared" si="427"/>
        <v>0</v>
      </c>
      <c r="Z324" s="807">
        <f t="shared" si="428"/>
        <v>0</v>
      </c>
      <c r="AA324" s="807">
        <f t="shared" si="429"/>
        <v>2</v>
      </c>
      <c r="AB324" s="807">
        <f t="shared" si="430"/>
        <v>0</v>
      </c>
      <c r="AC324" s="808">
        <f t="shared" si="431"/>
        <v>0</v>
      </c>
      <c r="AD324" s="764">
        <f t="shared" si="435"/>
        <v>2</v>
      </c>
      <c r="AE324" s="764">
        <f t="shared" si="432"/>
        <v>0</v>
      </c>
      <c r="AF324" s="605" t="s">
        <v>306</v>
      </c>
      <c r="AG324" s="605" t="s">
        <v>203</v>
      </c>
      <c r="AH324" s="605" t="s">
        <v>372</v>
      </c>
      <c r="AI324" s="646" t="str">
        <f t="shared" si="436"/>
        <v>MAFF</v>
      </c>
      <c r="AJ324" s="637"/>
      <c r="AK324" s="902"/>
      <c r="AL324" s="902"/>
      <c r="AM324" s="902"/>
      <c r="AN324" s="902"/>
      <c r="AO324" s="902"/>
      <c r="AP324" s="902"/>
      <c r="AQ324" s="902"/>
      <c r="AR324" s="902"/>
      <c r="AS324" s="902"/>
      <c r="AT324" s="902"/>
      <c r="AU324" s="902"/>
      <c r="AV324" s="902"/>
      <c r="AW324" s="902"/>
      <c r="AX324" s="902"/>
    </row>
    <row r="325" spans="1:50" s="1364" customFormat="1" ht="46.5" outlineLevel="1">
      <c r="A325" s="901"/>
      <c r="B325" s="669" t="s">
        <v>1463</v>
      </c>
      <c r="C325" s="669" t="s">
        <v>41</v>
      </c>
      <c r="D325" s="701"/>
      <c r="E325" s="307" t="s">
        <v>1350</v>
      </c>
      <c r="F325" s="615"/>
      <c r="G325" s="1922" t="s">
        <v>1585</v>
      </c>
      <c r="H325" s="1730" t="s">
        <v>1146</v>
      </c>
      <c r="I325" s="2179">
        <v>3.5</v>
      </c>
      <c r="J325" s="620">
        <v>0</v>
      </c>
      <c r="K325" s="620">
        <v>0</v>
      </c>
      <c r="L325" s="620">
        <v>0</v>
      </c>
      <c r="M325" s="620">
        <v>1</v>
      </c>
      <c r="N325" s="731">
        <f t="shared" ref="N325:N330" si="437">SUM(J325:M325)</f>
        <v>1</v>
      </c>
      <c r="O325" s="622">
        <f>($I$325*J325)</f>
        <v>0</v>
      </c>
      <c r="P325" s="623">
        <f>($I$325*K325)</f>
        <v>0</v>
      </c>
      <c r="Q325" s="623">
        <f>($I$325*L325)</f>
        <v>0</v>
      </c>
      <c r="R325" s="623">
        <f>($I$325*M325)</f>
        <v>3.5</v>
      </c>
      <c r="S325" s="1356">
        <f t="shared" si="434"/>
        <v>3.5</v>
      </c>
      <c r="T325" s="763">
        <f>IFERROR(INDEX('Annex 2_Code'!I$8:I$33,MATCH('Annex 3_MAFF'!$AG325,'Annex 2_Code'!$G$8:$G$33,0)),"")</f>
        <v>0</v>
      </c>
      <c r="U325" s="763">
        <f>IFERROR(INDEX('Annex 2_Code'!J$8:J$33,MATCH('Annex 3_MAFF'!$AG325,'Annex 2_Code'!$G$8:$G$33,0)),"")</f>
        <v>0</v>
      </c>
      <c r="V325" s="763">
        <f>IFERROR(INDEX('Annex 2_Code'!K$8:K$33,MATCH('Annex 3_MAFF'!$AG325,'Annex 2_Code'!$G$8:$G$33,0)),"")</f>
        <v>1</v>
      </c>
      <c r="W325" s="763">
        <f>IFERROR(INDEX('Annex 2_Code'!L$8:L$33,MATCH('Annex 3_MAFF'!$AG325,'Annex 2_Code'!$G$8:$G$33,0)),"")</f>
        <v>0</v>
      </c>
      <c r="X325" s="763">
        <f>IFERROR(INDEX('Annex 2_Code'!M$8:M$33,MATCH('Annex 3_MAFF'!$AG325,'Annex 2_Code'!$G$8:$G$33,0)),"")</f>
        <v>0</v>
      </c>
      <c r="Y325" s="1745">
        <f t="shared" si="427"/>
        <v>0</v>
      </c>
      <c r="Z325" s="807">
        <f t="shared" si="428"/>
        <v>0</v>
      </c>
      <c r="AA325" s="807">
        <f t="shared" si="429"/>
        <v>3.5</v>
      </c>
      <c r="AB325" s="807">
        <f t="shared" si="430"/>
        <v>0</v>
      </c>
      <c r="AC325" s="808">
        <f t="shared" si="431"/>
        <v>0</v>
      </c>
      <c r="AD325" s="764">
        <f t="shared" si="435"/>
        <v>3.5</v>
      </c>
      <c r="AE325" s="764">
        <f t="shared" si="432"/>
        <v>0</v>
      </c>
      <c r="AF325" s="605" t="s">
        <v>306</v>
      </c>
      <c r="AG325" s="605" t="s">
        <v>203</v>
      </c>
      <c r="AH325" s="605" t="s">
        <v>372</v>
      </c>
      <c r="AI325" s="646" t="str">
        <f t="shared" si="436"/>
        <v>MAFF</v>
      </c>
      <c r="AJ325" s="637"/>
      <c r="AK325" s="902"/>
      <c r="AL325" s="902"/>
      <c r="AM325" s="902"/>
      <c r="AN325" s="902"/>
      <c r="AO325" s="902"/>
      <c r="AP325" s="902"/>
      <c r="AQ325" s="902"/>
      <c r="AR325" s="902"/>
      <c r="AS325" s="902"/>
      <c r="AT325" s="902"/>
      <c r="AU325" s="902"/>
      <c r="AV325" s="902"/>
      <c r="AW325" s="902"/>
      <c r="AX325" s="902"/>
    </row>
    <row r="326" spans="1:50" s="1364" customFormat="1" ht="42" customHeight="1" outlineLevel="1">
      <c r="A326" s="901"/>
      <c r="B326" s="669" t="s">
        <v>1463</v>
      </c>
      <c r="C326" s="669" t="s">
        <v>41</v>
      </c>
      <c r="D326" s="701"/>
      <c r="E326" s="307" t="s">
        <v>1351</v>
      </c>
      <c r="F326" s="615"/>
      <c r="G326" s="1922" t="s">
        <v>1586</v>
      </c>
      <c r="H326" s="1730" t="s">
        <v>860</v>
      </c>
      <c r="I326" s="2179">
        <v>1</v>
      </c>
      <c r="J326" s="1873">
        <v>0</v>
      </c>
      <c r="K326" s="1873">
        <v>2</v>
      </c>
      <c r="L326" s="1873">
        <v>2</v>
      </c>
      <c r="M326" s="1873">
        <v>0</v>
      </c>
      <c r="N326" s="731">
        <f t="shared" si="437"/>
        <v>4</v>
      </c>
      <c r="O326" s="622">
        <f>($I$326*J326)</f>
        <v>0</v>
      </c>
      <c r="P326" s="623">
        <f>($I$326*K326)</f>
        <v>2</v>
      </c>
      <c r="Q326" s="623">
        <f>($I$326*L326)</f>
        <v>2</v>
      </c>
      <c r="R326" s="623">
        <f>($I$326*M326)</f>
        <v>0</v>
      </c>
      <c r="S326" s="1356">
        <f t="shared" si="434"/>
        <v>4</v>
      </c>
      <c r="T326" s="763">
        <f>IFERROR(INDEX('Annex 2_Code'!I$8:I$33,MATCH('Annex 3_MAFF'!$AG326,'Annex 2_Code'!$G$8:$G$33,0)),"")</f>
        <v>0</v>
      </c>
      <c r="U326" s="763">
        <f>IFERROR(INDEX('Annex 2_Code'!J$8:J$33,MATCH('Annex 3_MAFF'!$AG326,'Annex 2_Code'!$G$8:$G$33,0)),"")</f>
        <v>0</v>
      </c>
      <c r="V326" s="763">
        <f>IFERROR(INDEX('Annex 2_Code'!K$8:K$33,MATCH('Annex 3_MAFF'!$AG326,'Annex 2_Code'!$G$8:$G$33,0)),"")</f>
        <v>1</v>
      </c>
      <c r="W326" s="763">
        <f>IFERROR(INDEX('Annex 2_Code'!L$8:L$33,MATCH('Annex 3_MAFF'!$AG326,'Annex 2_Code'!$G$8:$G$33,0)),"")</f>
        <v>0</v>
      </c>
      <c r="X326" s="763">
        <f>IFERROR(INDEX('Annex 2_Code'!M$8:M$33,MATCH('Annex 3_MAFF'!$AG326,'Annex 2_Code'!$G$8:$G$33,0)),"")</f>
        <v>0</v>
      </c>
      <c r="Y326" s="1745">
        <f t="shared" si="427"/>
        <v>0</v>
      </c>
      <c r="Z326" s="807">
        <f t="shared" si="428"/>
        <v>0</v>
      </c>
      <c r="AA326" s="807">
        <f t="shared" si="429"/>
        <v>4</v>
      </c>
      <c r="AB326" s="807">
        <f t="shared" si="430"/>
        <v>0</v>
      </c>
      <c r="AC326" s="808">
        <f t="shared" si="431"/>
        <v>0</v>
      </c>
      <c r="AD326" s="764">
        <f t="shared" si="435"/>
        <v>4</v>
      </c>
      <c r="AE326" s="764">
        <f t="shared" si="432"/>
        <v>0</v>
      </c>
      <c r="AF326" s="605" t="s">
        <v>306</v>
      </c>
      <c r="AG326" s="605" t="s">
        <v>203</v>
      </c>
      <c r="AH326" s="605" t="s">
        <v>372</v>
      </c>
      <c r="AI326" s="646" t="str">
        <f t="shared" si="436"/>
        <v>MAFF</v>
      </c>
      <c r="AJ326" s="637"/>
      <c r="AK326" s="902"/>
      <c r="AL326" s="902"/>
      <c r="AM326" s="902"/>
      <c r="AN326" s="902"/>
      <c r="AO326" s="902"/>
      <c r="AP326" s="902"/>
      <c r="AQ326" s="902"/>
      <c r="AR326" s="902"/>
      <c r="AS326" s="902"/>
      <c r="AT326" s="902"/>
      <c r="AU326" s="902"/>
      <c r="AV326" s="902"/>
      <c r="AW326" s="902"/>
      <c r="AX326" s="902"/>
    </row>
    <row r="327" spans="1:50" s="1364" customFormat="1" ht="42" customHeight="1" outlineLevel="1">
      <c r="A327" s="901"/>
      <c r="B327" s="669" t="s">
        <v>1463</v>
      </c>
      <c r="C327" s="669" t="s">
        <v>41</v>
      </c>
      <c r="D327" s="701"/>
      <c r="E327" s="307" t="s">
        <v>1352</v>
      </c>
      <c r="F327" s="615"/>
      <c r="G327" s="1922" t="s">
        <v>1467</v>
      </c>
      <c r="H327" s="1730" t="s">
        <v>859</v>
      </c>
      <c r="I327" s="2179">
        <v>7</v>
      </c>
      <c r="J327" s="1873">
        <v>1</v>
      </c>
      <c r="K327" s="1873">
        <v>1</v>
      </c>
      <c r="L327" s="1873">
        <v>0</v>
      </c>
      <c r="M327" s="1873">
        <v>0</v>
      </c>
      <c r="N327" s="731">
        <f t="shared" si="437"/>
        <v>2</v>
      </c>
      <c r="O327" s="622">
        <f>($I$327*J327)</f>
        <v>7</v>
      </c>
      <c r="P327" s="623">
        <f>($I$327*K327)</f>
        <v>7</v>
      </c>
      <c r="Q327" s="623">
        <f>($I$327*L327)</f>
        <v>0</v>
      </c>
      <c r="R327" s="623">
        <f>($I$327*M327)</f>
        <v>0</v>
      </c>
      <c r="S327" s="1356">
        <f t="shared" si="434"/>
        <v>14</v>
      </c>
      <c r="T327" s="763">
        <f>IFERROR(INDEX('Annex 2_Code'!I$8:I$33,MATCH('Annex 3_MAFF'!$AG327,'Annex 2_Code'!$G$8:$G$33,0)),"")</f>
        <v>0</v>
      </c>
      <c r="U327" s="763">
        <f>IFERROR(INDEX('Annex 2_Code'!J$8:J$33,MATCH('Annex 3_MAFF'!$AG327,'Annex 2_Code'!$G$8:$G$33,0)),"")</f>
        <v>0</v>
      </c>
      <c r="V327" s="763">
        <f>IFERROR(INDEX('Annex 2_Code'!K$8:K$33,MATCH('Annex 3_MAFF'!$AG327,'Annex 2_Code'!$G$8:$G$33,0)),"")</f>
        <v>1</v>
      </c>
      <c r="W327" s="763">
        <f>IFERROR(INDEX('Annex 2_Code'!L$8:L$33,MATCH('Annex 3_MAFF'!$AG327,'Annex 2_Code'!$G$8:$G$33,0)),"")</f>
        <v>0</v>
      </c>
      <c r="X327" s="763">
        <f>IFERROR(INDEX('Annex 2_Code'!M$8:M$33,MATCH('Annex 3_MAFF'!$AG327,'Annex 2_Code'!$G$8:$G$33,0)),"")</f>
        <v>0</v>
      </c>
      <c r="Y327" s="1745">
        <f t="shared" ref="Y327" si="438">IFERROR($S327*T327,"")</f>
        <v>0</v>
      </c>
      <c r="Z327" s="807">
        <f t="shared" ref="Z327" si="439">IFERROR($S327*U327,"")</f>
        <v>0</v>
      </c>
      <c r="AA327" s="807">
        <f t="shared" ref="AA327" si="440">IFERROR($S327*V327,"")</f>
        <v>14</v>
      </c>
      <c r="AB327" s="807">
        <f t="shared" ref="AB327" si="441">IFERROR($S327*W327,"")</f>
        <v>0</v>
      </c>
      <c r="AC327" s="808">
        <f t="shared" ref="AC327" si="442">IFERROR($S327*X327,"")</f>
        <v>0</v>
      </c>
      <c r="AD327" s="764">
        <f t="shared" si="435"/>
        <v>14</v>
      </c>
      <c r="AE327" s="764">
        <f t="shared" si="432"/>
        <v>0</v>
      </c>
      <c r="AF327" s="605" t="s">
        <v>306</v>
      </c>
      <c r="AG327" s="605" t="s">
        <v>203</v>
      </c>
      <c r="AH327" s="605" t="s">
        <v>372</v>
      </c>
      <c r="AI327" s="646" t="str">
        <f t="shared" si="436"/>
        <v>MAFF</v>
      </c>
      <c r="AJ327" s="637"/>
      <c r="AK327" s="902"/>
      <c r="AL327" s="902"/>
      <c r="AM327" s="902"/>
      <c r="AN327" s="902"/>
      <c r="AO327" s="902"/>
      <c r="AP327" s="902"/>
      <c r="AQ327" s="902"/>
      <c r="AR327" s="902"/>
      <c r="AS327" s="902"/>
      <c r="AT327" s="902"/>
      <c r="AU327" s="902"/>
      <c r="AV327" s="902"/>
      <c r="AW327" s="902"/>
      <c r="AX327" s="902"/>
    </row>
    <row r="328" spans="1:50" s="1364" customFormat="1" ht="69.75" outlineLevel="1">
      <c r="A328" s="901"/>
      <c r="B328" s="669" t="s">
        <v>1463</v>
      </c>
      <c r="C328" s="669" t="s">
        <v>41</v>
      </c>
      <c r="D328" s="701"/>
      <c r="E328" s="307" t="s">
        <v>1353</v>
      </c>
      <c r="F328" s="615"/>
      <c r="G328" s="1922" t="s">
        <v>1587</v>
      </c>
      <c r="H328" s="1730" t="s">
        <v>859</v>
      </c>
      <c r="I328" s="2179">
        <v>8</v>
      </c>
      <c r="J328" s="620">
        <v>0</v>
      </c>
      <c r="K328" s="620">
        <v>0</v>
      </c>
      <c r="L328" s="620">
        <v>1</v>
      </c>
      <c r="M328" s="620">
        <v>0</v>
      </c>
      <c r="N328" s="731">
        <f t="shared" si="437"/>
        <v>1</v>
      </c>
      <c r="O328" s="622">
        <f>($I$328*J328)</f>
        <v>0</v>
      </c>
      <c r="P328" s="623">
        <f>($I$328*K328)</f>
        <v>0</v>
      </c>
      <c r="Q328" s="623">
        <f>($I$328*L328)</f>
        <v>8</v>
      </c>
      <c r="R328" s="623">
        <f>($I$328*M328)</f>
        <v>0</v>
      </c>
      <c r="S328" s="1356">
        <f t="shared" si="434"/>
        <v>8</v>
      </c>
      <c r="T328" s="763">
        <f>IFERROR(INDEX('Annex 2_Code'!I$8:I$33,MATCH('Annex 3_MAFF'!$AG328,'Annex 2_Code'!$G$8:$G$33,0)),"")</f>
        <v>0</v>
      </c>
      <c r="U328" s="763">
        <f>IFERROR(INDEX('Annex 2_Code'!J$8:J$33,MATCH('Annex 3_MAFF'!$AG328,'Annex 2_Code'!$G$8:$G$33,0)),"")</f>
        <v>0</v>
      </c>
      <c r="V328" s="763">
        <f>IFERROR(INDEX('Annex 2_Code'!K$8:K$33,MATCH('Annex 3_MAFF'!$AG328,'Annex 2_Code'!$G$8:$G$33,0)),"")</f>
        <v>1</v>
      </c>
      <c r="W328" s="763">
        <f>IFERROR(INDEX('Annex 2_Code'!L$8:L$33,MATCH('Annex 3_MAFF'!$AG328,'Annex 2_Code'!$G$8:$G$33,0)),"")</f>
        <v>0</v>
      </c>
      <c r="X328" s="763">
        <f>IFERROR(INDEX('Annex 2_Code'!M$8:M$33,MATCH('Annex 3_MAFF'!$AG328,'Annex 2_Code'!$G$8:$G$33,0)),"")</f>
        <v>0</v>
      </c>
      <c r="Y328" s="1745">
        <f t="shared" si="427"/>
        <v>0</v>
      </c>
      <c r="Z328" s="807">
        <f t="shared" si="428"/>
        <v>0</v>
      </c>
      <c r="AA328" s="807">
        <f t="shared" si="429"/>
        <v>8</v>
      </c>
      <c r="AB328" s="807">
        <f t="shared" si="430"/>
        <v>0</v>
      </c>
      <c r="AC328" s="808">
        <f t="shared" si="431"/>
        <v>0</v>
      </c>
      <c r="AD328" s="764">
        <f t="shared" si="435"/>
        <v>8</v>
      </c>
      <c r="AE328" s="764">
        <f t="shared" si="432"/>
        <v>0</v>
      </c>
      <c r="AF328" s="605" t="s">
        <v>306</v>
      </c>
      <c r="AG328" s="605" t="s">
        <v>203</v>
      </c>
      <c r="AH328" s="605" t="s">
        <v>372</v>
      </c>
      <c r="AI328" s="646" t="str">
        <f t="shared" si="436"/>
        <v>MAFF</v>
      </c>
      <c r="AJ328" s="637"/>
      <c r="AK328" s="902"/>
      <c r="AL328" s="902"/>
      <c r="AM328" s="902"/>
      <c r="AN328" s="902"/>
      <c r="AO328" s="902"/>
      <c r="AP328" s="902"/>
      <c r="AQ328" s="902"/>
      <c r="AR328" s="902"/>
      <c r="AS328" s="902"/>
      <c r="AT328" s="902"/>
      <c r="AU328" s="902"/>
      <c r="AV328" s="902"/>
      <c r="AW328" s="902"/>
      <c r="AX328" s="902"/>
    </row>
    <row r="329" spans="1:50" s="1364" customFormat="1" ht="42" customHeight="1" outlineLevel="1">
      <c r="A329" s="901"/>
      <c r="B329" s="669" t="s">
        <v>1463</v>
      </c>
      <c r="C329" s="669" t="s">
        <v>41</v>
      </c>
      <c r="D329" s="701"/>
      <c r="E329" s="307" t="s">
        <v>1354</v>
      </c>
      <c r="F329" s="615"/>
      <c r="G329" s="1922" t="s">
        <v>1588</v>
      </c>
      <c r="H329" s="1730" t="s">
        <v>865</v>
      </c>
      <c r="I329" s="2179">
        <v>2</v>
      </c>
      <c r="J329" s="620">
        <v>0</v>
      </c>
      <c r="K329" s="620">
        <v>0</v>
      </c>
      <c r="L329" s="620">
        <v>1</v>
      </c>
      <c r="M329" s="620">
        <v>0</v>
      </c>
      <c r="N329" s="731">
        <f t="shared" si="437"/>
        <v>1</v>
      </c>
      <c r="O329" s="622">
        <f>($I$329*J329)</f>
        <v>0</v>
      </c>
      <c r="P329" s="623">
        <f>($I$329*K329)</f>
        <v>0</v>
      </c>
      <c r="Q329" s="623">
        <f>($I$329*L329)</f>
        <v>2</v>
      </c>
      <c r="R329" s="623">
        <f>($I$329*M329)</f>
        <v>0</v>
      </c>
      <c r="S329" s="1356">
        <f t="shared" si="434"/>
        <v>2</v>
      </c>
      <c r="T329" s="763">
        <f>IFERROR(INDEX('Annex 2_Code'!I$8:I$33,MATCH('Annex 3_MAFF'!$AG329,'Annex 2_Code'!$G$8:$G$33,0)),"")</f>
        <v>0</v>
      </c>
      <c r="U329" s="763">
        <f>IFERROR(INDEX('Annex 2_Code'!J$8:J$33,MATCH('Annex 3_MAFF'!$AG329,'Annex 2_Code'!$G$8:$G$33,0)),"")</f>
        <v>0</v>
      </c>
      <c r="V329" s="763">
        <f>IFERROR(INDEX('Annex 2_Code'!K$8:K$33,MATCH('Annex 3_MAFF'!$AG329,'Annex 2_Code'!$G$8:$G$33,0)),"")</f>
        <v>1</v>
      </c>
      <c r="W329" s="763">
        <f>IFERROR(INDEX('Annex 2_Code'!L$8:L$33,MATCH('Annex 3_MAFF'!$AG329,'Annex 2_Code'!$G$8:$G$33,0)),"")</f>
        <v>0</v>
      </c>
      <c r="X329" s="763">
        <f>IFERROR(INDEX('Annex 2_Code'!M$8:M$33,MATCH('Annex 3_MAFF'!$AG329,'Annex 2_Code'!$G$8:$G$33,0)),"")</f>
        <v>0</v>
      </c>
      <c r="Y329" s="1745">
        <f t="shared" si="427"/>
        <v>0</v>
      </c>
      <c r="Z329" s="807">
        <f t="shared" si="428"/>
        <v>0</v>
      </c>
      <c r="AA329" s="807">
        <f t="shared" si="429"/>
        <v>2</v>
      </c>
      <c r="AB329" s="807">
        <f t="shared" si="430"/>
        <v>0</v>
      </c>
      <c r="AC329" s="808">
        <f t="shared" si="431"/>
        <v>0</v>
      </c>
      <c r="AD329" s="764">
        <f t="shared" si="435"/>
        <v>2</v>
      </c>
      <c r="AE329" s="764">
        <f t="shared" si="432"/>
        <v>0</v>
      </c>
      <c r="AF329" s="605" t="s">
        <v>306</v>
      </c>
      <c r="AG329" s="605" t="s">
        <v>203</v>
      </c>
      <c r="AH329" s="605" t="s">
        <v>372</v>
      </c>
      <c r="AI329" s="646" t="str">
        <f t="shared" si="436"/>
        <v>MAFF</v>
      </c>
      <c r="AJ329" s="637"/>
      <c r="AK329" s="902"/>
      <c r="AL329" s="902"/>
      <c r="AM329" s="902"/>
      <c r="AN329" s="902"/>
      <c r="AO329" s="902"/>
      <c r="AP329" s="902"/>
      <c r="AQ329" s="902"/>
      <c r="AR329" s="902"/>
      <c r="AS329" s="902"/>
      <c r="AT329" s="902"/>
      <c r="AU329" s="902"/>
      <c r="AV329" s="902"/>
      <c r="AW329" s="902"/>
      <c r="AX329" s="902"/>
    </row>
    <row r="330" spans="1:50" s="1364" customFormat="1" ht="42" customHeight="1" outlineLevel="1">
      <c r="A330" s="901"/>
      <c r="B330" s="669" t="s">
        <v>1463</v>
      </c>
      <c r="C330" s="669" t="s">
        <v>41</v>
      </c>
      <c r="D330" s="701"/>
      <c r="E330" s="307" t="s">
        <v>1466</v>
      </c>
      <c r="F330" s="615"/>
      <c r="G330" s="1922" t="s">
        <v>1589</v>
      </c>
      <c r="H330" s="1730" t="s">
        <v>865</v>
      </c>
      <c r="I330" s="2328">
        <v>3.5</v>
      </c>
      <c r="J330" s="620">
        <v>0</v>
      </c>
      <c r="K330" s="620">
        <v>0</v>
      </c>
      <c r="L330" s="620">
        <v>0</v>
      </c>
      <c r="M330" s="620">
        <v>1</v>
      </c>
      <c r="N330" s="731">
        <f t="shared" si="437"/>
        <v>1</v>
      </c>
      <c r="O330" s="622">
        <f>($I$330*J330)</f>
        <v>0</v>
      </c>
      <c r="P330" s="623">
        <f>($I$330*K330)</f>
        <v>0</v>
      </c>
      <c r="Q330" s="623">
        <f>($I$330*L330)</f>
        <v>0</v>
      </c>
      <c r="R330" s="623">
        <f>($I$330*M330)</f>
        <v>3.5</v>
      </c>
      <c r="S330" s="1356">
        <f t="shared" si="434"/>
        <v>3.5</v>
      </c>
      <c r="T330" s="763">
        <f>IFERROR(INDEX('Annex 2_Code'!I$8:I$33,MATCH('Annex 3_MAFF'!$AG330,'Annex 2_Code'!$G$8:$G$33,0)),"")</f>
        <v>0</v>
      </c>
      <c r="U330" s="763">
        <f>IFERROR(INDEX('Annex 2_Code'!J$8:J$33,MATCH('Annex 3_MAFF'!$AG330,'Annex 2_Code'!$G$8:$G$33,0)),"")</f>
        <v>0</v>
      </c>
      <c r="V330" s="763">
        <f>IFERROR(INDEX('Annex 2_Code'!K$8:K$33,MATCH('Annex 3_MAFF'!$AG330,'Annex 2_Code'!$G$8:$G$33,0)),"")</f>
        <v>1</v>
      </c>
      <c r="W330" s="763">
        <f>IFERROR(INDEX('Annex 2_Code'!L$8:L$33,MATCH('Annex 3_MAFF'!$AG330,'Annex 2_Code'!$G$8:$G$33,0)),"")</f>
        <v>0</v>
      </c>
      <c r="X330" s="763">
        <f>IFERROR(INDEX('Annex 2_Code'!M$8:M$33,MATCH('Annex 3_MAFF'!$AG330,'Annex 2_Code'!$G$8:$G$33,0)),"")</f>
        <v>0</v>
      </c>
      <c r="Y330" s="1745">
        <f t="shared" si="427"/>
        <v>0</v>
      </c>
      <c r="Z330" s="807">
        <f t="shared" si="428"/>
        <v>0</v>
      </c>
      <c r="AA330" s="807">
        <f t="shared" si="429"/>
        <v>3.5</v>
      </c>
      <c r="AB330" s="807">
        <f t="shared" si="430"/>
        <v>0</v>
      </c>
      <c r="AC330" s="808">
        <f t="shared" si="431"/>
        <v>0</v>
      </c>
      <c r="AD330" s="764">
        <f t="shared" si="435"/>
        <v>3.5</v>
      </c>
      <c r="AE330" s="764">
        <f t="shared" si="432"/>
        <v>0</v>
      </c>
      <c r="AF330" s="605" t="s">
        <v>306</v>
      </c>
      <c r="AG330" s="605" t="s">
        <v>203</v>
      </c>
      <c r="AH330" s="605" t="s">
        <v>372</v>
      </c>
      <c r="AI330" s="646" t="str">
        <f t="shared" si="436"/>
        <v>MAFF</v>
      </c>
      <c r="AJ330" s="637"/>
      <c r="AK330" s="902"/>
      <c r="AL330" s="902"/>
      <c r="AM330" s="902"/>
      <c r="AN330" s="902"/>
      <c r="AO330" s="902"/>
      <c r="AP330" s="902"/>
      <c r="AQ330" s="902"/>
      <c r="AR330" s="902"/>
      <c r="AS330" s="902"/>
      <c r="AT330" s="902"/>
      <c r="AU330" s="902"/>
      <c r="AV330" s="902"/>
      <c r="AW330" s="902"/>
      <c r="AX330" s="902"/>
    </row>
    <row r="331" spans="1:50" s="607" customFormat="1" ht="23.25">
      <c r="A331" s="587"/>
      <c r="B331" s="588" t="s">
        <v>54</v>
      </c>
      <c r="C331" s="710"/>
      <c r="D331" s="704"/>
      <c r="E331" s="591" t="s">
        <v>583</v>
      </c>
      <c r="F331" s="592"/>
      <c r="G331" s="577"/>
      <c r="H331" s="593"/>
      <c r="I331" s="705"/>
      <c r="J331" s="594">
        <f t="shared" ref="J331:R331" si="443">SUM(J318:J330)</f>
        <v>2</v>
      </c>
      <c r="K331" s="595">
        <f t="shared" si="443"/>
        <v>11</v>
      </c>
      <c r="L331" s="595">
        <f t="shared" si="443"/>
        <v>10</v>
      </c>
      <c r="M331" s="595">
        <f t="shared" si="443"/>
        <v>2</v>
      </c>
      <c r="N331" s="596">
        <f t="shared" si="443"/>
        <v>25</v>
      </c>
      <c r="O331" s="597">
        <f t="shared" si="443"/>
        <v>12</v>
      </c>
      <c r="P331" s="598">
        <f t="shared" si="443"/>
        <v>45</v>
      </c>
      <c r="Q331" s="598">
        <f t="shared" si="443"/>
        <v>36</v>
      </c>
      <c r="R331" s="598">
        <f t="shared" si="443"/>
        <v>7</v>
      </c>
      <c r="S331" s="1408">
        <f>SUM(S318:S330)</f>
        <v>100</v>
      </c>
      <c r="T331" s="599" t="str">
        <f>IFERROR(INDEX('Annex 2_Code'!I$8:I$33,MATCH('Annex 3_MAFF'!$AG331,'Annex 2_Code'!$G$8:$G$33,0)),"")</f>
        <v/>
      </c>
      <c r="U331" s="599" t="str">
        <f>IFERROR(INDEX('Annex 2_Code'!J$8:J$33,MATCH('Annex 3_MAFF'!$AG331,'Annex 2_Code'!$G$8:$G$33,0)),"")</f>
        <v/>
      </c>
      <c r="V331" s="599" t="str">
        <f>IFERROR(INDEX('Annex 2_Code'!K$8:K$33,MATCH('Annex 3_MAFF'!$AG331,'Annex 2_Code'!$G$8:$G$33,0)),"")</f>
        <v/>
      </c>
      <c r="W331" s="599" t="str">
        <f>IFERROR(INDEX('Annex 2_Code'!L$8:L$33,MATCH('Annex 3_MAFF'!$AG331,'Annex 2_Code'!$G$8:$G$33,0)),"")</f>
        <v/>
      </c>
      <c r="X331" s="599" t="str">
        <f>IFERROR(INDEX('Annex 2_Code'!M$8:M$33,MATCH('Annex 3_MAFF'!$AG331,'Annex 2_Code'!$G$8:$G$33,0)),"")</f>
        <v/>
      </c>
      <c r="Y331" s="647" t="str">
        <f t="shared" si="427"/>
        <v/>
      </c>
      <c r="Z331" s="600" t="str">
        <f t="shared" si="428"/>
        <v/>
      </c>
      <c r="AA331" s="600" t="str">
        <f t="shared" si="429"/>
        <v/>
      </c>
      <c r="AB331" s="600" t="str">
        <f t="shared" si="430"/>
        <v/>
      </c>
      <c r="AC331" s="601" t="str">
        <f t="shared" si="431"/>
        <v/>
      </c>
      <c r="AD331" s="602">
        <f>SUM(Y331:AC331)</f>
        <v>0</v>
      </c>
      <c r="AE331" s="602">
        <f t="shared" si="432"/>
        <v>-100</v>
      </c>
      <c r="AF331" s="604"/>
      <c r="AG331" s="604"/>
      <c r="AH331" s="604"/>
      <c r="AI331" s="606"/>
    </row>
    <row r="332" spans="1:50" s="607" customFormat="1" ht="68.25" customHeight="1">
      <c r="A332" s="587"/>
      <c r="B332" s="659"/>
      <c r="C332" s="659"/>
      <c r="D332" s="1766"/>
      <c r="E332" s="1624" t="s">
        <v>616</v>
      </c>
      <c r="F332" s="1773"/>
      <c r="G332" s="1774" t="s">
        <v>1370</v>
      </c>
      <c r="H332" s="779"/>
      <c r="I332" s="737"/>
      <c r="J332" s="654" t="s">
        <v>462</v>
      </c>
      <c r="K332" s="655"/>
      <c r="L332" s="655"/>
      <c r="M332" s="655"/>
      <c r="N332" s="685"/>
      <c r="O332" s="738"/>
      <c r="P332" s="739"/>
      <c r="Q332" s="739"/>
      <c r="R332" s="715"/>
      <c r="S332" s="1695">
        <f>SUM(O331:R331)</f>
        <v>100</v>
      </c>
      <c r="T332" s="599"/>
      <c r="U332" s="599"/>
      <c r="V332" s="599"/>
      <c r="W332" s="599"/>
      <c r="X332" s="599"/>
      <c r="Y332" s="647"/>
      <c r="Z332" s="600"/>
      <c r="AA332" s="600">
        <f t="shared" si="429"/>
        <v>0</v>
      </c>
      <c r="AB332" s="600"/>
      <c r="AC332" s="601"/>
      <c r="AD332" s="602"/>
      <c r="AE332" s="602"/>
      <c r="AF332" s="604"/>
      <c r="AG332" s="604"/>
      <c r="AH332" s="604"/>
      <c r="AI332" s="606"/>
    </row>
    <row r="333" spans="1:50" s="683" customFormat="1" ht="39.950000000000003" customHeight="1">
      <c r="A333" s="587"/>
      <c r="B333" s="669" t="s">
        <v>1463</v>
      </c>
      <c r="C333" s="669" t="s">
        <v>41</v>
      </c>
      <c r="D333" s="475"/>
      <c r="E333" s="307" t="s">
        <v>491</v>
      </c>
      <c r="F333" s="615"/>
      <c r="G333" s="1452" t="s">
        <v>1001</v>
      </c>
      <c r="H333" s="677" t="s">
        <v>1536</v>
      </c>
      <c r="I333" s="727">
        <v>5</v>
      </c>
      <c r="J333" s="619">
        <v>0</v>
      </c>
      <c r="K333" s="620">
        <v>0</v>
      </c>
      <c r="L333" s="620">
        <v>2</v>
      </c>
      <c r="M333" s="620">
        <v>1</v>
      </c>
      <c r="N333" s="731">
        <f t="shared" ref="N333:N338" si="444">SUM(J333:M333)</f>
        <v>3</v>
      </c>
      <c r="O333" s="622">
        <f>($I$333*J333)</f>
        <v>0</v>
      </c>
      <c r="P333" s="623">
        <f>($I$333*K333)</f>
        <v>0</v>
      </c>
      <c r="Q333" s="623">
        <f>($I$333*L333)</f>
        <v>10</v>
      </c>
      <c r="R333" s="623">
        <f>($I$333*M333)</f>
        <v>5</v>
      </c>
      <c r="S333" s="1356">
        <f t="shared" ref="S333:S338" si="445">SUM(O333:R333)</f>
        <v>15</v>
      </c>
      <c r="T333" s="763">
        <f>IFERROR(INDEX('Annex 2_Code'!I$8:I$33,MATCH('Annex 3_MAFF'!$AG333,'Annex 2_Code'!$G$8:$G$33,0)),"")</f>
        <v>0</v>
      </c>
      <c r="U333" s="763">
        <f>IFERROR(INDEX('Annex 2_Code'!J$8:J$33,MATCH('Annex 3_MAFF'!$AG333,'Annex 2_Code'!$G$8:$G$33,0)),"")</f>
        <v>0</v>
      </c>
      <c r="V333" s="763">
        <f>IFERROR(INDEX('Annex 2_Code'!K$8:K$33,MATCH('Annex 3_MAFF'!$AG333,'Annex 2_Code'!$G$8:$G$33,0)),"")</f>
        <v>1</v>
      </c>
      <c r="W333" s="763">
        <f>IFERROR(INDEX('Annex 2_Code'!L$8:L$33,MATCH('Annex 3_MAFF'!$AG333,'Annex 2_Code'!$G$8:$G$33,0)),"")</f>
        <v>0</v>
      </c>
      <c r="X333" s="763">
        <f>IFERROR(INDEX('Annex 2_Code'!M$8:M$33,MATCH('Annex 3_MAFF'!$AG333,'Annex 2_Code'!$G$8:$G$33,0)),"")</f>
        <v>0</v>
      </c>
      <c r="Y333" s="1745">
        <f t="shared" ref="Y333:Y338" si="446">IFERROR($S333*T333,"")</f>
        <v>0</v>
      </c>
      <c r="Z333" s="807">
        <f t="shared" ref="Z333:Z338" si="447">IFERROR($S333*U333,"")</f>
        <v>0</v>
      </c>
      <c r="AA333" s="807">
        <f t="shared" si="429"/>
        <v>15</v>
      </c>
      <c r="AB333" s="807">
        <f t="shared" ref="AB333:AB338" si="448">IFERROR($S333*W333,"")</f>
        <v>0</v>
      </c>
      <c r="AC333" s="808">
        <f t="shared" ref="AC333:AC338" si="449">IFERROR($S333*X333,"")</f>
        <v>0</v>
      </c>
      <c r="AD333" s="764">
        <f t="shared" ref="AD333:AD338" si="450">SUM(Y333:AC333)</f>
        <v>15</v>
      </c>
      <c r="AE333" s="764">
        <f t="shared" ref="AE333:AE338" si="451">AD333-S333</f>
        <v>0</v>
      </c>
      <c r="AF333" s="605" t="s">
        <v>306</v>
      </c>
      <c r="AG333" s="605" t="s">
        <v>203</v>
      </c>
      <c r="AH333" s="605" t="s">
        <v>372</v>
      </c>
      <c r="AI333" s="646" t="str">
        <f t="shared" ref="AI333:AI338" si="452">IF(ISNUMBER(FIND("-",AH333,1))=FALSE,LEFT(AH333,LEN(AH333)),LEFT(AH333,(FIND("-",AH333,1))-1))</f>
        <v>MAFF</v>
      </c>
    </row>
    <row r="334" spans="1:50" s="683" customFormat="1" ht="39.950000000000003" customHeight="1">
      <c r="A334" s="587"/>
      <c r="B334" s="669" t="s">
        <v>1463</v>
      </c>
      <c r="C334" s="669" t="s">
        <v>41</v>
      </c>
      <c r="D334" s="475"/>
      <c r="E334" s="307" t="s">
        <v>492</v>
      </c>
      <c r="F334" s="615"/>
      <c r="G334" s="2237" t="s">
        <v>1608</v>
      </c>
      <c r="H334" s="1454" t="s">
        <v>996</v>
      </c>
      <c r="I334" s="2312">
        <v>1</v>
      </c>
      <c r="J334" s="619">
        <v>0</v>
      </c>
      <c r="K334" s="620">
        <v>0</v>
      </c>
      <c r="L334" s="620">
        <v>2</v>
      </c>
      <c r="M334" s="620">
        <v>2</v>
      </c>
      <c r="N334" s="731">
        <f t="shared" si="444"/>
        <v>4</v>
      </c>
      <c r="O334" s="622">
        <f>($I$334*J334)</f>
        <v>0</v>
      </c>
      <c r="P334" s="623">
        <f>($I$334*K334)</f>
        <v>0</v>
      </c>
      <c r="Q334" s="623">
        <f>($I$334*L334)</f>
        <v>2</v>
      </c>
      <c r="R334" s="623">
        <f>($I$334*M334)</f>
        <v>2</v>
      </c>
      <c r="S334" s="1356">
        <f t="shared" si="445"/>
        <v>4</v>
      </c>
      <c r="T334" s="763">
        <f>IFERROR(INDEX('Annex 2_Code'!I$8:I$33,MATCH('Annex 3_MAFF'!$AG334,'Annex 2_Code'!$G$8:$G$33,0)),"")</f>
        <v>0</v>
      </c>
      <c r="U334" s="763">
        <f>IFERROR(INDEX('Annex 2_Code'!J$8:J$33,MATCH('Annex 3_MAFF'!$AG334,'Annex 2_Code'!$G$8:$G$33,0)),"")</f>
        <v>0</v>
      </c>
      <c r="V334" s="763">
        <f>IFERROR(INDEX('Annex 2_Code'!K$8:K$33,MATCH('Annex 3_MAFF'!$AG334,'Annex 2_Code'!$G$8:$G$33,0)),"")</f>
        <v>1</v>
      </c>
      <c r="W334" s="763">
        <f>IFERROR(INDEX('Annex 2_Code'!L$8:L$33,MATCH('Annex 3_MAFF'!$AG334,'Annex 2_Code'!$G$8:$G$33,0)),"")</f>
        <v>0</v>
      </c>
      <c r="X334" s="763">
        <f>IFERROR(INDEX('Annex 2_Code'!M$8:M$33,MATCH('Annex 3_MAFF'!$AG334,'Annex 2_Code'!$G$8:$G$33,0)),"")</f>
        <v>0</v>
      </c>
      <c r="Y334" s="1745">
        <f t="shared" si="446"/>
        <v>0</v>
      </c>
      <c r="Z334" s="807">
        <f t="shared" si="447"/>
        <v>0</v>
      </c>
      <c r="AA334" s="807">
        <f t="shared" si="429"/>
        <v>4</v>
      </c>
      <c r="AB334" s="807">
        <f t="shared" si="448"/>
        <v>0</v>
      </c>
      <c r="AC334" s="808">
        <f t="shared" si="449"/>
        <v>0</v>
      </c>
      <c r="AD334" s="764">
        <f t="shared" si="450"/>
        <v>4</v>
      </c>
      <c r="AE334" s="764">
        <f t="shared" si="451"/>
        <v>0</v>
      </c>
      <c r="AF334" s="605" t="s">
        <v>306</v>
      </c>
      <c r="AG334" s="605" t="s">
        <v>203</v>
      </c>
      <c r="AH334" s="605" t="s">
        <v>372</v>
      </c>
      <c r="AI334" s="646" t="str">
        <f t="shared" si="452"/>
        <v>MAFF</v>
      </c>
    </row>
    <row r="335" spans="1:50" s="683" customFormat="1" ht="39.950000000000003" customHeight="1">
      <c r="A335" s="587"/>
      <c r="B335" s="669" t="s">
        <v>1463</v>
      </c>
      <c r="C335" s="669" t="s">
        <v>41</v>
      </c>
      <c r="D335" s="475"/>
      <c r="E335" s="307" t="s">
        <v>493</v>
      </c>
      <c r="F335" s="615"/>
      <c r="G335" s="1728" t="s">
        <v>1002</v>
      </c>
      <c r="H335" s="677" t="s">
        <v>595</v>
      </c>
      <c r="I335" s="727">
        <v>7</v>
      </c>
      <c r="J335" s="619">
        <v>0</v>
      </c>
      <c r="K335" s="620">
        <v>0</v>
      </c>
      <c r="L335" s="620">
        <v>1</v>
      </c>
      <c r="M335" s="620">
        <v>1</v>
      </c>
      <c r="N335" s="731">
        <f t="shared" si="444"/>
        <v>2</v>
      </c>
      <c r="O335" s="622">
        <f>($I$335*J335)</f>
        <v>0</v>
      </c>
      <c r="P335" s="623">
        <f>($I$335*K335)</f>
        <v>0</v>
      </c>
      <c r="Q335" s="623">
        <f>($I$335*L335)</f>
        <v>7</v>
      </c>
      <c r="R335" s="623">
        <f>($I$335*M335)</f>
        <v>7</v>
      </c>
      <c r="S335" s="1356">
        <f t="shared" si="445"/>
        <v>14</v>
      </c>
      <c r="T335" s="763">
        <f>IFERROR(INDEX('Annex 2_Code'!I$8:I$33,MATCH('Annex 3_MAFF'!$AG335,'Annex 2_Code'!$G$8:$G$33,0)),"")</f>
        <v>0</v>
      </c>
      <c r="U335" s="763">
        <f>IFERROR(INDEX('Annex 2_Code'!J$8:J$33,MATCH('Annex 3_MAFF'!$AG335,'Annex 2_Code'!$G$8:$G$33,0)),"")</f>
        <v>0</v>
      </c>
      <c r="V335" s="763">
        <f>IFERROR(INDEX('Annex 2_Code'!K$8:K$33,MATCH('Annex 3_MAFF'!$AG335,'Annex 2_Code'!$G$8:$G$33,0)),"")</f>
        <v>1</v>
      </c>
      <c r="W335" s="763">
        <f>IFERROR(INDEX('Annex 2_Code'!L$8:L$33,MATCH('Annex 3_MAFF'!$AG335,'Annex 2_Code'!$G$8:$G$33,0)),"")</f>
        <v>0</v>
      </c>
      <c r="X335" s="763">
        <f>IFERROR(INDEX('Annex 2_Code'!M$8:M$33,MATCH('Annex 3_MAFF'!$AG335,'Annex 2_Code'!$G$8:$G$33,0)),"")</f>
        <v>0</v>
      </c>
      <c r="Y335" s="1745">
        <f t="shared" si="446"/>
        <v>0</v>
      </c>
      <c r="Z335" s="807">
        <f t="shared" si="447"/>
        <v>0</v>
      </c>
      <c r="AA335" s="807">
        <f t="shared" si="429"/>
        <v>14</v>
      </c>
      <c r="AB335" s="807">
        <f t="shared" si="448"/>
        <v>0</v>
      </c>
      <c r="AC335" s="808">
        <f t="shared" si="449"/>
        <v>0</v>
      </c>
      <c r="AD335" s="764">
        <f t="shared" si="450"/>
        <v>14</v>
      </c>
      <c r="AE335" s="764">
        <f t="shared" si="451"/>
        <v>0</v>
      </c>
      <c r="AF335" s="605" t="s">
        <v>306</v>
      </c>
      <c r="AG335" s="605" t="s">
        <v>203</v>
      </c>
      <c r="AH335" s="605" t="s">
        <v>372</v>
      </c>
      <c r="AI335" s="646" t="str">
        <f t="shared" si="452"/>
        <v>MAFF</v>
      </c>
    </row>
    <row r="336" spans="1:50" s="683" customFormat="1" ht="39.950000000000003" customHeight="1">
      <c r="A336" s="587"/>
      <c r="B336" s="669" t="s">
        <v>1463</v>
      </c>
      <c r="C336" s="669" t="s">
        <v>41</v>
      </c>
      <c r="D336" s="475"/>
      <c r="E336" s="307" t="s">
        <v>494</v>
      </c>
      <c r="F336" s="615"/>
      <c r="G336" s="1452" t="s">
        <v>1003</v>
      </c>
      <c r="H336" s="677" t="s">
        <v>595</v>
      </c>
      <c r="I336" s="727">
        <v>8</v>
      </c>
      <c r="J336" s="619">
        <v>0</v>
      </c>
      <c r="K336" s="620">
        <v>0</v>
      </c>
      <c r="L336" s="620">
        <v>1</v>
      </c>
      <c r="M336" s="620">
        <v>1</v>
      </c>
      <c r="N336" s="731">
        <f t="shared" si="444"/>
        <v>2</v>
      </c>
      <c r="O336" s="622">
        <f>($I$336*J336)</f>
        <v>0</v>
      </c>
      <c r="P336" s="623">
        <f>($I$336*K336)</f>
        <v>0</v>
      </c>
      <c r="Q336" s="623">
        <f>($I$336*L336)</f>
        <v>8</v>
      </c>
      <c r="R336" s="623">
        <f>($I$336*M336)</f>
        <v>8</v>
      </c>
      <c r="S336" s="1356">
        <f t="shared" si="445"/>
        <v>16</v>
      </c>
      <c r="T336" s="763">
        <f>IFERROR(INDEX('Annex 2_Code'!I$8:I$33,MATCH('Annex 3_MAFF'!$AG336,'Annex 2_Code'!$G$8:$G$33,0)),"")</f>
        <v>0</v>
      </c>
      <c r="U336" s="763">
        <f>IFERROR(INDEX('Annex 2_Code'!J$8:J$33,MATCH('Annex 3_MAFF'!$AG336,'Annex 2_Code'!$G$8:$G$33,0)),"")</f>
        <v>0</v>
      </c>
      <c r="V336" s="763">
        <f>IFERROR(INDEX('Annex 2_Code'!K$8:K$33,MATCH('Annex 3_MAFF'!$AG336,'Annex 2_Code'!$G$8:$G$33,0)),"")</f>
        <v>1</v>
      </c>
      <c r="W336" s="763">
        <f>IFERROR(INDEX('Annex 2_Code'!L$8:L$33,MATCH('Annex 3_MAFF'!$AG336,'Annex 2_Code'!$G$8:$G$33,0)),"")</f>
        <v>0</v>
      </c>
      <c r="X336" s="763">
        <f>IFERROR(INDEX('Annex 2_Code'!M$8:M$33,MATCH('Annex 3_MAFF'!$AG336,'Annex 2_Code'!$G$8:$G$33,0)),"")</f>
        <v>0</v>
      </c>
      <c r="Y336" s="1745">
        <f t="shared" si="446"/>
        <v>0</v>
      </c>
      <c r="Z336" s="807">
        <f t="shared" si="447"/>
        <v>0</v>
      </c>
      <c r="AA336" s="807">
        <f t="shared" si="429"/>
        <v>16</v>
      </c>
      <c r="AB336" s="807">
        <f t="shared" si="448"/>
        <v>0</v>
      </c>
      <c r="AC336" s="808">
        <f t="shared" si="449"/>
        <v>0</v>
      </c>
      <c r="AD336" s="764">
        <f t="shared" si="450"/>
        <v>16</v>
      </c>
      <c r="AE336" s="764">
        <f t="shared" si="451"/>
        <v>0</v>
      </c>
      <c r="AF336" s="605" t="s">
        <v>306</v>
      </c>
      <c r="AG336" s="605" t="s">
        <v>203</v>
      </c>
      <c r="AH336" s="605" t="s">
        <v>372</v>
      </c>
      <c r="AI336" s="646" t="str">
        <f t="shared" si="452"/>
        <v>MAFF</v>
      </c>
    </row>
    <row r="337" spans="1:50" s="683" customFormat="1" ht="39.950000000000003" customHeight="1">
      <c r="A337" s="587"/>
      <c r="B337" s="669" t="s">
        <v>1463</v>
      </c>
      <c r="C337" s="669" t="s">
        <v>41</v>
      </c>
      <c r="D337" s="475"/>
      <c r="E337" s="307" t="s">
        <v>495</v>
      </c>
      <c r="F337" s="615"/>
      <c r="G337" s="1452" t="s">
        <v>1004</v>
      </c>
      <c r="H337" s="677" t="s">
        <v>598</v>
      </c>
      <c r="I337" s="727">
        <v>2</v>
      </c>
      <c r="J337" s="619">
        <v>0</v>
      </c>
      <c r="K337" s="620">
        <v>0</v>
      </c>
      <c r="L337" s="620">
        <v>0</v>
      </c>
      <c r="M337" s="620">
        <v>1</v>
      </c>
      <c r="N337" s="731">
        <f t="shared" si="444"/>
        <v>1</v>
      </c>
      <c r="O337" s="622">
        <f>($I$337*J337)</f>
        <v>0</v>
      </c>
      <c r="P337" s="623">
        <f>($I$337*K337)</f>
        <v>0</v>
      </c>
      <c r="Q337" s="623">
        <f>($I$337*L337)</f>
        <v>0</v>
      </c>
      <c r="R337" s="623">
        <f>($I$337*M337)</f>
        <v>2</v>
      </c>
      <c r="S337" s="1356">
        <f t="shared" si="445"/>
        <v>2</v>
      </c>
      <c r="T337" s="763">
        <f>IFERROR(INDEX('Annex 2_Code'!I$8:I$33,MATCH('Annex 3_MAFF'!$AG337,'Annex 2_Code'!$G$8:$G$33,0)),"")</f>
        <v>0</v>
      </c>
      <c r="U337" s="763">
        <f>IFERROR(INDEX('Annex 2_Code'!J$8:J$33,MATCH('Annex 3_MAFF'!$AG337,'Annex 2_Code'!$G$8:$G$33,0)),"")</f>
        <v>0</v>
      </c>
      <c r="V337" s="763">
        <f>IFERROR(INDEX('Annex 2_Code'!K$8:K$33,MATCH('Annex 3_MAFF'!$AG337,'Annex 2_Code'!$G$8:$G$33,0)),"")</f>
        <v>1</v>
      </c>
      <c r="W337" s="763">
        <f>IFERROR(INDEX('Annex 2_Code'!L$8:L$33,MATCH('Annex 3_MAFF'!$AG337,'Annex 2_Code'!$G$8:$G$33,0)),"")</f>
        <v>0</v>
      </c>
      <c r="X337" s="763">
        <f>IFERROR(INDEX('Annex 2_Code'!M$8:M$33,MATCH('Annex 3_MAFF'!$AG337,'Annex 2_Code'!$G$8:$G$33,0)),"")</f>
        <v>0</v>
      </c>
      <c r="Y337" s="1745">
        <f t="shared" si="446"/>
        <v>0</v>
      </c>
      <c r="Z337" s="807">
        <f t="shared" si="447"/>
        <v>0</v>
      </c>
      <c r="AA337" s="807">
        <f t="shared" si="429"/>
        <v>2</v>
      </c>
      <c r="AB337" s="807">
        <f t="shared" si="448"/>
        <v>0</v>
      </c>
      <c r="AC337" s="808">
        <f t="shared" si="449"/>
        <v>0</v>
      </c>
      <c r="AD337" s="764">
        <f t="shared" si="450"/>
        <v>2</v>
      </c>
      <c r="AE337" s="764">
        <f t="shared" si="451"/>
        <v>0</v>
      </c>
      <c r="AF337" s="605" t="s">
        <v>306</v>
      </c>
      <c r="AG337" s="605" t="s">
        <v>203</v>
      </c>
      <c r="AH337" s="605" t="s">
        <v>372</v>
      </c>
      <c r="AI337" s="646" t="str">
        <f t="shared" si="452"/>
        <v>MAFF</v>
      </c>
    </row>
    <row r="338" spans="1:50" s="683" customFormat="1" ht="39.950000000000003" customHeight="1">
      <c r="A338" s="587"/>
      <c r="B338" s="669" t="s">
        <v>1463</v>
      </c>
      <c r="C338" s="669" t="s">
        <v>41</v>
      </c>
      <c r="D338" s="475"/>
      <c r="E338" s="307" t="s">
        <v>861</v>
      </c>
      <c r="F338" s="615"/>
      <c r="G338" s="1452" t="s">
        <v>1005</v>
      </c>
      <c r="H338" s="677" t="s">
        <v>598</v>
      </c>
      <c r="I338" s="727">
        <v>3.5</v>
      </c>
      <c r="J338" s="619">
        <v>0</v>
      </c>
      <c r="K338" s="620">
        <v>0</v>
      </c>
      <c r="L338" s="620">
        <v>0</v>
      </c>
      <c r="M338" s="620">
        <v>1</v>
      </c>
      <c r="N338" s="731">
        <f t="shared" si="444"/>
        <v>1</v>
      </c>
      <c r="O338" s="622">
        <f>($I$338*J338)</f>
        <v>0</v>
      </c>
      <c r="P338" s="623">
        <f>($I$338*K338)</f>
        <v>0</v>
      </c>
      <c r="Q338" s="623">
        <f>($I$338*L338)</f>
        <v>0</v>
      </c>
      <c r="R338" s="623">
        <f>($I$338*M338)</f>
        <v>3.5</v>
      </c>
      <c r="S338" s="1356">
        <f t="shared" si="445"/>
        <v>3.5</v>
      </c>
      <c r="T338" s="763">
        <f>IFERROR(INDEX('Annex 2_Code'!I$8:I$33,MATCH('Annex 3_MAFF'!$AG338,'Annex 2_Code'!$G$8:$G$33,0)),"")</f>
        <v>0</v>
      </c>
      <c r="U338" s="763">
        <f>IFERROR(INDEX('Annex 2_Code'!J$8:J$33,MATCH('Annex 3_MAFF'!$AG338,'Annex 2_Code'!$G$8:$G$33,0)),"")</f>
        <v>0</v>
      </c>
      <c r="V338" s="763">
        <f>IFERROR(INDEX('Annex 2_Code'!K$8:K$33,MATCH('Annex 3_MAFF'!$AG338,'Annex 2_Code'!$G$8:$G$33,0)),"")</f>
        <v>1</v>
      </c>
      <c r="W338" s="763">
        <f>IFERROR(INDEX('Annex 2_Code'!L$8:L$33,MATCH('Annex 3_MAFF'!$AG338,'Annex 2_Code'!$G$8:$G$33,0)),"")</f>
        <v>0</v>
      </c>
      <c r="X338" s="763">
        <f>IFERROR(INDEX('Annex 2_Code'!M$8:M$33,MATCH('Annex 3_MAFF'!$AG338,'Annex 2_Code'!$G$8:$G$33,0)),"")</f>
        <v>0</v>
      </c>
      <c r="Y338" s="1745">
        <f t="shared" si="446"/>
        <v>0</v>
      </c>
      <c r="Z338" s="807">
        <f t="shared" si="447"/>
        <v>0</v>
      </c>
      <c r="AA338" s="807">
        <f t="shared" si="429"/>
        <v>3.5</v>
      </c>
      <c r="AB338" s="807">
        <f t="shared" si="448"/>
        <v>0</v>
      </c>
      <c r="AC338" s="808">
        <f t="shared" si="449"/>
        <v>0</v>
      </c>
      <c r="AD338" s="764">
        <f t="shared" si="450"/>
        <v>3.5</v>
      </c>
      <c r="AE338" s="764">
        <f t="shared" si="451"/>
        <v>0</v>
      </c>
      <c r="AF338" s="605" t="s">
        <v>306</v>
      </c>
      <c r="AG338" s="605" t="s">
        <v>203</v>
      </c>
      <c r="AH338" s="605" t="s">
        <v>372</v>
      </c>
      <c r="AI338" s="646" t="str">
        <f t="shared" si="452"/>
        <v>MAFF</v>
      </c>
    </row>
    <row r="339" spans="1:50" s="607" customFormat="1" ht="23.25">
      <c r="A339" s="587"/>
      <c r="B339" s="659" t="s">
        <v>54</v>
      </c>
      <c r="C339" s="669"/>
      <c r="D339" s="704"/>
      <c r="E339" s="591" t="s">
        <v>583</v>
      </c>
      <c r="F339" s="592"/>
      <c r="G339" s="577"/>
      <c r="H339" s="593"/>
      <c r="I339" s="705"/>
      <c r="J339" s="594">
        <f t="shared" ref="J339:R339" si="453">SUM(J333:J338)</f>
        <v>0</v>
      </c>
      <c r="K339" s="595">
        <f t="shared" si="453"/>
        <v>0</v>
      </c>
      <c r="L339" s="595">
        <f t="shared" si="453"/>
        <v>6</v>
      </c>
      <c r="M339" s="595">
        <f t="shared" si="453"/>
        <v>7</v>
      </c>
      <c r="N339" s="596">
        <f t="shared" si="453"/>
        <v>13</v>
      </c>
      <c r="O339" s="597">
        <f t="shared" si="453"/>
        <v>0</v>
      </c>
      <c r="P339" s="598">
        <f t="shared" si="453"/>
        <v>0</v>
      </c>
      <c r="Q339" s="598">
        <f t="shared" si="453"/>
        <v>27</v>
      </c>
      <c r="R339" s="598">
        <f t="shared" si="453"/>
        <v>27.5</v>
      </c>
      <c r="S339" s="1408">
        <f>SUM(S333:S338)</f>
        <v>54.5</v>
      </c>
      <c r="T339" s="713"/>
      <c r="U339" s="713"/>
      <c r="V339" s="713"/>
      <c r="W339" s="713"/>
      <c r="X339" s="713"/>
      <c r="Y339" s="1399"/>
      <c r="Z339" s="666"/>
      <c r="AA339" s="600">
        <f t="shared" si="429"/>
        <v>0</v>
      </c>
      <c r="AB339" s="666"/>
      <c r="AC339" s="667"/>
      <c r="AD339" s="634"/>
      <c r="AE339" s="634"/>
      <c r="AF339" s="604"/>
      <c r="AG339" s="604"/>
      <c r="AH339" s="604"/>
      <c r="AI339" s="606"/>
    </row>
    <row r="340" spans="1:50" s="607" customFormat="1" ht="93">
      <c r="A340" s="587"/>
      <c r="B340" s="669"/>
      <c r="C340" s="669"/>
      <c r="D340" s="1597"/>
      <c r="E340" s="1624" t="s">
        <v>617</v>
      </c>
      <c r="F340" s="1773"/>
      <c r="G340" s="1775" t="s">
        <v>999</v>
      </c>
      <c r="H340" s="726"/>
      <c r="I340" s="572"/>
      <c r="J340" s="619"/>
      <c r="K340" s="620"/>
      <c r="L340" s="620"/>
      <c r="M340" s="620"/>
      <c r="N340" s="731"/>
      <c r="O340" s="622"/>
      <c r="P340" s="623"/>
      <c r="Q340" s="623"/>
      <c r="R340" s="1340"/>
      <c r="S340" s="1695">
        <f>SUM(O339:R339)</f>
        <v>54.5</v>
      </c>
      <c r="T340" s="599" t="str">
        <f>IFERROR(INDEX('[5]Annex 2'!I$8:I$33,MATCH('[5]Annex 3 (''MEF)'!$AG351,'[5]Annex 2'!$G$8:$G$33,0)),"")</f>
        <v/>
      </c>
      <c r="U340" s="599" t="str">
        <f>IFERROR(INDEX('[5]Annex 2'!J$8:J$33,MATCH('[5]Annex 3 (''MEF)'!$AG351,'[5]Annex 2'!$G$8:$G$33,0)),"")</f>
        <v/>
      </c>
      <c r="V340" s="599" t="str">
        <f>IFERROR(INDEX('[5]Annex 2'!K$8:K$33,MATCH('[5]Annex 3 (''MEF)'!$AG351,'[5]Annex 2'!$G$8:$G$33,0)),"")</f>
        <v/>
      </c>
      <c r="W340" s="599" t="str">
        <f>IFERROR(INDEX('[5]Annex 2'!L$8:L$33,MATCH('[5]Annex 3 (''MEF)'!$AG351,'[5]Annex 2'!$G$8:$G$33,0)),"")</f>
        <v/>
      </c>
      <c r="X340" s="599" t="str">
        <f>IFERROR(INDEX('[5]Annex 2'!M$8:M$33,MATCH('[5]Annex 3 (''MEF)'!$AG351,'[5]Annex 2'!$G$8:$G$33,0)),"")</f>
        <v/>
      </c>
      <c r="Y340" s="647" t="str">
        <f t="shared" ref="Y340:Y343" si="454">IFERROR($S340*T340,"")</f>
        <v/>
      </c>
      <c r="Z340" s="600" t="str">
        <f t="shared" ref="Z340:Z343" si="455">IFERROR($S340*U340,"")</f>
        <v/>
      </c>
      <c r="AA340" s="600" t="str">
        <f t="shared" si="429"/>
        <v/>
      </c>
      <c r="AB340" s="600" t="str">
        <f t="shared" ref="AB340:AB343" si="456">IFERROR($S340*W340,"")</f>
        <v/>
      </c>
      <c r="AC340" s="601" t="str">
        <f t="shared" ref="AC340:AC343" si="457">IFERROR($S340*X340,"")</f>
        <v/>
      </c>
      <c r="AD340" s="602">
        <f t="shared" ref="AD340:AD343" si="458">SUM(Y340:AC340)</f>
        <v>0</v>
      </c>
      <c r="AE340" s="602">
        <f t="shared" ref="AE340:AE343" si="459">AD340-S340</f>
        <v>-54.5</v>
      </c>
      <c r="AF340" s="605"/>
      <c r="AG340" s="605"/>
      <c r="AH340" s="605"/>
      <c r="AI340" s="624"/>
      <c r="AJ340" s="625"/>
      <c r="AK340" s="625"/>
      <c r="AL340" s="625"/>
      <c r="AM340" s="625"/>
      <c r="AN340" s="625"/>
      <c r="AO340" s="625"/>
      <c r="AP340" s="625"/>
      <c r="AQ340" s="625"/>
      <c r="AR340" s="625"/>
      <c r="AS340" s="625"/>
      <c r="AT340" s="625"/>
      <c r="AU340" s="625"/>
      <c r="AV340" s="625"/>
      <c r="AW340" s="625"/>
      <c r="AX340" s="625"/>
    </row>
    <row r="341" spans="1:50" s="607" customFormat="1" ht="69.75">
      <c r="A341" s="587"/>
      <c r="B341" s="669" t="s">
        <v>1463</v>
      </c>
      <c r="C341" s="669" t="s">
        <v>41</v>
      </c>
      <c r="D341" s="701"/>
      <c r="E341" s="307" t="s">
        <v>496</v>
      </c>
      <c r="F341" s="615"/>
      <c r="G341" s="1922" t="s">
        <v>998</v>
      </c>
      <c r="H341" s="1454" t="s">
        <v>859</v>
      </c>
      <c r="I341" s="1722">
        <v>6</v>
      </c>
      <c r="J341" s="619">
        <v>1</v>
      </c>
      <c r="K341" s="620">
        <v>1</v>
      </c>
      <c r="L341" s="620">
        <v>1</v>
      </c>
      <c r="M341" s="620">
        <v>1</v>
      </c>
      <c r="N341" s="731">
        <f>SUM(J341:M341)</f>
        <v>4</v>
      </c>
      <c r="O341" s="2241">
        <f>($I$341*J341)</f>
        <v>6</v>
      </c>
      <c r="P341" s="1340">
        <f>($I$341*K341)</f>
        <v>6</v>
      </c>
      <c r="Q341" s="1340">
        <f>($I$341*L341)</f>
        <v>6</v>
      </c>
      <c r="R341" s="1340">
        <f>($I$341*M341)</f>
        <v>6</v>
      </c>
      <c r="S341" s="1356">
        <f>SUM(O341:R341)</f>
        <v>24</v>
      </c>
      <c r="T341" s="763">
        <f>IFERROR(INDEX('Annex 2_Code'!I$8:I$33,MATCH('Annex 3_MAFF'!$AG341,'Annex 2_Code'!$G$8:$G$33,0)),"")</f>
        <v>0</v>
      </c>
      <c r="U341" s="763">
        <f>IFERROR(INDEX('Annex 2_Code'!J$8:J$33,MATCH('Annex 3_MAFF'!$AG341,'Annex 2_Code'!$G$8:$G$33,0)),"")</f>
        <v>0</v>
      </c>
      <c r="V341" s="763">
        <f>IFERROR(INDEX('Annex 2_Code'!K$8:K$33,MATCH('Annex 3_MAFF'!$AG341,'Annex 2_Code'!$G$8:$G$33,0)),"")</f>
        <v>1</v>
      </c>
      <c r="W341" s="763">
        <f>IFERROR(INDEX('Annex 2_Code'!L$8:L$33,MATCH('Annex 3_MAFF'!$AG341,'Annex 2_Code'!$G$8:$G$33,0)),"")</f>
        <v>0</v>
      </c>
      <c r="X341" s="763">
        <f>IFERROR(INDEX('Annex 2_Code'!M$8:M$33,MATCH('Annex 3_MAFF'!$AG341,'Annex 2_Code'!$G$8:$G$33,0)),"")</f>
        <v>0</v>
      </c>
      <c r="Y341" s="1745">
        <f t="shared" ref="Y341:AC342" si="460">IFERROR($S341*T341,"")</f>
        <v>0</v>
      </c>
      <c r="Z341" s="807">
        <f t="shared" si="460"/>
        <v>0</v>
      </c>
      <c r="AA341" s="807">
        <f t="shared" si="460"/>
        <v>24</v>
      </c>
      <c r="AB341" s="807">
        <f t="shared" si="460"/>
        <v>0</v>
      </c>
      <c r="AC341" s="808">
        <f t="shared" si="460"/>
        <v>0</v>
      </c>
      <c r="AD341" s="764">
        <f t="shared" si="458"/>
        <v>24</v>
      </c>
      <c r="AE341" s="764">
        <f>AD341-S341</f>
        <v>0</v>
      </c>
      <c r="AF341" s="605" t="s">
        <v>306</v>
      </c>
      <c r="AG341" s="605" t="s">
        <v>203</v>
      </c>
      <c r="AH341" s="605" t="s">
        <v>13</v>
      </c>
      <c r="AI341" s="646" t="str">
        <f t="shared" ref="AI341:AI343" si="461">IF(ISNUMBER(FIND("-",AH341,1))=FALSE,LEFT(AH341,LEN(AH341)),LEFT(AH341,(FIND("-",AH341,1))-1))</f>
        <v>MAFF</v>
      </c>
      <c r="AJ341" s="637"/>
      <c r="AK341" s="637"/>
      <c r="AL341" s="625"/>
      <c r="AM341" s="625"/>
      <c r="AN341" s="625"/>
      <c r="AO341" s="625"/>
      <c r="AP341" s="625"/>
      <c r="AQ341" s="625"/>
      <c r="AR341" s="625"/>
      <c r="AS341" s="625"/>
      <c r="AT341" s="625"/>
      <c r="AU341" s="625"/>
      <c r="AV341" s="625"/>
      <c r="AW341" s="625"/>
      <c r="AX341" s="625"/>
    </row>
    <row r="342" spans="1:50" s="607" customFormat="1" ht="69.75">
      <c r="A342" s="587"/>
      <c r="B342" s="669" t="s">
        <v>1463</v>
      </c>
      <c r="C342" s="669" t="s">
        <v>41</v>
      </c>
      <c r="D342" s="701"/>
      <c r="E342" s="307" t="s">
        <v>497</v>
      </c>
      <c r="F342" s="615"/>
      <c r="G342" s="1922" t="s">
        <v>997</v>
      </c>
      <c r="H342" s="1454" t="s">
        <v>859</v>
      </c>
      <c r="I342" s="1722">
        <v>6</v>
      </c>
      <c r="J342" s="619">
        <v>1</v>
      </c>
      <c r="K342" s="620">
        <v>1</v>
      </c>
      <c r="L342" s="620">
        <v>1</v>
      </c>
      <c r="M342" s="620">
        <v>1</v>
      </c>
      <c r="N342" s="731">
        <f>SUM(J342:M342)</f>
        <v>4</v>
      </c>
      <c r="O342" s="2241">
        <f>($I$342*J342)</f>
        <v>6</v>
      </c>
      <c r="P342" s="1340">
        <f>($I$342*K342)</f>
        <v>6</v>
      </c>
      <c r="Q342" s="1340">
        <f>($I$342*L342)</f>
        <v>6</v>
      </c>
      <c r="R342" s="1340">
        <f>($I$342*M342)</f>
        <v>6</v>
      </c>
      <c r="S342" s="1356">
        <f>SUM(O342:R342)</f>
        <v>24</v>
      </c>
      <c r="T342" s="763">
        <f>IFERROR(INDEX('Annex 2_Code'!I$8:I$33,MATCH('Annex 3_MAFF'!$AG342,'Annex 2_Code'!$G$8:$G$33,0)),"")</f>
        <v>0</v>
      </c>
      <c r="U342" s="763">
        <f>IFERROR(INDEX('Annex 2_Code'!J$8:J$33,MATCH('Annex 3_MAFF'!$AG342,'Annex 2_Code'!$G$8:$G$33,0)),"")</f>
        <v>0</v>
      </c>
      <c r="V342" s="763">
        <f>IFERROR(INDEX('Annex 2_Code'!K$8:K$33,MATCH('Annex 3_MAFF'!$AG342,'Annex 2_Code'!$G$8:$G$33,0)),"")</f>
        <v>1</v>
      </c>
      <c r="W342" s="763">
        <f>IFERROR(INDEX('Annex 2_Code'!L$8:L$33,MATCH('Annex 3_MAFF'!$AG342,'Annex 2_Code'!$G$8:$G$33,0)),"")</f>
        <v>0</v>
      </c>
      <c r="X342" s="763">
        <f>IFERROR(INDEX('Annex 2_Code'!M$8:M$33,MATCH('Annex 3_MAFF'!$AG342,'Annex 2_Code'!$G$8:$G$33,0)),"")</f>
        <v>0</v>
      </c>
      <c r="Y342" s="1745">
        <f t="shared" si="460"/>
        <v>0</v>
      </c>
      <c r="Z342" s="807">
        <f t="shared" si="460"/>
        <v>0</v>
      </c>
      <c r="AA342" s="807">
        <f t="shared" si="460"/>
        <v>24</v>
      </c>
      <c r="AB342" s="807">
        <f t="shared" si="460"/>
        <v>0</v>
      </c>
      <c r="AC342" s="808">
        <f t="shared" si="460"/>
        <v>0</v>
      </c>
      <c r="AD342" s="764">
        <f t="shared" si="458"/>
        <v>24</v>
      </c>
      <c r="AE342" s="764">
        <f>AD342-S342</f>
        <v>0</v>
      </c>
      <c r="AF342" s="605" t="s">
        <v>306</v>
      </c>
      <c r="AG342" s="605" t="s">
        <v>203</v>
      </c>
      <c r="AH342" s="605" t="s">
        <v>13</v>
      </c>
      <c r="AI342" s="646" t="str">
        <f t="shared" si="461"/>
        <v>MAFF</v>
      </c>
      <c r="AJ342" s="637"/>
      <c r="AK342" s="637"/>
      <c r="AL342" s="625"/>
      <c r="AM342" s="625"/>
      <c r="AN342" s="625"/>
      <c r="AO342" s="625"/>
      <c r="AP342" s="625"/>
      <c r="AQ342" s="625"/>
      <c r="AR342" s="625"/>
      <c r="AS342" s="625"/>
      <c r="AT342" s="625"/>
      <c r="AU342" s="625"/>
      <c r="AV342" s="625"/>
      <c r="AW342" s="625"/>
      <c r="AX342" s="625"/>
    </row>
    <row r="343" spans="1:50" s="607" customFormat="1" ht="23.25">
      <c r="A343" s="587"/>
      <c r="B343" s="659" t="s">
        <v>54</v>
      </c>
      <c r="C343" s="613"/>
      <c r="D343" s="730"/>
      <c r="E343" s="591" t="s">
        <v>583</v>
      </c>
      <c r="F343" s="592"/>
      <c r="G343" s="734"/>
      <c r="H343" s="735"/>
      <c r="I343" s="736"/>
      <c r="J343" s="594">
        <f t="shared" ref="J343:S343" si="462">SUM(J341:J342)</f>
        <v>2</v>
      </c>
      <c r="K343" s="595">
        <f t="shared" si="462"/>
        <v>2</v>
      </c>
      <c r="L343" s="595">
        <f t="shared" si="462"/>
        <v>2</v>
      </c>
      <c r="M343" s="595">
        <f t="shared" si="462"/>
        <v>2</v>
      </c>
      <c r="N343" s="596">
        <f t="shared" si="462"/>
        <v>8</v>
      </c>
      <c r="O343" s="597">
        <f t="shared" si="462"/>
        <v>12</v>
      </c>
      <c r="P343" s="1450">
        <f t="shared" si="462"/>
        <v>12</v>
      </c>
      <c r="Q343" s="1450">
        <f t="shared" si="462"/>
        <v>12</v>
      </c>
      <c r="R343" s="1450">
        <f t="shared" si="462"/>
        <v>12</v>
      </c>
      <c r="S343" s="1409">
        <f t="shared" si="462"/>
        <v>48</v>
      </c>
      <c r="T343" s="599" t="str">
        <f>IFERROR(INDEX('Annex 2_Code'!I$8:I$33,MATCH('Annex 3_MAFF'!$AG343,'Annex 2_Code'!$G$8:$G$33,0)),"")</f>
        <v/>
      </c>
      <c r="U343" s="599" t="str">
        <f>IFERROR(INDEX('Annex 2_Code'!J$8:J$33,MATCH('Annex 3_MAFF'!$AG343,'Annex 2_Code'!$G$8:$G$33,0)),"")</f>
        <v/>
      </c>
      <c r="V343" s="599" t="str">
        <f>IFERROR(INDEX('Annex 2_Code'!K$8:K$33,MATCH('Annex 3_MAFF'!$AG343,'Annex 2_Code'!$G$8:$G$33,0)),"")</f>
        <v/>
      </c>
      <c r="W343" s="599" t="str">
        <f>IFERROR(INDEX('Annex 2_Code'!L$8:L$33,MATCH('Annex 3_MAFF'!$AG343,'Annex 2_Code'!$G$8:$G$33,0)),"")</f>
        <v/>
      </c>
      <c r="X343" s="599" t="str">
        <f>IFERROR(INDEX('Annex 2_Code'!M$8:M$33,MATCH('Annex 3_MAFF'!$AG343,'Annex 2_Code'!$G$8:$G$33,0)),"")</f>
        <v/>
      </c>
      <c r="Y343" s="647" t="str">
        <f t="shared" si="454"/>
        <v/>
      </c>
      <c r="Z343" s="600" t="str">
        <f t="shared" si="455"/>
        <v/>
      </c>
      <c r="AA343" s="600" t="str">
        <f t="shared" si="429"/>
        <v/>
      </c>
      <c r="AB343" s="600" t="str">
        <f t="shared" si="456"/>
        <v/>
      </c>
      <c r="AC343" s="601" t="str">
        <f t="shared" si="457"/>
        <v/>
      </c>
      <c r="AD343" s="602">
        <f t="shared" si="458"/>
        <v>0</v>
      </c>
      <c r="AE343" s="602">
        <f t="shared" si="459"/>
        <v>-48</v>
      </c>
      <c r="AF343" s="605"/>
      <c r="AG343" s="605"/>
      <c r="AH343" s="605" t="str">
        <f>IFERROR(INDEX('Annex 2_Code'!$J$114:$J$126,MATCH('Annex 3_MAFF'!AF343,'Annex 2_Code'!$G$114:$G$126,0)),"")</f>
        <v/>
      </c>
      <c r="AI343" s="624" t="str">
        <f t="shared" si="461"/>
        <v/>
      </c>
      <c r="AJ343" s="625"/>
      <c r="AK343" s="625"/>
      <c r="AL343" s="625"/>
      <c r="AM343" s="625"/>
      <c r="AN343" s="625"/>
      <c r="AO343" s="625"/>
      <c r="AP343" s="625"/>
      <c r="AQ343" s="625"/>
      <c r="AR343" s="625"/>
      <c r="AS343" s="625"/>
      <c r="AT343" s="625"/>
      <c r="AU343" s="625"/>
      <c r="AV343" s="625"/>
      <c r="AW343" s="625"/>
      <c r="AX343" s="625"/>
    </row>
    <row r="344" spans="1:50" s="607" customFormat="1" ht="46.5">
      <c r="A344" s="587"/>
      <c r="B344" s="669"/>
      <c r="C344" s="669"/>
      <c r="D344" s="1597"/>
      <c r="E344" s="1777" t="s">
        <v>993</v>
      </c>
      <c r="F344" s="1773"/>
      <c r="G344" s="1778" t="s">
        <v>1424</v>
      </c>
      <c r="H344" s="1721"/>
      <c r="I344" s="765"/>
      <c r="J344" s="619"/>
      <c r="K344" s="620"/>
      <c r="L344" s="620"/>
      <c r="M344" s="620"/>
      <c r="N344" s="731"/>
      <c r="O344" s="622"/>
      <c r="P344" s="623"/>
      <c r="Q344" s="623"/>
      <c r="R344" s="1340"/>
      <c r="S344" s="1356"/>
      <c r="T344" s="599" t="str">
        <f>IFERROR(INDEX('[5]Annex 2'!I$8:I$33,MATCH('[5]Annex 3 (''MEF)'!$AG366,'[5]Annex 2'!$G$8:$G$33,0)),"")</f>
        <v/>
      </c>
      <c r="U344" s="599" t="str">
        <f>IFERROR(INDEX('[5]Annex 2'!J$8:J$33,MATCH('[5]Annex 3 (''MEF)'!$AG366,'[5]Annex 2'!$G$8:$G$33,0)),"")</f>
        <v/>
      </c>
      <c r="V344" s="599" t="str">
        <f>IFERROR(INDEX('[5]Annex 2'!K$8:K$33,MATCH('[5]Annex 3 (''MEF)'!$AG366,'[5]Annex 2'!$G$8:$G$33,0)),"")</f>
        <v/>
      </c>
      <c r="W344" s="599" t="str">
        <f>IFERROR(INDEX('[5]Annex 2'!L$8:L$33,MATCH('[5]Annex 3 (''MEF)'!$AG366,'[5]Annex 2'!$G$8:$G$33,0)),"")</f>
        <v/>
      </c>
      <c r="X344" s="599" t="str">
        <f>IFERROR(INDEX('[5]Annex 2'!M$8:M$33,MATCH('[5]Annex 3 (''MEF)'!$AG366,'[5]Annex 2'!$G$8:$G$33,0)),"")</f>
        <v/>
      </c>
      <c r="Y344" s="647" t="str">
        <f t="shared" ref="Y344:AC348" si="463">IFERROR($S344*T344,"")</f>
        <v/>
      </c>
      <c r="Z344" s="600" t="str">
        <f t="shared" si="463"/>
        <v/>
      </c>
      <c r="AA344" s="600" t="str">
        <f t="shared" si="463"/>
        <v/>
      </c>
      <c r="AB344" s="600" t="str">
        <f t="shared" si="463"/>
        <v/>
      </c>
      <c r="AC344" s="601" t="str">
        <f t="shared" si="463"/>
        <v/>
      </c>
      <c r="AD344" s="602">
        <f>SUM(Y344:AC344)</f>
        <v>0</v>
      </c>
      <c r="AE344" s="602">
        <f>AD344-S344</f>
        <v>0</v>
      </c>
      <c r="AF344" s="605"/>
      <c r="AG344" s="605"/>
      <c r="AH344" s="605" t="str">
        <f>IFERROR(INDEX('[5]Annex 2'!$J$110:$J$122,MATCH('[5]Annex 3 (''MEF)'!AF366,'[5]Annex 2'!$G$110:$G$122,0)),"")</f>
        <v/>
      </c>
      <c r="AI344" s="624" t="str">
        <f t="shared" ref="AI344:AI353" si="464">IF(ISNUMBER(FIND("-",AH344,1))=FALSE,LEFT(AH344,LEN(AH344)),LEFT(AH344,(FIND("-",AH344,1))-1))</f>
        <v/>
      </c>
      <c r="AJ344" s="625"/>
      <c r="AK344" s="625"/>
      <c r="AL344" s="625"/>
      <c r="AM344" s="625"/>
      <c r="AN344" s="625"/>
      <c r="AO344" s="625"/>
      <c r="AP344" s="625"/>
      <c r="AQ344" s="625"/>
      <c r="AR344" s="625"/>
      <c r="AS344" s="625"/>
      <c r="AT344" s="625"/>
      <c r="AU344" s="625"/>
      <c r="AV344" s="625"/>
      <c r="AW344" s="625"/>
      <c r="AX344" s="625"/>
    </row>
    <row r="345" spans="1:50" s="1378" customFormat="1" ht="37.5">
      <c r="A345" s="1380"/>
      <c r="B345" s="669" t="s">
        <v>1463</v>
      </c>
      <c r="C345" s="669" t="s">
        <v>41</v>
      </c>
      <c r="D345" s="701"/>
      <c r="E345" s="307" t="s">
        <v>990</v>
      </c>
      <c r="F345" s="615"/>
      <c r="G345" s="616" t="s">
        <v>1590</v>
      </c>
      <c r="H345" s="677" t="s">
        <v>1520</v>
      </c>
      <c r="I345" s="727">
        <v>1</v>
      </c>
      <c r="J345" s="619">
        <v>0</v>
      </c>
      <c r="K345" s="620">
        <v>2</v>
      </c>
      <c r="L345" s="620">
        <v>2</v>
      </c>
      <c r="M345" s="620"/>
      <c r="N345" s="731">
        <f>SUM(J345:M345)</f>
        <v>4</v>
      </c>
      <c r="O345" s="622">
        <f>($I$345*J345)</f>
        <v>0</v>
      </c>
      <c r="P345" s="623">
        <f>($I$345*K345)</f>
        <v>2</v>
      </c>
      <c r="Q345" s="623">
        <f>($I$345*L345)</f>
        <v>2</v>
      </c>
      <c r="R345" s="623">
        <f>($I$345*M345)</f>
        <v>0</v>
      </c>
      <c r="S345" s="1356">
        <f>SUM(O345:R345)</f>
        <v>4</v>
      </c>
      <c r="T345" s="763">
        <f>IFERROR(INDEX('Annex 2_Code'!I$8:I$33,MATCH('Annex 3_MAFF'!$AG345,'Annex 2_Code'!$G$8:$G$33,0)),"")</f>
        <v>0</v>
      </c>
      <c r="U345" s="763">
        <f>IFERROR(INDEX('Annex 2_Code'!J$8:J$33,MATCH('Annex 3_MAFF'!$AG345,'Annex 2_Code'!$G$8:$G$33,0)),"")</f>
        <v>0</v>
      </c>
      <c r="V345" s="763">
        <f>IFERROR(INDEX('Annex 2_Code'!K$8:K$33,MATCH('Annex 3_MAFF'!$AG345,'Annex 2_Code'!$G$8:$G$33,0)),"")</f>
        <v>1</v>
      </c>
      <c r="W345" s="763">
        <f>IFERROR(INDEX('Annex 2_Code'!L$8:L$33,MATCH('Annex 3_MAFF'!$AG345,'Annex 2_Code'!$G$8:$G$33,0)),"")</f>
        <v>0</v>
      </c>
      <c r="X345" s="763">
        <f>IFERROR(INDEX('Annex 2_Code'!M$8:M$33,MATCH('Annex 3_MAFF'!$AG345,'Annex 2_Code'!$G$8:$G$33,0)),"")</f>
        <v>0</v>
      </c>
      <c r="Y345" s="1745">
        <f t="shared" si="463"/>
        <v>0</v>
      </c>
      <c r="Z345" s="807">
        <f t="shared" si="463"/>
        <v>0</v>
      </c>
      <c r="AA345" s="807">
        <f t="shared" si="463"/>
        <v>4</v>
      </c>
      <c r="AB345" s="807">
        <f t="shared" si="463"/>
        <v>0</v>
      </c>
      <c r="AC345" s="808">
        <f t="shared" si="463"/>
        <v>0</v>
      </c>
      <c r="AD345" s="764">
        <f>SUM(Y345:AC345)</f>
        <v>4</v>
      </c>
      <c r="AE345" s="764">
        <f>AD345-S345</f>
        <v>0</v>
      </c>
      <c r="AF345" s="605" t="s">
        <v>306</v>
      </c>
      <c r="AG345" s="605" t="s">
        <v>203</v>
      </c>
      <c r="AH345" s="605" t="s">
        <v>372</v>
      </c>
      <c r="AI345" s="646" t="str">
        <f t="shared" si="464"/>
        <v>MAFF</v>
      </c>
      <c r="AJ345" s="637"/>
      <c r="AK345" s="1381"/>
      <c r="AL345" s="1381"/>
      <c r="AM345" s="1381"/>
      <c r="AN345" s="1381"/>
      <c r="AO345" s="1381"/>
      <c r="AP345" s="1381"/>
      <c r="AQ345" s="1381"/>
      <c r="AR345" s="1381"/>
      <c r="AS345" s="1381"/>
      <c r="AT345" s="1381"/>
      <c r="AU345" s="1381"/>
      <c r="AV345" s="1381"/>
      <c r="AW345" s="1381"/>
      <c r="AX345" s="1381"/>
    </row>
    <row r="346" spans="1:50" s="1378" customFormat="1" ht="48.75" customHeight="1" outlineLevel="1">
      <c r="A346" s="1380"/>
      <c r="B346" s="669" t="s">
        <v>1463</v>
      </c>
      <c r="C346" s="669" t="s">
        <v>41</v>
      </c>
      <c r="D346" s="701"/>
      <c r="E346" s="307" t="s">
        <v>991</v>
      </c>
      <c r="F346" s="615"/>
      <c r="G346" s="1452" t="s">
        <v>1425</v>
      </c>
      <c r="H346" s="1921" t="s">
        <v>982</v>
      </c>
      <c r="I346" s="794">
        <v>5</v>
      </c>
      <c r="J346" s="620">
        <v>0</v>
      </c>
      <c r="K346" s="620">
        <v>1</v>
      </c>
      <c r="L346" s="620">
        <v>2</v>
      </c>
      <c r="M346" s="620">
        <v>0</v>
      </c>
      <c r="N346" s="731">
        <f>SUM(J346:M346)</f>
        <v>3</v>
      </c>
      <c r="O346" s="622">
        <f>($I$346*J346)</f>
        <v>0</v>
      </c>
      <c r="P346" s="623">
        <f>($I$346*K346)</f>
        <v>5</v>
      </c>
      <c r="Q346" s="623">
        <f>($I$346*L346)</f>
        <v>10</v>
      </c>
      <c r="R346" s="623">
        <f>($I$346*M346)</f>
        <v>0</v>
      </c>
      <c r="S346" s="1356">
        <f>SUM(O346:R346)</f>
        <v>15</v>
      </c>
      <c r="T346" s="763">
        <f>IFERROR(INDEX('Annex 2_Code'!I$8:I$33,MATCH('Annex 3_MAFF'!$AG346,'Annex 2_Code'!$G$8:$G$33,0)),"")</f>
        <v>0</v>
      </c>
      <c r="U346" s="763">
        <f>IFERROR(INDEX('Annex 2_Code'!J$8:J$33,MATCH('Annex 3_MAFF'!$AG346,'Annex 2_Code'!$G$8:$G$33,0)),"")</f>
        <v>0</v>
      </c>
      <c r="V346" s="763">
        <f>IFERROR(INDEX('Annex 2_Code'!K$8:K$33,MATCH('Annex 3_MAFF'!$AG346,'Annex 2_Code'!$G$8:$G$33,0)),"")</f>
        <v>1</v>
      </c>
      <c r="W346" s="763">
        <f>IFERROR(INDEX('Annex 2_Code'!L$8:L$33,MATCH('Annex 3_MAFF'!$AG346,'Annex 2_Code'!$G$8:$G$33,0)),"")</f>
        <v>0</v>
      </c>
      <c r="X346" s="763">
        <f>IFERROR(INDEX('Annex 2_Code'!M$8:M$33,MATCH('Annex 3_MAFF'!$AG346,'Annex 2_Code'!$G$8:$G$33,0)),"")</f>
        <v>0</v>
      </c>
      <c r="Y346" s="1745">
        <f t="shared" si="463"/>
        <v>0</v>
      </c>
      <c r="Z346" s="807">
        <f t="shared" si="463"/>
        <v>0</v>
      </c>
      <c r="AA346" s="807">
        <f t="shared" si="463"/>
        <v>15</v>
      </c>
      <c r="AB346" s="807">
        <f t="shared" si="463"/>
        <v>0</v>
      </c>
      <c r="AC346" s="808">
        <f t="shared" si="463"/>
        <v>0</v>
      </c>
      <c r="AD346" s="764">
        <f>SUM(Y346:AC346)</f>
        <v>15</v>
      </c>
      <c r="AE346" s="764">
        <f>AD346-S346</f>
        <v>0</v>
      </c>
      <c r="AF346" s="605" t="s">
        <v>306</v>
      </c>
      <c r="AG346" s="605" t="s">
        <v>203</v>
      </c>
      <c r="AH346" s="605" t="s">
        <v>372</v>
      </c>
      <c r="AI346" s="646" t="str">
        <f t="shared" si="464"/>
        <v>MAFF</v>
      </c>
      <c r="AJ346" s="637" t="s">
        <v>456</v>
      </c>
      <c r="AK346" s="1381"/>
      <c r="AL346" s="1381"/>
      <c r="AM346" s="1381"/>
      <c r="AN346" s="1381"/>
      <c r="AO346" s="1381"/>
      <c r="AP346" s="1381"/>
      <c r="AQ346" s="1381"/>
      <c r="AR346" s="1381"/>
      <c r="AS346" s="1381"/>
      <c r="AT346" s="1381"/>
      <c r="AU346" s="1381"/>
      <c r="AV346" s="1381"/>
      <c r="AW346" s="1381"/>
      <c r="AX346" s="1381"/>
    </row>
    <row r="347" spans="1:50" s="1378" customFormat="1" ht="60.75" outlineLevel="1">
      <c r="A347" s="1380"/>
      <c r="B347" s="669" t="s">
        <v>1463</v>
      </c>
      <c r="C347" s="669" t="s">
        <v>41</v>
      </c>
      <c r="D347" s="701"/>
      <c r="E347" s="307" t="s">
        <v>992</v>
      </c>
      <c r="F347" s="615"/>
      <c r="G347" s="2237" t="s">
        <v>1591</v>
      </c>
      <c r="H347" s="677" t="s">
        <v>595</v>
      </c>
      <c r="I347" s="2312">
        <v>7</v>
      </c>
      <c r="J347" s="619">
        <v>0</v>
      </c>
      <c r="K347" s="620">
        <v>0</v>
      </c>
      <c r="L347" s="620">
        <v>1</v>
      </c>
      <c r="M347" s="620">
        <v>1</v>
      </c>
      <c r="N347" s="731">
        <f t="shared" ref="N347:N352" si="465">SUM(J347:M347)</f>
        <v>2</v>
      </c>
      <c r="O347" s="622">
        <f>($I$347*J347)</f>
        <v>0</v>
      </c>
      <c r="P347" s="623">
        <f>($I$347*K347)</f>
        <v>0</v>
      </c>
      <c r="Q347" s="623">
        <f>($I$347*L347)</f>
        <v>7</v>
      </c>
      <c r="R347" s="623">
        <f>($I$347*M347)</f>
        <v>7</v>
      </c>
      <c r="S347" s="1356">
        <f t="shared" ref="S347:S352" si="466">SUM(O347:R347)</f>
        <v>14</v>
      </c>
      <c r="T347" s="763">
        <f>IFERROR(INDEX('Annex 2_Code'!I$8:I$33,MATCH('Annex 3_MAFF'!$AG347,'Annex 2_Code'!$G$8:$G$33,0)),"")</f>
        <v>0</v>
      </c>
      <c r="U347" s="763">
        <f>IFERROR(INDEX('Annex 2_Code'!J$8:J$33,MATCH('Annex 3_MAFF'!$AG347,'Annex 2_Code'!$G$8:$G$33,0)),"")</f>
        <v>0</v>
      </c>
      <c r="V347" s="763">
        <f>IFERROR(INDEX('Annex 2_Code'!K$8:K$33,MATCH('Annex 3_MAFF'!$AG347,'Annex 2_Code'!$G$8:$G$33,0)),"")</f>
        <v>1</v>
      </c>
      <c r="W347" s="763">
        <f>IFERROR(INDEX('Annex 2_Code'!L$8:L$33,MATCH('Annex 3_MAFF'!$AG347,'Annex 2_Code'!$G$8:$G$33,0)),"")</f>
        <v>0</v>
      </c>
      <c r="X347" s="763">
        <f>IFERROR(INDEX('Annex 2_Code'!M$8:M$33,MATCH('Annex 3_MAFF'!$AG347,'Annex 2_Code'!$G$8:$G$33,0)),"")</f>
        <v>0</v>
      </c>
      <c r="Y347" s="1745">
        <f t="shared" si="463"/>
        <v>0</v>
      </c>
      <c r="Z347" s="807">
        <f t="shared" si="463"/>
        <v>0</v>
      </c>
      <c r="AA347" s="807">
        <f t="shared" si="463"/>
        <v>14</v>
      </c>
      <c r="AB347" s="807">
        <f t="shared" si="463"/>
        <v>0</v>
      </c>
      <c r="AC347" s="808">
        <f t="shared" si="463"/>
        <v>0</v>
      </c>
      <c r="AD347" s="764">
        <f>SUM(Y347:AC347)</f>
        <v>14</v>
      </c>
      <c r="AE347" s="764">
        <f>AD347-S347</f>
        <v>0</v>
      </c>
      <c r="AF347" s="605" t="s">
        <v>306</v>
      </c>
      <c r="AG347" s="605" t="s">
        <v>203</v>
      </c>
      <c r="AH347" s="605" t="s">
        <v>372</v>
      </c>
      <c r="AI347" s="646" t="str">
        <f t="shared" si="464"/>
        <v>MAFF</v>
      </c>
      <c r="AJ347" s="637"/>
      <c r="AK347" s="1381"/>
      <c r="AL347" s="1381"/>
      <c r="AM347" s="1381"/>
      <c r="AN347" s="1381"/>
      <c r="AO347" s="1381"/>
      <c r="AP347" s="1381"/>
      <c r="AQ347" s="1381"/>
      <c r="AR347" s="1381"/>
      <c r="AS347" s="1381"/>
      <c r="AT347" s="1381"/>
      <c r="AU347" s="1381"/>
      <c r="AV347" s="1381"/>
      <c r="AW347" s="1381"/>
      <c r="AX347" s="1381"/>
    </row>
    <row r="348" spans="1:50" s="1378" customFormat="1" ht="55.5" customHeight="1" outlineLevel="1">
      <c r="A348" s="1380"/>
      <c r="B348" s="669" t="s">
        <v>1463</v>
      </c>
      <c r="C348" s="669" t="s">
        <v>41</v>
      </c>
      <c r="D348" s="701"/>
      <c r="E348" s="307" t="s">
        <v>1468</v>
      </c>
      <c r="F348" s="615"/>
      <c r="G348" s="616" t="s">
        <v>1592</v>
      </c>
      <c r="H348" s="811" t="s">
        <v>595</v>
      </c>
      <c r="I348" s="794">
        <v>8</v>
      </c>
      <c r="J348" s="620">
        <v>0</v>
      </c>
      <c r="K348" s="620">
        <v>0</v>
      </c>
      <c r="L348" s="620">
        <v>0</v>
      </c>
      <c r="M348" s="620">
        <v>1</v>
      </c>
      <c r="N348" s="731">
        <f t="shared" si="465"/>
        <v>1</v>
      </c>
      <c r="O348" s="622">
        <f>($I$348*J348)</f>
        <v>0</v>
      </c>
      <c r="P348" s="623">
        <f>($I$348*K348)</f>
        <v>0</v>
      </c>
      <c r="Q348" s="623">
        <f>($I$348*L348)</f>
        <v>0</v>
      </c>
      <c r="R348" s="623">
        <f>($I$348*M348)</f>
        <v>8</v>
      </c>
      <c r="S348" s="1356">
        <f t="shared" si="466"/>
        <v>8</v>
      </c>
      <c r="T348" s="763">
        <f>IFERROR(INDEX('Annex 2_Code'!I$8:I$33,MATCH('Annex 3_MAFF'!$AG348,'Annex 2_Code'!$G$8:$G$33,0)),"")</f>
        <v>0</v>
      </c>
      <c r="U348" s="763">
        <f>IFERROR(INDEX('Annex 2_Code'!J$8:J$33,MATCH('Annex 3_MAFF'!$AG348,'Annex 2_Code'!$G$8:$G$33,0)),"")</f>
        <v>0</v>
      </c>
      <c r="V348" s="763">
        <f>IFERROR(INDEX('Annex 2_Code'!K$8:K$33,MATCH('Annex 3_MAFF'!$AG348,'Annex 2_Code'!$G$8:$G$33,0)),"")</f>
        <v>1</v>
      </c>
      <c r="W348" s="763">
        <f>IFERROR(INDEX('Annex 2_Code'!L$8:L$33,MATCH('Annex 3_MAFF'!$AG348,'Annex 2_Code'!$G$8:$G$33,0)),"")</f>
        <v>0</v>
      </c>
      <c r="X348" s="763">
        <f>IFERROR(INDEX('Annex 2_Code'!M$8:M$33,MATCH('Annex 3_MAFF'!$AG348,'Annex 2_Code'!$G$8:$G$33,0)),"")</f>
        <v>0</v>
      </c>
      <c r="Y348" s="1745">
        <f t="shared" si="463"/>
        <v>0</v>
      </c>
      <c r="Z348" s="807">
        <f t="shared" si="463"/>
        <v>0</v>
      </c>
      <c r="AA348" s="807">
        <f t="shared" si="463"/>
        <v>8</v>
      </c>
      <c r="AB348" s="807">
        <f t="shared" si="463"/>
        <v>0</v>
      </c>
      <c r="AC348" s="808">
        <f t="shared" si="463"/>
        <v>0</v>
      </c>
      <c r="AD348" s="764">
        <f>SUM(Y348:AC348)</f>
        <v>8</v>
      </c>
      <c r="AE348" s="764">
        <f>AD348-S348</f>
        <v>0</v>
      </c>
      <c r="AF348" s="605" t="s">
        <v>306</v>
      </c>
      <c r="AG348" s="605" t="s">
        <v>203</v>
      </c>
      <c r="AH348" s="605" t="s">
        <v>372</v>
      </c>
      <c r="AI348" s="646" t="str">
        <f t="shared" si="464"/>
        <v>MAFF</v>
      </c>
      <c r="AJ348" s="637" t="s">
        <v>456</v>
      </c>
      <c r="AK348" s="1381"/>
      <c r="AL348" s="1381"/>
      <c r="AM348" s="1381"/>
      <c r="AN348" s="1381"/>
      <c r="AO348" s="1381"/>
      <c r="AP348" s="1381"/>
      <c r="AQ348" s="1381"/>
      <c r="AR348" s="1381"/>
      <c r="AS348" s="1381"/>
      <c r="AT348" s="1381"/>
      <c r="AU348" s="1381"/>
      <c r="AV348" s="1381"/>
      <c r="AW348" s="1381"/>
      <c r="AX348" s="1381"/>
    </row>
    <row r="349" spans="1:50" s="1378" customFormat="1" ht="46.5" outlineLevel="1">
      <c r="A349" s="1380"/>
      <c r="B349" s="669" t="s">
        <v>1463</v>
      </c>
      <c r="C349" s="669" t="s">
        <v>41</v>
      </c>
      <c r="D349" s="701"/>
      <c r="E349" s="307" t="s">
        <v>1469</v>
      </c>
      <c r="F349" s="615"/>
      <c r="G349" s="616" t="s">
        <v>1593</v>
      </c>
      <c r="H349" s="1921" t="s">
        <v>982</v>
      </c>
      <c r="I349" s="794">
        <v>2</v>
      </c>
      <c r="J349" s="620">
        <v>0</v>
      </c>
      <c r="K349" s="620">
        <v>0</v>
      </c>
      <c r="L349" s="620">
        <v>1</v>
      </c>
      <c r="M349" s="620">
        <v>0</v>
      </c>
      <c r="N349" s="731">
        <f t="shared" si="465"/>
        <v>1</v>
      </c>
      <c r="O349" s="622">
        <f>($I$349*J349)</f>
        <v>0</v>
      </c>
      <c r="P349" s="623">
        <f>($I$349*K349)</f>
        <v>0</v>
      </c>
      <c r="Q349" s="623">
        <f>($I$349*L349)</f>
        <v>2</v>
      </c>
      <c r="R349" s="623">
        <f>($I$349*M349)</f>
        <v>0</v>
      </c>
      <c r="S349" s="1356">
        <f t="shared" si="466"/>
        <v>2</v>
      </c>
      <c r="T349" s="763">
        <f>IFERROR(INDEX('Annex 2_Code'!I$8:I$33,MATCH('Annex 3_MAFF'!$AG349,'Annex 2_Code'!$G$8:$G$33,0)),"")</f>
        <v>0</v>
      </c>
      <c r="U349" s="763">
        <f>IFERROR(INDEX('Annex 2_Code'!J$8:J$33,MATCH('Annex 3_MAFF'!$AG349,'Annex 2_Code'!$G$8:$G$33,0)),"")</f>
        <v>0</v>
      </c>
      <c r="V349" s="763">
        <f>IFERROR(INDEX('Annex 2_Code'!K$8:K$33,MATCH('Annex 3_MAFF'!$AG349,'Annex 2_Code'!$G$8:$G$33,0)),"")</f>
        <v>1</v>
      </c>
      <c r="W349" s="763">
        <f>IFERROR(INDEX('Annex 2_Code'!L$8:L$33,MATCH('Annex 3_MAFF'!$AG349,'Annex 2_Code'!$G$8:$G$33,0)),"")</f>
        <v>0</v>
      </c>
      <c r="X349" s="763">
        <f>IFERROR(INDEX('Annex 2_Code'!M$8:M$33,MATCH('Annex 3_MAFF'!$AG349,'Annex 2_Code'!$G$8:$G$33,0)),"")</f>
        <v>0</v>
      </c>
      <c r="Y349" s="1745">
        <f t="shared" ref="Y349:Y352" si="467">IFERROR($S349*T349,"")</f>
        <v>0</v>
      </c>
      <c r="Z349" s="807">
        <f t="shared" ref="Z349:Z352" si="468">IFERROR($S349*U349,"")</f>
        <v>0</v>
      </c>
      <c r="AA349" s="807">
        <f t="shared" ref="AA349:AA352" si="469">IFERROR($S349*V349,"")</f>
        <v>2</v>
      </c>
      <c r="AB349" s="807">
        <f t="shared" ref="AB349:AB352" si="470">IFERROR($S349*W349,"")</f>
        <v>0</v>
      </c>
      <c r="AC349" s="808">
        <f t="shared" ref="AC349:AC352" si="471">IFERROR($S349*X349,"")</f>
        <v>0</v>
      </c>
      <c r="AD349" s="764">
        <f t="shared" ref="AD349:AD352" si="472">SUM(Y349:AC349)</f>
        <v>2</v>
      </c>
      <c r="AE349" s="764">
        <f t="shared" ref="AE349:AE352" si="473">AD349-S349</f>
        <v>0</v>
      </c>
      <c r="AF349" s="605" t="s">
        <v>306</v>
      </c>
      <c r="AG349" s="605" t="s">
        <v>203</v>
      </c>
      <c r="AH349" s="605" t="s">
        <v>372</v>
      </c>
      <c r="AI349" s="646" t="str">
        <f t="shared" si="464"/>
        <v>MAFF</v>
      </c>
      <c r="AJ349" s="637"/>
      <c r="AK349" s="1381"/>
      <c r="AL349" s="1381"/>
      <c r="AM349" s="1381"/>
      <c r="AN349" s="1381"/>
      <c r="AO349" s="1381"/>
      <c r="AP349" s="1381"/>
      <c r="AQ349" s="1381"/>
      <c r="AR349" s="1381"/>
      <c r="AS349" s="1381"/>
      <c r="AT349" s="1381"/>
      <c r="AU349" s="1381"/>
      <c r="AV349" s="1381"/>
      <c r="AW349" s="1381"/>
      <c r="AX349" s="1381"/>
    </row>
    <row r="350" spans="1:50" s="1378" customFormat="1" ht="46.5" outlineLevel="1">
      <c r="A350" s="1380"/>
      <c r="B350" s="669" t="s">
        <v>1463</v>
      </c>
      <c r="C350" s="669" t="s">
        <v>41</v>
      </c>
      <c r="D350" s="701"/>
      <c r="E350" s="307" t="s">
        <v>1470</v>
      </c>
      <c r="F350" s="615"/>
      <c r="G350" s="2237" t="s">
        <v>1594</v>
      </c>
      <c r="H350" s="1921" t="s">
        <v>982</v>
      </c>
      <c r="I350" s="727">
        <v>3.5</v>
      </c>
      <c r="J350" s="620">
        <v>0</v>
      </c>
      <c r="K350" s="620">
        <v>0</v>
      </c>
      <c r="L350" s="620">
        <v>0</v>
      </c>
      <c r="M350" s="620">
        <v>1</v>
      </c>
      <c r="N350" s="731">
        <f t="shared" si="465"/>
        <v>1</v>
      </c>
      <c r="O350" s="622">
        <f>($I$350*J350)</f>
        <v>0</v>
      </c>
      <c r="P350" s="623">
        <f>($I$350*K350)</f>
        <v>0</v>
      </c>
      <c r="Q350" s="623">
        <f>($I$350*L350)</f>
        <v>0</v>
      </c>
      <c r="R350" s="623">
        <f>($I$350*M350)</f>
        <v>3.5</v>
      </c>
      <c r="S350" s="1356">
        <f t="shared" si="466"/>
        <v>3.5</v>
      </c>
      <c r="T350" s="763">
        <f>IFERROR(INDEX('Annex 2_Code'!I$8:I$33,MATCH('Annex 3_MAFF'!$AG350,'Annex 2_Code'!$G$8:$G$33,0)),"")</f>
        <v>0</v>
      </c>
      <c r="U350" s="763">
        <f>IFERROR(INDEX('Annex 2_Code'!J$8:J$33,MATCH('Annex 3_MAFF'!$AG350,'Annex 2_Code'!$G$8:$G$33,0)),"")</f>
        <v>0</v>
      </c>
      <c r="V350" s="763">
        <f>IFERROR(INDEX('Annex 2_Code'!K$8:K$33,MATCH('Annex 3_MAFF'!$AG350,'Annex 2_Code'!$G$8:$G$33,0)),"")</f>
        <v>1</v>
      </c>
      <c r="W350" s="763">
        <f>IFERROR(INDEX('Annex 2_Code'!L$8:L$33,MATCH('Annex 3_MAFF'!$AG350,'Annex 2_Code'!$G$8:$G$33,0)),"")</f>
        <v>0</v>
      </c>
      <c r="X350" s="763">
        <f>IFERROR(INDEX('Annex 2_Code'!M$8:M$33,MATCH('Annex 3_MAFF'!$AG350,'Annex 2_Code'!$G$8:$G$33,0)),"")</f>
        <v>0</v>
      </c>
      <c r="Y350" s="1745">
        <f t="shared" si="467"/>
        <v>0</v>
      </c>
      <c r="Z350" s="807">
        <f t="shared" si="468"/>
        <v>0</v>
      </c>
      <c r="AA350" s="807">
        <f t="shared" si="469"/>
        <v>3.5</v>
      </c>
      <c r="AB350" s="807">
        <f t="shared" si="470"/>
        <v>0</v>
      </c>
      <c r="AC350" s="808">
        <f t="shared" si="471"/>
        <v>0</v>
      </c>
      <c r="AD350" s="764">
        <f t="shared" si="472"/>
        <v>3.5</v>
      </c>
      <c r="AE350" s="764">
        <f t="shared" si="473"/>
        <v>0</v>
      </c>
      <c r="AF350" s="605" t="s">
        <v>306</v>
      </c>
      <c r="AG350" s="605" t="s">
        <v>203</v>
      </c>
      <c r="AH350" s="605" t="s">
        <v>372</v>
      </c>
      <c r="AI350" s="646" t="str">
        <f t="shared" si="464"/>
        <v>MAFF</v>
      </c>
      <c r="AJ350" s="637"/>
      <c r="AK350" s="1381"/>
      <c r="AL350" s="1381"/>
      <c r="AM350" s="1381"/>
      <c r="AN350" s="1381"/>
      <c r="AO350" s="1381"/>
      <c r="AP350" s="1381"/>
      <c r="AQ350" s="1381"/>
      <c r="AR350" s="1381"/>
      <c r="AS350" s="1381"/>
      <c r="AT350" s="1381"/>
      <c r="AU350" s="1381"/>
      <c r="AV350" s="1381"/>
      <c r="AW350" s="1381"/>
      <c r="AX350" s="1381"/>
    </row>
    <row r="351" spans="1:50" s="1378" customFormat="1" ht="46.5" outlineLevel="1">
      <c r="A351" s="1380"/>
      <c r="B351" s="669" t="s">
        <v>1451</v>
      </c>
      <c r="C351" s="669" t="s">
        <v>41</v>
      </c>
      <c r="D351" s="701"/>
      <c r="E351" s="307" t="s">
        <v>1471</v>
      </c>
      <c r="F351" s="615"/>
      <c r="G351" s="2237" t="s">
        <v>1595</v>
      </c>
      <c r="H351" s="1921" t="s">
        <v>1153</v>
      </c>
      <c r="I351" s="727">
        <v>2.6</v>
      </c>
      <c r="J351" s="620">
        <v>0</v>
      </c>
      <c r="K351" s="620">
        <v>8</v>
      </c>
      <c r="L351" s="620">
        <v>8</v>
      </c>
      <c r="M351" s="620">
        <v>0</v>
      </c>
      <c r="N351" s="731">
        <f t="shared" si="465"/>
        <v>16</v>
      </c>
      <c r="O351" s="622">
        <f>($I$351*J351)</f>
        <v>0</v>
      </c>
      <c r="P351" s="623">
        <f>($I$351*K351)</f>
        <v>20.8</v>
      </c>
      <c r="Q351" s="623">
        <f>($I$351*L351)</f>
        <v>20.8</v>
      </c>
      <c r="R351" s="623">
        <f>($I$351*M351)</f>
        <v>0</v>
      </c>
      <c r="S351" s="1356">
        <f t="shared" si="466"/>
        <v>41.6</v>
      </c>
      <c r="T351" s="763">
        <f>IFERROR(INDEX('Annex 2_Code'!I$8:I$33,MATCH('Annex 3_MAFF'!$AG351,'Annex 2_Code'!$G$8:$G$33,0)),"")</f>
        <v>0</v>
      </c>
      <c r="U351" s="763">
        <f>IFERROR(INDEX('Annex 2_Code'!J$8:J$33,MATCH('Annex 3_MAFF'!$AG351,'Annex 2_Code'!$G$8:$G$33,0)),"")</f>
        <v>0</v>
      </c>
      <c r="V351" s="763">
        <f>IFERROR(INDEX('Annex 2_Code'!K$8:K$33,MATCH('Annex 3_MAFF'!$AG351,'Annex 2_Code'!$G$8:$G$33,0)),"")</f>
        <v>1</v>
      </c>
      <c r="W351" s="763">
        <f>IFERROR(INDEX('Annex 2_Code'!L$8:L$33,MATCH('Annex 3_MAFF'!$AG351,'Annex 2_Code'!$G$8:$G$33,0)),"")</f>
        <v>0</v>
      </c>
      <c r="X351" s="763">
        <f>IFERROR(INDEX('Annex 2_Code'!M$8:M$33,MATCH('Annex 3_MAFF'!$AG351,'Annex 2_Code'!$G$8:$G$33,0)),"")</f>
        <v>0</v>
      </c>
      <c r="Y351" s="1745">
        <f t="shared" si="467"/>
        <v>0</v>
      </c>
      <c r="Z351" s="807">
        <f t="shared" si="468"/>
        <v>0</v>
      </c>
      <c r="AA351" s="807">
        <f t="shared" si="469"/>
        <v>41.6</v>
      </c>
      <c r="AB351" s="807">
        <f t="shared" si="470"/>
        <v>0</v>
      </c>
      <c r="AC351" s="808">
        <f t="shared" si="471"/>
        <v>0</v>
      </c>
      <c r="AD351" s="764">
        <f t="shared" si="472"/>
        <v>41.6</v>
      </c>
      <c r="AE351" s="764">
        <f t="shared" si="473"/>
        <v>0</v>
      </c>
      <c r="AF351" s="605" t="s">
        <v>306</v>
      </c>
      <c r="AG351" s="605" t="s">
        <v>203</v>
      </c>
      <c r="AH351" s="605" t="s">
        <v>372</v>
      </c>
      <c r="AI351" s="646" t="str">
        <f t="shared" si="464"/>
        <v>MAFF</v>
      </c>
      <c r="AJ351" s="637"/>
      <c r="AK351" s="1381"/>
      <c r="AL351" s="1381"/>
      <c r="AM351" s="1381"/>
      <c r="AN351" s="1381"/>
      <c r="AO351" s="1381"/>
      <c r="AP351" s="1381"/>
      <c r="AQ351" s="1381"/>
      <c r="AR351" s="1381"/>
      <c r="AS351" s="1381"/>
      <c r="AT351" s="1381"/>
      <c r="AU351" s="1381"/>
      <c r="AV351" s="1381"/>
      <c r="AW351" s="1381"/>
      <c r="AX351" s="1381"/>
    </row>
    <row r="352" spans="1:50" s="1364" customFormat="1" ht="51.75" outlineLevel="1">
      <c r="A352" s="901"/>
      <c r="B352" s="669" t="s">
        <v>1451</v>
      </c>
      <c r="C352" s="669" t="s">
        <v>41</v>
      </c>
      <c r="D352" s="701"/>
      <c r="E352" s="307" t="s">
        <v>1472</v>
      </c>
      <c r="F352" s="615"/>
      <c r="G352" s="2237" t="s">
        <v>1596</v>
      </c>
      <c r="H352" s="811" t="s">
        <v>981</v>
      </c>
      <c r="I352" s="1725">
        <v>2.6</v>
      </c>
      <c r="J352" s="2315">
        <v>3</v>
      </c>
      <c r="K352" s="2315">
        <v>3</v>
      </c>
      <c r="L352" s="2315">
        <v>3</v>
      </c>
      <c r="M352" s="2315">
        <v>3</v>
      </c>
      <c r="N352" s="731">
        <f t="shared" si="465"/>
        <v>12</v>
      </c>
      <c r="O352" s="622">
        <f>($I$352*J352)</f>
        <v>7.8000000000000007</v>
      </c>
      <c r="P352" s="623">
        <f>($I$352*K352)</f>
        <v>7.8000000000000007</v>
      </c>
      <c r="Q352" s="623">
        <f>($I$352*L352)</f>
        <v>7.8000000000000007</v>
      </c>
      <c r="R352" s="623">
        <f>($I$352*M352)</f>
        <v>7.8000000000000007</v>
      </c>
      <c r="S352" s="1356">
        <f t="shared" si="466"/>
        <v>31.200000000000003</v>
      </c>
      <c r="T352" s="763">
        <f>IFERROR(INDEX('Annex 2_Code'!I$8:I$33,MATCH('Annex 3_MAFF'!$AG352,'Annex 2_Code'!$G$8:$G$33,0)),"")</f>
        <v>0</v>
      </c>
      <c r="U352" s="763">
        <f>IFERROR(INDEX('Annex 2_Code'!J$8:J$33,MATCH('Annex 3_MAFF'!$AG352,'Annex 2_Code'!$G$8:$G$33,0)),"")</f>
        <v>0</v>
      </c>
      <c r="V352" s="763">
        <f>IFERROR(INDEX('Annex 2_Code'!K$8:K$33,MATCH('Annex 3_MAFF'!$AG352,'Annex 2_Code'!$G$8:$G$33,0)),"")</f>
        <v>1</v>
      </c>
      <c r="W352" s="763">
        <f>IFERROR(INDEX('Annex 2_Code'!L$8:L$33,MATCH('Annex 3_MAFF'!$AG352,'Annex 2_Code'!$G$8:$G$33,0)),"")</f>
        <v>0</v>
      </c>
      <c r="X352" s="763">
        <f>IFERROR(INDEX('Annex 2_Code'!M$8:M$33,MATCH('Annex 3_MAFF'!$AG352,'Annex 2_Code'!$G$8:$G$33,0)),"")</f>
        <v>0</v>
      </c>
      <c r="Y352" s="1745">
        <f t="shared" si="467"/>
        <v>0</v>
      </c>
      <c r="Z352" s="807">
        <f t="shared" si="468"/>
        <v>0</v>
      </c>
      <c r="AA352" s="807">
        <f t="shared" si="469"/>
        <v>31.200000000000003</v>
      </c>
      <c r="AB352" s="807">
        <f t="shared" si="470"/>
        <v>0</v>
      </c>
      <c r="AC352" s="808">
        <f t="shared" si="471"/>
        <v>0</v>
      </c>
      <c r="AD352" s="764">
        <f t="shared" si="472"/>
        <v>31.200000000000003</v>
      </c>
      <c r="AE352" s="764">
        <f t="shared" si="473"/>
        <v>0</v>
      </c>
      <c r="AF352" s="605" t="s">
        <v>306</v>
      </c>
      <c r="AG352" s="605" t="s">
        <v>205</v>
      </c>
      <c r="AH352" s="605" t="s">
        <v>372</v>
      </c>
      <c r="AI352" s="646" t="str">
        <f t="shared" si="464"/>
        <v>MAFF</v>
      </c>
      <c r="AJ352" s="637"/>
      <c r="AK352" s="902"/>
      <c r="AL352" s="902"/>
      <c r="AM352" s="902"/>
      <c r="AN352" s="902"/>
      <c r="AO352" s="902"/>
      <c r="AP352" s="902"/>
      <c r="AQ352" s="902"/>
      <c r="AR352" s="902"/>
      <c r="AS352" s="902"/>
      <c r="AT352" s="902"/>
      <c r="AU352" s="902"/>
      <c r="AV352" s="902"/>
      <c r="AW352" s="902"/>
      <c r="AX352" s="902"/>
    </row>
    <row r="353" spans="1:50" s="607" customFormat="1" ht="23.25">
      <c r="A353" s="587"/>
      <c r="B353" s="659" t="s">
        <v>54</v>
      </c>
      <c r="C353" s="613"/>
      <c r="D353" s="730"/>
      <c r="E353" s="591" t="s">
        <v>583</v>
      </c>
      <c r="F353" s="592"/>
      <c r="G353" s="734"/>
      <c r="H353" s="735"/>
      <c r="I353" s="736"/>
      <c r="J353" s="594">
        <f>SUM(J346:J351)</f>
        <v>0</v>
      </c>
      <c r="K353" s="595">
        <f>SUM(K346:K351)</f>
        <v>9</v>
      </c>
      <c r="L353" s="595">
        <f>SUM(L346:L351)</f>
        <v>12</v>
      </c>
      <c r="M353" s="595">
        <f>SUM(M346:M351)</f>
        <v>3</v>
      </c>
      <c r="N353" s="596">
        <f>SUM(N346:N351)</f>
        <v>24</v>
      </c>
      <c r="O353" s="597">
        <f>SUM(O345:O352)</f>
        <v>7.8000000000000007</v>
      </c>
      <c r="P353" s="598">
        <f>SUM(P345:P352)</f>
        <v>35.6</v>
      </c>
      <c r="Q353" s="598">
        <f>SUM(Q345:Q352)</f>
        <v>49.599999999999994</v>
      </c>
      <c r="R353" s="598">
        <f>SUM(R345:R352)</f>
        <v>26.3</v>
      </c>
      <c r="S353" s="1409">
        <f>SUM(S345:S352)</f>
        <v>119.3</v>
      </c>
      <c r="T353" s="599" t="str">
        <f>IFERROR(INDEX('[5]Annex 2'!I$8:I$33,MATCH('[5]Annex 3 (''MEF)'!$AG366,'[5]Annex 2'!$G$8:$G$33,0)),"")</f>
        <v/>
      </c>
      <c r="U353" s="599" t="str">
        <f>IFERROR(INDEX('[5]Annex 2'!J$8:J$33,MATCH('[5]Annex 3 (''MEF)'!$AG366,'[5]Annex 2'!$G$8:$G$33,0)),"")</f>
        <v/>
      </c>
      <c r="V353" s="599" t="str">
        <f>IFERROR(INDEX('[5]Annex 2'!K$8:K$33,MATCH('[5]Annex 3 (''MEF)'!$AG366,'[5]Annex 2'!$G$8:$G$33,0)),"")</f>
        <v/>
      </c>
      <c r="W353" s="599" t="str">
        <f>IFERROR(INDEX('[5]Annex 2'!L$8:L$33,MATCH('[5]Annex 3 (''MEF)'!$AG366,'[5]Annex 2'!$G$8:$G$33,0)),"")</f>
        <v/>
      </c>
      <c r="X353" s="599" t="str">
        <f>IFERROR(INDEX('[5]Annex 2'!M$8:M$33,MATCH('[5]Annex 3 (''MEF)'!$AG366,'[5]Annex 2'!$G$8:$G$33,0)),"")</f>
        <v/>
      </c>
      <c r="Y353" s="647" t="str">
        <f>IFERROR($S353*T353,"")</f>
        <v/>
      </c>
      <c r="Z353" s="600" t="str">
        <f>IFERROR($S353*U353,"")</f>
        <v/>
      </c>
      <c r="AA353" s="600" t="str">
        <f>IFERROR($S353*V353,"")</f>
        <v/>
      </c>
      <c r="AB353" s="600" t="str">
        <f>IFERROR($S353*W353,"")</f>
        <v/>
      </c>
      <c r="AC353" s="601" t="str">
        <f>IFERROR($S353*X353,"")</f>
        <v/>
      </c>
      <c r="AD353" s="602">
        <f>SUM(Y353:AC353)</f>
        <v>0</v>
      </c>
      <c r="AE353" s="602">
        <f>AD353-S353</f>
        <v>-119.3</v>
      </c>
      <c r="AF353" s="605"/>
      <c r="AG353" s="605"/>
      <c r="AH353" s="605" t="str">
        <f>IFERROR(INDEX('[5]Annex 2'!$J$110:$J$122,MATCH('[5]Annex 3 (''MEF)'!AF366,'[5]Annex 2'!$G$110:$G$122,0)),"")</f>
        <v/>
      </c>
      <c r="AI353" s="624" t="str">
        <f t="shared" si="464"/>
        <v/>
      </c>
      <c r="AJ353" s="625"/>
      <c r="AK353" s="625"/>
      <c r="AL353" s="625"/>
      <c r="AM353" s="625"/>
      <c r="AN353" s="625"/>
      <c r="AO353" s="625"/>
      <c r="AP353" s="625"/>
      <c r="AQ353" s="625"/>
      <c r="AR353" s="625"/>
      <c r="AS353" s="625"/>
      <c r="AT353" s="625"/>
      <c r="AU353" s="625"/>
      <c r="AV353" s="625"/>
      <c r="AW353" s="625"/>
      <c r="AX353" s="625"/>
    </row>
    <row r="354" spans="1:50" s="690" customFormat="1" ht="41.25" customHeight="1">
      <c r="A354" s="725"/>
      <c r="B354" s="613"/>
      <c r="C354" s="613"/>
      <c r="D354" s="2600" t="s">
        <v>1000</v>
      </c>
      <c r="E354" s="2601"/>
      <c r="F354" s="2601"/>
      <c r="G354" s="2602"/>
      <c r="H354" s="979"/>
      <c r="I354" s="980"/>
      <c r="J354" s="942">
        <f>SUM(J353,J343,J339,J331,)</f>
        <v>4</v>
      </c>
      <c r="K354" s="942">
        <f>SUM(K353,K343,K339,K331,)</f>
        <v>22</v>
      </c>
      <c r="L354" s="942">
        <f t="shared" ref="L354:M354" si="474">SUM(L353,L343,L339,L331,)</f>
        <v>30</v>
      </c>
      <c r="M354" s="942">
        <f t="shared" si="474"/>
        <v>14</v>
      </c>
      <c r="N354" s="943">
        <f>SUM(J354:M354)</f>
        <v>70</v>
      </c>
      <c r="O354" s="944">
        <f>SUM(O353,O343,O339,O331)</f>
        <v>31.8</v>
      </c>
      <c r="P354" s="944">
        <f>SUM(P353,P343,P339,P331)</f>
        <v>92.6</v>
      </c>
      <c r="Q354" s="944">
        <f t="shared" ref="Q354:R354" si="475">SUM(Q353,Q343,Q339,Q331)</f>
        <v>124.6</v>
      </c>
      <c r="R354" s="944">
        <f t="shared" si="475"/>
        <v>72.8</v>
      </c>
      <c r="S354" s="1411">
        <f>SUM(O354:R354)</f>
        <v>321.8</v>
      </c>
      <c r="T354" s="719"/>
      <c r="U354" s="719"/>
      <c r="V354" s="719"/>
      <c r="W354" s="719"/>
      <c r="X354" s="719"/>
      <c r="Y354" s="1760"/>
      <c r="Z354" s="1761"/>
      <c r="AA354" s="1761"/>
      <c r="AB354" s="1761"/>
      <c r="AC354" s="1762"/>
      <c r="AD354" s="1749">
        <f>SUM(AD317:AD353)</f>
        <v>321.8</v>
      </c>
      <c r="AE354" s="1749">
        <f>AD354-S354</f>
        <v>0</v>
      </c>
      <c r="AF354" s="724"/>
      <c r="AG354" s="605"/>
      <c r="AH354" s="724"/>
      <c r="AI354" s="624"/>
      <c r="AJ354" s="668"/>
      <c r="AK354" s="668"/>
      <c r="AL354" s="668"/>
      <c r="AM354" s="668"/>
      <c r="AN354" s="668"/>
      <c r="AO354" s="668"/>
      <c r="AP354" s="668"/>
      <c r="AQ354" s="668"/>
      <c r="AR354" s="668"/>
      <c r="AS354" s="668"/>
      <c r="AT354" s="668"/>
      <c r="AU354" s="668"/>
      <c r="AV354" s="668"/>
      <c r="AW354" s="668"/>
      <c r="AX354" s="668"/>
    </row>
    <row r="355" spans="1:50" s="625" customFormat="1" ht="53.25" customHeight="1">
      <c r="A355" s="587"/>
      <c r="B355" s="659" t="s">
        <v>54</v>
      </c>
      <c r="C355" s="613"/>
      <c r="D355" s="2592" t="s">
        <v>705</v>
      </c>
      <c r="E355" s="2593"/>
      <c r="F355" s="2593"/>
      <c r="G355" s="2594"/>
      <c r="H355" s="804"/>
      <c r="I355" s="804"/>
      <c r="J355" s="620"/>
      <c r="K355" s="620"/>
      <c r="L355" s="620"/>
      <c r="M355" s="620"/>
      <c r="N355" s="621"/>
      <c r="O355" s="623"/>
      <c r="P355" s="623"/>
      <c r="Q355" s="623"/>
      <c r="R355" s="715"/>
      <c r="S355" s="1695">
        <f>SUM(O354:R354)</f>
        <v>321.8</v>
      </c>
      <c r="T355" s="599"/>
      <c r="U355" s="599"/>
      <c r="V355" s="599"/>
      <c r="W355" s="599"/>
      <c r="X355" s="599"/>
      <c r="Y355" s="647"/>
      <c r="Z355" s="600"/>
      <c r="AA355" s="600">
        <f>IFERROR($S355*V355,"")</f>
        <v>0</v>
      </c>
      <c r="AB355" s="600"/>
      <c r="AC355" s="601"/>
      <c r="AD355" s="602">
        <f>SUM(Y355:AC355)</f>
        <v>0</v>
      </c>
      <c r="AE355" s="602">
        <f>AD355-S355</f>
        <v>-321.8</v>
      </c>
      <c r="AF355" s="605"/>
      <c r="AG355" s="605"/>
      <c r="AH355" s="605"/>
      <c r="AI355" s="624"/>
    </row>
    <row r="356" spans="1:50" s="902" customFormat="1" ht="24.75" customHeight="1">
      <c r="A356" s="1357"/>
      <c r="B356" s="1391" t="s">
        <v>54</v>
      </c>
      <c r="C356" s="1391"/>
      <c r="D356" s="2139"/>
      <c r="E356" s="1624" t="s">
        <v>703</v>
      </c>
      <c r="F356" s="1624" t="s">
        <v>702</v>
      </c>
      <c r="G356" s="1779"/>
      <c r="H356" s="617" t="s">
        <v>12</v>
      </c>
      <c r="I356" s="800"/>
      <c r="J356" s="1763"/>
      <c r="K356" s="1353"/>
      <c r="L356" s="1353"/>
      <c r="M356" s="1353"/>
      <c r="N356" s="621"/>
      <c r="O356" s="1865"/>
      <c r="P356" s="1382"/>
      <c r="Q356" s="1382"/>
      <c r="R356" s="1382"/>
      <c r="S356" s="1423"/>
      <c r="T356" s="1379" t="str">
        <f>IFERROR(INDEX('Annex 2_Code'!I$8:I$33,MATCH('Annex 3_MAFF'!$AG356,'Annex 2_Code'!$G$8:$G$33,0)),"")</f>
        <v/>
      </c>
      <c r="U356" s="1379" t="str">
        <f>IFERROR(INDEX('Annex 2_Code'!J$8:J$33,MATCH('Annex 3_MAFF'!$AG356,'Annex 2_Code'!$G$8:$G$33,0)),"")</f>
        <v/>
      </c>
      <c r="V356" s="1379" t="str">
        <f>IFERROR(INDEX('Annex 2_Code'!K$8:K$33,MATCH('Annex 3_MAFF'!$AG356,'Annex 2_Code'!$G$8:$G$33,0)),"")</f>
        <v/>
      </c>
      <c r="W356" s="1379" t="str">
        <f>IFERROR(INDEX('Annex 2_Code'!L$8:L$33,MATCH('Annex 3_MAFF'!$AG356,'Annex 2_Code'!$G$8:$G$33,0)),"")</f>
        <v/>
      </c>
      <c r="X356" s="1379" t="str">
        <f>IFERROR(INDEX('Annex 2_Code'!M$8:M$33,MATCH('Annex 3_MAFF'!$AG356,'Annex 2_Code'!$G$8:$G$33,0)),"")</f>
        <v/>
      </c>
      <c r="Y356" s="1392" t="str">
        <f>IFERROR($S356*T356,"")</f>
        <v/>
      </c>
      <c r="Z356" s="1359" t="str">
        <f>IFERROR($S356*U356,"")</f>
        <v/>
      </c>
      <c r="AA356" s="1359" t="str">
        <f>IFERROR($S356*V356,"")</f>
        <v/>
      </c>
      <c r="AB356" s="1359" t="str">
        <f>IFERROR($S356*W356,"")</f>
        <v/>
      </c>
      <c r="AC356" s="1360" t="str">
        <f>IFERROR($S356*X356,"")</f>
        <v/>
      </c>
      <c r="AD356" s="1361">
        <f>SUM(Y356:AC356)</f>
        <v>0</v>
      </c>
      <c r="AE356" s="1361">
        <f>AD356-S356</f>
        <v>0</v>
      </c>
      <c r="AF356" s="1362"/>
      <c r="AG356" s="605"/>
      <c r="AH356" s="1362" t="str">
        <f>IFERROR(INDEX('Annex 2_Code'!$J$114:$J$126,MATCH('Annex 3_MAFF'!AF356,'Annex 2_Code'!$G$114:$G$126,0)),"")</f>
        <v/>
      </c>
      <c r="AI356" s="1383" t="str">
        <f t="shared" ref="AI356:AI373" si="476">IF(ISNUMBER(FIND("-",AH356,1))=FALSE,LEFT(AH356,LEN(AH356)),LEFT(AH356,(FIND("-",AH356,1))-1))</f>
        <v/>
      </c>
    </row>
    <row r="357" spans="1:50" s="637" customFormat="1" ht="109.5" customHeight="1" outlineLevel="1">
      <c r="A357" s="307"/>
      <c r="B357" s="669" t="s">
        <v>1451</v>
      </c>
      <c r="C357" s="669" t="s">
        <v>41</v>
      </c>
      <c r="D357" s="701"/>
      <c r="E357" s="307" t="s">
        <v>520</v>
      </c>
      <c r="F357" s="615"/>
      <c r="G357" s="2242" t="s">
        <v>1067</v>
      </c>
      <c r="H357" s="1454" t="s">
        <v>1152</v>
      </c>
      <c r="I357" s="2243">
        <v>1</v>
      </c>
      <c r="J357" s="2244">
        <v>1</v>
      </c>
      <c r="K357" s="2244">
        <v>1</v>
      </c>
      <c r="L357" s="2244">
        <v>1</v>
      </c>
      <c r="M357" s="2244">
        <v>1</v>
      </c>
      <c r="N357" s="731">
        <f>SUM(J357:M357)</f>
        <v>4</v>
      </c>
      <c r="O357" s="622">
        <f>($I$357*J357)</f>
        <v>1</v>
      </c>
      <c r="P357" s="623">
        <f>($I$357*K357)</f>
        <v>1</v>
      </c>
      <c r="Q357" s="623">
        <f>($I357*L357)</f>
        <v>1</v>
      </c>
      <c r="R357" s="623">
        <f>($I357*M357)</f>
        <v>1</v>
      </c>
      <c r="S357" s="1356">
        <f t="shared" ref="S357:S362" si="477">SUM(O357:R357)</f>
        <v>4</v>
      </c>
      <c r="T357" s="763">
        <f>IFERROR(INDEX('Annex 2_Code'!I$8:I$33,MATCH('Annex 3_MAFF'!$AG357,'Annex 2_Code'!$G$8:$G$33,0)),"")</f>
        <v>0</v>
      </c>
      <c r="U357" s="763">
        <f>IFERROR(INDEX('Annex 2_Code'!J$8:J$33,MATCH('Annex 3_MAFF'!$AG357,'Annex 2_Code'!$G$8:$G$33,0)),"")</f>
        <v>0</v>
      </c>
      <c r="V357" s="763">
        <f>IFERROR(INDEX('Annex 2_Code'!K$8:K$33,MATCH('Annex 3_MAFF'!$AG357,'Annex 2_Code'!$G$8:$G$33,0)),"")</f>
        <v>1</v>
      </c>
      <c r="W357" s="763">
        <f>IFERROR(INDEX('Annex 2_Code'!L$8:L$33,MATCH('Annex 3_MAFF'!$AG357,'Annex 2_Code'!$G$8:$G$33,0)),"")</f>
        <v>0</v>
      </c>
      <c r="X357" s="763">
        <f>IFERROR(INDEX('Annex 2_Code'!M$8:M$33,MATCH('Annex 3_MAFF'!$AG357,'Annex 2_Code'!$G$8:$G$33,0)),"")</f>
        <v>0</v>
      </c>
      <c r="Y357" s="1745">
        <f>IFERROR($S357*T357,"")</f>
        <v>0</v>
      </c>
      <c r="Z357" s="807">
        <f>IFERROR($S357*U357,"")</f>
        <v>0</v>
      </c>
      <c r="AA357" s="807">
        <f>IFERROR($S357*V357,"")</f>
        <v>4</v>
      </c>
      <c r="AB357" s="807">
        <f>IFERROR($S357*W357,"")</f>
        <v>0</v>
      </c>
      <c r="AC357" s="808">
        <f>IFERROR($S357*X357,"")</f>
        <v>0</v>
      </c>
      <c r="AD357" s="764">
        <f>SUM(Y357:AC357)</f>
        <v>4</v>
      </c>
      <c r="AE357" s="764">
        <f>AD357-S357</f>
        <v>0</v>
      </c>
      <c r="AF357" s="605" t="s">
        <v>309</v>
      </c>
      <c r="AG357" s="605" t="s">
        <v>201</v>
      </c>
      <c r="AH357" s="605" t="s">
        <v>372</v>
      </c>
      <c r="AI357" s="646" t="str">
        <f t="shared" si="476"/>
        <v>MAFF</v>
      </c>
      <c r="AJ357" s="637" t="s">
        <v>456</v>
      </c>
    </row>
    <row r="358" spans="1:50" s="637" customFormat="1" ht="93" outlineLevel="1">
      <c r="A358" s="307"/>
      <c r="B358" s="669" t="s">
        <v>1451</v>
      </c>
      <c r="C358" s="669" t="s">
        <v>41</v>
      </c>
      <c r="D358" s="701"/>
      <c r="E358" s="307" t="s">
        <v>521</v>
      </c>
      <c r="F358" s="615"/>
      <c r="G358" s="2242" t="s">
        <v>1068</v>
      </c>
      <c r="H358" s="1454" t="s">
        <v>1152</v>
      </c>
      <c r="I358" s="2243">
        <v>2</v>
      </c>
      <c r="J358" s="2244">
        <v>0</v>
      </c>
      <c r="K358" s="2244">
        <v>0</v>
      </c>
      <c r="L358" s="2244">
        <v>1</v>
      </c>
      <c r="M358" s="2244">
        <v>1</v>
      </c>
      <c r="N358" s="731">
        <f>SUM(J358:M358)</f>
        <v>2</v>
      </c>
      <c r="O358" s="622">
        <f>($I$358*J358)</f>
        <v>0</v>
      </c>
      <c r="P358" s="623">
        <f>($I$358*K358)</f>
        <v>0</v>
      </c>
      <c r="Q358" s="623">
        <f>($I358*L358)</f>
        <v>2</v>
      </c>
      <c r="R358" s="623">
        <f>($I358*M358)</f>
        <v>2</v>
      </c>
      <c r="S358" s="1356">
        <f t="shared" si="477"/>
        <v>4</v>
      </c>
      <c r="T358" s="763">
        <f>IFERROR(INDEX('Annex 2_Code'!I$8:I$33,MATCH('Annex 3_MAFF'!$AG358,'Annex 2_Code'!$G$8:$G$33,0)),"")</f>
        <v>0</v>
      </c>
      <c r="U358" s="763">
        <f>IFERROR(INDEX('Annex 2_Code'!J$8:J$33,MATCH('Annex 3_MAFF'!$AG358,'Annex 2_Code'!$G$8:$G$33,0)),"")</f>
        <v>0</v>
      </c>
      <c r="V358" s="763">
        <f>IFERROR(INDEX('Annex 2_Code'!K$8:K$33,MATCH('Annex 3_MAFF'!$AG358,'Annex 2_Code'!$G$8:$G$33,0)),"")</f>
        <v>1</v>
      </c>
      <c r="W358" s="763">
        <f>IFERROR(INDEX('Annex 2_Code'!L$8:L$33,MATCH('Annex 3_MAFF'!$AG358,'Annex 2_Code'!$G$8:$G$33,0)),"")</f>
        <v>0</v>
      </c>
      <c r="X358" s="763">
        <f>IFERROR(INDEX('Annex 2_Code'!M$8:M$33,MATCH('Annex 3_MAFF'!$AG358,'Annex 2_Code'!$G$8:$G$33,0)),"")</f>
        <v>0</v>
      </c>
      <c r="Y358" s="1745">
        <f t="shared" ref="Y358:Y367" si="478">IFERROR($S358*T358,"")</f>
        <v>0</v>
      </c>
      <c r="Z358" s="807">
        <f t="shared" ref="Z358:Z367" si="479">IFERROR($S358*U358,"")</f>
        <v>0</v>
      </c>
      <c r="AA358" s="807">
        <f t="shared" ref="AA358:AA367" si="480">IFERROR($S358*V358,"")</f>
        <v>4</v>
      </c>
      <c r="AB358" s="807">
        <f t="shared" ref="AB358:AB367" si="481">IFERROR($S358*W358,"")</f>
        <v>0</v>
      </c>
      <c r="AC358" s="808">
        <f t="shared" ref="AC358:AC367" si="482">IFERROR($S358*X358,"")</f>
        <v>0</v>
      </c>
      <c r="AD358" s="764">
        <f t="shared" ref="AD358:AD367" si="483">SUM(Y358:AC358)</f>
        <v>4</v>
      </c>
      <c r="AE358" s="764">
        <f t="shared" ref="AE358:AE367" si="484">AD358-S358</f>
        <v>0</v>
      </c>
      <c r="AF358" s="605" t="s">
        <v>309</v>
      </c>
      <c r="AG358" s="605" t="s">
        <v>201</v>
      </c>
      <c r="AH358" s="605" t="s">
        <v>372</v>
      </c>
      <c r="AI358" s="646" t="str">
        <f t="shared" si="476"/>
        <v>MAFF</v>
      </c>
      <c r="AJ358" s="637" t="s">
        <v>450</v>
      </c>
    </row>
    <row r="359" spans="1:50" s="637" customFormat="1" ht="63.75" customHeight="1" outlineLevel="1">
      <c r="A359" s="307"/>
      <c r="B359" s="669" t="s">
        <v>1451</v>
      </c>
      <c r="C359" s="669" t="s">
        <v>33</v>
      </c>
      <c r="D359" s="701"/>
      <c r="E359" s="307" t="s">
        <v>522</v>
      </c>
      <c r="F359" s="615"/>
      <c r="G359" s="2242" t="s">
        <v>1069</v>
      </c>
      <c r="H359" s="1921" t="s">
        <v>832</v>
      </c>
      <c r="I359" s="2243">
        <v>6</v>
      </c>
      <c r="J359" s="2140">
        <v>0</v>
      </c>
      <c r="K359" s="2244">
        <v>0</v>
      </c>
      <c r="L359" s="2244">
        <v>1</v>
      </c>
      <c r="M359" s="2244">
        <v>0</v>
      </c>
      <c r="N359" s="731">
        <f t="shared" ref="N359:N372" si="485">SUM(J359:M359)</f>
        <v>1</v>
      </c>
      <c r="O359" s="622">
        <f>($I$359*J359)</f>
        <v>0</v>
      </c>
      <c r="P359" s="623">
        <f t="shared" ref="P359:P367" si="486">($I359*K359)</f>
        <v>0</v>
      </c>
      <c r="Q359" s="623">
        <f t="shared" ref="Q359:Q367" si="487">($I359*L359)</f>
        <v>6</v>
      </c>
      <c r="R359" s="623">
        <f t="shared" ref="R359:R367" si="488">($I359*M359)</f>
        <v>0</v>
      </c>
      <c r="S359" s="1356">
        <f t="shared" si="477"/>
        <v>6</v>
      </c>
      <c r="T359" s="763">
        <f>IFERROR(INDEX('Annex 2_Code'!I$8:I$33,MATCH('Annex 3_MAFF'!$AG359,'Annex 2_Code'!$G$8:$G$33,0)),"")</f>
        <v>0</v>
      </c>
      <c r="U359" s="763">
        <f>IFERROR(INDEX('Annex 2_Code'!J$8:J$33,MATCH('Annex 3_MAFF'!$AG359,'Annex 2_Code'!$G$8:$G$33,0)),"")</f>
        <v>0</v>
      </c>
      <c r="V359" s="763">
        <f>IFERROR(INDEX('Annex 2_Code'!K$8:K$33,MATCH('Annex 3_MAFF'!$AG359,'Annex 2_Code'!$G$8:$G$33,0)),"")</f>
        <v>1</v>
      </c>
      <c r="W359" s="763">
        <f>IFERROR(INDEX('Annex 2_Code'!L$8:L$33,MATCH('Annex 3_MAFF'!$AG359,'Annex 2_Code'!$G$8:$G$33,0)),"")</f>
        <v>0</v>
      </c>
      <c r="X359" s="763">
        <f>IFERROR(INDEX('Annex 2_Code'!M$8:M$33,MATCH('Annex 3_MAFF'!$AG359,'Annex 2_Code'!$G$8:$G$33,0)),"")</f>
        <v>0</v>
      </c>
      <c r="Y359" s="1745">
        <f t="shared" si="478"/>
        <v>0</v>
      </c>
      <c r="Z359" s="807">
        <f t="shared" si="479"/>
        <v>0</v>
      </c>
      <c r="AA359" s="807">
        <f t="shared" si="480"/>
        <v>6</v>
      </c>
      <c r="AB359" s="807">
        <f t="shared" si="481"/>
        <v>0</v>
      </c>
      <c r="AC359" s="808">
        <f t="shared" si="482"/>
        <v>0</v>
      </c>
      <c r="AD359" s="764">
        <f t="shared" si="483"/>
        <v>6</v>
      </c>
      <c r="AE359" s="764">
        <f t="shared" si="484"/>
        <v>0</v>
      </c>
      <c r="AF359" s="605" t="s">
        <v>309</v>
      </c>
      <c r="AG359" s="605" t="s">
        <v>201</v>
      </c>
      <c r="AH359" s="605" t="s">
        <v>372</v>
      </c>
      <c r="AI359" s="646" t="str">
        <f t="shared" si="476"/>
        <v>MAFF</v>
      </c>
    </row>
    <row r="360" spans="1:50" s="637" customFormat="1" ht="93" outlineLevel="1">
      <c r="A360" s="307"/>
      <c r="B360" s="669" t="s">
        <v>1451</v>
      </c>
      <c r="C360" s="669" t="s">
        <v>41</v>
      </c>
      <c r="D360" s="701"/>
      <c r="E360" s="307" t="s">
        <v>523</v>
      </c>
      <c r="F360" s="615"/>
      <c r="G360" s="2242" t="s">
        <v>1070</v>
      </c>
      <c r="H360" s="1454" t="s">
        <v>1152</v>
      </c>
      <c r="I360" s="2243">
        <v>1</v>
      </c>
      <c r="J360" s="2140">
        <v>1</v>
      </c>
      <c r="K360" s="2244">
        <v>1</v>
      </c>
      <c r="L360" s="2244">
        <v>1</v>
      </c>
      <c r="M360" s="2244">
        <v>0</v>
      </c>
      <c r="N360" s="731">
        <f t="shared" si="485"/>
        <v>3</v>
      </c>
      <c r="O360" s="622">
        <f>($I$360*J360)</f>
        <v>1</v>
      </c>
      <c r="P360" s="623">
        <f t="shared" si="486"/>
        <v>1</v>
      </c>
      <c r="Q360" s="623">
        <f t="shared" si="487"/>
        <v>1</v>
      </c>
      <c r="R360" s="623">
        <f t="shared" si="488"/>
        <v>0</v>
      </c>
      <c r="S360" s="1356">
        <f t="shared" si="477"/>
        <v>3</v>
      </c>
      <c r="T360" s="763">
        <f>IFERROR(INDEX('Annex 2_Code'!I$8:I$33,MATCH('Annex 3_MAFF'!$AG360,'Annex 2_Code'!$G$8:$G$33,0)),"")</f>
        <v>0</v>
      </c>
      <c r="U360" s="763">
        <f>IFERROR(INDEX('Annex 2_Code'!J$8:J$33,MATCH('Annex 3_MAFF'!$AG360,'Annex 2_Code'!$G$8:$G$33,0)),"")</f>
        <v>0</v>
      </c>
      <c r="V360" s="763">
        <f>IFERROR(INDEX('Annex 2_Code'!K$8:K$33,MATCH('Annex 3_MAFF'!$AG360,'Annex 2_Code'!$G$8:$G$33,0)),"")</f>
        <v>1</v>
      </c>
      <c r="W360" s="763">
        <f>IFERROR(INDEX('Annex 2_Code'!L$8:L$33,MATCH('Annex 3_MAFF'!$AG360,'Annex 2_Code'!$G$8:$G$33,0)),"")</f>
        <v>0</v>
      </c>
      <c r="X360" s="763">
        <f>IFERROR(INDEX('Annex 2_Code'!M$8:M$33,MATCH('Annex 3_MAFF'!$AG360,'Annex 2_Code'!$G$8:$G$33,0)),"")</f>
        <v>0</v>
      </c>
      <c r="Y360" s="1745">
        <f t="shared" si="478"/>
        <v>0</v>
      </c>
      <c r="Z360" s="807">
        <f t="shared" si="479"/>
        <v>0</v>
      </c>
      <c r="AA360" s="807">
        <f t="shared" si="480"/>
        <v>3</v>
      </c>
      <c r="AB360" s="807">
        <f t="shared" si="481"/>
        <v>0</v>
      </c>
      <c r="AC360" s="808">
        <f t="shared" si="482"/>
        <v>0</v>
      </c>
      <c r="AD360" s="764">
        <f t="shared" si="483"/>
        <v>3</v>
      </c>
      <c r="AE360" s="764">
        <f t="shared" si="484"/>
        <v>0</v>
      </c>
      <c r="AF360" s="605" t="s">
        <v>309</v>
      </c>
      <c r="AG360" s="605" t="s">
        <v>201</v>
      </c>
      <c r="AH360" s="605" t="s">
        <v>372</v>
      </c>
      <c r="AI360" s="646" t="str">
        <f t="shared" si="476"/>
        <v>MAFF</v>
      </c>
    </row>
    <row r="361" spans="1:50" s="637" customFormat="1" ht="69.75" outlineLevel="1">
      <c r="A361" s="307"/>
      <c r="B361" s="669" t="s">
        <v>1451</v>
      </c>
      <c r="C361" s="669" t="s">
        <v>41</v>
      </c>
      <c r="D361" s="701"/>
      <c r="E361" s="307" t="s">
        <v>524</v>
      </c>
      <c r="F361" s="615"/>
      <c r="G361" s="2242" t="s">
        <v>1359</v>
      </c>
      <c r="H361" s="1921" t="s">
        <v>837</v>
      </c>
      <c r="I361" s="2243">
        <v>5</v>
      </c>
      <c r="J361" s="2140">
        <v>1</v>
      </c>
      <c r="K361" s="2244">
        <v>1</v>
      </c>
      <c r="L361" s="2244">
        <v>1</v>
      </c>
      <c r="M361" s="2244">
        <v>1</v>
      </c>
      <c r="N361" s="731">
        <f t="shared" si="485"/>
        <v>4</v>
      </c>
      <c r="O361" s="622">
        <f>($I$361*J361)</f>
        <v>5</v>
      </c>
      <c r="P361" s="623">
        <f t="shared" si="486"/>
        <v>5</v>
      </c>
      <c r="Q361" s="623">
        <f t="shared" si="487"/>
        <v>5</v>
      </c>
      <c r="R361" s="623">
        <f t="shared" si="488"/>
        <v>5</v>
      </c>
      <c r="S361" s="1356">
        <f t="shared" si="477"/>
        <v>20</v>
      </c>
      <c r="T361" s="763">
        <f>IFERROR(INDEX('Annex 2_Code'!I$8:I$33,MATCH('Annex 3_MAFF'!$AG361,'Annex 2_Code'!$G$8:$G$33,0)),"")</f>
        <v>0</v>
      </c>
      <c r="U361" s="763">
        <f>IFERROR(INDEX('Annex 2_Code'!J$8:J$33,MATCH('Annex 3_MAFF'!$AG361,'Annex 2_Code'!$G$8:$G$33,0)),"")</f>
        <v>0</v>
      </c>
      <c r="V361" s="763">
        <f>IFERROR(INDEX('Annex 2_Code'!K$8:K$33,MATCH('Annex 3_MAFF'!$AG361,'Annex 2_Code'!$G$8:$G$33,0)),"")</f>
        <v>1</v>
      </c>
      <c r="W361" s="763">
        <f>IFERROR(INDEX('Annex 2_Code'!L$8:L$33,MATCH('Annex 3_MAFF'!$AG361,'Annex 2_Code'!$G$8:$G$33,0)),"")</f>
        <v>0</v>
      </c>
      <c r="X361" s="763">
        <f>IFERROR(INDEX('Annex 2_Code'!M$8:M$33,MATCH('Annex 3_MAFF'!$AG361,'Annex 2_Code'!$G$8:$G$33,0)),"")</f>
        <v>0</v>
      </c>
      <c r="Y361" s="1745">
        <f t="shared" si="478"/>
        <v>0</v>
      </c>
      <c r="Z361" s="807">
        <f t="shared" si="479"/>
        <v>0</v>
      </c>
      <c r="AA361" s="807">
        <f t="shared" si="480"/>
        <v>20</v>
      </c>
      <c r="AB361" s="807">
        <f t="shared" si="481"/>
        <v>0</v>
      </c>
      <c r="AC361" s="808">
        <f t="shared" si="482"/>
        <v>0</v>
      </c>
      <c r="AD361" s="764">
        <f t="shared" si="483"/>
        <v>20</v>
      </c>
      <c r="AE361" s="764">
        <f t="shared" si="484"/>
        <v>0</v>
      </c>
      <c r="AF361" s="605" t="s">
        <v>309</v>
      </c>
      <c r="AG361" s="605" t="s">
        <v>201</v>
      </c>
      <c r="AH361" s="605" t="s">
        <v>372</v>
      </c>
      <c r="AI361" s="646" t="str">
        <f t="shared" si="476"/>
        <v>MAFF</v>
      </c>
    </row>
    <row r="362" spans="1:50" s="637" customFormat="1" ht="52.5" customHeight="1" outlineLevel="1">
      <c r="A362" s="307"/>
      <c r="B362" s="669" t="s">
        <v>1451</v>
      </c>
      <c r="C362" s="669" t="s">
        <v>41</v>
      </c>
      <c r="D362" s="701"/>
      <c r="E362" s="307" t="s">
        <v>525</v>
      </c>
      <c r="F362" s="615"/>
      <c r="G362" s="2242" t="s">
        <v>1360</v>
      </c>
      <c r="H362" s="1921" t="s">
        <v>1355</v>
      </c>
      <c r="I362" s="2243">
        <v>6</v>
      </c>
      <c r="J362" s="2140">
        <v>0</v>
      </c>
      <c r="K362" s="2244">
        <v>1</v>
      </c>
      <c r="L362" s="2244">
        <v>1</v>
      </c>
      <c r="M362" s="2244">
        <v>0</v>
      </c>
      <c r="N362" s="731">
        <f t="shared" si="485"/>
        <v>2</v>
      </c>
      <c r="O362" s="622">
        <f>($I$362*J362)</f>
        <v>0</v>
      </c>
      <c r="P362" s="623">
        <f t="shared" si="486"/>
        <v>6</v>
      </c>
      <c r="Q362" s="623">
        <f t="shared" si="487"/>
        <v>6</v>
      </c>
      <c r="R362" s="623">
        <f t="shared" si="488"/>
        <v>0</v>
      </c>
      <c r="S362" s="1356">
        <f t="shared" si="477"/>
        <v>12</v>
      </c>
      <c r="T362" s="763">
        <f>IFERROR(INDEX('Annex 2_Code'!I$8:I$33,MATCH('Annex 3_MAFF'!$AG362,'Annex 2_Code'!$G$8:$G$33,0)),"")</f>
        <v>0</v>
      </c>
      <c r="U362" s="763">
        <f>IFERROR(INDEX('Annex 2_Code'!J$8:J$33,MATCH('Annex 3_MAFF'!$AG362,'Annex 2_Code'!$G$8:$G$33,0)),"")</f>
        <v>0</v>
      </c>
      <c r="V362" s="763">
        <f>IFERROR(INDEX('Annex 2_Code'!K$8:K$33,MATCH('Annex 3_MAFF'!$AG362,'Annex 2_Code'!$G$8:$G$33,0)),"")</f>
        <v>1</v>
      </c>
      <c r="W362" s="763">
        <f>IFERROR(INDEX('Annex 2_Code'!L$8:L$33,MATCH('Annex 3_MAFF'!$AG362,'Annex 2_Code'!$G$8:$G$33,0)),"")</f>
        <v>0</v>
      </c>
      <c r="X362" s="763">
        <f>IFERROR(INDEX('Annex 2_Code'!M$8:M$33,MATCH('Annex 3_MAFF'!$AG362,'Annex 2_Code'!$G$8:$G$33,0)),"")</f>
        <v>0</v>
      </c>
      <c r="Y362" s="1745">
        <f t="shared" si="478"/>
        <v>0</v>
      </c>
      <c r="Z362" s="807">
        <f t="shared" si="479"/>
        <v>0</v>
      </c>
      <c r="AA362" s="807">
        <f t="shared" si="480"/>
        <v>12</v>
      </c>
      <c r="AB362" s="807">
        <f t="shared" si="481"/>
        <v>0</v>
      </c>
      <c r="AC362" s="808">
        <f t="shared" si="482"/>
        <v>0</v>
      </c>
      <c r="AD362" s="764">
        <f t="shared" si="483"/>
        <v>12</v>
      </c>
      <c r="AE362" s="764">
        <f t="shared" si="484"/>
        <v>0</v>
      </c>
      <c r="AF362" s="605" t="s">
        <v>309</v>
      </c>
      <c r="AG362" s="605" t="s">
        <v>201</v>
      </c>
      <c r="AH362" s="605" t="s">
        <v>372</v>
      </c>
      <c r="AI362" s="646" t="str">
        <f t="shared" si="476"/>
        <v>MAFF</v>
      </c>
    </row>
    <row r="363" spans="1:50" s="637" customFormat="1" ht="58.5" customHeight="1" outlineLevel="1">
      <c r="A363" s="307"/>
      <c r="B363" s="669" t="s">
        <v>1451</v>
      </c>
      <c r="C363" s="669" t="s">
        <v>41</v>
      </c>
      <c r="D363" s="701"/>
      <c r="E363" s="307" t="s">
        <v>526</v>
      </c>
      <c r="F363" s="615"/>
      <c r="G363" s="1922" t="s">
        <v>1356</v>
      </c>
      <c r="H363" s="1454" t="s">
        <v>1152</v>
      </c>
      <c r="I363" s="2243">
        <v>0.5</v>
      </c>
      <c r="J363" s="780">
        <v>21</v>
      </c>
      <c r="K363" s="780">
        <v>21</v>
      </c>
      <c r="L363" s="780">
        <v>22</v>
      </c>
      <c r="M363" s="780">
        <v>22</v>
      </c>
      <c r="N363" s="731">
        <f t="shared" si="485"/>
        <v>86</v>
      </c>
      <c r="O363" s="622">
        <f>($I$363*J363)</f>
        <v>10.5</v>
      </c>
      <c r="P363" s="623">
        <f t="shared" si="486"/>
        <v>10.5</v>
      </c>
      <c r="Q363" s="623">
        <f t="shared" si="487"/>
        <v>11</v>
      </c>
      <c r="R363" s="623">
        <f t="shared" si="488"/>
        <v>11</v>
      </c>
      <c r="S363" s="1356">
        <f t="shared" ref="S363:S372" si="489">SUM(O363:R363)</f>
        <v>43</v>
      </c>
      <c r="T363" s="763">
        <f>IFERROR(INDEX('Annex 2_Code'!I$8:I$33,MATCH('Annex 3_MAFF'!$AG363,'Annex 2_Code'!$G$8:$G$33,0)),"")</f>
        <v>0</v>
      </c>
      <c r="U363" s="763">
        <f>IFERROR(INDEX('Annex 2_Code'!J$8:J$33,MATCH('Annex 3_MAFF'!$AG363,'Annex 2_Code'!$G$8:$G$33,0)),"")</f>
        <v>0</v>
      </c>
      <c r="V363" s="763">
        <f>IFERROR(INDEX('Annex 2_Code'!K$8:K$33,MATCH('Annex 3_MAFF'!$AG363,'Annex 2_Code'!$G$8:$G$33,0)),"")</f>
        <v>1</v>
      </c>
      <c r="W363" s="763">
        <f>IFERROR(INDEX('Annex 2_Code'!L$8:L$33,MATCH('Annex 3_MAFF'!$AG363,'Annex 2_Code'!$G$8:$G$33,0)),"")</f>
        <v>0</v>
      </c>
      <c r="X363" s="763">
        <f>IFERROR(INDEX('Annex 2_Code'!M$8:M$33,MATCH('Annex 3_MAFF'!$AG363,'Annex 2_Code'!$G$8:$G$33,0)),"")</f>
        <v>0</v>
      </c>
      <c r="Y363" s="1745">
        <f t="shared" si="478"/>
        <v>0</v>
      </c>
      <c r="Z363" s="807">
        <f t="shared" si="479"/>
        <v>0</v>
      </c>
      <c r="AA363" s="807">
        <f t="shared" si="480"/>
        <v>43</v>
      </c>
      <c r="AB363" s="807">
        <f t="shared" si="481"/>
        <v>0</v>
      </c>
      <c r="AC363" s="808">
        <f t="shared" si="482"/>
        <v>0</v>
      </c>
      <c r="AD363" s="764">
        <f t="shared" si="483"/>
        <v>43</v>
      </c>
      <c r="AE363" s="764">
        <f t="shared" si="484"/>
        <v>0</v>
      </c>
      <c r="AF363" s="605" t="s">
        <v>309</v>
      </c>
      <c r="AG363" s="605" t="s">
        <v>201</v>
      </c>
      <c r="AH363" s="605" t="str">
        <f>IFERROR(INDEX('[5]Annex 2'!$J$110:$J$122,MATCH('[5]Annex 3 (''MEF)'!AF357,'[5]Annex 2'!$G$110:$G$122,0)),"")</f>
        <v>MAFF-GDA</v>
      </c>
      <c r="AI363" s="646" t="str">
        <f t="shared" si="476"/>
        <v>MAFF</v>
      </c>
    </row>
    <row r="364" spans="1:50" s="637" customFormat="1" ht="69.75" outlineLevel="1">
      <c r="A364" s="307"/>
      <c r="B364" s="669" t="s">
        <v>1451</v>
      </c>
      <c r="C364" s="669" t="s">
        <v>41</v>
      </c>
      <c r="D364" s="701"/>
      <c r="E364" s="307" t="s">
        <v>527</v>
      </c>
      <c r="F364" s="615"/>
      <c r="G364" s="2242" t="s">
        <v>1361</v>
      </c>
      <c r="H364" s="1921" t="s">
        <v>837</v>
      </c>
      <c r="I364" s="2243">
        <v>6</v>
      </c>
      <c r="J364" s="2140">
        <v>2</v>
      </c>
      <c r="K364" s="2244">
        <v>2</v>
      </c>
      <c r="L364" s="2244">
        <v>2</v>
      </c>
      <c r="M364" s="2244">
        <v>2</v>
      </c>
      <c r="N364" s="731">
        <f t="shared" si="485"/>
        <v>8</v>
      </c>
      <c r="O364" s="622">
        <f>($I$364*J364)</f>
        <v>12</v>
      </c>
      <c r="P364" s="623">
        <f t="shared" si="486"/>
        <v>12</v>
      </c>
      <c r="Q364" s="623">
        <f t="shared" si="487"/>
        <v>12</v>
      </c>
      <c r="R364" s="623">
        <f t="shared" si="488"/>
        <v>12</v>
      </c>
      <c r="S364" s="1356">
        <f t="shared" si="489"/>
        <v>48</v>
      </c>
      <c r="T364" s="763">
        <f>IFERROR(INDEX('Annex 2_Code'!I$8:I$33,MATCH('Annex 3_MAFF'!$AG364,'Annex 2_Code'!$G$8:$G$33,0)),"")</f>
        <v>0</v>
      </c>
      <c r="U364" s="763">
        <f>IFERROR(INDEX('Annex 2_Code'!J$8:J$33,MATCH('Annex 3_MAFF'!$AG364,'Annex 2_Code'!$G$8:$G$33,0)),"")</f>
        <v>0</v>
      </c>
      <c r="V364" s="763">
        <f>IFERROR(INDEX('Annex 2_Code'!K$8:K$33,MATCH('Annex 3_MAFF'!$AG364,'Annex 2_Code'!$G$8:$G$33,0)),"")</f>
        <v>1</v>
      </c>
      <c r="W364" s="763">
        <f>IFERROR(INDEX('Annex 2_Code'!L$8:L$33,MATCH('Annex 3_MAFF'!$AG364,'Annex 2_Code'!$G$8:$G$33,0)),"")</f>
        <v>0</v>
      </c>
      <c r="X364" s="763">
        <f>IFERROR(INDEX('Annex 2_Code'!M$8:M$33,MATCH('Annex 3_MAFF'!$AG364,'Annex 2_Code'!$G$8:$G$33,0)),"")</f>
        <v>0</v>
      </c>
      <c r="Y364" s="1745">
        <f t="shared" si="478"/>
        <v>0</v>
      </c>
      <c r="Z364" s="807">
        <f t="shared" si="479"/>
        <v>0</v>
      </c>
      <c r="AA364" s="807">
        <f t="shared" si="480"/>
        <v>48</v>
      </c>
      <c r="AB364" s="807">
        <f t="shared" si="481"/>
        <v>0</v>
      </c>
      <c r="AC364" s="808">
        <f t="shared" si="482"/>
        <v>0</v>
      </c>
      <c r="AD364" s="764">
        <f t="shared" si="483"/>
        <v>48</v>
      </c>
      <c r="AE364" s="764">
        <f t="shared" si="484"/>
        <v>0</v>
      </c>
      <c r="AF364" s="605" t="s">
        <v>309</v>
      </c>
      <c r="AG364" s="605" t="s">
        <v>201</v>
      </c>
      <c r="AH364" s="605" t="str">
        <f>IFERROR(INDEX('[5]Annex 2'!$J$110:$J$122,MATCH('[5]Annex 3 (''MEF)'!AF359,'[5]Annex 2'!$G$110:$G$122,0)),"")</f>
        <v>MAFF-GDA</v>
      </c>
      <c r="AI364" s="646" t="str">
        <f t="shared" si="476"/>
        <v>MAFF</v>
      </c>
    </row>
    <row r="365" spans="1:50" s="637" customFormat="1" ht="69.75" outlineLevel="1">
      <c r="A365" s="307"/>
      <c r="B365" s="669" t="s">
        <v>1451</v>
      </c>
      <c r="C365" s="669" t="s">
        <v>41</v>
      </c>
      <c r="D365" s="701"/>
      <c r="E365" s="307" t="s">
        <v>528</v>
      </c>
      <c r="F365" s="615"/>
      <c r="G365" s="2242" t="s">
        <v>1362</v>
      </c>
      <c r="H365" s="1921" t="s">
        <v>837</v>
      </c>
      <c r="I365" s="2243">
        <v>6</v>
      </c>
      <c r="J365" s="2140">
        <v>1</v>
      </c>
      <c r="K365" s="2244">
        <v>1</v>
      </c>
      <c r="L365" s="2244">
        <v>0</v>
      </c>
      <c r="M365" s="2244">
        <v>0</v>
      </c>
      <c r="N365" s="731">
        <f t="shared" si="485"/>
        <v>2</v>
      </c>
      <c r="O365" s="622">
        <f>($I$365*J365)</f>
        <v>6</v>
      </c>
      <c r="P365" s="623">
        <f t="shared" si="486"/>
        <v>6</v>
      </c>
      <c r="Q365" s="623">
        <f t="shared" si="487"/>
        <v>0</v>
      </c>
      <c r="R365" s="623">
        <f t="shared" si="488"/>
        <v>0</v>
      </c>
      <c r="S365" s="1356">
        <f t="shared" si="489"/>
        <v>12</v>
      </c>
      <c r="T365" s="763">
        <f>IFERROR(INDEX('Annex 2_Code'!I$8:I$33,MATCH('Annex 3_MAFF'!$AG365,'Annex 2_Code'!$G$8:$G$33,0)),"")</f>
        <v>0</v>
      </c>
      <c r="U365" s="763">
        <f>IFERROR(INDEX('Annex 2_Code'!J$8:J$33,MATCH('Annex 3_MAFF'!$AG365,'Annex 2_Code'!$G$8:$G$33,0)),"")</f>
        <v>0</v>
      </c>
      <c r="V365" s="763">
        <f>IFERROR(INDEX('Annex 2_Code'!K$8:K$33,MATCH('Annex 3_MAFF'!$AG365,'Annex 2_Code'!$G$8:$G$33,0)),"")</f>
        <v>1</v>
      </c>
      <c r="W365" s="763">
        <f>IFERROR(INDEX('Annex 2_Code'!L$8:L$33,MATCH('Annex 3_MAFF'!$AG365,'Annex 2_Code'!$G$8:$G$33,0)),"")</f>
        <v>0</v>
      </c>
      <c r="X365" s="763">
        <f>IFERROR(INDEX('Annex 2_Code'!M$8:M$33,MATCH('Annex 3_MAFF'!$AG365,'Annex 2_Code'!$G$8:$G$33,0)),"")</f>
        <v>0</v>
      </c>
      <c r="Y365" s="1745">
        <f t="shared" si="478"/>
        <v>0</v>
      </c>
      <c r="Z365" s="807">
        <f t="shared" si="479"/>
        <v>0</v>
      </c>
      <c r="AA365" s="807">
        <f t="shared" si="480"/>
        <v>12</v>
      </c>
      <c r="AB365" s="807">
        <f t="shared" si="481"/>
        <v>0</v>
      </c>
      <c r="AC365" s="808">
        <f t="shared" si="482"/>
        <v>0</v>
      </c>
      <c r="AD365" s="764">
        <f t="shared" si="483"/>
        <v>12</v>
      </c>
      <c r="AE365" s="764">
        <f t="shared" si="484"/>
        <v>0</v>
      </c>
      <c r="AF365" s="605" t="s">
        <v>309</v>
      </c>
      <c r="AG365" s="605" t="s">
        <v>201</v>
      </c>
      <c r="AH365" s="605" t="str">
        <f>IFERROR(INDEX('[5]Annex 2'!$J$110:$J$122,MATCH('[5]Annex 3 (''MEF)'!AF360,'[5]Annex 2'!$G$110:$G$122,0)),"")</f>
        <v>MAFF-GDA</v>
      </c>
      <c r="AI365" s="646" t="str">
        <f t="shared" si="476"/>
        <v>MAFF</v>
      </c>
    </row>
    <row r="366" spans="1:50" s="637" customFormat="1" ht="81" customHeight="1" outlineLevel="1">
      <c r="A366" s="307"/>
      <c r="B366" s="669" t="s">
        <v>1451</v>
      </c>
      <c r="C366" s="669" t="s">
        <v>41</v>
      </c>
      <c r="D366" s="701"/>
      <c r="E366" s="307" t="s">
        <v>529</v>
      </c>
      <c r="F366" s="615"/>
      <c r="G366" s="2242" t="s">
        <v>1363</v>
      </c>
      <c r="H366" s="1921" t="s">
        <v>837</v>
      </c>
      <c r="I366" s="2243">
        <v>8</v>
      </c>
      <c r="J366" s="2140">
        <v>1</v>
      </c>
      <c r="K366" s="2244">
        <v>1</v>
      </c>
      <c r="L366" s="2244">
        <v>1</v>
      </c>
      <c r="M366" s="2244">
        <v>1</v>
      </c>
      <c r="N366" s="731">
        <f t="shared" si="485"/>
        <v>4</v>
      </c>
      <c r="O366" s="622">
        <f>($I$366*J366)</f>
        <v>8</v>
      </c>
      <c r="P366" s="623">
        <f t="shared" si="486"/>
        <v>8</v>
      </c>
      <c r="Q366" s="623">
        <f t="shared" si="487"/>
        <v>8</v>
      </c>
      <c r="R366" s="623">
        <f t="shared" si="488"/>
        <v>8</v>
      </c>
      <c r="S366" s="1356">
        <f t="shared" si="489"/>
        <v>32</v>
      </c>
      <c r="T366" s="763">
        <f>IFERROR(INDEX('Annex 2_Code'!I$8:I$33,MATCH('Annex 3_MAFF'!$AG366,'Annex 2_Code'!$G$8:$G$33,0)),"")</f>
        <v>0</v>
      </c>
      <c r="U366" s="763">
        <f>IFERROR(INDEX('Annex 2_Code'!J$8:J$33,MATCH('Annex 3_MAFF'!$AG366,'Annex 2_Code'!$G$8:$G$33,0)),"")</f>
        <v>0</v>
      </c>
      <c r="V366" s="763">
        <f>IFERROR(INDEX('Annex 2_Code'!K$8:K$33,MATCH('Annex 3_MAFF'!$AG366,'Annex 2_Code'!$G$8:$G$33,0)),"")</f>
        <v>1</v>
      </c>
      <c r="W366" s="763">
        <f>IFERROR(INDEX('Annex 2_Code'!L$8:L$33,MATCH('Annex 3_MAFF'!$AG366,'Annex 2_Code'!$G$8:$G$33,0)),"")</f>
        <v>0</v>
      </c>
      <c r="X366" s="763">
        <f>IFERROR(INDEX('Annex 2_Code'!M$8:M$33,MATCH('Annex 3_MAFF'!$AG366,'Annex 2_Code'!$G$8:$G$33,0)),"")</f>
        <v>0</v>
      </c>
      <c r="Y366" s="1745">
        <f t="shared" si="478"/>
        <v>0</v>
      </c>
      <c r="Z366" s="807">
        <f t="shared" si="479"/>
        <v>0</v>
      </c>
      <c r="AA366" s="807">
        <f t="shared" si="480"/>
        <v>32</v>
      </c>
      <c r="AB366" s="807">
        <f t="shared" si="481"/>
        <v>0</v>
      </c>
      <c r="AC366" s="808">
        <f t="shared" si="482"/>
        <v>0</v>
      </c>
      <c r="AD366" s="764">
        <f t="shared" si="483"/>
        <v>32</v>
      </c>
      <c r="AE366" s="764">
        <f t="shared" si="484"/>
        <v>0</v>
      </c>
      <c r="AF366" s="605" t="s">
        <v>309</v>
      </c>
      <c r="AG366" s="605" t="s">
        <v>201</v>
      </c>
      <c r="AH366" s="605" t="str">
        <f>IFERROR(INDEX('[5]Annex 2'!$J$110:$J$122,MATCH('[5]Annex 3 (''MEF)'!AF361,'[5]Annex 2'!$G$110:$G$122,0)),"")</f>
        <v>MAFF-GDA</v>
      </c>
      <c r="AI366" s="646" t="str">
        <f t="shared" si="476"/>
        <v>MAFF</v>
      </c>
    </row>
    <row r="367" spans="1:50" s="637" customFormat="1" ht="69.75" outlineLevel="1">
      <c r="A367" s="307"/>
      <c r="B367" s="669" t="s">
        <v>1451</v>
      </c>
      <c r="C367" s="669" t="s">
        <v>33</v>
      </c>
      <c r="D367" s="701"/>
      <c r="E367" s="307" t="s">
        <v>530</v>
      </c>
      <c r="F367" s="615"/>
      <c r="G367" s="2242" t="s">
        <v>1364</v>
      </c>
      <c r="H367" s="1921" t="s">
        <v>832</v>
      </c>
      <c r="I367" s="2243">
        <v>8</v>
      </c>
      <c r="J367" s="2140">
        <v>1</v>
      </c>
      <c r="K367" s="2244">
        <v>1</v>
      </c>
      <c r="L367" s="2244">
        <v>1</v>
      </c>
      <c r="M367" s="2244">
        <v>1</v>
      </c>
      <c r="N367" s="731">
        <f t="shared" si="485"/>
        <v>4</v>
      </c>
      <c r="O367" s="622">
        <f>($I$367*J367)</f>
        <v>8</v>
      </c>
      <c r="P367" s="623">
        <f t="shared" si="486"/>
        <v>8</v>
      </c>
      <c r="Q367" s="623">
        <f t="shared" si="487"/>
        <v>8</v>
      </c>
      <c r="R367" s="623">
        <f t="shared" si="488"/>
        <v>8</v>
      </c>
      <c r="S367" s="1356">
        <f t="shared" si="489"/>
        <v>32</v>
      </c>
      <c r="T367" s="763">
        <f>IFERROR(INDEX('Annex 2_Code'!I$8:I$33,MATCH('Annex 3_MAFF'!$AG367,'Annex 2_Code'!$G$8:$G$33,0)),"")</f>
        <v>0</v>
      </c>
      <c r="U367" s="763">
        <f>IFERROR(INDEX('Annex 2_Code'!J$8:J$33,MATCH('Annex 3_MAFF'!$AG367,'Annex 2_Code'!$G$8:$G$33,0)),"")</f>
        <v>0</v>
      </c>
      <c r="V367" s="763">
        <f>IFERROR(INDEX('Annex 2_Code'!K$8:K$33,MATCH('Annex 3_MAFF'!$AG367,'Annex 2_Code'!$G$8:$G$33,0)),"")</f>
        <v>1</v>
      </c>
      <c r="W367" s="763">
        <f>IFERROR(INDEX('Annex 2_Code'!L$8:L$33,MATCH('Annex 3_MAFF'!$AG367,'Annex 2_Code'!$G$8:$G$33,0)),"")</f>
        <v>0</v>
      </c>
      <c r="X367" s="763">
        <f>IFERROR(INDEX('Annex 2_Code'!M$8:M$33,MATCH('Annex 3_MAFF'!$AG367,'Annex 2_Code'!$G$8:$G$33,0)),"")</f>
        <v>0</v>
      </c>
      <c r="Y367" s="1745">
        <f t="shared" si="478"/>
        <v>0</v>
      </c>
      <c r="Z367" s="807">
        <f t="shared" si="479"/>
        <v>0</v>
      </c>
      <c r="AA367" s="807">
        <f t="shared" si="480"/>
        <v>32</v>
      </c>
      <c r="AB367" s="807">
        <f t="shared" si="481"/>
        <v>0</v>
      </c>
      <c r="AC367" s="808">
        <f t="shared" si="482"/>
        <v>0</v>
      </c>
      <c r="AD367" s="764">
        <f t="shared" si="483"/>
        <v>32</v>
      </c>
      <c r="AE367" s="764">
        <f t="shared" si="484"/>
        <v>0</v>
      </c>
      <c r="AF367" s="605" t="s">
        <v>309</v>
      </c>
      <c r="AG367" s="605" t="s">
        <v>201</v>
      </c>
      <c r="AH367" s="605" t="str">
        <f>IFERROR(INDEX('[5]Annex 2'!$J$110:$J$122,MATCH('[5]Annex 3 (''MEF)'!AF364,'[5]Annex 2'!$G$110:$G$122,0)),"")</f>
        <v>MAFF-GDA</v>
      </c>
      <c r="AI367" s="646" t="str">
        <f t="shared" si="476"/>
        <v>MAFF</v>
      </c>
      <c r="AJ367" s="637" t="s">
        <v>456</v>
      </c>
    </row>
    <row r="368" spans="1:50" s="637" customFormat="1" ht="69.75" outlineLevel="1">
      <c r="A368" s="307"/>
      <c r="B368" s="669" t="s">
        <v>1451</v>
      </c>
      <c r="C368" s="669" t="s">
        <v>33</v>
      </c>
      <c r="D368" s="701"/>
      <c r="E368" s="307" t="s">
        <v>531</v>
      </c>
      <c r="F368" s="615"/>
      <c r="G368" s="2242" t="s">
        <v>1365</v>
      </c>
      <c r="H368" s="1921" t="s">
        <v>837</v>
      </c>
      <c r="I368" s="2243">
        <v>6</v>
      </c>
      <c r="J368" s="2140">
        <v>1</v>
      </c>
      <c r="K368" s="2244">
        <v>1</v>
      </c>
      <c r="L368" s="2244">
        <v>0</v>
      </c>
      <c r="M368" s="2244">
        <v>0</v>
      </c>
      <c r="N368" s="731">
        <f t="shared" si="485"/>
        <v>2</v>
      </c>
      <c r="O368" s="622">
        <f>($I368*J368)</f>
        <v>6</v>
      </c>
      <c r="P368" s="623">
        <f>($I368*K368)</f>
        <v>6</v>
      </c>
      <c r="Q368" s="623">
        <f>($I368*L368)</f>
        <v>0</v>
      </c>
      <c r="R368" s="623">
        <f>($I368*M368)</f>
        <v>0</v>
      </c>
      <c r="S368" s="1356">
        <f t="shared" si="489"/>
        <v>12</v>
      </c>
      <c r="T368" s="763">
        <f>IFERROR(INDEX('Annex 2_Code'!I$8:I$33,MATCH('Annex 3_MAFF'!$AG368,'Annex 2_Code'!$G$8:$G$33,0)),"")</f>
        <v>0</v>
      </c>
      <c r="U368" s="763">
        <f>IFERROR(INDEX('Annex 2_Code'!J$8:J$33,MATCH('Annex 3_MAFF'!$AG368,'Annex 2_Code'!$G$8:$G$33,0)),"")</f>
        <v>0</v>
      </c>
      <c r="V368" s="763">
        <f>IFERROR(INDEX('Annex 2_Code'!K$8:K$33,MATCH('Annex 3_MAFF'!$AG368,'Annex 2_Code'!$G$8:$G$33,0)),"")</f>
        <v>1</v>
      </c>
      <c r="W368" s="763">
        <f>IFERROR(INDEX('Annex 2_Code'!L$8:L$33,MATCH('Annex 3_MAFF'!$AG368,'Annex 2_Code'!$G$8:$G$33,0)),"")</f>
        <v>0</v>
      </c>
      <c r="X368" s="763">
        <f>IFERROR(INDEX('Annex 2_Code'!M$8:M$33,MATCH('Annex 3_MAFF'!$AG368,'Annex 2_Code'!$G$8:$G$33,0)),"")</f>
        <v>0</v>
      </c>
      <c r="Y368" s="1745">
        <f t="shared" ref="Y368:Y372" si="490">IFERROR($S368*T368,"")</f>
        <v>0</v>
      </c>
      <c r="Z368" s="807">
        <f t="shared" ref="Z368:Z372" si="491">IFERROR($S368*U368,"")</f>
        <v>0</v>
      </c>
      <c r="AA368" s="807">
        <f t="shared" ref="AA368:AA372" si="492">IFERROR($S368*V368,"")</f>
        <v>12</v>
      </c>
      <c r="AB368" s="807">
        <f t="shared" ref="AB368:AB372" si="493">IFERROR($S368*W368,"")</f>
        <v>0</v>
      </c>
      <c r="AC368" s="808">
        <f t="shared" ref="AC368:AC372" si="494">IFERROR($S368*X368,"")</f>
        <v>0</v>
      </c>
      <c r="AD368" s="764">
        <f t="shared" ref="AD368:AD372" si="495">SUM(Y368:AC368)</f>
        <v>12</v>
      </c>
      <c r="AE368" s="764">
        <f t="shared" ref="AE368:AE372" si="496">AD368-S368</f>
        <v>0</v>
      </c>
      <c r="AF368" s="605" t="s">
        <v>309</v>
      </c>
      <c r="AG368" s="605" t="s">
        <v>201</v>
      </c>
      <c r="AH368" s="605" t="s">
        <v>372</v>
      </c>
      <c r="AI368" s="646" t="str">
        <f t="shared" si="476"/>
        <v>MAFF</v>
      </c>
    </row>
    <row r="369" spans="1:39" s="637" customFormat="1" ht="75" outlineLevel="1">
      <c r="A369" s="307"/>
      <c r="B369" s="669" t="s">
        <v>1451</v>
      </c>
      <c r="C369" s="669" t="s">
        <v>41</v>
      </c>
      <c r="D369" s="701"/>
      <c r="E369" s="307" t="s">
        <v>532</v>
      </c>
      <c r="F369" s="615"/>
      <c r="G369" s="2237" t="s">
        <v>1366</v>
      </c>
      <c r="H369" s="2245" t="s">
        <v>1066</v>
      </c>
      <c r="I369" s="727">
        <v>0.5</v>
      </c>
      <c r="J369" s="780">
        <v>21</v>
      </c>
      <c r="K369" s="780">
        <v>21</v>
      </c>
      <c r="L369" s="780">
        <v>22</v>
      </c>
      <c r="M369" s="780">
        <v>22</v>
      </c>
      <c r="N369" s="731">
        <f t="shared" si="485"/>
        <v>86</v>
      </c>
      <c r="O369" s="622">
        <f t="shared" ref="O369:O372" si="497">($I369*J369)</f>
        <v>10.5</v>
      </c>
      <c r="P369" s="623">
        <f t="shared" ref="P369:P372" si="498">($I369*K369)</f>
        <v>10.5</v>
      </c>
      <c r="Q369" s="623">
        <f t="shared" ref="Q369:Q372" si="499">($I369*L369)</f>
        <v>11</v>
      </c>
      <c r="R369" s="623">
        <f t="shared" ref="R369:R372" si="500">($I369*M369)</f>
        <v>11</v>
      </c>
      <c r="S369" s="1356">
        <f t="shared" si="489"/>
        <v>43</v>
      </c>
      <c r="T369" s="763">
        <f>IFERROR(INDEX('Annex 2_Code'!I$8:I$33,MATCH('Annex 3_MAFF'!$AG369,'Annex 2_Code'!$G$8:$G$33,0)),"")</f>
        <v>0</v>
      </c>
      <c r="U369" s="763">
        <f>IFERROR(INDEX('Annex 2_Code'!J$8:J$33,MATCH('Annex 3_MAFF'!$AG369,'Annex 2_Code'!$G$8:$G$33,0)),"")</f>
        <v>0</v>
      </c>
      <c r="V369" s="763">
        <f>IFERROR(INDEX('Annex 2_Code'!K$8:K$33,MATCH('Annex 3_MAFF'!$AG369,'Annex 2_Code'!$G$8:$G$33,0)),"")</f>
        <v>1</v>
      </c>
      <c r="W369" s="763">
        <f>IFERROR(INDEX('Annex 2_Code'!L$8:L$33,MATCH('Annex 3_MAFF'!$AG369,'Annex 2_Code'!$G$8:$G$33,0)),"")</f>
        <v>0</v>
      </c>
      <c r="X369" s="763">
        <f>IFERROR(INDEX('Annex 2_Code'!M$8:M$33,MATCH('Annex 3_MAFF'!$AG369,'Annex 2_Code'!$G$8:$G$33,0)),"")</f>
        <v>0</v>
      </c>
      <c r="Y369" s="1745">
        <f t="shared" si="490"/>
        <v>0</v>
      </c>
      <c r="Z369" s="807">
        <f t="shared" si="491"/>
        <v>0</v>
      </c>
      <c r="AA369" s="807">
        <f t="shared" si="492"/>
        <v>43</v>
      </c>
      <c r="AB369" s="807">
        <f t="shared" si="493"/>
        <v>0</v>
      </c>
      <c r="AC369" s="808">
        <f t="shared" si="494"/>
        <v>0</v>
      </c>
      <c r="AD369" s="764">
        <f t="shared" si="495"/>
        <v>43</v>
      </c>
      <c r="AE369" s="764">
        <f t="shared" si="496"/>
        <v>0</v>
      </c>
      <c r="AF369" s="605" t="s">
        <v>309</v>
      </c>
      <c r="AG369" s="605" t="s">
        <v>201</v>
      </c>
      <c r="AH369" s="605" t="s">
        <v>372</v>
      </c>
      <c r="AI369" s="646" t="str">
        <f t="shared" si="476"/>
        <v>MAFF</v>
      </c>
    </row>
    <row r="370" spans="1:39" s="637" customFormat="1" ht="46.5" outlineLevel="1">
      <c r="A370" s="307"/>
      <c r="B370" s="669" t="s">
        <v>1451</v>
      </c>
      <c r="C370" s="669" t="s">
        <v>33</v>
      </c>
      <c r="D370" s="701"/>
      <c r="E370" s="307" t="s">
        <v>533</v>
      </c>
      <c r="F370" s="615"/>
      <c r="G370" s="1922" t="s">
        <v>1357</v>
      </c>
      <c r="H370" s="677" t="s">
        <v>595</v>
      </c>
      <c r="I370" s="727">
        <v>8</v>
      </c>
      <c r="J370" s="780">
        <v>1</v>
      </c>
      <c r="K370" s="780">
        <v>1</v>
      </c>
      <c r="L370" s="780">
        <v>1</v>
      </c>
      <c r="M370" s="780">
        <v>1</v>
      </c>
      <c r="N370" s="731">
        <f t="shared" si="485"/>
        <v>4</v>
      </c>
      <c r="O370" s="622">
        <f t="shared" si="497"/>
        <v>8</v>
      </c>
      <c r="P370" s="623">
        <f t="shared" si="498"/>
        <v>8</v>
      </c>
      <c r="Q370" s="623">
        <f t="shared" si="499"/>
        <v>8</v>
      </c>
      <c r="R370" s="623">
        <f t="shared" si="500"/>
        <v>8</v>
      </c>
      <c r="S370" s="1356">
        <f t="shared" si="489"/>
        <v>32</v>
      </c>
      <c r="T370" s="763">
        <f>IFERROR(INDEX('Annex 2_Code'!I$8:I$33,MATCH('Annex 3_MAFF'!$AG370,'Annex 2_Code'!$G$8:$G$33,0)),"")</f>
        <v>0</v>
      </c>
      <c r="U370" s="763">
        <f>IFERROR(INDEX('Annex 2_Code'!J$8:J$33,MATCH('Annex 3_MAFF'!$AG370,'Annex 2_Code'!$G$8:$G$33,0)),"")</f>
        <v>0</v>
      </c>
      <c r="V370" s="763">
        <f>IFERROR(INDEX('Annex 2_Code'!K$8:K$33,MATCH('Annex 3_MAFF'!$AG370,'Annex 2_Code'!$G$8:$G$33,0)),"")</f>
        <v>1</v>
      </c>
      <c r="W370" s="763">
        <f>IFERROR(INDEX('Annex 2_Code'!L$8:L$33,MATCH('Annex 3_MAFF'!$AG370,'Annex 2_Code'!$G$8:$G$33,0)),"")</f>
        <v>0</v>
      </c>
      <c r="X370" s="763">
        <f>IFERROR(INDEX('Annex 2_Code'!M$8:M$33,MATCH('Annex 3_MAFF'!$AG370,'Annex 2_Code'!$G$8:$G$33,0)),"")</f>
        <v>0</v>
      </c>
      <c r="Y370" s="1745">
        <f t="shared" si="490"/>
        <v>0</v>
      </c>
      <c r="Z370" s="807">
        <f t="shared" si="491"/>
        <v>0</v>
      </c>
      <c r="AA370" s="807">
        <f t="shared" si="492"/>
        <v>32</v>
      </c>
      <c r="AB370" s="807">
        <f t="shared" si="493"/>
        <v>0</v>
      </c>
      <c r="AC370" s="808">
        <f t="shared" si="494"/>
        <v>0</v>
      </c>
      <c r="AD370" s="764">
        <f t="shared" si="495"/>
        <v>32</v>
      </c>
      <c r="AE370" s="764">
        <f t="shared" si="496"/>
        <v>0</v>
      </c>
      <c r="AF370" s="605" t="s">
        <v>309</v>
      </c>
      <c r="AG370" s="605" t="s">
        <v>201</v>
      </c>
      <c r="AH370" s="605" t="s">
        <v>372</v>
      </c>
      <c r="AI370" s="646" t="str">
        <f t="shared" si="476"/>
        <v>MAFF</v>
      </c>
    </row>
    <row r="371" spans="1:39" s="637" customFormat="1" ht="69.75" outlineLevel="1">
      <c r="A371" s="307"/>
      <c r="B371" s="669" t="s">
        <v>1451</v>
      </c>
      <c r="C371" s="669" t="s">
        <v>41</v>
      </c>
      <c r="D371" s="701"/>
      <c r="E371" s="307" t="s">
        <v>534</v>
      </c>
      <c r="F371" s="615"/>
      <c r="G371" s="1452" t="s">
        <v>1358</v>
      </c>
      <c r="H371" s="1454" t="s">
        <v>1202</v>
      </c>
      <c r="I371" s="1725">
        <v>3.5</v>
      </c>
      <c r="J371" s="780">
        <v>1</v>
      </c>
      <c r="K371" s="780">
        <v>1</v>
      </c>
      <c r="L371" s="780">
        <v>0</v>
      </c>
      <c r="M371" s="780">
        <v>0</v>
      </c>
      <c r="N371" s="731">
        <f t="shared" si="485"/>
        <v>2</v>
      </c>
      <c r="O371" s="622">
        <f t="shared" si="497"/>
        <v>3.5</v>
      </c>
      <c r="P371" s="623">
        <f t="shared" si="498"/>
        <v>3.5</v>
      </c>
      <c r="Q371" s="623">
        <f t="shared" si="499"/>
        <v>0</v>
      </c>
      <c r="R371" s="623">
        <f t="shared" si="500"/>
        <v>0</v>
      </c>
      <c r="S371" s="1356">
        <f t="shared" si="489"/>
        <v>7</v>
      </c>
      <c r="T371" s="763">
        <f>IFERROR(INDEX('Annex 2_Code'!I$8:I$33,MATCH('Annex 3_MAFF'!$AG371,'Annex 2_Code'!$G$8:$G$33,0)),"")</f>
        <v>0</v>
      </c>
      <c r="U371" s="763">
        <f>IFERROR(INDEX('Annex 2_Code'!J$8:J$33,MATCH('Annex 3_MAFF'!$AG371,'Annex 2_Code'!$G$8:$G$33,0)),"")</f>
        <v>0</v>
      </c>
      <c r="V371" s="763">
        <f>IFERROR(INDEX('Annex 2_Code'!K$8:K$33,MATCH('Annex 3_MAFF'!$AG371,'Annex 2_Code'!$G$8:$G$33,0)),"")</f>
        <v>1</v>
      </c>
      <c r="W371" s="763">
        <f>IFERROR(INDEX('Annex 2_Code'!L$8:L$33,MATCH('Annex 3_MAFF'!$AG371,'Annex 2_Code'!$G$8:$G$33,0)),"")</f>
        <v>0</v>
      </c>
      <c r="X371" s="763">
        <f>IFERROR(INDEX('Annex 2_Code'!M$8:M$33,MATCH('Annex 3_MAFF'!$AG371,'Annex 2_Code'!$G$8:$G$33,0)),"")</f>
        <v>0</v>
      </c>
      <c r="Y371" s="1745">
        <f t="shared" si="490"/>
        <v>0</v>
      </c>
      <c r="Z371" s="807">
        <f t="shared" si="491"/>
        <v>0</v>
      </c>
      <c r="AA371" s="807">
        <f t="shared" si="492"/>
        <v>7</v>
      </c>
      <c r="AB371" s="807">
        <f t="shared" si="493"/>
        <v>0</v>
      </c>
      <c r="AC371" s="808">
        <f t="shared" si="494"/>
        <v>0</v>
      </c>
      <c r="AD371" s="764">
        <f t="shared" si="495"/>
        <v>7</v>
      </c>
      <c r="AE371" s="764">
        <f t="shared" si="496"/>
        <v>0</v>
      </c>
      <c r="AF371" s="605" t="s">
        <v>309</v>
      </c>
      <c r="AG371" s="605" t="s">
        <v>201</v>
      </c>
      <c r="AH371" s="605" t="s">
        <v>372</v>
      </c>
      <c r="AI371" s="646" t="str">
        <f t="shared" si="476"/>
        <v>MAFF</v>
      </c>
    </row>
    <row r="372" spans="1:39" s="637" customFormat="1" ht="46.5" outlineLevel="1">
      <c r="A372" s="307"/>
      <c r="B372" s="669" t="s">
        <v>1451</v>
      </c>
      <c r="C372" s="669" t="s">
        <v>41</v>
      </c>
      <c r="D372" s="701"/>
      <c r="E372" s="307" t="s">
        <v>833</v>
      </c>
      <c r="F372" s="615"/>
      <c r="G372" s="1452" t="s">
        <v>1201</v>
      </c>
      <c r="H372" s="2246" t="s">
        <v>1202</v>
      </c>
      <c r="I372" s="727">
        <v>3.5</v>
      </c>
      <c r="J372" s="780">
        <v>1</v>
      </c>
      <c r="K372" s="780"/>
      <c r="L372" s="780">
        <v>0</v>
      </c>
      <c r="M372" s="780">
        <v>0</v>
      </c>
      <c r="N372" s="731">
        <f t="shared" si="485"/>
        <v>1</v>
      </c>
      <c r="O372" s="622">
        <f t="shared" si="497"/>
        <v>3.5</v>
      </c>
      <c r="P372" s="623">
        <f t="shared" si="498"/>
        <v>0</v>
      </c>
      <c r="Q372" s="623">
        <f t="shared" si="499"/>
        <v>0</v>
      </c>
      <c r="R372" s="623">
        <f t="shared" si="500"/>
        <v>0</v>
      </c>
      <c r="S372" s="1356">
        <f t="shared" si="489"/>
        <v>3.5</v>
      </c>
      <c r="T372" s="763">
        <f>IFERROR(INDEX('Annex 2_Code'!I$8:I$33,MATCH('Annex 3_MAFF'!$AG372,'Annex 2_Code'!$G$8:$G$33,0)),"")</f>
        <v>0</v>
      </c>
      <c r="U372" s="763">
        <f>IFERROR(INDEX('Annex 2_Code'!J$8:J$33,MATCH('Annex 3_MAFF'!$AG372,'Annex 2_Code'!$G$8:$G$33,0)),"")</f>
        <v>0</v>
      </c>
      <c r="V372" s="763">
        <f>IFERROR(INDEX('Annex 2_Code'!K$8:K$33,MATCH('Annex 3_MAFF'!$AG372,'Annex 2_Code'!$G$8:$G$33,0)),"")</f>
        <v>1</v>
      </c>
      <c r="W372" s="763">
        <f>IFERROR(INDEX('Annex 2_Code'!L$8:L$33,MATCH('Annex 3_MAFF'!$AG372,'Annex 2_Code'!$G$8:$G$33,0)),"")</f>
        <v>0</v>
      </c>
      <c r="X372" s="763">
        <f>IFERROR(INDEX('Annex 2_Code'!M$8:M$33,MATCH('Annex 3_MAFF'!$AG372,'Annex 2_Code'!$G$8:$G$33,0)),"")</f>
        <v>0</v>
      </c>
      <c r="Y372" s="1745">
        <f t="shared" si="490"/>
        <v>0</v>
      </c>
      <c r="Z372" s="807">
        <f t="shared" si="491"/>
        <v>0</v>
      </c>
      <c r="AA372" s="807">
        <f t="shared" si="492"/>
        <v>3.5</v>
      </c>
      <c r="AB372" s="807">
        <f t="shared" si="493"/>
        <v>0</v>
      </c>
      <c r="AC372" s="808">
        <f t="shared" si="494"/>
        <v>0</v>
      </c>
      <c r="AD372" s="764">
        <f t="shared" si="495"/>
        <v>3.5</v>
      </c>
      <c r="AE372" s="764">
        <f t="shared" si="496"/>
        <v>0</v>
      </c>
      <c r="AF372" s="605" t="s">
        <v>309</v>
      </c>
      <c r="AG372" s="605" t="s">
        <v>201</v>
      </c>
      <c r="AH372" s="605" t="s">
        <v>372</v>
      </c>
      <c r="AI372" s="646" t="str">
        <f t="shared" si="476"/>
        <v>MAFF</v>
      </c>
    </row>
    <row r="373" spans="1:39" s="625" customFormat="1" ht="23.25">
      <c r="A373" s="587"/>
      <c r="B373" s="659" t="s">
        <v>54</v>
      </c>
      <c r="C373" s="669"/>
      <c r="D373" s="730"/>
      <c r="E373" s="591" t="s">
        <v>639</v>
      </c>
      <c r="F373" s="592"/>
      <c r="G373" s="734"/>
      <c r="H373" s="805" t="s">
        <v>12</v>
      </c>
      <c r="I373" s="806"/>
      <c r="J373" s="595">
        <f>SUM(J357:J367)</f>
        <v>29</v>
      </c>
      <c r="K373" s="595">
        <f>SUM(K357:K367)</f>
        <v>30</v>
      </c>
      <c r="L373" s="595">
        <f>SUM(L357:L367)</f>
        <v>32</v>
      </c>
      <c r="M373" s="595">
        <f>SUM(M357:M367)</f>
        <v>29</v>
      </c>
      <c r="N373" s="596">
        <f>SUM(N357:N367)</f>
        <v>120</v>
      </c>
      <c r="O373" s="597">
        <f>SUM(O357:O372)</f>
        <v>83</v>
      </c>
      <c r="P373" s="1450">
        <f>SUM(P357:P372)</f>
        <v>85.5</v>
      </c>
      <c r="Q373" s="598">
        <f>SUM(Q357:Q372)</f>
        <v>79</v>
      </c>
      <c r="R373" s="598">
        <f>SUM(R357:R372)</f>
        <v>66</v>
      </c>
      <c r="S373" s="1409">
        <f>SUM(S357:S372)</f>
        <v>313.5</v>
      </c>
      <c r="T373" s="599" t="str">
        <f>IFERROR(INDEX('Annex 2_Code'!I$8:I$33,MATCH('Annex 3_MAFF'!$AG373,'Annex 2_Code'!$G$8:$G$33,0)),"")</f>
        <v/>
      </c>
      <c r="U373" s="599" t="str">
        <f>IFERROR(INDEX('Annex 2_Code'!J$8:J$33,MATCH('Annex 3_MAFF'!$AG373,'Annex 2_Code'!$G$8:$G$33,0)),"")</f>
        <v/>
      </c>
      <c r="V373" s="599" t="str">
        <f>IFERROR(INDEX('Annex 2_Code'!K$8:K$33,MATCH('Annex 3_MAFF'!$AG373,'Annex 2_Code'!$G$8:$G$33,0)),"")</f>
        <v/>
      </c>
      <c r="W373" s="599" t="str">
        <f>IFERROR(INDEX('Annex 2_Code'!L$8:L$33,MATCH('Annex 3_MAFF'!$AG373,'Annex 2_Code'!$G$8:$G$33,0)),"")</f>
        <v/>
      </c>
      <c r="X373" s="599" t="str">
        <f>IFERROR(INDEX('Annex 2_Code'!M$8:M$33,MATCH('Annex 3_MAFF'!$AG373,'Annex 2_Code'!$G$8:$G$33,0)),"")</f>
        <v/>
      </c>
      <c r="Y373" s="647" t="str">
        <f>IFERROR($S373*T373,"")</f>
        <v/>
      </c>
      <c r="Z373" s="600" t="str">
        <f>IFERROR($S373*U373,"")</f>
        <v/>
      </c>
      <c r="AA373" s="600" t="str">
        <f>IFERROR($S373*V373,"")</f>
        <v/>
      </c>
      <c r="AB373" s="600" t="str">
        <f>IFERROR($S373*W373,"")</f>
        <v/>
      </c>
      <c r="AC373" s="601" t="str">
        <f>IFERROR($S373*X373,"")</f>
        <v/>
      </c>
      <c r="AD373" s="602">
        <f>SUM(Y373:AC373)</f>
        <v>0</v>
      </c>
      <c r="AE373" s="602">
        <f>AD373-S373</f>
        <v>-313.5</v>
      </c>
      <c r="AF373" s="605"/>
      <c r="AG373" s="605"/>
      <c r="AH373" s="605" t="str">
        <f>IFERROR(INDEX('Annex 2_Code'!$J$114:$J$126,MATCH('Annex 3_MAFF'!AF373,'Annex 2_Code'!$G$114:$G$126,0)),"")</f>
        <v/>
      </c>
      <c r="AI373" s="624" t="str">
        <f t="shared" si="476"/>
        <v/>
      </c>
      <c r="AK373" s="740">
        <f>SUM(S356:S367)</f>
        <v>216</v>
      </c>
      <c r="AL373" s="740" t="s">
        <v>413</v>
      </c>
      <c r="AM373" s="742"/>
    </row>
    <row r="374" spans="1:39" s="625" customFormat="1" ht="48.75" customHeight="1">
      <c r="A374" s="587"/>
      <c r="B374" s="659" t="s">
        <v>54</v>
      </c>
      <c r="C374" s="669"/>
      <c r="D374" s="1597"/>
      <c r="E374" s="1774" t="s">
        <v>704</v>
      </c>
      <c r="F374" s="1774"/>
      <c r="G374" s="1772" t="s">
        <v>1101</v>
      </c>
      <c r="H374" s="782" t="s">
        <v>12</v>
      </c>
      <c r="I374" s="787"/>
      <c r="J374" s="620"/>
      <c r="K374" s="620"/>
      <c r="L374" s="620"/>
      <c r="M374" s="620"/>
      <c r="N374" s="731"/>
      <c r="O374" s="622"/>
      <c r="P374" s="623"/>
      <c r="Q374" s="623"/>
      <c r="R374" s="715"/>
      <c r="S374" s="1695">
        <f>SUM(O373:R373)</f>
        <v>313.5</v>
      </c>
      <c r="T374" s="599" t="str">
        <f>IFERROR(INDEX('[6]Annex 2'!I$8:I$33,MATCH('[6]Annex 3'!$AF202,'[6]Annex 2'!$G$8:$G$33,0)),"")</f>
        <v/>
      </c>
      <c r="U374" s="599" t="str">
        <f>IFERROR(INDEX('[6]Annex 2'!J$8:J$33,MATCH('[6]Annex 3'!$AF202,'[6]Annex 2'!$G$8:$G$33,0)),"")</f>
        <v/>
      </c>
      <c r="V374" s="599" t="str">
        <f>IFERROR(INDEX('[6]Annex 2'!K$8:K$33,MATCH('[6]Annex 3'!$AF202,'[6]Annex 2'!$G$8:$G$33,0)),"")</f>
        <v/>
      </c>
      <c r="W374" s="599" t="str">
        <f>IFERROR(INDEX('[6]Annex 2'!L$8:L$33,MATCH('[6]Annex 3'!$AF202,'[6]Annex 2'!$G$8:$G$33,0)),"")</f>
        <v/>
      </c>
      <c r="X374" s="599" t="str">
        <f>IFERROR(INDEX('[6]Annex 2'!M$8:M$33,MATCH('[6]Annex 3'!$AF202,'[6]Annex 2'!$G$8:$G$33,0)),"")</f>
        <v/>
      </c>
      <c r="Y374" s="647" t="str">
        <f t="shared" ref="Y374:AC387" si="501">IFERROR($S374*T374,"")</f>
        <v/>
      </c>
      <c r="Z374" s="600" t="str">
        <f t="shared" ref="Z374:AC374" si="502">IFERROR($S374*U374,"")</f>
        <v/>
      </c>
      <c r="AA374" s="600" t="str">
        <f t="shared" si="502"/>
        <v/>
      </c>
      <c r="AB374" s="600" t="str">
        <f t="shared" si="502"/>
        <v/>
      </c>
      <c r="AC374" s="601" t="str">
        <f t="shared" si="502"/>
        <v/>
      </c>
      <c r="AD374" s="602">
        <f t="shared" ref="AD374:AD387" si="503">SUM(Y374:AC374)</f>
        <v>0</v>
      </c>
      <c r="AE374" s="602">
        <f t="shared" ref="AE374:AE387" si="504">AD374-S374</f>
        <v>-313.5</v>
      </c>
      <c r="AF374" s="605"/>
      <c r="AG374" s="605"/>
      <c r="AH374" s="605"/>
      <c r="AI374" s="624"/>
    </row>
    <row r="375" spans="1:39" s="625" customFormat="1" ht="93" outlineLevel="1">
      <c r="A375" s="725"/>
      <c r="B375" s="613"/>
      <c r="C375" s="613"/>
      <c r="D375" s="648"/>
      <c r="E375" s="612" t="s">
        <v>1129</v>
      </c>
      <c r="F375" s="615"/>
      <c r="G375" s="1738" t="s">
        <v>1371</v>
      </c>
      <c r="H375" s="1856"/>
      <c r="I375" s="1864"/>
      <c r="J375" s="732"/>
      <c r="K375" s="732"/>
      <c r="L375" s="732"/>
      <c r="M375" s="732"/>
      <c r="N375" s="1543"/>
      <c r="O375" s="1836"/>
      <c r="P375" s="686"/>
      <c r="Q375" s="686"/>
      <c r="R375" s="686"/>
      <c r="S375" s="1356"/>
      <c r="T375" s="719"/>
      <c r="U375" s="719"/>
      <c r="V375" s="719"/>
      <c r="W375" s="719"/>
      <c r="X375" s="719"/>
      <c r="Y375" s="1760"/>
      <c r="Z375" s="1761"/>
      <c r="AA375" s="1761"/>
      <c r="AB375" s="1761"/>
      <c r="AC375" s="1762"/>
      <c r="AD375" s="1749"/>
      <c r="AE375" s="1749"/>
      <c r="AF375" s="724"/>
      <c r="AG375" s="605"/>
      <c r="AH375" s="724"/>
      <c r="AI375" s="624"/>
      <c r="AJ375" s="625" t="s">
        <v>450</v>
      </c>
    </row>
    <row r="376" spans="1:39" s="902" customFormat="1" ht="46.5" outlineLevel="1">
      <c r="A376" s="1357"/>
      <c r="B376" s="669" t="s">
        <v>1463</v>
      </c>
      <c r="C376" s="669" t="s">
        <v>41</v>
      </c>
      <c r="D376" s="701"/>
      <c r="E376" s="307" t="s">
        <v>1372</v>
      </c>
      <c r="F376" s="615"/>
      <c r="G376" s="1452" t="s">
        <v>1373</v>
      </c>
      <c r="H376" s="1454" t="s">
        <v>1152</v>
      </c>
      <c r="I376" s="1723">
        <v>1</v>
      </c>
      <c r="J376" s="620">
        <v>1</v>
      </c>
      <c r="K376" s="620">
        <v>1</v>
      </c>
      <c r="L376" s="620">
        <v>1</v>
      </c>
      <c r="M376" s="620"/>
      <c r="N376" s="731">
        <f t="shared" ref="N376:N395" si="505">SUM(J376:M376)</f>
        <v>3</v>
      </c>
      <c r="O376" s="622">
        <f t="shared" ref="O376:O387" si="506">($I376*J376)</f>
        <v>1</v>
      </c>
      <c r="P376" s="623">
        <f t="shared" ref="P376:R378" si="507">($I376*K376)</f>
        <v>1</v>
      </c>
      <c r="Q376" s="623">
        <f t="shared" si="507"/>
        <v>1</v>
      </c>
      <c r="R376" s="623">
        <f t="shared" si="507"/>
        <v>0</v>
      </c>
      <c r="S376" s="1356">
        <f>SUM(O376:R376)</f>
        <v>3</v>
      </c>
      <c r="T376" s="763">
        <f>IFERROR(INDEX('Annex 2_Code'!I$8:I$33,MATCH('Annex 3_MAFF'!$AG376,'Annex 2_Code'!$G$8:$G$33,0)),"")</f>
        <v>0</v>
      </c>
      <c r="U376" s="763">
        <f>IFERROR(INDEX('Annex 2_Code'!J$8:J$33,MATCH('Annex 3_MAFF'!$AG376,'Annex 2_Code'!$G$8:$G$33,0)),"")</f>
        <v>0</v>
      </c>
      <c r="V376" s="763">
        <f>IFERROR(INDEX('Annex 2_Code'!K$8:K$33,MATCH('Annex 3_MAFF'!$AG376,'Annex 2_Code'!$G$8:$G$33,0)),"")</f>
        <v>1</v>
      </c>
      <c r="W376" s="763">
        <f>IFERROR(INDEX('Annex 2_Code'!L$8:L$33,MATCH('Annex 3_MAFF'!$AG376,'Annex 2_Code'!$G$8:$G$33,0)),"")</f>
        <v>0</v>
      </c>
      <c r="X376" s="763">
        <f>IFERROR(INDEX('Annex 2_Code'!M$8:M$33,MATCH('Annex 3_MAFF'!$AG376,'Annex 2_Code'!$G$8:$G$33,0)),"")</f>
        <v>0</v>
      </c>
      <c r="Y376" s="1745">
        <f t="shared" si="501"/>
        <v>0</v>
      </c>
      <c r="Z376" s="807">
        <f t="shared" si="501"/>
        <v>0</v>
      </c>
      <c r="AA376" s="807">
        <f t="shared" ref="AA376:AA387" si="508">IFERROR($S376*V376,"")</f>
        <v>3</v>
      </c>
      <c r="AB376" s="807">
        <f t="shared" si="501"/>
        <v>0</v>
      </c>
      <c r="AC376" s="808">
        <f t="shared" si="501"/>
        <v>0</v>
      </c>
      <c r="AD376" s="764">
        <f t="shared" si="503"/>
        <v>3</v>
      </c>
      <c r="AE376" s="764">
        <f t="shared" si="504"/>
        <v>0</v>
      </c>
      <c r="AF376" s="605" t="s">
        <v>309</v>
      </c>
      <c r="AG376" s="605" t="s">
        <v>203</v>
      </c>
      <c r="AH376" s="605" t="s">
        <v>372</v>
      </c>
      <c r="AI376" s="646" t="str">
        <f t="shared" ref="AI376:AI395" si="509">IF(ISNUMBER(FIND("-",AH376,1))=FALSE,LEFT(AH376,LEN(AH376)),LEFT(AH376,(FIND("-",AH376,1))-1))</f>
        <v>MAFF</v>
      </c>
      <c r="AJ376" s="637" t="s">
        <v>456</v>
      </c>
    </row>
    <row r="377" spans="1:39" s="902" customFormat="1" ht="70.5" customHeight="1" outlineLevel="1">
      <c r="A377" s="1357"/>
      <c r="B377" s="669" t="s">
        <v>1463</v>
      </c>
      <c r="C377" s="669" t="s">
        <v>33</v>
      </c>
      <c r="D377" s="701"/>
      <c r="E377" s="307" t="s">
        <v>1374</v>
      </c>
      <c r="F377" s="615"/>
      <c r="G377" s="1922" t="s">
        <v>1375</v>
      </c>
      <c r="H377" s="1730" t="s">
        <v>865</v>
      </c>
      <c r="I377" s="1723">
        <v>5</v>
      </c>
      <c r="J377" s="620"/>
      <c r="K377" s="620">
        <v>2</v>
      </c>
      <c r="L377" s="620">
        <v>0</v>
      </c>
      <c r="M377" s="620"/>
      <c r="N377" s="731">
        <f t="shared" si="505"/>
        <v>2</v>
      </c>
      <c r="O377" s="622">
        <f t="shared" si="506"/>
        <v>0</v>
      </c>
      <c r="P377" s="623">
        <f t="shared" si="507"/>
        <v>10</v>
      </c>
      <c r="Q377" s="623">
        <f t="shared" si="507"/>
        <v>0</v>
      </c>
      <c r="R377" s="623">
        <f t="shared" si="507"/>
        <v>0</v>
      </c>
      <c r="S377" s="1356">
        <f t="shared" ref="S377:S395" si="510">SUM(O377:R377)</f>
        <v>10</v>
      </c>
      <c r="T377" s="763">
        <f>IFERROR(INDEX('Annex 2_Code'!I$8:I$33,MATCH('Annex 3_MAFF'!$AG377,'Annex 2_Code'!$G$8:$G$33,0)),"")</f>
        <v>0</v>
      </c>
      <c r="U377" s="763">
        <f>IFERROR(INDEX('Annex 2_Code'!J$8:J$33,MATCH('Annex 3_MAFF'!$AG377,'Annex 2_Code'!$G$8:$G$33,0)),"")</f>
        <v>0</v>
      </c>
      <c r="V377" s="763">
        <f>IFERROR(INDEX('Annex 2_Code'!K$8:K$33,MATCH('Annex 3_MAFF'!$AG377,'Annex 2_Code'!$G$8:$G$33,0)),"")</f>
        <v>1</v>
      </c>
      <c r="W377" s="763">
        <f>IFERROR(INDEX('Annex 2_Code'!L$8:L$33,MATCH('Annex 3_MAFF'!$AG377,'Annex 2_Code'!$G$8:$G$33,0)),"")</f>
        <v>0</v>
      </c>
      <c r="X377" s="763">
        <f>IFERROR(INDEX('Annex 2_Code'!M$8:M$33,MATCH('Annex 3_MAFF'!$AG377,'Annex 2_Code'!$G$8:$G$33,0)),"")</f>
        <v>0</v>
      </c>
      <c r="Y377" s="1745">
        <f t="shared" si="501"/>
        <v>0</v>
      </c>
      <c r="Z377" s="807">
        <f t="shared" si="501"/>
        <v>0</v>
      </c>
      <c r="AA377" s="807">
        <f t="shared" si="508"/>
        <v>10</v>
      </c>
      <c r="AB377" s="807">
        <f t="shared" si="501"/>
        <v>0</v>
      </c>
      <c r="AC377" s="808">
        <f t="shared" si="501"/>
        <v>0</v>
      </c>
      <c r="AD377" s="764">
        <f t="shared" si="503"/>
        <v>10</v>
      </c>
      <c r="AE377" s="764">
        <f t="shared" si="504"/>
        <v>0</v>
      </c>
      <c r="AF377" s="605" t="s">
        <v>309</v>
      </c>
      <c r="AG377" s="605" t="s">
        <v>203</v>
      </c>
      <c r="AH377" s="605" t="s">
        <v>372</v>
      </c>
      <c r="AI377" s="646" t="str">
        <f t="shared" si="509"/>
        <v>MAFF</v>
      </c>
      <c r="AJ377" s="637" t="s">
        <v>456</v>
      </c>
    </row>
    <row r="378" spans="1:39" s="902" customFormat="1" ht="69.75" outlineLevel="1">
      <c r="A378" s="1357"/>
      <c r="B378" s="669" t="s">
        <v>1463</v>
      </c>
      <c r="C378" s="669" t="s">
        <v>33</v>
      </c>
      <c r="D378" s="701"/>
      <c r="E378" s="307" t="s">
        <v>1376</v>
      </c>
      <c r="F378" s="615"/>
      <c r="G378" s="1452" t="s">
        <v>1377</v>
      </c>
      <c r="H378" s="1454" t="s">
        <v>1378</v>
      </c>
      <c r="I378" s="1723">
        <v>7</v>
      </c>
      <c r="J378" s="620">
        <v>0</v>
      </c>
      <c r="K378" s="620">
        <v>2</v>
      </c>
      <c r="L378" s="620">
        <v>1</v>
      </c>
      <c r="M378" s="620">
        <v>0</v>
      </c>
      <c r="N378" s="731">
        <f>SUM(J378:M378)</f>
        <v>3</v>
      </c>
      <c r="O378" s="622">
        <f t="shared" si="506"/>
        <v>0</v>
      </c>
      <c r="P378" s="623">
        <f t="shared" si="507"/>
        <v>14</v>
      </c>
      <c r="Q378" s="623">
        <f t="shared" si="507"/>
        <v>7</v>
      </c>
      <c r="R378" s="623">
        <f t="shared" si="507"/>
        <v>0</v>
      </c>
      <c r="S378" s="1356">
        <f t="shared" si="510"/>
        <v>21</v>
      </c>
      <c r="T378" s="763">
        <f>IFERROR(INDEX('Annex 2_Code'!I$8:I$33,MATCH('Annex 3_MAFF'!$AG378,'Annex 2_Code'!$G$8:$G$33,0)),"")</f>
        <v>0</v>
      </c>
      <c r="U378" s="763">
        <f>IFERROR(INDEX('Annex 2_Code'!J$8:J$33,MATCH('Annex 3_MAFF'!$AG378,'Annex 2_Code'!$G$8:$G$33,0)),"")</f>
        <v>0</v>
      </c>
      <c r="V378" s="763">
        <f>IFERROR(INDEX('Annex 2_Code'!K$8:K$33,MATCH('Annex 3_MAFF'!$AG378,'Annex 2_Code'!$G$8:$G$33,0)),"")</f>
        <v>1</v>
      </c>
      <c r="W378" s="763">
        <f>IFERROR(INDEX('Annex 2_Code'!L$8:L$33,MATCH('Annex 3_MAFF'!$AG378,'Annex 2_Code'!$G$8:$G$33,0)),"")</f>
        <v>0</v>
      </c>
      <c r="X378" s="763">
        <f>IFERROR(INDEX('Annex 2_Code'!M$8:M$33,MATCH('Annex 3_MAFF'!$AG378,'Annex 2_Code'!$G$8:$G$33,0)),"")</f>
        <v>0</v>
      </c>
      <c r="Y378" s="1745">
        <f t="shared" si="501"/>
        <v>0</v>
      </c>
      <c r="Z378" s="807">
        <f t="shared" si="501"/>
        <v>0</v>
      </c>
      <c r="AA378" s="807">
        <f t="shared" si="508"/>
        <v>21</v>
      </c>
      <c r="AB378" s="807">
        <f t="shared" si="501"/>
        <v>0</v>
      </c>
      <c r="AC378" s="808">
        <f t="shared" si="501"/>
        <v>0</v>
      </c>
      <c r="AD378" s="764">
        <f t="shared" si="503"/>
        <v>21</v>
      </c>
      <c r="AE378" s="764">
        <f t="shared" si="504"/>
        <v>0</v>
      </c>
      <c r="AF378" s="605" t="s">
        <v>309</v>
      </c>
      <c r="AG378" s="605" t="s">
        <v>203</v>
      </c>
      <c r="AH378" s="605" t="s">
        <v>372</v>
      </c>
      <c r="AI378" s="646" t="str">
        <f t="shared" si="509"/>
        <v>MAFF</v>
      </c>
      <c r="AJ378" s="637" t="s">
        <v>456</v>
      </c>
    </row>
    <row r="379" spans="1:39" s="902" customFormat="1" ht="69.75" outlineLevel="1">
      <c r="A379" s="1357"/>
      <c r="B379" s="669" t="s">
        <v>1463</v>
      </c>
      <c r="C379" s="669" t="s">
        <v>33</v>
      </c>
      <c r="D379" s="701"/>
      <c r="E379" s="307" t="s">
        <v>1379</v>
      </c>
      <c r="F379" s="615"/>
      <c r="G379" s="1452" t="s">
        <v>1380</v>
      </c>
      <c r="H379" s="1454" t="s">
        <v>1378</v>
      </c>
      <c r="I379" s="1723">
        <v>8</v>
      </c>
      <c r="J379" s="620"/>
      <c r="K379" s="620"/>
      <c r="L379" s="620"/>
      <c r="M379" s="620">
        <v>1</v>
      </c>
      <c r="N379" s="731">
        <f>SUM(J379:M379)</f>
        <v>1</v>
      </c>
      <c r="O379" s="622">
        <f t="shared" si="506"/>
        <v>0</v>
      </c>
      <c r="P379" s="623">
        <f t="shared" ref="P379:R382" si="511">($I379*K379)</f>
        <v>0</v>
      </c>
      <c r="Q379" s="623">
        <f t="shared" si="511"/>
        <v>0</v>
      </c>
      <c r="R379" s="623">
        <f>($I379*M379)</f>
        <v>8</v>
      </c>
      <c r="S379" s="1356">
        <f t="shared" si="510"/>
        <v>8</v>
      </c>
      <c r="T379" s="763">
        <f>IFERROR(INDEX('Annex 2_Code'!I$8:I$33,MATCH('Annex 3_MAFF'!$AG379,'Annex 2_Code'!$G$8:$G$33,0)),"")</f>
        <v>0</v>
      </c>
      <c r="U379" s="763">
        <f>IFERROR(INDEX('Annex 2_Code'!J$8:J$33,MATCH('Annex 3_MAFF'!$AG379,'Annex 2_Code'!$G$8:$G$33,0)),"")</f>
        <v>0</v>
      </c>
      <c r="V379" s="763">
        <f>IFERROR(INDEX('Annex 2_Code'!K$8:K$33,MATCH('Annex 3_MAFF'!$AG379,'Annex 2_Code'!$G$8:$G$33,0)),"")</f>
        <v>1</v>
      </c>
      <c r="W379" s="763">
        <f>IFERROR(INDEX('Annex 2_Code'!L$8:L$33,MATCH('Annex 3_MAFF'!$AG379,'Annex 2_Code'!$G$8:$G$33,0)),"")</f>
        <v>0</v>
      </c>
      <c r="X379" s="763">
        <f>IFERROR(INDEX('Annex 2_Code'!M$8:M$33,MATCH('Annex 3_MAFF'!$AG379,'Annex 2_Code'!$G$8:$G$33,0)),"")</f>
        <v>0</v>
      </c>
      <c r="Y379" s="1745">
        <f t="shared" si="501"/>
        <v>0</v>
      </c>
      <c r="Z379" s="807">
        <f t="shared" si="501"/>
        <v>0</v>
      </c>
      <c r="AA379" s="807">
        <f t="shared" si="508"/>
        <v>8</v>
      </c>
      <c r="AB379" s="807">
        <f t="shared" si="501"/>
        <v>0</v>
      </c>
      <c r="AC379" s="808">
        <f t="shared" si="501"/>
        <v>0</v>
      </c>
      <c r="AD379" s="764">
        <f t="shared" si="503"/>
        <v>8</v>
      </c>
      <c r="AE379" s="764">
        <f t="shared" si="504"/>
        <v>0</v>
      </c>
      <c r="AF379" s="605" t="s">
        <v>309</v>
      </c>
      <c r="AG379" s="605" t="s">
        <v>203</v>
      </c>
      <c r="AH379" s="605" t="s">
        <v>372</v>
      </c>
      <c r="AI379" s="646" t="str">
        <f t="shared" si="509"/>
        <v>MAFF</v>
      </c>
      <c r="AJ379" s="637" t="s">
        <v>456</v>
      </c>
    </row>
    <row r="380" spans="1:39" s="902" customFormat="1" ht="46.5" outlineLevel="1">
      <c r="A380" s="1357"/>
      <c r="B380" s="669" t="s">
        <v>1463</v>
      </c>
      <c r="C380" s="669" t="s">
        <v>33</v>
      </c>
      <c r="D380" s="701"/>
      <c r="E380" s="307" t="s">
        <v>1381</v>
      </c>
      <c r="F380" s="615"/>
      <c r="G380" s="1922" t="s">
        <v>1382</v>
      </c>
      <c r="H380" s="1730" t="s">
        <v>1146</v>
      </c>
      <c r="I380" s="2179">
        <v>2</v>
      </c>
      <c r="J380" s="620">
        <v>0</v>
      </c>
      <c r="K380" s="620">
        <v>0</v>
      </c>
      <c r="L380" s="620">
        <v>1</v>
      </c>
      <c r="M380" s="620">
        <v>0</v>
      </c>
      <c r="N380" s="731">
        <f>SUM(J380:M380)</f>
        <v>1</v>
      </c>
      <c r="O380" s="622">
        <f t="shared" si="506"/>
        <v>0</v>
      </c>
      <c r="P380" s="623">
        <f t="shared" si="511"/>
        <v>0</v>
      </c>
      <c r="Q380" s="623">
        <f t="shared" si="511"/>
        <v>2</v>
      </c>
      <c r="R380" s="623">
        <f t="shared" si="511"/>
        <v>0</v>
      </c>
      <c r="S380" s="1356">
        <f t="shared" si="510"/>
        <v>2</v>
      </c>
      <c r="T380" s="763">
        <f>IFERROR(INDEX('Annex 2_Code'!I$8:I$33,MATCH('Annex 3_MAFF'!$AG380,'Annex 2_Code'!$G$8:$G$33,0)),"")</f>
        <v>0</v>
      </c>
      <c r="U380" s="763">
        <f>IFERROR(INDEX('Annex 2_Code'!J$8:J$33,MATCH('Annex 3_MAFF'!$AG380,'Annex 2_Code'!$G$8:$G$33,0)),"")</f>
        <v>0</v>
      </c>
      <c r="V380" s="763">
        <f>IFERROR(INDEX('Annex 2_Code'!K$8:K$33,MATCH('Annex 3_MAFF'!$AG380,'Annex 2_Code'!$G$8:$G$33,0)),"")</f>
        <v>1</v>
      </c>
      <c r="W380" s="763">
        <f>IFERROR(INDEX('Annex 2_Code'!L$8:L$33,MATCH('Annex 3_MAFF'!$AG380,'Annex 2_Code'!$G$8:$G$33,0)),"")</f>
        <v>0</v>
      </c>
      <c r="X380" s="763">
        <f>IFERROR(INDEX('Annex 2_Code'!M$8:M$33,MATCH('Annex 3_MAFF'!$AG380,'Annex 2_Code'!$G$8:$G$33,0)),"")</f>
        <v>0</v>
      </c>
      <c r="Y380" s="1745">
        <f t="shared" ref="Y380:Z382" si="512">IFERROR($S380*T380,"")</f>
        <v>0</v>
      </c>
      <c r="Z380" s="807">
        <f t="shared" si="512"/>
        <v>0</v>
      </c>
      <c r="AA380" s="807">
        <f t="shared" si="508"/>
        <v>2</v>
      </c>
      <c r="AB380" s="807">
        <f t="shared" ref="AB380:AC382" si="513">IFERROR($S380*W380,"")</f>
        <v>0</v>
      </c>
      <c r="AC380" s="808">
        <f t="shared" si="513"/>
        <v>0</v>
      </c>
      <c r="AD380" s="764">
        <f>SUM(Y380:AC380)</f>
        <v>2</v>
      </c>
      <c r="AE380" s="764">
        <f>AD380-S380</f>
        <v>0</v>
      </c>
      <c r="AF380" s="605" t="s">
        <v>309</v>
      </c>
      <c r="AG380" s="605" t="s">
        <v>203</v>
      </c>
      <c r="AH380" s="605" t="s">
        <v>372</v>
      </c>
      <c r="AI380" s="646" t="str">
        <f>IF(ISNUMBER(FIND("-",AH380,1))=FALSE,LEFT(AH380,LEN(AH380)),LEFT(AH380,(FIND("-",AH380,1))-1))</f>
        <v>MAFF</v>
      </c>
      <c r="AJ380" s="637"/>
    </row>
    <row r="381" spans="1:39" s="902" customFormat="1" ht="46.5" outlineLevel="1">
      <c r="A381" s="1357"/>
      <c r="B381" s="669" t="s">
        <v>1463</v>
      </c>
      <c r="C381" s="669" t="s">
        <v>33</v>
      </c>
      <c r="D381" s="701"/>
      <c r="E381" s="307" t="s">
        <v>1383</v>
      </c>
      <c r="F381" s="615"/>
      <c r="G381" s="1922" t="s">
        <v>1384</v>
      </c>
      <c r="H381" s="1730" t="s">
        <v>1146</v>
      </c>
      <c r="I381" s="2179">
        <v>3.5</v>
      </c>
      <c r="J381" s="620">
        <v>0</v>
      </c>
      <c r="K381" s="620">
        <v>0</v>
      </c>
      <c r="L381" s="620">
        <v>0</v>
      </c>
      <c r="M381" s="620">
        <v>1</v>
      </c>
      <c r="N381" s="731">
        <f>SUM(J381:M381)</f>
        <v>1</v>
      </c>
      <c r="O381" s="622">
        <f t="shared" si="506"/>
        <v>0</v>
      </c>
      <c r="P381" s="623">
        <f t="shared" si="511"/>
        <v>0</v>
      </c>
      <c r="Q381" s="623">
        <f t="shared" si="511"/>
        <v>0</v>
      </c>
      <c r="R381" s="623">
        <f t="shared" si="511"/>
        <v>3.5</v>
      </c>
      <c r="S381" s="1356">
        <f t="shared" si="510"/>
        <v>3.5</v>
      </c>
      <c r="T381" s="763">
        <f>IFERROR(INDEX('Annex 2_Code'!I$8:I$33,MATCH('Annex 3_MAFF'!$AG381,'Annex 2_Code'!$G$8:$G$33,0)),"")</f>
        <v>0</v>
      </c>
      <c r="U381" s="763">
        <f>IFERROR(INDEX('Annex 2_Code'!J$8:J$33,MATCH('Annex 3_MAFF'!$AG381,'Annex 2_Code'!$G$8:$G$33,0)),"")</f>
        <v>0</v>
      </c>
      <c r="V381" s="763">
        <f>IFERROR(INDEX('Annex 2_Code'!K$8:K$33,MATCH('Annex 3_MAFF'!$AG381,'Annex 2_Code'!$G$8:$G$33,0)),"")</f>
        <v>1</v>
      </c>
      <c r="W381" s="763">
        <f>IFERROR(INDEX('Annex 2_Code'!L$8:L$33,MATCH('Annex 3_MAFF'!$AG381,'Annex 2_Code'!$G$8:$G$33,0)),"")</f>
        <v>0</v>
      </c>
      <c r="X381" s="763">
        <f>IFERROR(INDEX('Annex 2_Code'!M$8:M$33,MATCH('Annex 3_MAFF'!$AG381,'Annex 2_Code'!$G$8:$G$33,0)),"")</f>
        <v>0</v>
      </c>
      <c r="Y381" s="1745">
        <f t="shared" si="512"/>
        <v>0</v>
      </c>
      <c r="Z381" s="807">
        <f t="shared" si="512"/>
        <v>0</v>
      </c>
      <c r="AA381" s="807">
        <f t="shared" si="508"/>
        <v>3.5</v>
      </c>
      <c r="AB381" s="807">
        <f t="shared" si="513"/>
        <v>0</v>
      </c>
      <c r="AC381" s="808">
        <f t="shared" si="513"/>
        <v>0</v>
      </c>
      <c r="AD381" s="764">
        <f>SUM(Y381:AC381)</f>
        <v>3.5</v>
      </c>
      <c r="AE381" s="764">
        <f>AD381-S381</f>
        <v>0</v>
      </c>
      <c r="AF381" s="605" t="s">
        <v>309</v>
      </c>
      <c r="AG381" s="605" t="s">
        <v>203</v>
      </c>
      <c r="AH381" s="605" t="s">
        <v>372</v>
      </c>
      <c r="AI381" s="646" t="str">
        <f>IF(ISNUMBER(FIND("-",AH381,1))=FALSE,LEFT(AH381,LEN(AH381)),LEFT(AH381,(FIND("-",AH381,1))-1))</f>
        <v>MAFF</v>
      </c>
      <c r="AJ381" s="637"/>
    </row>
    <row r="382" spans="1:39" s="1381" customFormat="1" ht="46.5" outlineLevel="1">
      <c r="A382" s="1371"/>
      <c r="B382" s="669" t="s">
        <v>1451</v>
      </c>
      <c r="C382" s="669" t="s">
        <v>33</v>
      </c>
      <c r="D382" s="644"/>
      <c r="E382" s="307" t="s">
        <v>1385</v>
      </c>
      <c r="F382" s="615"/>
      <c r="G382" s="1452" t="s">
        <v>897</v>
      </c>
      <c r="H382" s="1454" t="s">
        <v>894</v>
      </c>
      <c r="I382" s="1453">
        <v>9</v>
      </c>
      <c r="J382" s="620">
        <v>2</v>
      </c>
      <c r="K382" s="620">
        <v>2</v>
      </c>
      <c r="L382" s="620">
        <v>2</v>
      </c>
      <c r="M382" s="620">
        <v>2</v>
      </c>
      <c r="N382" s="731">
        <f>SUM(J382:M382)</f>
        <v>8</v>
      </c>
      <c r="O382" s="622">
        <f t="shared" si="506"/>
        <v>18</v>
      </c>
      <c r="P382" s="623">
        <f t="shared" si="511"/>
        <v>18</v>
      </c>
      <c r="Q382" s="623">
        <f t="shared" si="511"/>
        <v>18</v>
      </c>
      <c r="R382" s="623">
        <f t="shared" si="511"/>
        <v>18</v>
      </c>
      <c r="S382" s="1356">
        <f t="shared" si="510"/>
        <v>72</v>
      </c>
      <c r="T382" s="763">
        <f>IFERROR(INDEX('Annex 2_Code'!I$8:I$33,MATCH('Annex 3_MAFF'!$AG382,'Annex 2_Code'!$G$8:$G$33,0)),"")</f>
        <v>0</v>
      </c>
      <c r="U382" s="763">
        <f>IFERROR(INDEX('Annex 2_Code'!J$8:J$33,MATCH('Annex 3_MAFF'!$AG382,'Annex 2_Code'!$G$8:$G$33,0)),"")</f>
        <v>0</v>
      </c>
      <c r="V382" s="763">
        <f>IFERROR(INDEX('Annex 2_Code'!K$8:K$33,MATCH('Annex 3_MAFF'!$AG382,'Annex 2_Code'!$G$8:$G$33,0)),"")</f>
        <v>1</v>
      </c>
      <c r="W382" s="763">
        <f>IFERROR(INDEX('Annex 2_Code'!L$8:L$33,MATCH('Annex 3_MAFF'!$AG382,'Annex 2_Code'!$G$8:$G$33,0)),"")</f>
        <v>0</v>
      </c>
      <c r="X382" s="763">
        <f>IFERROR(INDEX('Annex 2_Code'!M$8:M$33,MATCH('Annex 3_MAFF'!$AG382,'Annex 2_Code'!$G$8:$G$33,0)),"")</f>
        <v>0</v>
      </c>
      <c r="Y382" s="1745">
        <f t="shared" si="512"/>
        <v>0</v>
      </c>
      <c r="Z382" s="807">
        <f t="shared" si="512"/>
        <v>0</v>
      </c>
      <c r="AA382" s="807">
        <f t="shared" si="508"/>
        <v>72</v>
      </c>
      <c r="AB382" s="807">
        <f t="shared" si="513"/>
        <v>0</v>
      </c>
      <c r="AC382" s="808">
        <f t="shared" si="513"/>
        <v>0</v>
      </c>
      <c r="AD382" s="764">
        <f>SUM(Y382:AC382)</f>
        <v>72</v>
      </c>
      <c r="AE382" s="764">
        <f>AD382-S382</f>
        <v>0</v>
      </c>
      <c r="AF382" s="605" t="s">
        <v>309</v>
      </c>
      <c r="AG382" s="605" t="s">
        <v>201</v>
      </c>
      <c r="AH382" s="605" t="s">
        <v>372</v>
      </c>
      <c r="AI382" s="646" t="str">
        <f>IF(ISNUMBER(FIND("-",AH382,1))=FALSE,LEFT(AH382,LEN(AH382)),LEFT(AH382,(FIND("-",AH382,1))-1))</f>
        <v>MAFF</v>
      </c>
      <c r="AJ382" s="637"/>
    </row>
    <row r="383" spans="1:39" s="625" customFormat="1" ht="69.75" outlineLevel="1">
      <c r="A383" s="587"/>
      <c r="B383" s="669" t="s">
        <v>1451</v>
      </c>
      <c r="C383" s="669" t="s">
        <v>33</v>
      </c>
      <c r="D383" s="644"/>
      <c r="E383" s="307" t="s">
        <v>1386</v>
      </c>
      <c r="F383" s="615"/>
      <c r="G383" s="1452" t="s">
        <v>1156</v>
      </c>
      <c r="H383" s="1454" t="s">
        <v>894</v>
      </c>
      <c r="I383" s="1453">
        <v>5</v>
      </c>
      <c r="J383" s="620">
        <v>0</v>
      </c>
      <c r="K383" s="620">
        <v>0</v>
      </c>
      <c r="L383" s="620">
        <v>2</v>
      </c>
      <c r="M383" s="620">
        <v>1</v>
      </c>
      <c r="N383" s="731">
        <v>16</v>
      </c>
      <c r="O383" s="622">
        <f t="shared" si="506"/>
        <v>0</v>
      </c>
      <c r="P383" s="623">
        <f t="shared" ref="P383:P395" si="514">($I383*K383)</f>
        <v>0</v>
      </c>
      <c r="Q383" s="623">
        <f t="shared" ref="Q383:R391" si="515">($I383*L383)</f>
        <v>10</v>
      </c>
      <c r="R383" s="623">
        <f t="shared" si="515"/>
        <v>5</v>
      </c>
      <c r="S383" s="1356">
        <f t="shared" si="510"/>
        <v>15</v>
      </c>
      <c r="T383" s="763">
        <f>IFERROR(INDEX('Annex 2_Code'!I$8:I$33,MATCH('Annex 3_MAFF'!$AG383,'Annex 2_Code'!$G$8:$G$33,0)),"")</f>
        <v>0</v>
      </c>
      <c r="U383" s="763">
        <f>IFERROR(INDEX('Annex 2_Code'!J$8:J$33,MATCH('Annex 3_MAFF'!$AG383,'Annex 2_Code'!$G$8:$G$33,0)),"")</f>
        <v>0</v>
      </c>
      <c r="V383" s="763">
        <f>IFERROR(INDEX('Annex 2_Code'!K$8:K$33,MATCH('Annex 3_MAFF'!$AG383,'Annex 2_Code'!$G$8:$G$33,0)),"")</f>
        <v>1</v>
      </c>
      <c r="W383" s="763">
        <f>IFERROR(INDEX('Annex 2_Code'!L$8:L$33,MATCH('Annex 3_MAFF'!$AG383,'Annex 2_Code'!$G$8:$G$33,0)),"")</f>
        <v>0</v>
      </c>
      <c r="X383" s="763">
        <f>IFERROR(INDEX('Annex 2_Code'!M$8:M$33,MATCH('Annex 3_MAFF'!$AG383,'Annex 2_Code'!$G$8:$G$33,0)),"")</f>
        <v>0</v>
      </c>
      <c r="Y383" s="1745">
        <f t="shared" si="501"/>
        <v>0</v>
      </c>
      <c r="Z383" s="807">
        <f t="shared" si="501"/>
        <v>0</v>
      </c>
      <c r="AA383" s="807">
        <f t="shared" si="508"/>
        <v>15</v>
      </c>
      <c r="AB383" s="807">
        <f t="shared" si="501"/>
        <v>0</v>
      </c>
      <c r="AC383" s="808">
        <f t="shared" si="501"/>
        <v>0</v>
      </c>
      <c r="AD383" s="764">
        <f t="shared" si="503"/>
        <v>15</v>
      </c>
      <c r="AE383" s="764">
        <f t="shared" si="504"/>
        <v>0</v>
      </c>
      <c r="AF383" s="605" t="s">
        <v>309</v>
      </c>
      <c r="AG383" s="605" t="s">
        <v>201</v>
      </c>
      <c r="AH383" s="605" t="s">
        <v>372</v>
      </c>
      <c r="AI383" s="646" t="str">
        <f t="shared" si="509"/>
        <v>MAFF</v>
      </c>
      <c r="AJ383" s="637" t="s">
        <v>456</v>
      </c>
    </row>
    <row r="384" spans="1:39" s="1381" customFormat="1" ht="45" customHeight="1" outlineLevel="1">
      <c r="A384" s="1371"/>
      <c r="B384" s="669" t="s">
        <v>1451</v>
      </c>
      <c r="C384" s="669" t="s">
        <v>33</v>
      </c>
      <c r="D384" s="644"/>
      <c r="E384" s="307" t="s">
        <v>1387</v>
      </c>
      <c r="F384" s="615"/>
      <c r="G384" s="1452" t="s">
        <v>970</v>
      </c>
      <c r="H384" s="1454" t="s">
        <v>837</v>
      </c>
      <c r="I384" s="1453">
        <v>1.5</v>
      </c>
      <c r="J384" s="620">
        <v>0</v>
      </c>
      <c r="K384" s="620">
        <v>0</v>
      </c>
      <c r="L384" s="620">
        <v>10</v>
      </c>
      <c r="M384" s="620">
        <v>6</v>
      </c>
      <c r="N384" s="731">
        <f>SUM(J384:M384)</f>
        <v>16</v>
      </c>
      <c r="O384" s="622">
        <f t="shared" si="506"/>
        <v>0</v>
      </c>
      <c r="P384" s="623">
        <f t="shared" si="514"/>
        <v>0</v>
      </c>
      <c r="Q384" s="623">
        <f t="shared" si="515"/>
        <v>15</v>
      </c>
      <c r="R384" s="623">
        <f t="shared" si="515"/>
        <v>9</v>
      </c>
      <c r="S384" s="1356">
        <f t="shared" si="510"/>
        <v>24</v>
      </c>
      <c r="T384" s="763">
        <f>IFERROR(INDEX('Annex 2_Code'!I$8:I$33,MATCH('Annex 3_MAFF'!$AG384,'Annex 2_Code'!$G$8:$G$33,0)),"")</f>
        <v>0</v>
      </c>
      <c r="U384" s="763">
        <f>IFERROR(INDEX('Annex 2_Code'!J$8:J$33,MATCH('Annex 3_MAFF'!$AG384,'Annex 2_Code'!$G$8:$G$33,0)),"")</f>
        <v>0</v>
      </c>
      <c r="V384" s="763">
        <f>IFERROR(INDEX('Annex 2_Code'!K$8:K$33,MATCH('Annex 3_MAFF'!$AG384,'Annex 2_Code'!$G$8:$G$33,0)),"")</f>
        <v>1</v>
      </c>
      <c r="W384" s="763">
        <f>IFERROR(INDEX('Annex 2_Code'!L$8:L$33,MATCH('Annex 3_MAFF'!$AG384,'Annex 2_Code'!$G$8:$G$33,0)),"")</f>
        <v>0</v>
      </c>
      <c r="X384" s="763">
        <f>IFERROR(INDEX('Annex 2_Code'!M$8:M$33,MATCH('Annex 3_MAFF'!$AG384,'Annex 2_Code'!$G$8:$G$33,0)),"")</f>
        <v>0</v>
      </c>
      <c r="Y384" s="1745">
        <f t="shared" si="501"/>
        <v>0</v>
      </c>
      <c r="Z384" s="807">
        <f t="shared" si="501"/>
        <v>0</v>
      </c>
      <c r="AA384" s="807">
        <f t="shared" si="508"/>
        <v>24</v>
      </c>
      <c r="AB384" s="807">
        <f t="shared" si="501"/>
        <v>0</v>
      </c>
      <c r="AC384" s="808">
        <f t="shared" si="501"/>
        <v>0</v>
      </c>
      <c r="AD384" s="764">
        <f t="shared" si="503"/>
        <v>24</v>
      </c>
      <c r="AE384" s="764">
        <f t="shared" si="504"/>
        <v>0</v>
      </c>
      <c r="AF384" s="605" t="s">
        <v>309</v>
      </c>
      <c r="AG384" s="605" t="s">
        <v>201</v>
      </c>
      <c r="AH384" s="605" t="s">
        <v>372</v>
      </c>
      <c r="AI384" s="646" t="str">
        <f t="shared" si="509"/>
        <v>MAFF</v>
      </c>
      <c r="AJ384" s="637" t="s">
        <v>456</v>
      </c>
    </row>
    <row r="385" spans="1:36" s="1381" customFormat="1" ht="46.5" outlineLevel="1">
      <c r="A385" s="1371"/>
      <c r="B385" s="669" t="s">
        <v>1451</v>
      </c>
      <c r="C385" s="669" t="s">
        <v>33</v>
      </c>
      <c r="D385" s="644"/>
      <c r="E385" s="307" t="s">
        <v>1388</v>
      </c>
      <c r="F385" s="615"/>
      <c r="G385" s="1452" t="s">
        <v>932</v>
      </c>
      <c r="H385" s="1454" t="s">
        <v>837</v>
      </c>
      <c r="I385" s="1453">
        <v>6</v>
      </c>
      <c r="J385" s="620">
        <v>0</v>
      </c>
      <c r="K385" s="620">
        <v>0</v>
      </c>
      <c r="L385" s="620">
        <v>1</v>
      </c>
      <c r="M385" s="620">
        <v>0</v>
      </c>
      <c r="N385" s="731">
        <f>SUM(J385:M385)</f>
        <v>1</v>
      </c>
      <c r="O385" s="622">
        <f t="shared" si="506"/>
        <v>0</v>
      </c>
      <c r="P385" s="623">
        <f t="shared" si="514"/>
        <v>0</v>
      </c>
      <c r="Q385" s="623">
        <f t="shared" si="515"/>
        <v>6</v>
      </c>
      <c r="R385" s="623">
        <f t="shared" si="515"/>
        <v>0</v>
      </c>
      <c r="S385" s="1356">
        <f t="shared" si="510"/>
        <v>6</v>
      </c>
      <c r="T385" s="763">
        <f>IFERROR(INDEX('Annex 2_Code'!I$8:I$33,MATCH('Annex 3_MAFF'!$AG385,'Annex 2_Code'!$G$8:$G$33,0)),"")</f>
        <v>0</v>
      </c>
      <c r="U385" s="763">
        <f>IFERROR(INDEX('Annex 2_Code'!J$8:J$33,MATCH('Annex 3_MAFF'!$AG385,'Annex 2_Code'!$G$8:$G$33,0)),"")</f>
        <v>0</v>
      </c>
      <c r="V385" s="763">
        <f>IFERROR(INDEX('Annex 2_Code'!K$8:K$33,MATCH('Annex 3_MAFF'!$AG385,'Annex 2_Code'!$G$8:$G$33,0)),"")</f>
        <v>1</v>
      </c>
      <c r="W385" s="763">
        <f>IFERROR(INDEX('Annex 2_Code'!L$8:L$33,MATCH('Annex 3_MAFF'!$AG385,'Annex 2_Code'!$G$8:$G$33,0)),"")</f>
        <v>0</v>
      </c>
      <c r="X385" s="763">
        <f>IFERROR(INDEX('Annex 2_Code'!M$8:M$33,MATCH('Annex 3_MAFF'!$AG385,'Annex 2_Code'!$G$8:$G$33,0)),"")</f>
        <v>0</v>
      </c>
      <c r="Y385" s="1745">
        <f t="shared" si="501"/>
        <v>0</v>
      </c>
      <c r="Z385" s="807">
        <f t="shared" si="501"/>
        <v>0</v>
      </c>
      <c r="AA385" s="807">
        <f t="shared" si="508"/>
        <v>6</v>
      </c>
      <c r="AB385" s="807">
        <f t="shared" si="501"/>
        <v>0</v>
      </c>
      <c r="AC385" s="808">
        <f t="shared" si="501"/>
        <v>0</v>
      </c>
      <c r="AD385" s="764">
        <f t="shared" si="503"/>
        <v>6</v>
      </c>
      <c r="AE385" s="764">
        <f t="shared" si="504"/>
        <v>0</v>
      </c>
      <c r="AF385" s="605" t="s">
        <v>309</v>
      </c>
      <c r="AG385" s="605" t="s">
        <v>201</v>
      </c>
      <c r="AH385" s="605" t="s">
        <v>372</v>
      </c>
      <c r="AI385" s="646" t="str">
        <f t="shared" si="509"/>
        <v>MAFF</v>
      </c>
      <c r="AJ385" s="637" t="s">
        <v>456</v>
      </c>
    </row>
    <row r="386" spans="1:36" s="637" customFormat="1" ht="42" customHeight="1" outlineLevel="1">
      <c r="A386" s="587"/>
      <c r="B386" s="669" t="s">
        <v>1451</v>
      </c>
      <c r="C386" s="669" t="s">
        <v>33</v>
      </c>
      <c r="D386" s="644"/>
      <c r="E386" s="307" t="s">
        <v>1389</v>
      </c>
      <c r="F386" s="615"/>
      <c r="G386" s="1452" t="s">
        <v>933</v>
      </c>
      <c r="H386" s="1454" t="s">
        <v>837</v>
      </c>
      <c r="I386" s="1453">
        <v>6</v>
      </c>
      <c r="J386" s="620">
        <v>0</v>
      </c>
      <c r="K386" s="620">
        <v>0</v>
      </c>
      <c r="L386" s="620">
        <v>1</v>
      </c>
      <c r="M386" s="620">
        <v>0</v>
      </c>
      <c r="N386" s="731">
        <f t="shared" si="505"/>
        <v>1</v>
      </c>
      <c r="O386" s="622">
        <f t="shared" si="506"/>
        <v>0</v>
      </c>
      <c r="P386" s="623">
        <f t="shared" si="514"/>
        <v>0</v>
      </c>
      <c r="Q386" s="623">
        <f t="shared" si="515"/>
        <v>6</v>
      </c>
      <c r="R386" s="623">
        <f t="shared" si="515"/>
        <v>0</v>
      </c>
      <c r="S386" s="1356">
        <f t="shared" si="510"/>
        <v>6</v>
      </c>
      <c r="T386" s="763">
        <f>IFERROR(INDEX('Annex 2_Code'!I$8:I$33,MATCH('Annex 3_MAFF'!$AG386,'Annex 2_Code'!$G$8:$G$33,0)),"")</f>
        <v>0</v>
      </c>
      <c r="U386" s="763">
        <f>IFERROR(INDEX('Annex 2_Code'!J$8:J$33,MATCH('Annex 3_MAFF'!$AG386,'Annex 2_Code'!$G$8:$G$33,0)),"")</f>
        <v>0</v>
      </c>
      <c r="V386" s="763">
        <f>IFERROR(INDEX('Annex 2_Code'!K$8:K$33,MATCH('Annex 3_MAFF'!$AG386,'Annex 2_Code'!$G$8:$G$33,0)),"")</f>
        <v>1</v>
      </c>
      <c r="W386" s="763">
        <f>IFERROR(INDEX('Annex 2_Code'!L$8:L$33,MATCH('Annex 3_MAFF'!$AG386,'Annex 2_Code'!$G$8:$G$33,0)),"")</f>
        <v>0</v>
      </c>
      <c r="X386" s="763">
        <f>IFERROR(INDEX('Annex 2_Code'!M$8:M$33,MATCH('Annex 3_MAFF'!$AG386,'Annex 2_Code'!$G$8:$G$33,0)),"")</f>
        <v>0</v>
      </c>
      <c r="Y386" s="1745">
        <f t="shared" si="501"/>
        <v>0</v>
      </c>
      <c r="Z386" s="807">
        <f t="shared" si="501"/>
        <v>0</v>
      </c>
      <c r="AA386" s="807">
        <f t="shared" si="508"/>
        <v>6</v>
      </c>
      <c r="AB386" s="807">
        <f t="shared" si="501"/>
        <v>0</v>
      </c>
      <c r="AC386" s="808">
        <f t="shared" si="501"/>
        <v>0</v>
      </c>
      <c r="AD386" s="764">
        <f t="shared" si="503"/>
        <v>6</v>
      </c>
      <c r="AE386" s="764">
        <f t="shared" si="504"/>
        <v>0</v>
      </c>
      <c r="AF386" s="605" t="s">
        <v>309</v>
      </c>
      <c r="AG386" s="605" t="s">
        <v>201</v>
      </c>
      <c r="AH386" s="605" t="s">
        <v>372</v>
      </c>
      <c r="AI386" s="646" t="str">
        <f t="shared" si="509"/>
        <v>MAFF</v>
      </c>
      <c r="AJ386" s="637" t="s">
        <v>456</v>
      </c>
    </row>
    <row r="387" spans="1:36" s="1950" customFormat="1" ht="46.5" outlineLevel="1">
      <c r="A387" s="1930"/>
      <c r="B387" s="669" t="s">
        <v>1451</v>
      </c>
      <c r="C387" s="669" t="s">
        <v>41</v>
      </c>
      <c r="D387" s="701"/>
      <c r="E387" s="307" t="s">
        <v>1390</v>
      </c>
      <c r="F387" s="615"/>
      <c r="G387" s="1452" t="s">
        <v>1006</v>
      </c>
      <c r="H387" s="1454" t="s">
        <v>1009</v>
      </c>
      <c r="I387" s="1723">
        <v>0.5</v>
      </c>
      <c r="J387" s="620">
        <v>20</v>
      </c>
      <c r="K387" s="620">
        <v>20</v>
      </c>
      <c r="L387" s="620">
        <v>20</v>
      </c>
      <c r="M387" s="620">
        <v>20</v>
      </c>
      <c r="N387" s="731">
        <f t="shared" si="505"/>
        <v>80</v>
      </c>
      <c r="O387" s="622">
        <f t="shared" si="506"/>
        <v>10</v>
      </c>
      <c r="P387" s="623">
        <f t="shared" si="514"/>
        <v>10</v>
      </c>
      <c r="Q387" s="623">
        <f t="shared" si="515"/>
        <v>10</v>
      </c>
      <c r="R387" s="623">
        <f t="shared" si="515"/>
        <v>10</v>
      </c>
      <c r="S387" s="1356">
        <f t="shared" si="510"/>
        <v>40</v>
      </c>
      <c r="T387" s="763">
        <f>IFERROR(INDEX('Annex 2_Code'!I$8:I$33,MATCH('Annex 3_MAFF'!$AG387,'Annex 2_Code'!$G$8:$G$33,0)),"")</f>
        <v>0</v>
      </c>
      <c r="U387" s="763">
        <f>IFERROR(INDEX('Annex 2_Code'!J$8:J$33,MATCH('Annex 3_MAFF'!$AG387,'Annex 2_Code'!$G$8:$G$33,0)),"")</f>
        <v>0</v>
      </c>
      <c r="V387" s="763">
        <f>IFERROR(INDEX('Annex 2_Code'!K$8:K$33,MATCH('Annex 3_MAFF'!$AG387,'Annex 2_Code'!$G$8:$G$33,0)),"")</f>
        <v>1</v>
      </c>
      <c r="W387" s="763">
        <f>IFERROR(INDEX('Annex 2_Code'!L$8:L$33,MATCH('Annex 3_MAFF'!$AG387,'Annex 2_Code'!$G$8:$G$33,0)),"")</f>
        <v>0</v>
      </c>
      <c r="X387" s="763">
        <f>IFERROR(INDEX('Annex 2_Code'!M$8:M$33,MATCH('Annex 3_MAFF'!$AG387,'Annex 2_Code'!$G$8:$G$33,0)),"")</f>
        <v>0</v>
      </c>
      <c r="Y387" s="1745">
        <f t="shared" si="501"/>
        <v>0</v>
      </c>
      <c r="Z387" s="807">
        <f t="shared" si="501"/>
        <v>0</v>
      </c>
      <c r="AA387" s="807">
        <f t="shared" si="508"/>
        <v>40</v>
      </c>
      <c r="AB387" s="807">
        <f t="shared" si="501"/>
        <v>0</v>
      </c>
      <c r="AC387" s="808">
        <f t="shared" si="501"/>
        <v>0</v>
      </c>
      <c r="AD387" s="764">
        <f t="shared" si="503"/>
        <v>40</v>
      </c>
      <c r="AE387" s="764">
        <f t="shared" si="504"/>
        <v>0</v>
      </c>
      <c r="AF387" s="605" t="s">
        <v>309</v>
      </c>
      <c r="AG387" s="605" t="s">
        <v>201</v>
      </c>
      <c r="AH387" s="605" t="s">
        <v>372</v>
      </c>
      <c r="AI387" s="646" t="str">
        <f t="shared" si="509"/>
        <v>MAFF</v>
      </c>
      <c r="AJ387" s="637" t="s">
        <v>450</v>
      </c>
    </row>
    <row r="388" spans="1:36" s="902" customFormat="1" ht="42" customHeight="1" outlineLevel="1">
      <c r="A388" s="1357"/>
      <c r="B388" s="669" t="s">
        <v>1451</v>
      </c>
      <c r="C388" s="669" t="s">
        <v>41</v>
      </c>
      <c r="D388" s="644"/>
      <c r="E388" s="307" t="s">
        <v>1391</v>
      </c>
      <c r="F388" s="615"/>
      <c r="G388" s="1720" t="s">
        <v>1007</v>
      </c>
      <c r="H388" s="1454" t="s">
        <v>894</v>
      </c>
      <c r="I388" s="1453">
        <v>3</v>
      </c>
      <c r="J388" s="620">
        <v>0</v>
      </c>
      <c r="K388" s="620">
        <v>0</v>
      </c>
      <c r="L388" s="620">
        <v>8</v>
      </c>
      <c r="M388" s="620">
        <v>8</v>
      </c>
      <c r="N388" s="731">
        <f t="shared" si="505"/>
        <v>16</v>
      </c>
      <c r="O388" s="622">
        <f t="shared" ref="O388:O395" si="516">($I388*J388)</f>
        <v>0</v>
      </c>
      <c r="P388" s="623">
        <f t="shared" si="514"/>
        <v>0</v>
      </c>
      <c r="Q388" s="623">
        <f t="shared" si="515"/>
        <v>24</v>
      </c>
      <c r="R388" s="623">
        <f t="shared" si="515"/>
        <v>24</v>
      </c>
      <c r="S388" s="1356">
        <f t="shared" si="510"/>
        <v>48</v>
      </c>
      <c r="T388" s="763">
        <f>IFERROR(INDEX('Annex 2_Code'!I$8:I$33,MATCH('Annex 3_MAFF'!$AG388,'Annex 2_Code'!$G$8:$G$33,0)),"")</f>
        <v>0</v>
      </c>
      <c r="U388" s="763">
        <f>IFERROR(INDEX('Annex 2_Code'!J$8:J$33,MATCH('Annex 3_MAFF'!$AG388,'Annex 2_Code'!$G$8:$G$33,0)),"")</f>
        <v>0</v>
      </c>
      <c r="V388" s="763">
        <f>IFERROR(INDEX('Annex 2_Code'!K$8:K$33,MATCH('Annex 3_MAFF'!$AG388,'Annex 2_Code'!$G$8:$G$33,0)),"")</f>
        <v>1</v>
      </c>
      <c r="W388" s="763">
        <f>IFERROR(INDEX('Annex 2_Code'!L$8:L$33,MATCH('Annex 3_MAFF'!$AG388,'Annex 2_Code'!$G$8:$G$33,0)),"")</f>
        <v>0</v>
      </c>
      <c r="X388" s="763">
        <f>IFERROR(INDEX('Annex 2_Code'!M$8:M$33,MATCH('Annex 3_MAFF'!$AG388,'Annex 2_Code'!$G$8:$G$33,0)),"")</f>
        <v>0</v>
      </c>
      <c r="Y388" s="1745">
        <f t="shared" ref="Y388:Y395" si="517">IFERROR($S388*T388,"")</f>
        <v>0</v>
      </c>
      <c r="Z388" s="807">
        <f t="shared" ref="Z388:Z395" si="518">IFERROR($S388*U388,"")</f>
        <v>0</v>
      </c>
      <c r="AA388" s="807">
        <f t="shared" ref="AA388:AA395" si="519">IFERROR($S388*V388,"")</f>
        <v>48</v>
      </c>
      <c r="AB388" s="807">
        <f t="shared" ref="AB388:AB395" si="520">IFERROR($S388*W388,"")</f>
        <v>0</v>
      </c>
      <c r="AC388" s="808">
        <f t="shared" ref="AC388:AC395" si="521">IFERROR($S388*X388,"")</f>
        <v>0</v>
      </c>
      <c r="AD388" s="764">
        <f t="shared" ref="AD388:AD395" si="522">SUM(Y388:AC388)</f>
        <v>48</v>
      </c>
      <c r="AE388" s="764">
        <f t="shared" ref="AE388:AE395" si="523">AD388-S388</f>
        <v>0</v>
      </c>
      <c r="AF388" s="605" t="s">
        <v>309</v>
      </c>
      <c r="AG388" s="605" t="s">
        <v>201</v>
      </c>
      <c r="AH388" s="605" t="s">
        <v>372</v>
      </c>
      <c r="AI388" s="646" t="str">
        <f t="shared" si="509"/>
        <v>MAFF</v>
      </c>
      <c r="AJ388" s="637"/>
    </row>
    <row r="389" spans="1:36" s="902" customFormat="1" ht="42" customHeight="1" outlineLevel="1">
      <c r="A389" s="1357"/>
      <c r="B389" s="669" t="s">
        <v>1451</v>
      </c>
      <c r="C389" s="669" t="s">
        <v>41</v>
      </c>
      <c r="D389" s="644"/>
      <c r="E389" s="307" t="s">
        <v>1392</v>
      </c>
      <c r="F389" s="615"/>
      <c r="G389" s="1452" t="s">
        <v>1008</v>
      </c>
      <c r="H389" s="1454" t="s">
        <v>905</v>
      </c>
      <c r="I389" s="1453">
        <v>0.5</v>
      </c>
      <c r="J389" s="620">
        <v>0</v>
      </c>
      <c r="K389" s="671">
        <v>0</v>
      </c>
      <c r="L389" s="671">
        <v>20</v>
      </c>
      <c r="M389" s="671">
        <v>20</v>
      </c>
      <c r="N389" s="731">
        <f t="shared" si="505"/>
        <v>40</v>
      </c>
      <c r="O389" s="622">
        <f t="shared" si="516"/>
        <v>0</v>
      </c>
      <c r="P389" s="623">
        <f t="shared" si="514"/>
        <v>0</v>
      </c>
      <c r="Q389" s="623">
        <f t="shared" si="515"/>
        <v>10</v>
      </c>
      <c r="R389" s="623">
        <f t="shared" si="515"/>
        <v>10</v>
      </c>
      <c r="S389" s="1356">
        <f t="shared" si="510"/>
        <v>20</v>
      </c>
      <c r="T389" s="763">
        <f>IFERROR(INDEX('Annex 2_Code'!I$8:I$33,MATCH('Annex 3_MAFF'!$AG389,'Annex 2_Code'!$G$8:$G$33,0)),"")</f>
        <v>0</v>
      </c>
      <c r="U389" s="763">
        <f>IFERROR(INDEX('Annex 2_Code'!J$8:J$33,MATCH('Annex 3_MAFF'!$AG389,'Annex 2_Code'!$G$8:$G$33,0)),"")</f>
        <v>0</v>
      </c>
      <c r="V389" s="763">
        <f>IFERROR(INDEX('Annex 2_Code'!K$8:K$33,MATCH('Annex 3_MAFF'!$AG389,'Annex 2_Code'!$G$8:$G$33,0)),"")</f>
        <v>1</v>
      </c>
      <c r="W389" s="763">
        <f>IFERROR(INDEX('Annex 2_Code'!L$8:L$33,MATCH('Annex 3_MAFF'!$AG389,'Annex 2_Code'!$G$8:$G$33,0)),"")</f>
        <v>0</v>
      </c>
      <c r="X389" s="763">
        <f>IFERROR(INDEX('Annex 2_Code'!M$8:M$33,MATCH('Annex 3_MAFF'!$AG389,'Annex 2_Code'!$G$8:$G$33,0)),"")</f>
        <v>0</v>
      </c>
      <c r="Y389" s="1745">
        <f t="shared" si="517"/>
        <v>0</v>
      </c>
      <c r="Z389" s="807">
        <f t="shared" si="518"/>
        <v>0</v>
      </c>
      <c r="AA389" s="807">
        <f t="shared" si="519"/>
        <v>20</v>
      </c>
      <c r="AB389" s="807">
        <f t="shared" si="520"/>
        <v>0</v>
      </c>
      <c r="AC389" s="808">
        <f t="shared" si="521"/>
        <v>0</v>
      </c>
      <c r="AD389" s="764">
        <f t="shared" si="522"/>
        <v>20</v>
      </c>
      <c r="AE389" s="764">
        <f t="shared" si="523"/>
        <v>0</v>
      </c>
      <c r="AF389" s="605" t="s">
        <v>309</v>
      </c>
      <c r="AG389" s="605" t="s">
        <v>201</v>
      </c>
      <c r="AH389" s="605" t="s">
        <v>372</v>
      </c>
      <c r="AI389" s="646" t="str">
        <f t="shared" si="509"/>
        <v>MAFF</v>
      </c>
      <c r="AJ389" s="637"/>
    </row>
    <row r="390" spans="1:36" s="902" customFormat="1" ht="42" customHeight="1" outlineLevel="1">
      <c r="A390" s="901"/>
      <c r="B390" s="669" t="s">
        <v>1451</v>
      </c>
      <c r="C390" s="669" t="s">
        <v>41</v>
      </c>
      <c r="D390" s="701"/>
      <c r="E390" s="307" t="s">
        <v>1393</v>
      </c>
      <c r="F390" s="615"/>
      <c r="G390" s="1452" t="s">
        <v>895</v>
      </c>
      <c r="H390" s="1454" t="s">
        <v>896</v>
      </c>
      <c r="I390" s="1453">
        <v>1</v>
      </c>
      <c r="J390" s="620">
        <v>0</v>
      </c>
      <c r="K390" s="620">
        <v>4</v>
      </c>
      <c r="L390" s="620">
        <v>4</v>
      </c>
      <c r="M390" s="620">
        <v>0</v>
      </c>
      <c r="N390" s="731">
        <f t="shared" si="505"/>
        <v>8</v>
      </c>
      <c r="O390" s="622">
        <f t="shared" si="516"/>
        <v>0</v>
      </c>
      <c r="P390" s="623">
        <f t="shared" si="514"/>
        <v>4</v>
      </c>
      <c r="Q390" s="623">
        <f t="shared" si="515"/>
        <v>4</v>
      </c>
      <c r="R390" s="623">
        <f t="shared" si="515"/>
        <v>0</v>
      </c>
      <c r="S390" s="1356">
        <f t="shared" si="510"/>
        <v>8</v>
      </c>
      <c r="T390" s="763">
        <f>IFERROR(INDEX('Annex 2_Code'!I$8:I$33,MATCH('Annex 3_MAFF'!$AG390,'Annex 2_Code'!$G$8:$G$33,0)),"")</f>
        <v>0</v>
      </c>
      <c r="U390" s="763">
        <f>IFERROR(INDEX('Annex 2_Code'!J$8:J$33,MATCH('Annex 3_MAFF'!$AG390,'Annex 2_Code'!$G$8:$G$33,0)),"")</f>
        <v>0</v>
      </c>
      <c r="V390" s="763">
        <f>IFERROR(INDEX('Annex 2_Code'!K$8:K$33,MATCH('Annex 3_MAFF'!$AG390,'Annex 2_Code'!$G$8:$G$33,0)),"")</f>
        <v>1</v>
      </c>
      <c r="W390" s="763">
        <f>IFERROR(INDEX('Annex 2_Code'!L$8:L$33,MATCH('Annex 3_MAFF'!$AG390,'Annex 2_Code'!$G$8:$G$33,0)),"")</f>
        <v>0</v>
      </c>
      <c r="X390" s="763">
        <f>IFERROR(INDEX('Annex 2_Code'!M$8:M$33,MATCH('Annex 3_MAFF'!$AG390,'Annex 2_Code'!$G$8:$G$33,0)),"")</f>
        <v>0</v>
      </c>
      <c r="Y390" s="1745">
        <f t="shared" si="517"/>
        <v>0</v>
      </c>
      <c r="Z390" s="807">
        <f t="shared" si="518"/>
        <v>0</v>
      </c>
      <c r="AA390" s="807">
        <f t="shared" si="519"/>
        <v>8</v>
      </c>
      <c r="AB390" s="807">
        <f t="shared" si="520"/>
        <v>0</v>
      </c>
      <c r="AC390" s="808">
        <f t="shared" si="521"/>
        <v>0</v>
      </c>
      <c r="AD390" s="764">
        <f t="shared" si="522"/>
        <v>8</v>
      </c>
      <c r="AE390" s="764">
        <f t="shared" si="523"/>
        <v>0</v>
      </c>
      <c r="AF390" s="605" t="s">
        <v>309</v>
      </c>
      <c r="AG390" s="605" t="s">
        <v>201</v>
      </c>
      <c r="AH390" s="605" t="s">
        <v>372</v>
      </c>
      <c r="AI390" s="646" t="str">
        <f t="shared" si="509"/>
        <v>MAFF</v>
      </c>
      <c r="AJ390" s="637"/>
    </row>
    <row r="391" spans="1:36" s="902" customFormat="1" ht="42" customHeight="1" outlineLevel="1">
      <c r="A391" s="901"/>
      <c r="B391" s="669" t="s">
        <v>1451</v>
      </c>
      <c r="C391" s="669" t="s">
        <v>41</v>
      </c>
      <c r="D391" s="701"/>
      <c r="E391" s="307" t="s">
        <v>1394</v>
      </c>
      <c r="F391" s="615"/>
      <c r="G391" s="1859" t="s">
        <v>1155</v>
      </c>
      <c r="H391" s="1454" t="s">
        <v>894</v>
      </c>
      <c r="I391" s="787">
        <v>1</v>
      </c>
      <c r="J391" s="620">
        <v>4</v>
      </c>
      <c r="K391" s="620">
        <v>4</v>
      </c>
      <c r="L391" s="620">
        <v>4</v>
      </c>
      <c r="M391" s="620">
        <v>4</v>
      </c>
      <c r="N391" s="731">
        <f t="shared" si="505"/>
        <v>16</v>
      </c>
      <c r="O391" s="622">
        <f t="shared" si="516"/>
        <v>4</v>
      </c>
      <c r="P391" s="623">
        <f t="shared" si="514"/>
        <v>4</v>
      </c>
      <c r="Q391" s="623">
        <f t="shared" si="515"/>
        <v>4</v>
      </c>
      <c r="R391" s="623">
        <f t="shared" si="515"/>
        <v>4</v>
      </c>
      <c r="S391" s="1356">
        <f t="shared" si="510"/>
        <v>16</v>
      </c>
      <c r="T391" s="763">
        <f>IFERROR(INDEX('Annex 2_Code'!I$8:I$33,MATCH('Annex 3_MAFF'!$AG391,'Annex 2_Code'!$G$8:$G$33,0)),"")</f>
        <v>0</v>
      </c>
      <c r="U391" s="763">
        <f>IFERROR(INDEX('Annex 2_Code'!J$8:J$33,MATCH('Annex 3_MAFF'!$AG391,'Annex 2_Code'!$G$8:$G$33,0)),"")</f>
        <v>0</v>
      </c>
      <c r="V391" s="763">
        <f>IFERROR(INDEX('Annex 2_Code'!K$8:K$33,MATCH('Annex 3_MAFF'!$AG391,'Annex 2_Code'!$G$8:$G$33,0)),"")</f>
        <v>1</v>
      </c>
      <c r="W391" s="763">
        <f>IFERROR(INDEX('Annex 2_Code'!L$8:L$33,MATCH('Annex 3_MAFF'!$AG391,'Annex 2_Code'!$G$8:$G$33,0)),"")</f>
        <v>0</v>
      </c>
      <c r="X391" s="763">
        <f>IFERROR(INDEX('Annex 2_Code'!M$8:M$33,MATCH('Annex 3_MAFF'!$AG391,'Annex 2_Code'!$G$8:$G$33,0)),"")</f>
        <v>0</v>
      </c>
      <c r="Y391" s="1745">
        <f t="shared" si="517"/>
        <v>0</v>
      </c>
      <c r="Z391" s="807">
        <f t="shared" si="518"/>
        <v>0</v>
      </c>
      <c r="AA391" s="807">
        <f t="shared" si="519"/>
        <v>16</v>
      </c>
      <c r="AB391" s="807">
        <f t="shared" si="520"/>
        <v>0</v>
      </c>
      <c r="AC391" s="808">
        <f t="shared" si="521"/>
        <v>0</v>
      </c>
      <c r="AD391" s="764">
        <f t="shared" si="522"/>
        <v>16</v>
      </c>
      <c r="AE391" s="764">
        <f t="shared" si="523"/>
        <v>0</v>
      </c>
      <c r="AF391" s="605" t="s">
        <v>309</v>
      </c>
      <c r="AG391" s="605" t="s">
        <v>201</v>
      </c>
      <c r="AH391" s="605" t="s">
        <v>372</v>
      </c>
      <c r="AI391" s="646" t="str">
        <f t="shared" si="509"/>
        <v>MAFF</v>
      </c>
      <c r="AJ391" s="637"/>
    </row>
    <row r="392" spans="1:36" s="625" customFormat="1" ht="42" customHeight="1" outlineLevel="1">
      <c r="A392" s="725"/>
      <c r="B392" s="669" t="s">
        <v>1451</v>
      </c>
      <c r="C392" s="669" t="s">
        <v>41</v>
      </c>
      <c r="D392" s="644"/>
      <c r="E392" s="307" t="s">
        <v>1395</v>
      </c>
      <c r="F392" s="615"/>
      <c r="G392" s="1922" t="s">
        <v>1405</v>
      </c>
      <c r="H392" s="1730" t="s">
        <v>865</v>
      </c>
      <c r="I392" s="794">
        <v>3</v>
      </c>
      <c r="J392" s="620"/>
      <c r="K392" s="620">
        <v>1</v>
      </c>
      <c r="L392" s="620">
        <v>1</v>
      </c>
      <c r="M392" s="620">
        <v>1</v>
      </c>
      <c r="N392" s="731">
        <f t="shared" si="505"/>
        <v>3</v>
      </c>
      <c r="O392" s="623">
        <f t="shared" si="516"/>
        <v>0</v>
      </c>
      <c r="P392" s="623">
        <f t="shared" si="514"/>
        <v>3</v>
      </c>
      <c r="Q392" s="623">
        <f t="shared" ref="Q392:Q395" si="524">($I392*L392)</f>
        <v>3</v>
      </c>
      <c r="R392" s="623">
        <f t="shared" ref="R392:R395" si="525">($I392*M392)</f>
        <v>3</v>
      </c>
      <c r="S392" s="1356">
        <f t="shared" si="510"/>
        <v>9</v>
      </c>
      <c r="T392" s="763">
        <f>IFERROR(INDEX('Annex 2_Code'!I$8:I$33,MATCH('Annex 3_MAFF'!$AG392,'Annex 2_Code'!$G$8:$G$33,0)),"")</f>
        <v>0</v>
      </c>
      <c r="U392" s="763">
        <f>IFERROR(INDEX('Annex 2_Code'!J$8:J$33,MATCH('Annex 3_MAFF'!$AG392,'Annex 2_Code'!$G$8:$G$33,0)),"")</f>
        <v>0</v>
      </c>
      <c r="V392" s="763">
        <f>IFERROR(INDEX('Annex 2_Code'!K$8:K$33,MATCH('Annex 3_MAFF'!$AG392,'Annex 2_Code'!$G$8:$G$33,0)),"")</f>
        <v>1</v>
      </c>
      <c r="W392" s="763">
        <f>IFERROR(INDEX('Annex 2_Code'!L$8:L$33,MATCH('Annex 3_MAFF'!$AG392,'Annex 2_Code'!$G$8:$G$33,0)),"")</f>
        <v>0</v>
      </c>
      <c r="X392" s="763">
        <f>IFERROR(INDEX('Annex 2_Code'!M$8:M$33,MATCH('Annex 3_MAFF'!$AG392,'Annex 2_Code'!$G$8:$G$33,0)),"")</f>
        <v>0</v>
      </c>
      <c r="Y392" s="1745">
        <f t="shared" si="517"/>
        <v>0</v>
      </c>
      <c r="Z392" s="807">
        <f t="shared" si="518"/>
        <v>0</v>
      </c>
      <c r="AA392" s="807">
        <f t="shared" si="519"/>
        <v>9</v>
      </c>
      <c r="AB392" s="807">
        <f t="shared" si="520"/>
        <v>0</v>
      </c>
      <c r="AC392" s="808">
        <f t="shared" si="521"/>
        <v>0</v>
      </c>
      <c r="AD392" s="764">
        <f t="shared" si="522"/>
        <v>9</v>
      </c>
      <c r="AE392" s="764">
        <f t="shared" si="523"/>
        <v>0</v>
      </c>
      <c r="AF392" s="605" t="s">
        <v>309</v>
      </c>
      <c r="AG392" s="605" t="s">
        <v>201</v>
      </c>
      <c r="AH392" s="605" t="s">
        <v>372</v>
      </c>
      <c r="AI392" s="646" t="str">
        <f t="shared" si="509"/>
        <v>MAFF</v>
      </c>
      <c r="AJ392" s="637"/>
    </row>
    <row r="393" spans="1:36" s="1550" customFormat="1" ht="46.5" outlineLevel="1">
      <c r="A393" s="882"/>
      <c r="B393" s="669" t="s">
        <v>1451</v>
      </c>
      <c r="C393" s="669" t="s">
        <v>33</v>
      </c>
      <c r="D393" s="701"/>
      <c r="E393" s="307" t="s">
        <v>1396</v>
      </c>
      <c r="F393" s="615"/>
      <c r="G393" s="1922" t="s">
        <v>1397</v>
      </c>
      <c r="H393" s="1719" t="s">
        <v>971</v>
      </c>
      <c r="I393" s="794">
        <v>8</v>
      </c>
      <c r="J393" s="620">
        <v>0</v>
      </c>
      <c r="K393" s="620">
        <v>1</v>
      </c>
      <c r="L393" s="620"/>
      <c r="M393" s="620"/>
      <c r="N393" s="731">
        <f t="shared" si="505"/>
        <v>1</v>
      </c>
      <c r="O393" s="623">
        <f t="shared" si="516"/>
        <v>0</v>
      </c>
      <c r="P393" s="623">
        <f t="shared" si="514"/>
        <v>8</v>
      </c>
      <c r="Q393" s="623">
        <f t="shared" si="524"/>
        <v>0</v>
      </c>
      <c r="R393" s="623">
        <f t="shared" si="525"/>
        <v>0</v>
      </c>
      <c r="S393" s="1356">
        <f t="shared" si="510"/>
        <v>8</v>
      </c>
      <c r="T393" s="763">
        <f>IFERROR(INDEX('Annex 2_Code'!I$8:I$33,MATCH('Annex 3_MAFF'!$AG393,'Annex 2_Code'!$G$8:$G$33,0)),"")</f>
        <v>0</v>
      </c>
      <c r="U393" s="763">
        <f>IFERROR(INDEX('Annex 2_Code'!J$8:J$33,MATCH('Annex 3_MAFF'!$AG393,'Annex 2_Code'!$G$8:$G$33,0)),"")</f>
        <v>0</v>
      </c>
      <c r="V393" s="763">
        <f>IFERROR(INDEX('Annex 2_Code'!K$8:K$33,MATCH('Annex 3_MAFF'!$AG393,'Annex 2_Code'!$G$8:$G$33,0)),"")</f>
        <v>1</v>
      </c>
      <c r="W393" s="763">
        <f>IFERROR(INDEX('Annex 2_Code'!L$8:L$33,MATCH('Annex 3_MAFF'!$AG393,'Annex 2_Code'!$G$8:$G$33,0)),"")</f>
        <v>0</v>
      </c>
      <c r="X393" s="763">
        <f>IFERROR(INDEX('Annex 2_Code'!M$8:M$33,MATCH('Annex 3_MAFF'!$AG393,'Annex 2_Code'!$G$8:$G$33,0)),"")</f>
        <v>0</v>
      </c>
      <c r="Y393" s="1745">
        <f t="shared" si="517"/>
        <v>0</v>
      </c>
      <c r="Z393" s="807">
        <f t="shared" si="518"/>
        <v>0</v>
      </c>
      <c r="AA393" s="807">
        <f t="shared" si="519"/>
        <v>8</v>
      </c>
      <c r="AB393" s="807">
        <f t="shared" si="520"/>
        <v>0</v>
      </c>
      <c r="AC393" s="808">
        <f t="shared" si="521"/>
        <v>0</v>
      </c>
      <c r="AD393" s="764">
        <f t="shared" si="522"/>
        <v>8</v>
      </c>
      <c r="AE393" s="764">
        <f t="shared" si="523"/>
        <v>0</v>
      </c>
      <c r="AF393" s="605" t="s">
        <v>309</v>
      </c>
      <c r="AG393" s="605" t="s">
        <v>201</v>
      </c>
      <c r="AH393" s="605" t="s">
        <v>372</v>
      </c>
      <c r="AI393" s="646" t="str">
        <f t="shared" si="509"/>
        <v>MAFF</v>
      </c>
      <c r="AJ393" s="637"/>
    </row>
    <row r="394" spans="1:36" s="625" customFormat="1" ht="93" outlineLevel="1">
      <c r="A394" s="584"/>
      <c r="B394" s="669" t="s">
        <v>1451</v>
      </c>
      <c r="C394" s="669" t="s">
        <v>33</v>
      </c>
      <c r="D394" s="701"/>
      <c r="E394" s="307" t="s">
        <v>1398</v>
      </c>
      <c r="F394" s="615"/>
      <c r="G394" s="1922" t="s">
        <v>1399</v>
      </c>
      <c r="H394" s="1454" t="s">
        <v>1378</v>
      </c>
      <c r="I394" s="794">
        <v>8</v>
      </c>
      <c r="J394" s="620">
        <v>0</v>
      </c>
      <c r="K394" s="620">
        <v>0</v>
      </c>
      <c r="L394" s="620">
        <v>1</v>
      </c>
      <c r="M394" s="620"/>
      <c r="N394" s="731">
        <f t="shared" si="505"/>
        <v>1</v>
      </c>
      <c r="O394" s="623">
        <f t="shared" si="516"/>
        <v>0</v>
      </c>
      <c r="P394" s="623">
        <f t="shared" si="514"/>
        <v>0</v>
      </c>
      <c r="Q394" s="623">
        <f t="shared" si="524"/>
        <v>8</v>
      </c>
      <c r="R394" s="623">
        <f t="shared" si="525"/>
        <v>0</v>
      </c>
      <c r="S394" s="1356">
        <f t="shared" si="510"/>
        <v>8</v>
      </c>
      <c r="T394" s="763">
        <f>IFERROR(INDEX('Annex 2_Code'!I$8:I$33,MATCH('Annex 3_MAFF'!$AG394,'Annex 2_Code'!$G$8:$G$33,0)),"")</f>
        <v>0</v>
      </c>
      <c r="U394" s="763">
        <f>IFERROR(INDEX('Annex 2_Code'!J$8:J$33,MATCH('Annex 3_MAFF'!$AG394,'Annex 2_Code'!$G$8:$G$33,0)),"")</f>
        <v>0</v>
      </c>
      <c r="V394" s="763">
        <f>IFERROR(INDEX('Annex 2_Code'!K$8:K$33,MATCH('Annex 3_MAFF'!$AG394,'Annex 2_Code'!$G$8:$G$33,0)),"")</f>
        <v>1</v>
      </c>
      <c r="W394" s="763">
        <f>IFERROR(INDEX('Annex 2_Code'!L$8:L$33,MATCH('Annex 3_MAFF'!$AG394,'Annex 2_Code'!$G$8:$G$33,0)),"")</f>
        <v>0</v>
      </c>
      <c r="X394" s="763">
        <f>IFERROR(INDEX('Annex 2_Code'!M$8:M$33,MATCH('Annex 3_MAFF'!$AG394,'Annex 2_Code'!$G$8:$G$33,0)),"")</f>
        <v>0</v>
      </c>
      <c r="Y394" s="1745">
        <f t="shared" si="517"/>
        <v>0</v>
      </c>
      <c r="Z394" s="807">
        <f t="shared" si="518"/>
        <v>0</v>
      </c>
      <c r="AA394" s="807">
        <f t="shared" si="519"/>
        <v>8</v>
      </c>
      <c r="AB394" s="807">
        <f t="shared" si="520"/>
        <v>0</v>
      </c>
      <c r="AC394" s="808">
        <f t="shared" si="521"/>
        <v>0</v>
      </c>
      <c r="AD394" s="764">
        <f t="shared" si="522"/>
        <v>8</v>
      </c>
      <c r="AE394" s="764">
        <f t="shared" si="523"/>
        <v>0</v>
      </c>
      <c r="AF394" s="605" t="s">
        <v>309</v>
      </c>
      <c r="AG394" s="605" t="s">
        <v>201</v>
      </c>
      <c r="AH394" s="605" t="s">
        <v>372</v>
      </c>
      <c r="AI394" s="646" t="str">
        <f t="shared" si="509"/>
        <v>MAFF</v>
      </c>
      <c r="AJ394" s="637"/>
    </row>
    <row r="395" spans="1:36" s="902" customFormat="1" ht="46.5" outlineLevel="1">
      <c r="A395" s="901"/>
      <c r="B395" s="669" t="s">
        <v>1465</v>
      </c>
      <c r="C395" s="669" t="s">
        <v>41</v>
      </c>
      <c r="D395" s="701"/>
      <c r="E395" s="307" t="s">
        <v>1400</v>
      </c>
      <c r="F395" s="2212"/>
      <c r="G395" s="2329" t="s">
        <v>1401</v>
      </c>
      <c r="H395" s="1454" t="s">
        <v>1402</v>
      </c>
      <c r="I395" s="794">
        <v>19</v>
      </c>
      <c r="J395" s="620">
        <v>0</v>
      </c>
      <c r="K395" s="620">
        <v>0</v>
      </c>
      <c r="L395" s="620">
        <v>1</v>
      </c>
      <c r="M395" s="620">
        <v>0</v>
      </c>
      <c r="N395" s="731">
        <f t="shared" si="505"/>
        <v>1</v>
      </c>
      <c r="O395" s="623">
        <f t="shared" si="516"/>
        <v>0</v>
      </c>
      <c r="P395" s="623">
        <f t="shared" si="514"/>
        <v>0</v>
      </c>
      <c r="Q395" s="623">
        <f t="shared" si="524"/>
        <v>19</v>
      </c>
      <c r="R395" s="623">
        <f t="shared" si="525"/>
        <v>0</v>
      </c>
      <c r="S395" s="1356">
        <f t="shared" si="510"/>
        <v>19</v>
      </c>
      <c r="T395" s="763">
        <f>IFERROR(INDEX('Annex 2_Code'!I$8:I$33,MATCH('Annex 3_MAFF'!$AG395,'Annex 2_Code'!$G$8:$G$33,0)),"")</f>
        <v>1</v>
      </c>
      <c r="U395" s="763">
        <f>IFERROR(INDEX('Annex 2_Code'!J$8:J$33,MATCH('Annex 3_MAFF'!$AG395,'Annex 2_Code'!$G$8:$G$33,0)),"")</f>
        <v>0</v>
      </c>
      <c r="V395" s="763">
        <f>IFERROR(INDEX('Annex 2_Code'!K$8:K$33,MATCH('Annex 3_MAFF'!$AG395,'Annex 2_Code'!$G$8:$G$33,0)),"")</f>
        <v>0</v>
      </c>
      <c r="W395" s="763">
        <f>IFERROR(INDEX('Annex 2_Code'!L$8:L$33,MATCH('Annex 3_MAFF'!$AG395,'Annex 2_Code'!$G$8:$G$33,0)),"")</f>
        <v>0</v>
      </c>
      <c r="X395" s="763">
        <f>IFERROR(INDEX('Annex 2_Code'!M$8:M$33,MATCH('Annex 3_MAFF'!$AG395,'Annex 2_Code'!$G$8:$G$33,0)),"")</f>
        <v>0</v>
      </c>
      <c r="Y395" s="1745">
        <f t="shared" si="517"/>
        <v>19</v>
      </c>
      <c r="Z395" s="807">
        <f t="shared" si="518"/>
        <v>0</v>
      </c>
      <c r="AA395" s="807">
        <f t="shared" si="519"/>
        <v>0</v>
      </c>
      <c r="AB395" s="807">
        <f t="shared" si="520"/>
        <v>0</v>
      </c>
      <c r="AC395" s="808">
        <f t="shared" si="521"/>
        <v>0</v>
      </c>
      <c r="AD395" s="764">
        <f t="shared" si="522"/>
        <v>19</v>
      </c>
      <c r="AE395" s="764">
        <f t="shared" si="523"/>
        <v>0</v>
      </c>
      <c r="AF395" s="605" t="s">
        <v>309</v>
      </c>
      <c r="AG395" s="605" t="s">
        <v>227</v>
      </c>
      <c r="AH395" s="605" t="s">
        <v>372</v>
      </c>
      <c r="AI395" s="646" t="str">
        <f t="shared" si="509"/>
        <v>MAFF</v>
      </c>
      <c r="AJ395" s="637"/>
    </row>
    <row r="396" spans="1:36" s="902" customFormat="1" ht="23.25" outlineLevel="1">
      <c r="A396" s="901"/>
      <c r="B396" s="1391"/>
      <c r="C396" s="1391"/>
      <c r="D396" s="730"/>
      <c r="E396" s="591" t="s">
        <v>1489</v>
      </c>
      <c r="F396" s="592"/>
      <c r="G396" s="734"/>
      <c r="H396" s="805"/>
      <c r="I396" s="2180"/>
      <c r="J396" s="594">
        <f t="shared" ref="J396:R396" si="526">SUM(J375:J395)</f>
        <v>27</v>
      </c>
      <c r="K396" s="595">
        <f t="shared" si="526"/>
        <v>37</v>
      </c>
      <c r="L396" s="595">
        <f t="shared" si="526"/>
        <v>78</v>
      </c>
      <c r="M396" s="595">
        <f t="shared" si="526"/>
        <v>64</v>
      </c>
      <c r="N396" s="758">
        <f t="shared" si="526"/>
        <v>219</v>
      </c>
      <c r="O396" s="1451">
        <f t="shared" si="526"/>
        <v>33</v>
      </c>
      <c r="P396" s="1450">
        <f t="shared" si="526"/>
        <v>72</v>
      </c>
      <c r="Q396" s="1450">
        <f t="shared" si="526"/>
        <v>147</v>
      </c>
      <c r="R396" s="1450">
        <f t="shared" si="526"/>
        <v>94.5</v>
      </c>
      <c r="S396" s="1409">
        <f>SUM(S375:S395)</f>
        <v>346.5</v>
      </c>
      <c r="T396" s="1379"/>
      <c r="U396" s="1379"/>
      <c r="V396" s="1379"/>
      <c r="W396" s="1379"/>
      <c r="X396" s="1379"/>
      <c r="Y396" s="1392"/>
      <c r="Z396" s="1359"/>
      <c r="AA396" s="1359"/>
      <c r="AB396" s="1359"/>
      <c r="AC396" s="1360"/>
      <c r="AD396" s="1361"/>
      <c r="AE396" s="1361"/>
      <c r="AF396" s="1362"/>
      <c r="AG396" s="605"/>
      <c r="AH396" s="1376"/>
      <c r="AI396" s="1383"/>
    </row>
    <row r="397" spans="1:36" s="902" customFormat="1" ht="60.75" customHeight="1" outlineLevel="1">
      <c r="A397" s="1357"/>
      <c r="B397" s="1391"/>
      <c r="C397" s="1391"/>
      <c r="D397" s="1597"/>
      <c r="E397" s="1774" t="s">
        <v>909</v>
      </c>
      <c r="F397" s="1774"/>
      <c r="G397" s="1772" t="s">
        <v>1100</v>
      </c>
      <c r="H397" s="1455"/>
      <c r="I397" s="1352"/>
      <c r="J397" s="1353"/>
      <c r="K397" s="1353"/>
      <c r="L397" s="1353"/>
      <c r="M397" s="1353"/>
      <c r="N397" s="621"/>
      <c r="O397" s="1382"/>
      <c r="P397" s="1382"/>
      <c r="Q397" s="1382"/>
      <c r="R397" s="1382"/>
      <c r="S397" s="1695">
        <f>SUM(O396:R396)</f>
        <v>346.5</v>
      </c>
      <c r="T397" s="1379"/>
      <c r="U397" s="1379"/>
      <c r="V397" s="1379"/>
      <c r="W397" s="1379"/>
      <c r="X397" s="1379"/>
      <c r="Y397" s="1392"/>
      <c r="Z397" s="1359"/>
      <c r="AA397" s="1359"/>
      <c r="AB397" s="1359"/>
      <c r="AC397" s="1360"/>
      <c r="AD397" s="1361"/>
      <c r="AE397" s="1361"/>
      <c r="AF397" s="1362"/>
      <c r="AG397" s="605"/>
      <c r="AH397" s="1362"/>
      <c r="AI397" s="1383"/>
    </row>
    <row r="398" spans="1:36" s="1570" customFormat="1" ht="42" customHeight="1" outlineLevel="1">
      <c r="A398" s="1569"/>
      <c r="B398" s="669" t="s">
        <v>1451</v>
      </c>
      <c r="C398" s="669" t="s">
        <v>41</v>
      </c>
      <c r="D398" s="701"/>
      <c r="E398" s="307" t="s">
        <v>910</v>
      </c>
      <c r="F398" s="2212"/>
      <c r="G398" s="2329" t="s">
        <v>1091</v>
      </c>
      <c r="H398" s="1454" t="s">
        <v>905</v>
      </c>
      <c r="I398" s="794">
        <v>0.8</v>
      </c>
      <c r="J398" s="620">
        <v>15</v>
      </c>
      <c r="K398" s="620">
        <v>15</v>
      </c>
      <c r="L398" s="620">
        <v>15</v>
      </c>
      <c r="M398" s="620">
        <v>0</v>
      </c>
      <c r="N398" s="731">
        <f>SUM(J398:M398)</f>
        <v>45</v>
      </c>
      <c r="O398" s="623">
        <f>($I398*J398)</f>
        <v>12</v>
      </c>
      <c r="P398" s="623">
        <f t="shared" ref="P398:R401" si="527">($I398*K398)</f>
        <v>12</v>
      </c>
      <c r="Q398" s="623">
        <f t="shared" si="527"/>
        <v>12</v>
      </c>
      <c r="R398" s="623">
        <f t="shared" si="527"/>
        <v>0</v>
      </c>
      <c r="S398" s="1356">
        <f>SUM(O398:R398)</f>
        <v>36</v>
      </c>
      <c r="T398" s="763">
        <f>IFERROR(INDEX('Annex 2_Code'!I$8:I$33,MATCH('Annex 3_MAFF'!$AG398,'Annex 2_Code'!$G$8:$G$33,0)),"")</f>
        <v>0</v>
      </c>
      <c r="U398" s="763">
        <f>IFERROR(INDEX('Annex 2_Code'!J$8:J$33,MATCH('Annex 3_MAFF'!$AG398,'Annex 2_Code'!$G$8:$G$33,0)),"")</f>
        <v>0</v>
      </c>
      <c r="V398" s="763">
        <f>IFERROR(INDEX('Annex 2_Code'!K$8:K$33,MATCH('Annex 3_MAFF'!$AG398,'Annex 2_Code'!$G$8:$G$33,0)),"")</f>
        <v>1</v>
      </c>
      <c r="W398" s="763">
        <f>IFERROR(INDEX('Annex 2_Code'!L$8:L$33,MATCH('Annex 3_MAFF'!$AG398,'Annex 2_Code'!$G$8:$G$33,0)),"")</f>
        <v>0</v>
      </c>
      <c r="X398" s="763">
        <f>IFERROR(INDEX('Annex 2_Code'!M$8:M$33,MATCH('Annex 3_MAFF'!$AG398,'Annex 2_Code'!$G$8:$G$33,0)),"")</f>
        <v>0</v>
      </c>
      <c r="Y398" s="1745">
        <f t="shared" ref="Y398:AC401" si="528">IFERROR($S398*T398,"")</f>
        <v>0</v>
      </c>
      <c r="Z398" s="807">
        <f t="shared" si="528"/>
        <v>0</v>
      </c>
      <c r="AA398" s="807">
        <f t="shared" si="528"/>
        <v>36</v>
      </c>
      <c r="AB398" s="807">
        <f t="shared" si="528"/>
        <v>0</v>
      </c>
      <c r="AC398" s="808">
        <f t="shared" si="528"/>
        <v>0</v>
      </c>
      <c r="AD398" s="764">
        <f>SUM(Y398:AC398)</f>
        <v>36</v>
      </c>
      <c r="AE398" s="764">
        <f>AD398-S398</f>
        <v>0</v>
      </c>
      <c r="AF398" s="605" t="s">
        <v>309</v>
      </c>
      <c r="AG398" s="605" t="s">
        <v>201</v>
      </c>
      <c r="AH398" s="605" t="s">
        <v>372</v>
      </c>
      <c r="AI398" s="646" t="str">
        <f>IF(ISNUMBER(FIND("-",AH398,1))=FALSE,LEFT(AH398,LEN(AH398)),LEFT(AH398,(FIND("-",AH398,1))-1))</f>
        <v>MAFF</v>
      </c>
      <c r="AJ398" s="637"/>
    </row>
    <row r="399" spans="1:36" s="1570" customFormat="1" ht="42" customHeight="1" outlineLevel="1">
      <c r="A399" s="1569"/>
      <c r="B399" s="669" t="s">
        <v>1451</v>
      </c>
      <c r="C399" s="669" t="s">
        <v>41</v>
      </c>
      <c r="D399" s="701"/>
      <c r="E399" s="307" t="s">
        <v>911</v>
      </c>
      <c r="F399" s="2212"/>
      <c r="G399" s="2329" t="s">
        <v>1092</v>
      </c>
      <c r="H399" s="1454" t="s">
        <v>905</v>
      </c>
      <c r="I399" s="794">
        <v>0.5</v>
      </c>
      <c r="J399" s="620">
        <v>15</v>
      </c>
      <c r="K399" s="620">
        <v>15</v>
      </c>
      <c r="L399" s="620">
        <v>15</v>
      </c>
      <c r="M399" s="620">
        <v>0</v>
      </c>
      <c r="N399" s="731">
        <f>SUM(J399:M399)</f>
        <v>45</v>
      </c>
      <c r="O399" s="623">
        <f>($I399*J399)</f>
        <v>7.5</v>
      </c>
      <c r="P399" s="623">
        <f t="shared" si="527"/>
        <v>7.5</v>
      </c>
      <c r="Q399" s="623">
        <f t="shared" si="527"/>
        <v>7.5</v>
      </c>
      <c r="R399" s="623">
        <f t="shared" si="527"/>
        <v>0</v>
      </c>
      <c r="S399" s="1356">
        <f>SUM(O399:R399)</f>
        <v>22.5</v>
      </c>
      <c r="T399" s="763">
        <f>IFERROR(INDEX('Annex 2_Code'!I$8:I$33,MATCH('Annex 3_MAFF'!$AG399,'Annex 2_Code'!$G$8:$G$33,0)),"")</f>
        <v>0</v>
      </c>
      <c r="U399" s="763">
        <f>IFERROR(INDEX('Annex 2_Code'!J$8:J$33,MATCH('Annex 3_MAFF'!$AG399,'Annex 2_Code'!$G$8:$G$33,0)),"")</f>
        <v>0</v>
      </c>
      <c r="V399" s="763">
        <f>IFERROR(INDEX('Annex 2_Code'!K$8:K$33,MATCH('Annex 3_MAFF'!$AG399,'Annex 2_Code'!$G$8:$G$33,0)),"")</f>
        <v>1</v>
      </c>
      <c r="W399" s="763">
        <f>IFERROR(INDEX('Annex 2_Code'!L$8:L$33,MATCH('Annex 3_MAFF'!$AG399,'Annex 2_Code'!$G$8:$G$33,0)),"")</f>
        <v>0</v>
      </c>
      <c r="X399" s="763">
        <f>IFERROR(INDEX('Annex 2_Code'!M$8:M$33,MATCH('Annex 3_MAFF'!$AG399,'Annex 2_Code'!$G$8:$G$33,0)),"")</f>
        <v>0</v>
      </c>
      <c r="Y399" s="1745">
        <f t="shared" si="528"/>
        <v>0</v>
      </c>
      <c r="Z399" s="807">
        <f t="shared" si="528"/>
        <v>0</v>
      </c>
      <c r="AA399" s="807">
        <f t="shared" si="528"/>
        <v>22.5</v>
      </c>
      <c r="AB399" s="807">
        <f t="shared" si="528"/>
        <v>0</v>
      </c>
      <c r="AC399" s="808">
        <f t="shared" si="528"/>
        <v>0</v>
      </c>
      <c r="AD399" s="764">
        <f>SUM(Y399:AC399)</f>
        <v>22.5</v>
      </c>
      <c r="AE399" s="764">
        <f>AD399-S399</f>
        <v>0</v>
      </c>
      <c r="AF399" s="605" t="s">
        <v>309</v>
      </c>
      <c r="AG399" s="605" t="s">
        <v>201</v>
      </c>
      <c r="AH399" s="605" t="s">
        <v>372</v>
      </c>
      <c r="AI399" s="646" t="str">
        <f>IF(ISNUMBER(FIND("-",AH399,1))=FALSE,LEFT(AH399,LEN(AH399)),LEFT(AH399,(FIND("-",AH399,1))-1))</f>
        <v>MAFF</v>
      </c>
      <c r="AJ399" s="637"/>
    </row>
    <row r="400" spans="1:36" s="1570" customFormat="1" ht="42" customHeight="1" outlineLevel="1">
      <c r="A400" s="1569"/>
      <c r="B400" s="669" t="s">
        <v>1451</v>
      </c>
      <c r="C400" s="669" t="s">
        <v>41</v>
      </c>
      <c r="D400" s="701"/>
      <c r="E400" s="307" t="s">
        <v>912</v>
      </c>
      <c r="F400" s="2212"/>
      <c r="G400" s="2329" t="s">
        <v>1093</v>
      </c>
      <c r="H400" s="1454" t="s">
        <v>905</v>
      </c>
      <c r="I400" s="794">
        <v>0.8</v>
      </c>
      <c r="J400" s="620">
        <v>15</v>
      </c>
      <c r="K400" s="620">
        <v>15</v>
      </c>
      <c r="L400" s="620">
        <v>15</v>
      </c>
      <c r="M400" s="620">
        <v>0</v>
      </c>
      <c r="N400" s="731">
        <f>SUM(J400:M400)</f>
        <v>45</v>
      </c>
      <c r="O400" s="623">
        <f>($I400*J400)</f>
        <v>12</v>
      </c>
      <c r="P400" s="623">
        <f t="shared" si="527"/>
        <v>12</v>
      </c>
      <c r="Q400" s="623">
        <f t="shared" si="527"/>
        <v>12</v>
      </c>
      <c r="R400" s="623">
        <f t="shared" si="527"/>
        <v>0</v>
      </c>
      <c r="S400" s="1356">
        <f>SUM(O400:R400)</f>
        <v>36</v>
      </c>
      <c r="T400" s="763">
        <f>IFERROR(INDEX('Annex 2_Code'!I$8:I$33,MATCH('Annex 3_MAFF'!$AG400,'Annex 2_Code'!$G$8:$G$33,0)),"")</f>
        <v>0</v>
      </c>
      <c r="U400" s="763">
        <f>IFERROR(INDEX('Annex 2_Code'!J$8:J$33,MATCH('Annex 3_MAFF'!$AG400,'Annex 2_Code'!$G$8:$G$33,0)),"")</f>
        <v>0</v>
      </c>
      <c r="V400" s="763">
        <f>IFERROR(INDEX('Annex 2_Code'!K$8:K$33,MATCH('Annex 3_MAFF'!$AG400,'Annex 2_Code'!$G$8:$G$33,0)),"")</f>
        <v>1</v>
      </c>
      <c r="W400" s="763">
        <f>IFERROR(INDEX('Annex 2_Code'!L$8:L$33,MATCH('Annex 3_MAFF'!$AG400,'Annex 2_Code'!$G$8:$G$33,0)),"")</f>
        <v>0</v>
      </c>
      <c r="X400" s="763">
        <f>IFERROR(INDEX('Annex 2_Code'!M$8:M$33,MATCH('Annex 3_MAFF'!$AG400,'Annex 2_Code'!$G$8:$G$33,0)),"")</f>
        <v>0</v>
      </c>
      <c r="Y400" s="1745">
        <f t="shared" si="528"/>
        <v>0</v>
      </c>
      <c r="Z400" s="807">
        <f t="shared" si="528"/>
        <v>0</v>
      </c>
      <c r="AA400" s="807">
        <f t="shared" si="528"/>
        <v>36</v>
      </c>
      <c r="AB400" s="807">
        <f t="shared" si="528"/>
        <v>0</v>
      </c>
      <c r="AC400" s="808">
        <f t="shared" si="528"/>
        <v>0</v>
      </c>
      <c r="AD400" s="764">
        <f>SUM(Y400:AC400)</f>
        <v>36</v>
      </c>
      <c r="AE400" s="764">
        <f>AD400-S400</f>
        <v>0</v>
      </c>
      <c r="AF400" s="605" t="s">
        <v>309</v>
      </c>
      <c r="AG400" s="605" t="s">
        <v>201</v>
      </c>
      <c r="AH400" s="605" t="s">
        <v>372</v>
      </c>
      <c r="AI400" s="646" t="str">
        <f>IF(ISNUMBER(FIND("-",AH400,1))=FALSE,LEFT(AH400,LEN(AH400)),LEFT(AH400,(FIND("-",AH400,1))-1))</f>
        <v>MAFF</v>
      </c>
      <c r="AJ400" s="637"/>
    </row>
    <row r="401" spans="1:39" s="902" customFormat="1" ht="42" customHeight="1" outlineLevel="1">
      <c r="A401" s="1357"/>
      <c r="B401" s="669" t="s">
        <v>1451</v>
      </c>
      <c r="C401" s="669" t="s">
        <v>41</v>
      </c>
      <c r="D401" s="701"/>
      <c r="E401" s="307" t="s">
        <v>913</v>
      </c>
      <c r="F401" s="2212"/>
      <c r="G401" s="2330" t="s">
        <v>1403</v>
      </c>
      <c r="H401" s="1730" t="s">
        <v>1404</v>
      </c>
      <c r="I401" s="727">
        <v>2.6</v>
      </c>
      <c r="J401" s="620">
        <v>2</v>
      </c>
      <c r="K401" s="620">
        <v>2</v>
      </c>
      <c r="L401" s="620">
        <v>0</v>
      </c>
      <c r="M401" s="620">
        <v>0</v>
      </c>
      <c r="N401" s="731">
        <f>SUM(J401:M401)</f>
        <v>4</v>
      </c>
      <c r="O401" s="623">
        <f>($I401*J401)</f>
        <v>5.2</v>
      </c>
      <c r="P401" s="623">
        <f>($I401*K401)</f>
        <v>5.2</v>
      </c>
      <c r="Q401" s="623">
        <f t="shared" si="527"/>
        <v>0</v>
      </c>
      <c r="R401" s="623">
        <f t="shared" si="527"/>
        <v>0</v>
      </c>
      <c r="S401" s="1356">
        <f>SUM(O401:R401)</f>
        <v>10.4</v>
      </c>
      <c r="T401" s="763">
        <f>IFERROR(INDEX('Annex 2_Code'!I$8:I$33,MATCH('Annex 3_MAFF'!$AG401,'Annex 2_Code'!$G$8:$G$33,0)),"")</f>
        <v>0</v>
      </c>
      <c r="U401" s="763">
        <f>IFERROR(INDEX('Annex 2_Code'!J$8:J$33,MATCH('Annex 3_MAFF'!$AG401,'Annex 2_Code'!$G$8:$G$33,0)),"")</f>
        <v>0</v>
      </c>
      <c r="V401" s="763">
        <f>IFERROR(INDEX('Annex 2_Code'!K$8:K$33,MATCH('Annex 3_MAFF'!$AG401,'Annex 2_Code'!$G$8:$G$33,0)),"")</f>
        <v>1</v>
      </c>
      <c r="W401" s="763">
        <f>IFERROR(INDEX('Annex 2_Code'!L$8:L$33,MATCH('Annex 3_MAFF'!$AG401,'Annex 2_Code'!$G$8:$G$33,0)),"")</f>
        <v>0</v>
      </c>
      <c r="X401" s="763">
        <f>IFERROR(INDEX('Annex 2_Code'!M$8:M$33,MATCH('Annex 3_MAFF'!$AG401,'Annex 2_Code'!$G$8:$G$33,0)),"")</f>
        <v>0</v>
      </c>
      <c r="Y401" s="1745">
        <f t="shared" si="528"/>
        <v>0</v>
      </c>
      <c r="Z401" s="807">
        <f t="shared" si="528"/>
        <v>0</v>
      </c>
      <c r="AA401" s="807">
        <f t="shared" si="528"/>
        <v>10.4</v>
      </c>
      <c r="AB401" s="807">
        <f t="shared" si="528"/>
        <v>0</v>
      </c>
      <c r="AC401" s="808">
        <f t="shared" si="528"/>
        <v>0</v>
      </c>
      <c r="AD401" s="764">
        <f>SUM(Y401:AC401)</f>
        <v>10.4</v>
      </c>
      <c r="AE401" s="764">
        <f>AD401-S401</f>
        <v>0</v>
      </c>
      <c r="AF401" s="605" t="s">
        <v>309</v>
      </c>
      <c r="AG401" s="605" t="s">
        <v>201</v>
      </c>
      <c r="AH401" s="605" t="s">
        <v>372</v>
      </c>
      <c r="AI401" s="646" t="str">
        <f>IF(ISNUMBER(FIND("-",AH401,1))=FALSE,LEFT(AH401,LEN(AH401)),LEFT(AH401,(FIND("-",AH401,1))-1))</f>
        <v>MAFF</v>
      </c>
      <c r="AJ401" s="637"/>
    </row>
    <row r="402" spans="1:39" s="625" customFormat="1" ht="23.25">
      <c r="A402" s="587"/>
      <c r="B402" s="659" t="s">
        <v>54</v>
      </c>
      <c r="C402" s="669"/>
      <c r="D402" s="730"/>
      <c r="E402" s="591" t="s">
        <v>1489</v>
      </c>
      <c r="F402" s="592"/>
      <c r="G402" s="734"/>
      <c r="H402" s="805"/>
      <c r="I402" s="2180"/>
      <c r="J402" s="594">
        <f>SUM(J398:J401)</f>
        <v>47</v>
      </c>
      <c r="K402" s="595">
        <f t="shared" ref="K402:R402" si="529">SUM(K398:K401)</f>
        <v>47</v>
      </c>
      <c r="L402" s="595">
        <f t="shared" si="529"/>
        <v>45</v>
      </c>
      <c r="M402" s="595">
        <f t="shared" si="529"/>
        <v>0</v>
      </c>
      <c r="N402" s="758">
        <f t="shared" si="529"/>
        <v>139</v>
      </c>
      <c r="O402" s="842">
        <f t="shared" si="529"/>
        <v>36.700000000000003</v>
      </c>
      <c r="P402" s="843">
        <f t="shared" si="529"/>
        <v>36.700000000000003</v>
      </c>
      <c r="Q402" s="843">
        <f t="shared" si="529"/>
        <v>31.5</v>
      </c>
      <c r="R402" s="843">
        <f t="shared" si="529"/>
        <v>0</v>
      </c>
      <c r="S402" s="1430">
        <f>SUM(S398:S401)</f>
        <v>104.9</v>
      </c>
      <c r="T402" s="599"/>
      <c r="U402" s="599"/>
      <c r="V402" s="599"/>
      <c r="W402" s="599"/>
      <c r="X402" s="599"/>
      <c r="Y402" s="647"/>
      <c r="Z402" s="600"/>
      <c r="AA402" s="600">
        <f>IFERROR($S402*V402,"")</f>
        <v>0</v>
      </c>
      <c r="AB402" s="600"/>
      <c r="AC402" s="601"/>
      <c r="AD402" s="602"/>
      <c r="AE402" s="602"/>
      <c r="AF402" s="605"/>
      <c r="AG402" s="605"/>
      <c r="AH402" s="605"/>
      <c r="AI402" s="624"/>
      <c r="AK402" s="740">
        <f>SUM(S374:S387)</f>
        <v>524</v>
      </c>
      <c r="AL402" s="740" t="s">
        <v>414</v>
      </c>
      <c r="AM402" s="742"/>
    </row>
    <row r="403" spans="1:39" s="625" customFormat="1" ht="69.75">
      <c r="A403" s="587"/>
      <c r="B403" s="659"/>
      <c r="C403" s="669"/>
      <c r="D403" s="2185"/>
      <c r="E403" s="1789" t="s">
        <v>1476</v>
      </c>
      <c r="F403" s="1789"/>
      <c r="G403" s="2186" t="s">
        <v>1475</v>
      </c>
      <c r="H403" s="2187"/>
      <c r="I403" s="2188"/>
      <c r="J403" s="2189"/>
      <c r="K403" s="2190"/>
      <c r="L403" s="2190"/>
      <c r="M403" s="2190"/>
      <c r="N403" s="2191"/>
      <c r="O403" s="739"/>
      <c r="P403" s="739"/>
      <c r="Q403" s="739"/>
      <c r="R403" s="739"/>
      <c r="S403" s="2192"/>
      <c r="T403" s="599"/>
      <c r="U403" s="599"/>
      <c r="V403" s="599"/>
      <c r="W403" s="599"/>
      <c r="X403" s="599"/>
      <c r="Y403" s="647"/>
      <c r="Z403" s="600"/>
      <c r="AA403" s="600"/>
      <c r="AB403" s="600"/>
      <c r="AC403" s="601"/>
      <c r="AD403" s="602"/>
      <c r="AE403" s="602"/>
      <c r="AF403" s="605"/>
      <c r="AG403" s="605"/>
      <c r="AH403" s="605"/>
      <c r="AI403" s="624"/>
      <c r="AK403" s="824"/>
      <c r="AL403" s="824"/>
      <c r="AM403" s="607"/>
    </row>
    <row r="404" spans="1:39" s="625" customFormat="1" ht="42.6" customHeight="1">
      <c r="A404" s="587"/>
      <c r="B404" s="669" t="s">
        <v>1451</v>
      </c>
      <c r="C404" s="669" t="s">
        <v>41</v>
      </c>
      <c r="D404" s="701"/>
      <c r="E404" s="2194" t="s">
        <v>1477</v>
      </c>
      <c r="F404" s="2193"/>
      <c r="G404" s="2195" t="s">
        <v>1479</v>
      </c>
      <c r="H404" s="1921" t="s">
        <v>1378</v>
      </c>
      <c r="I404" s="1725">
        <v>4.5</v>
      </c>
      <c r="J404" s="620">
        <v>2</v>
      </c>
      <c r="K404" s="655">
        <v>0</v>
      </c>
      <c r="L404" s="620">
        <v>0</v>
      </c>
      <c r="M404" s="620">
        <v>0</v>
      </c>
      <c r="N404" s="731">
        <f>SUM(J404:M404)</f>
        <v>2</v>
      </c>
      <c r="O404" s="623">
        <f>($I404*J404)</f>
        <v>9</v>
      </c>
      <c r="P404" s="623">
        <f t="shared" ref="P404" si="530">($I404*K404)</f>
        <v>0</v>
      </c>
      <c r="Q404" s="623">
        <f t="shared" ref="Q404" si="531">($I404*L404)</f>
        <v>0</v>
      </c>
      <c r="R404" s="623">
        <f t="shared" ref="R404" si="532">($I404*M404)</f>
        <v>0</v>
      </c>
      <c r="S404" s="2192">
        <f>SUM(O404:R404)</f>
        <v>9</v>
      </c>
      <c r="T404" s="763">
        <f>IFERROR(INDEX('Annex 2_Code'!I$8:I$33,MATCH('Annex 3_MAFF'!$AG404,'Annex 2_Code'!$G$8:$G$33,0)),"")</f>
        <v>0</v>
      </c>
      <c r="U404" s="763">
        <f>IFERROR(INDEX('Annex 2_Code'!J$8:J$33,MATCH('Annex 3_MAFF'!$AG404,'Annex 2_Code'!$G$8:$G$33,0)),"")</f>
        <v>0</v>
      </c>
      <c r="V404" s="763">
        <f>IFERROR(INDEX('Annex 2_Code'!K$8:K$33,MATCH('Annex 3_MAFF'!$AG404,'Annex 2_Code'!$G$8:$G$33,0)),"")</f>
        <v>1</v>
      </c>
      <c r="W404" s="763">
        <f>IFERROR(INDEX('Annex 2_Code'!L$8:L$33,MATCH('Annex 3_MAFF'!$AG404,'Annex 2_Code'!$G$8:$G$33,0)),"")</f>
        <v>0</v>
      </c>
      <c r="X404" s="763">
        <f>IFERROR(INDEX('Annex 2_Code'!M$8:M$33,MATCH('Annex 3_MAFF'!$AG404,'Annex 2_Code'!$G$8:$G$33,0)),"")</f>
        <v>0</v>
      </c>
      <c r="Y404" s="1745">
        <f t="shared" ref="Y404" si="533">IFERROR($S404*T404,"")</f>
        <v>0</v>
      </c>
      <c r="Z404" s="807">
        <f t="shared" ref="Z404" si="534">IFERROR($S404*U404,"")</f>
        <v>0</v>
      </c>
      <c r="AA404" s="807">
        <f t="shared" ref="AA404" si="535">IFERROR($S404*V404,"")</f>
        <v>9</v>
      </c>
      <c r="AB404" s="807">
        <f t="shared" ref="AB404" si="536">IFERROR($S404*W404,"")</f>
        <v>0</v>
      </c>
      <c r="AC404" s="808">
        <f t="shared" ref="AC404" si="537">IFERROR($S404*X404,"")</f>
        <v>0</v>
      </c>
      <c r="AD404" s="764"/>
      <c r="AE404" s="764"/>
      <c r="AF404" s="605" t="s">
        <v>309</v>
      </c>
      <c r="AG404" s="605" t="s">
        <v>201</v>
      </c>
      <c r="AH404" s="605" t="s">
        <v>372</v>
      </c>
      <c r="AI404" s="646" t="str">
        <f>IF(ISNUMBER(FIND("-",AH404,1))=FALSE,LEFT(AH404,LEN(AH404)),LEFT(AH404,(FIND("-",AH404,1))-1))</f>
        <v>MAFF</v>
      </c>
      <c r="AK404" s="824"/>
      <c r="AL404" s="824"/>
      <c r="AM404" s="607"/>
    </row>
    <row r="405" spans="1:39" s="625" customFormat="1" ht="46.5">
      <c r="A405" s="587"/>
      <c r="B405" s="669" t="s">
        <v>1451</v>
      </c>
      <c r="C405" s="669" t="s">
        <v>41</v>
      </c>
      <c r="D405" s="701"/>
      <c r="E405" s="2194" t="s">
        <v>1478</v>
      </c>
      <c r="F405" s="2193"/>
      <c r="G405" s="2195" t="s">
        <v>1480</v>
      </c>
      <c r="H405" s="1454" t="s">
        <v>905</v>
      </c>
      <c r="I405" s="1725">
        <v>2</v>
      </c>
      <c r="J405" s="620">
        <v>27</v>
      </c>
      <c r="K405" s="620">
        <v>0</v>
      </c>
      <c r="L405" s="620">
        <v>0</v>
      </c>
      <c r="M405" s="620">
        <v>0</v>
      </c>
      <c r="N405" s="731">
        <f t="shared" ref="N405:N408" si="538">SUM(J405:M405)</f>
        <v>27</v>
      </c>
      <c r="O405" s="623">
        <f t="shared" ref="O405:O406" si="539">($I405*J405)</f>
        <v>54</v>
      </c>
      <c r="P405" s="623">
        <f t="shared" ref="P405:P408" si="540">($I405*K405)</f>
        <v>0</v>
      </c>
      <c r="Q405" s="623">
        <f t="shared" ref="Q405:Q408" si="541">($I405*L405)</f>
        <v>0</v>
      </c>
      <c r="R405" s="623">
        <f t="shared" ref="R405:R408" si="542">($I405*M405)</f>
        <v>0</v>
      </c>
      <c r="S405" s="2192">
        <f t="shared" ref="S405:S408" si="543">SUM(O405:R405)</f>
        <v>54</v>
      </c>
      <c r="T405" s="763">
        <f>IFERROR(INDEX('Annex 2_Code'!I$8:I$33,MATCH('Annex 3_MAFF'!$AG405,'Annex 2_Code'!$G$8:$G$33,0)),"")</f>
        <v>0</v>
      </c>
      <c r="U405" s="763">
        <f>IFERROR(INDEX('Annex 2_Code'!J$8:J$33,MATCH('Annex 3_MAFF'!$AG405,'Annex 2_Code'!$G$8:$G$33,0)),"")</f>
        <v>0</v>
      </c>
      <c r="V405" s="763">
        <f>IFERROR(INDEX('Annex 2_Code'!K$8:K$33,MATCH('Annex 3_MAFF'!$AG405,'Annex 2_Code'!$G$8:$G$33,0)),"")</f>
        <v>1</v>
      </c>
      <c r="W405" s="763">
        <f>IFERROR(INDEX('Annex 2_Code'!L$8:L$33,MATCH('Annex 3_MAFF'!$AG405,'Annex 2_Code'!$G$8:$G$33,0)),"")</f>
        <v>0</v>
      </c>
      <c r="X405" s="763">
        <f>IFERROR(INDEX('Annex 2_Code'!M$8:M$33,MATCH('Annex 3_MAFF'!$AG405,'Annex 2_Code'!$G$8:$G$33,0)),"")</f>
        <v>0</v>
      </c>
      <c r="Y405" s="1745">
        <f t="shared" ref="Y405:Y408" si="544">IFERROR($S405*T405,"")</f>
        <v>0</v>
      </c>
      <c r="Z405" s="807">
        <f t="shared" ref="Z405:Z408" si="545">IFERROR($S405*U405,"")</f>
        <v>0</v>
      </c>
      <c r="AA405" s="807">
        <f t="shared" ref="AA405:AA408" si="546">IFERROR($S405*V405,"")</f>
        <v>54</v>
      </c>
      <c r="AB405" s="807">
        <f t="shared" ref="AB405:AB408" si="547">IFERROR($S405*W405,"")</f>
        <v>0</v>
      </c>
      <c r="AC405" s="808">
        <f t="shared" ref="AC405:AC408" si="548">IFERROR($S405*X405,"")</f>
        <v>0</v>
      </c>
      <c r="AD405" s="764"/>
      <c r="AE405" s="764"/>
      <c r="AF405" s="605" t="s">
        <v>309</v>
      </c>
      <c r="AG405" s="605" t="s">
        <v>201</v>
      </c>
      <c r="AH405" s="605" t="s">
        <v>372</v>
      </c>
      <c r="AI405" s="646" t="str">
        <f t="shared" ref="AI405:AI408" si="549">IF(ISNUMBER(FIND("-",AH405,1))=FALSE,LEFT(AH405,LEN(AH405)),LEFT(AH405,(FIND("-",AH405,1))-1))</f>
        <v>MAFF</v>
      </c>
      <c r="AK405" s="824"/>
      <c r="AL405" s="824"/>
      <c r="AM405" s="607"/>
    </row>
    <row r="406" spans="1:39" s="625" customFormat="1" ht="93">
      <c r="A406" s="587"/>
      <c r="B406" s="669" t="s">
        <v>1451</v>
      </c>
      <c r="C406" s="669" t="s">
        <v>41</v>
      </c>
      <c r="D406" s="701"/>
      <c r="E406" s="2194" t="s">
        <v>1482</v>
      </c>
      <c r="F406" s="2193"/>
      <c r="G406" s="2195" t="s">
        <v>1481</v>
      </c>
      <c r="H406" s="1454" t="s">
        <v>837</v>
      </c>
      <c r="I406" s="1725">
        <v>5</v>
      </c>
      <c r="J406" s="620">
        <v>0</v>
      </c>
      <c r="K406" s="620">
        <v>27</v>
      </c>
      <c r="L406" s="620">
        <v>0</v>
      </c>
      <c r="M406" s="620">
        <v>0</v>
      </c>
      <c r="N406" s="731">
        <f t="shared" si="538"/>
        <v>27</v>
      </c>
      <c r="O406" s="623">
        <f t="shared" si="539"/>
        <v>0</v>
      </c>
      <c r="P406" s="623">
        <f t="shared" si="540"/>
        <v>135</v>
      </c>
      <c r="Q406" s="623">
        <f t="shared" si="541"/>
        <v>0</v>
      </c>
      <c r="R406" s="623">
        <f t="shared" si="542"/>
        <v>0</v>
      </c>
      <c r="S406" s="2192">
        <f t="shared" si="543"/>
        <v>135</v>
      </c>
      <c r="T406" s="763">
        <f>IFERROR(INDEX('Annex 2_Code'!I$8:I$33,MATCH('Annex 3_MAFF'!$AG406,'Annex 2_Code'!$G$8:$G$33,0)),"")</f>
        <v>0</v>
      </c>
      <c r="U406" s="763">
        <f>IFERROR(INDEX('Annex 2_Code'!J$8:J$33,MATCH('Annex 3_MAFF'!$AG406,'Annex 2_Code'!$G$8:$G$33,0)),"")</f>
        <v>0</v>
      </c>
      <c r="V406" s="763">
        <f>IFERROR(INDEX('Annex 2_Code'!K$8:K$33,MATCH('Annex 3_MAFF'!$AG406,'Annex 2_Code'!$G$8:$G$33,0)),"")</f>
        <v>1</v>
      </c>
      <c r="W406" s="763">
        <f>IFERROR(INDEX('Annex 2_Code'!L$8:L$33,MATCH('Annex 3_MAFF'!$AG406,'Annex 2_Code'!$G$8:$G$33,0)),"")</f>
        <v>0</v>
      </c>
      <c r="X406" s="763">
        <f>IFERROR(INDEX('Annex 2_Code'!M$8:M$33,MATCH('Annex 3_MAFF'!$AG406,'Annex 2_Code'!$G$8:$G$33,0)),"")</f>
        <v>0</v>
      </c>
      <c r="Y406" s="1745">
        <f t="shared" si="544"/>
        <v>0</v>
      </c>
      <c r="Z406" s="807">
        <f t="shared" si="545"/>
        <v>0</v>
      </c>
      <c r="AA406" s="807">
        <f t="shared" si="546"/>
        <v>135</v>
      </c>
      <c r="AB406" s="807">
        <f t="shared" si="547"/>
        <v>0</v>
      </c>
      <c r="AC406" s="808">
        <f t="shared" si="548"/>
        <v>0</v>
      </c>
      <c r="AD406" s="764"/>
      <c r="AE406" s="764"/>
      <c r="AF406" s="605" t="s">
        <v>309</v>
      </c>
      <c r="AG406" s="605" t="s">
        <v>201</v>
      </c>
      <c r="AH406" s="605" t="s">
        <v>372</v>
      </c>
      <c r="AI406" s="646" t="str">
        <f t="shared" si="549"/>
        <v>MAFF</v>
      </c>
      <c r="AK406" s="824"/>
      <c r="AL406" s="824"/>
      <c r="AM406" s="607"/>
    </row>
    <row r="407" spans="1:39" s="625" customFormat="1" ht="46.5" customHeight="1">
      <c r="A407" s="587"/>
      <c r="B407" s="669" t="s">
        <v>1451</v>
      </c>
      <c r="C407" s="669" t="s">
        <v>41</v>
      </c>
      <c r="D407" s="701"/>
      <c r="E407" s="2194" t="s">
        <v>1484</v>
      </c>
      <c r="F407" s="2193"/>
      <c r="G407" s="2195" t="s">
        <v>1483</v>
      </c>
      <c r="H407" s="1921" t="s">
        <v>1486</v>
      </c>
      <c r="I407" s="1725">
        <v>2.5</v>
      </c>
      <c r="J407" s="620">
        <v>0</v>
      </c>
      <c r="K407" s="620">
        <v>0</v>
      </c>
      <c r="L407" s="620">
        <v>0</v>
      </c>
      <c r="M407" s="620">
        <v>27</v>
      </c>
      <c r="N407" s="731">
        <f t="shared" si="538"/>
        <v>27</v>
      </c>
      <c r="O407" s="623">
        <f>($I407*J407)</f>
        <v>0</v>
      </c>
      <c r="P407" s="623">
        <f t="shared" si="540"/>
        <v>0</v>
      </c>
      <c r="Q407" s="623">
        <f t="shared" si="541"/>
        <v>0</v>
      </c>
      <c r="R407" s="623">
        <f t="shared" si="542"/>
        <v>67.5</v>
      </c>
      <c r="S407" s="2192">
        <f t="shared" si="543"/>
        <v>67.5</v>
      </c>
      <c r="T407" s="763">
        <f>IFERROR(INDEX('Annex 2_Code'!I$8:I$33,MATCH('Annex 3_MAFF'!$AG407,'Annex 2_Code'!$G$8:$G$33,0)),"")</f>
        <v>0</v>
      </c>
      <c r="U407" s="763">
        <f>IFERROR(INDEX('Annex 2_Code'!J$8:J$33,MATCH('Annex 3_MAFF'!$AG407,'Annex 2_Code'!$G$8:$G$33,0)),"")</f>
        <v>0</v>
      </c>
      <c r="V407" s="763">
        <f>IFERROR(INDEX('Annex 2_Code'!K$8:K$33,MATCH('Annex 3_MAFF'!$AG407,'Annex 2_Code'!$G$8:$G$33,0)),"")</f>
        <v>1</v>
      </c>
      <c r="W407" s="763">
        <f>IFERROR(INDEX('Annex 2_Code'!L$8:L$33,MATCH('Annex 3_MAFF'!$AG407,'Annex 2_Code'!$G$8:$G$33,0)),"")</f>
        <v>0</v>
      </c>
      <c r="X407" s="763">
        <f>IFERROR(INDEX('Annex 2_Code'!M$8:M$33,MATCH('Annex 3_MAFF'!$AG407,'Annex 2_Code'!$G$8:$G$33,0)),"")</f>
        <v>0</v>
      </c>
      <c r="Y407" s="1745">
        <f t="shared" si="544"/>
        <v>0</v>
      </c>
      <c r="Z407" s="807">
        <f t="shared" si="545"/>
        <v>0</v>
      </c>
      <c r="AA407" s="807">
        <f t="shared" si="546"/>
        <v>67.5</v>
      </c>
      <c r="AB407" s="807">
        <f t="shared" si="547"/>
        <v>0</v>
      </c>
      <c r="AC407" s="808">
        <f t="shared" si="548"/>
        <v>0</v>
      </c>
      <c r="AD407" s="764"/>
      <c r="AE407" s="764"/>
      <c r="AF407" s="605" t="s">
        <v>309</v>
      </c>
      <c r="AG407" s="605" t="s">
        <v>201</v>
      </c>
      <c r="AH407" s="605" t="s">
        <v>372</v>
      </c>
      <c r="AI407" s="646" t="str">
        <f t="shared" si="549"/>
        <v>MAFF</v>
      </c>
      <c r="AK407" s="824"/>
      <c r="AL407" s="824"/>
      <c r="AM407" s="607"/>
    </row>
    <row r="408" spans="1:39" s="625" customFormat="1" ht="46.5">
      <c r="A408" s="587"/>
      <c r="B408" s="669" t="s">
        <v>1451</v>
      </c>
      <c r="C408" s="669" t="s">
        <v>41</v>
      </c>
      <c r="D408" s="701"/>
      <c r="E408" s="2194" t="s">
        <v>1485</v>
      </c>
      <c r="F408" s="2193"/>
      <c r="G408" s="2195" t="s">
        <v>1487</v>
      </c>
      <c r="H408" s="1921" t="s">
        <v>1488</v>
      </c>
      <c r="I408" s="1725">
        <v>0.8</v>
      </c>
      <c r="J408" s="620">
        <v>0</v>
      </c>
      <c r="K408" s="620">
        <v>0</v>
      </c>
      <c r="L408" s="620">
        <v>0</v>
      </c>
      <c r="M408" s="620">
        <v>27</v>
      </c>
      <c r="N408" s="731">
        <f t="shared" si="538"/>
        <v>27</v>
      </c>
      <c r="O408" s="739">
        <f>($I408*J408)</f>
        <v>0</v>
      </c>
      <c r="P408" s="623">
        <f t="shared" si="540"/>
        <v>0</v>
      </c>
      <c r="Q408" s="623">
        <f t="shared" si="541"/>
        <v>0</v>
      </c>
      <c r="R408" s="623">
        <f t="shared" si="542"/>
        <v>21.6</v>
      </c>
      <c r="S408" s="2192">
        <f t="shared" si="543"/>
        <v>21.6</v>
      </c>
      <c r="T408" s="763">
        <f>IFERROR(INDEX('Annex 2_Code'!I$8:I$33,MATCH('Annex 3_MAFF'!$AG408,'Annex 2_Code'!$G$8:$G$33,0)),"")</f>
        <v>0</v>
      </c>
      <c r="U408" s="763">
        <f>IFERROR(INDEX('Annex 2_Code'!J$8:J$33,MATCH('Annex 3_MAFF'!$AG408,'Annex 2_Code'!$G$8:$G$33,0)),"")</f>
        <v>0</v>
      </c>
      <c r="V408" s="763">
        <f>IFERROR(INDEX('Annex 2_Code'!K$8:K$33,MATCH('Annex 3_MAFF'!$AG408,'Annex 2_Code'!$G$8:$G$33,0)),"")</f>
        <v>1</v>
      </c>
      <c r="W408" s="763">
        <f>IFERROR(INDEX('Annex 2_Code'!L$8:L$33,MATCH('Annex 3_MAFF'!$AG408,'Annex 2_Code'!$G$8:$G$33,0)),"")</f>
        <v>0</v>
      </c>
      <c r="X408" s="763">
        <f>IFERROR(INDEX('Annex 2_Code'!M$8:M$33,MATCH('Annex 3_MAFF'!$AG408,'Annex 2_Code'!$G$8:$G$33,0)),"")</f>
        <v>0</v>
      </c>
      <c r="Y408" s="1745">
        <f t="shared" si="544"/>
        <v>0</v>
      </c>
      <c r="Z408" s="807">
        <f t="shared" si="545"/>
        <v>0</v>
      </c>
      <c r="AA408" s="807">
        <f t="shared" si="546"/>
        <v>21.6</v>
      </c>
      <c r="AB408" s="807">
        <f t="shared" si="547"/>
        <v>0</v>
      </c>
      <c r="AC408" s="808">
        <f t="shared" si="548"/>
        <v>0</v>
      </c>
      <c r="AD408" s="764"/>
      <c r="AE408" s="764"/>
      <c r="AF408" s="605" t="s">
        <v>309</v>
      </c>
      <c r="AG408" s="605" t="s">
        <v>201</v>
      </c>
      <c r="AH408" s="605" t="s">
        <v>372</v>
      </c>
      <c r="AI408" s="646" t="str">
        <f t="shared" si="549"/>
        <v>MAFF</v>
      </c>
      <c r="AK408" s="824"/>
      <c r="AL408" s="824"/>
      <c r="AM408" s="607"/>
    </row>
    <row r="409" spans="1:39" s="625" customFormat="1" ht="18.600000000000001" customHeight="1">
      <c r="A409" s="587"/>
      <c r="B409" s="659"/>
      <c r="C409" s="669"/>
      <c r="D409" s="730"/>
      <c r="E409" s="591" t="s">
        <v>1489</v>
      </c>
      <c r="F409" s="592"/>
      <c r="G409" s="734"/>
      <c r="H409" s="805"/>
      <c r="I409" s="2180"/>
      <c r="J409" s="594">
        <f>SUM(J404:J408)</f>
        <v>29</v>
      </c>
      <c r="K409" s="595">
        <f t="shared" ref="K409:N409" si="550">SUM(K405:K408)</f>
        <v>27</v>
      </c>
      <c r="L409" s="595">
        <f t="shared" si="550"/>
        <v>0</v>
      </c>
      <c r="M409" s="595">
        <f t="shared" si="550"/>
        <v>54</v>
      </c>
      <c r="N409" s="758">
        <f t="shared" si="550"/>
        <v>108</v>
      </c>
      <c r="O409" s="842">
        <f>SUM(O404:O408)</f>
        <v>63</v>
      </c>
      <c r="P409" s="843">
        <f>SUM(P404:P408)</f>
        <v>135</v>
      </c>
      <c r="Q409" s="843">
        <f>SUM(Q404:Q408)</f>
        <v>0</v>
      </c>
      <c r="R409" s="843">
        <f>SUM(R404:R408)</f>
        <v>89.1</v>
      </c>
      <c r="S409" s="2474">
        <f>SUM(S405:S408)</f>
        <v>278.10000000000002</v>
      </c>
      <c r="T409" s="599"/>
      <c r="U409" s="599"/>
      <c r="V409" s="599"/>
      <c r="W409" s="599"/>
      <c r="X409" s="599"/>
      <c r="Y409" s="647"/>
      <c r="Z409" s="600"/>
      <c r="AA409" s="600"/>
      <c r="AB409" s="600"/>
      <c r="AC409" s="601"/>
      <c r="AD409" s="602"/>
      <c r="AE409" s="602"/>
      <c r="AF409" s="605"/>
      <c r="AG409" s="605"/>
      <c r="AH409" s="605"/>
      <c r="AI409" s="624"/>
      <c r="AK409" s="824"/>
      <c r="AL409" s="824"/>
      <c r="AM409" s="607"/>
    </row>
    <row r="410" spans="1:39" s="625" customFormat="1" ht="16.5">
      <c r="A410" s="587"/>
      <c r="B410" s="659"/>
      <c r="C410" s="669"/>
      <c r="D410" s="608" t="s">
        <v>706</v>
      </c>
      <c r="E410" s="609"/>
      <c r="F410" s="610"/>
      <c r="G410" s="611"/>
      <c r="H410" s="627" t="s">
        <v>12</v>
      </c>
      <c r="I410" s="628" t="s">
        <v>12</v>
      </c>
      <c r="J410" s="629">
        <f>SUM(J402,J396,J373,J409)</f>
        <v>132</v>
      </c>
      <c r="K410" s="630">
        <f>SUM(K402,K396,K373,K409)</f>
        <v>141</v>
      </c>
      <c r="L410" s="630">
        <f t="shared" ref="L410:M410" si="551">SUM(L402,L396,L373,L409)</f>
        <v>155</v>
      </c>
      <c r="M410" s="630">
        <f t="shared" si="551"/>
        <v>147</v>
      </c>
      <c r="N410" s="631">
        <f>SUM(J410:M410)</f>
        <v>575</v>
      </c>
      <c r="O410" s="632">
        <f>SUM(O373,O396,O402,O409)</f>
        <v>215.7</v>
      </c>
      <c r="P410" s="633">
        <f t="shared" ref="P410:R410" si="552">SUM(P373,P396,P402,P409)</f>
        <v>329.2</v>
      </c>
      <c r="Q410" s="633">
        <f t="shared" si="552"/>
        <v>257.5</v>
      </c>
      <c r="R410" s="633">
        <f t="shared" si="552"/>
        <v>249.6</v>
      </c>
      <c r="S410" s="2475">
        <f>SUM(O410:R410)</f>
        <v>1052</v>
      </c>
      <c r="T410" s="599"/>
      <c r="U410" s="599"/>
      <c r="V410" s="599"/>
      <c r="W410" s="599"/>
      <c r="X410" s="599"/>
      <c r="Y410" s="1746"/>
      <c r="Z410" s="1747"/>
      <c r="AA410" s="1747"/>
      <c r="AB410" s="1747"/>
      <c r="AC410" s="1748"/>
      <c r="AD410" s="634">
        <f>SUM(AD357:AD402)</f>
        <v>764.9</v>
      </c>
      <c r="AE410" s="602"/>
      <c r="AF410" s="605"/>
      <c r="AG410" s="605"/>
      <c r="AH410" s="605"/>
      <c r="AI410" s="624"/>
      <c r="AK410" s="824"/>
      <c r="AL410" s="824"/>
      <c r="AM410" s="607"/>
    </row>
    <row r="411" spans="1:39" s="625" customFormat="1" ht="66.75" customHeight="1">
      <c r="A411" s="587"/>
      <c r="B411" s="659" t="s">
        <v>54</v>
      </c>
      <c r="C411" s="669"/>
      <c r="D411" s="2619" t="s">
        <v>682</v>
      </c>
      <c r="E411" s="2620"/>
      <c r="F411" s="2620"/>
      <c r="G411" s="2620"/>
      <c r="H411" s="809"/>
      <c r="I411" s="809"/>
      <c r="J411" s="670"/>
      <c r="K411" s="620"/>
      <c r="L411" s="620"/>
      <c r="M411" s="620"/>
      <c r="N411" s="621"/>
      <c r="O411" s="622"/>
      <c r="P411" s="739"/>
      <c r="Q411" s="739"/>
      <c r="R411" s="810"/>
      <c r="S411" s="2476">
        <f>SUM(O410:R410)</f>
        <v>1052</v>
      </c>
      <c r="T411" s="599"/>
      <c r="U411" s="599"/>
      <c r="V411" s="599"/>
      <c r="W411" s="599"/>
      <c r="X411" s="599"/>
      <c r="Y411" s="647"/>
      <c r="Z411" s="600"/>
      <c r="AA411" s="600">
        <f t="shared" ref="AA411:AA414" si="553">IFERROR($S411*V411,"")</f>
        <v>0</v>
      </c>
      <c r="AB411" s="600"/>
      <c r="AC411" s="601"/>
      <c r="AD411" s="602"/>
      <c r="AE411" s="602"/>
      <c r="AF411" s="605"/>
      <c r="AG411" s="605"/>
      <c r="AH411" s="605"/>
      <c r="AI411" s="624"/>
    </row>
    <row r="412" spans="1:39" s="625" customFormat="1" ht="23.25">
      <c r="A412" s="307"/>
      <c r="B412" s="659" t="s">
        <v>54</v>
      </c>
      <c r="C412" s="669"/>
      <c r="D412" s="701"/>
      <c r="E412" s="799" t="s">
        <v>1130</v>
      </c>
      <c r="F412" s="615" t="s">
        <v>774</v>
      </c>
      <c r="G412" s="616"/>
      <c r="H412" s="782" t="s">
        <v>12</v>
      </c>
      <c r="I412" s="1366"/>
      <c r="J412" s="619"/>
      <c r="K412" s="620"/>
      <c r="L412" s="620"/>
      <c r="M412" s="620"/>
      <c r="N412" s="621"/>
      <c r="O412" s="622"/>
      <c r="P412" s="623"/>
      <c r="Q412" s="623"/>
      <c r="R412" s="623"/>
      <c r="S412" s="1356" t="s">
        <v>12</v>
      </c>
      <c r="T412" s="599" t="str">
        <f>IFERROR(INDEX('Annex 2_Code'!I$8:I$33,MATCH('Annex 3_MAFF'!$AG412,'Annex 2_Code'!$G$8:$G$33,0)),"")</f>
        <v/>
      </c>
      <c r="U412" s="599" t="str">
        <f>IFERROR(INDEX('Annex 2_Code'!J$8:J$33,MATCH('Annex 3_MAFF'!$AG412,'Annex 2_Code'!$G$8:$G$33,0)),"")</f>
        <v/>
      </c>
      <c r="V412" s="599" t="str">
        <f>IFERROR(INDEX('Annex 2_Code'!K$8:K$33,MATCH('Annex 3_MAFF'!$AG412,'Annex 2_Code'!$G$8:$G$33,0)),"")</f>
        <v/>
      </c>
      <c r="W412" s="599" t="str">
        <f>IFERROR(INDEX('Annex 2_Code'!L$8:L$33,MATCH('Annex 3_MAFF'!$AG412,'Annex 2_Code'!$G$8:$G$33,0)),"")</f>
        <v/>
      </c>
      <c r="X412" s="599" t="str">
        <f>IFERROR(INDEX('Annex 2_Code'!M$8:M$33,MATCH('Annex 3_MAFF'!$AG412,'Annex 2_Code'!$G$8:$G$33,0)),"")</f>
        <v/>
      </c>
      <c r="Y412" s="647" t="str">
        <f t="shared" ref="Y412:Y414" si="554">IFERROR($S412*T412,"")</f>
        <v/>
      </c>
      <c r="Z412" s="600" t="str">
        <f t="shared" ref="Z412:Z414" si="555">IFERROR($S412*U412,"")</f>
        <v/>
      </c>
      <c r="AA412" s="600" t="str">
        <f t="shared" si="553"/>
        <v/>
      </c>
      <c r="AB412" s="600" t="str">
        <f t="shared" ref="AB412:AB414" si="556">IFERROR($S412*W412,"")</f>
        <v/>
      </c>
      <c r="AC412" s="601" t="str">
        <f t="shared" ref="AC412:AC414" si="557">IFERROR($S412*X412,"")</f>
        <v/>
      </c>
      <c r="AD412" s="602">
        <f t="shared" ref="AD412:AD413" si="558">SUM(Y412:AC412)</f>
        <v>0</v>
      </c>
      <c r="AE412" s="602"/>
      <c r="AF412" s="605"/>
      <c r="AG412" s="605"/>
      <c r="AH412" s="605" t="str">
        <f>IFERROR(INDEX('Annex 2_Code'!$J$114:$J$126,MATCH('Annex 3_MAFF'!AF412,'Annex 2_Code'!$G$114:$G$126,0)),"")</f>
        <v/>
      </c>
      <c r="AI412" s="624" t="str">
        <f t="shared" ref="AI412:AI414" si="559">IF(ISNUMBER(FIND("-",AH412,1))=FALSE,LEFT(AH412,LEN(AH412)),LEFT(AH412,(FIND("-",AH412,1))-1))</f>
        <v/>
      </c>
    </row>
    <row r="413" spans="1:39" s="625" customFormat="1" ht="45.75" customHeight="1" outlineLevel="1">
      <c r="A413" s="307"/>
      <c r="B413" s="659" t="s">
        <v>1463</v>
      </c>
      <c r="C413" s="669" t="s">
        <v>364</v>
      </c>
      <c r="D413" s="701"/>
      <c r="E413" s="307" t="s">
        <v>535</v>
      </c>
      <c r="F413" s="615"/>
      <c r="G413" s="616" t="s">
        <v>573</v>
      </c>
      <c r="H413" s="811" t="s">
        <v>793</v>
      </c>
      <c r="I413" s="2515">
        <v>954.5</v>
      </c>
      <c r="J413" s="1855">
        <v>0</v>
      </c>
      <c r="K413" s="732">
        <v>0</v>
      </c>
      <c r="L413" s="1471">
        <v>0.5</v>
      </c>
      <c r="M413" s="1471">
        <v>0.5</v>
      </c>
      <c r="N413" s="621">
        <f>SUM(J413:M413)</f>
        <v>1</v>
      </c>
      <c r="O413" s="622">
        <f>I$413*J413</f>
        <v>0</v>
      </c>
      <c r="P413" s="623">
        <f t="shared" ref="P413:R413" si="560">$I413*K413</f>
        <v>0</v>
      </c>
      <c r="Q413" s="623">
        <f t="shared" si="560"/>
        <v>477.25</v>
      </c>
      <c r="R413" s="623">
        <f t="shared" si="560"/>
        <v>477.25</v>
      </c>
      <c r="S413" s="1356">
        <f>SUM(O413:R413)</f>
        <v>954.5</v>
      </c>
      <c r="T413" s="599">
        <f>IFERROR(INDEX('Annex 2_Code'!I$8:I$33,MATCH('Annex 3_MAFF'!$AG413,'Annex 2_Code'!$G$8:$G$33,0)),"")</f>
        <v>0</v>
      </c>
      <c r="U413" s="599">
        <f>IFERROR(INDEX('Annex 2_Code'!J$8:J$33,MATCH('Annex 3_MAFF'!$AG413,'Annex 2_Code'!$G$8:$G$33,0)),"")</f>
        <v>0</v>
      </c>
      <c r="V413" s="599">
        <f>IFERROR(INDEX('Annex 2_Code'!K$8:K$33,MATCH('Annex 3_MAFF'!$AG413,'Annex 2_Code'!$G$8:$G$33,0)),"")</f>
        <v>1</v>
      </c>
      <c r="W413" s="599">
        <f>IFERROR(INDEX('Annex 2_Code'!L$8:L$33,MATCH('Annex 3_MAFF'!$AG413,'Annex 2_Code'!$G$8:$G$33,0)),"")</f>
        <v>0</v>
      </c>
      <c r="X413" s="599">
        <f>IFERROR(INDEX('Annex 2_Code'!M$8:M$33,MATCH('Annex 3_MAFF'!$AG413,'Annex 2_Code'!$G$8:$G$33,0)),"")</f>
        <v>0</v>
      </c>
      <c r="Y413" s="647">
        <f t="shared" si="554"/>
        <v>0</v>
      </c>
      <c r="Z413" s="600">
        <f t="shared" si="555"/>
        <v>0</v>
      </c>
      <c r="AA413" s="600">
        <f t="shared" si="553"/>
        <v>954.5</v>
      </c>
      <c r="AB413" s="600">
        <f t="shared" si="556"/>
        <v>0</v>
      </c>
      <c r="AC413" s="601">
        <f t="shared" si="557"/>
        <v>0</v>
      </c>
      <c r="AD413" s="602">
        <f t="shared" si="558"/>
        <v>954.5</v>
      </c>
      <c r="AE413" s="602">
        <f t="shared" ref="AE413:AE414" si="561">AD413-S413</f>
        <v>0</v>
      </c>
      <c r="AF413" s="605" t="s">
        <v>258</v>
      </c>
      <c r="AG413" s="605" t="s">
        <v>193</v>
      </c>
      <c r="AH413" s="605" t="str">
        <f>IFERROR(INDEX('Annex 2_Code'!$J$114:$J$126,MATCH('Annex 3_MAFF'!AF413,'Annex 2_Code'!$G$114:$G$126,0)),"")</f>
        <v>MAFF-GDA</v>
      </c>
      <c r="AI413" s="646" t="str">
        <f t="shared" si="559"/>
        <v>MAFF</v>
      </c>
      <c r="AJ413" s="625" t="s">
        <v>450</v>
      </c>
    </row>
    <row r="414" spans="1:39" s="625" customFormat="1" ht="23.25">
      <c r="A414" s="307"/>
      <c r="B414" s="659" t="s">
        <v>54</v>
      </c>
      <c r="C414" s="669"/>
      <c r="D414" s="730"/>
      <c r="E414" s="591" t="s">
        <v>1291</v>
      </c>
      <c r="F414" s="592"/>
      <c r="G414" s="734"/>
      <c r="H414" s="805"/>
      <c r="I414" s="2180"/>
      <c r="J414" s="2252">
        <f t="shared" ref="J414:S414" si="562">SUM(J413:J413)</f>
        <v>0</v>
      </c>
      <c r="K414" s="2253">
        <f t="shared" si="562"/>
        <v>0</v>
      </c>
      <c r="L414" s="2253">
        <f t="shared" si="562"/>
        <v>0.5</v>
      </c>
      <c r="M414" s="2253">
        <f t="shared" si="562"/>
        <v>0.5</v>
      </c>
      <c r="N414" s="2254">
        <f t="shared" si="562"/>
        <v>1</v>
      </c>
      <c r="O414" s="2255">
        <f t="shared" si="562"/>
        <v>0</v>
      </c>
      <c r="P414" s="2256">
        <f t="shared" si="562"/>
        <v>0</v>
      </c>
      <c r="Q414" s="2256">
        <f t="shared" si="562"/>
        <v>477.25</v>
      </c>
      <c r="R414" s="2256">
        <f t="shared" si="562"/>
        <v>477.25</v>
      </c>
      <c r="S414" s="2257">
        <f t="shared" si="562"/>
        <v>954.5</v>
      </c>
      <c r="T414" s="599" t="str">
        <f>IFERROR(INDEX('Annex 2_Code'!I$8:I$33,MATCH('Annex 3_MAFF'!$AG414,'Annex 2_Code'!$G$8:$G$33,0)),"")</f>
        <v/>
      </c>
      <c r="U414" s="599" t="str">
        <f>IFERROR(INDEX('Annex 2_Code'!J$8:J$33,MATCH('Annex 3_MAFF'!$AG414,'Annex 2_Code'!$G$8:$G$33,0)),"")</f>
        <v/>
      </c>
      <c r="V414" s="599" t="str">
        <f>IFERROR(INDEX('Annex 2_Code'!K$8:K$33,MATCH('Annex 3_MAFF'!$AG414,'Annex 2_Code'!$G$8:$G$33,0)),"")</f>
        <v/>
      </c>
      <c r="W414" s="599" t="str">
        <f>IFERROR(INDEX('Annex 2_Code'!L$8:L$33,MATCH('Annex 3_MAFF'!$AG414,'Annex 2_Code'!$G$8:$G$33,0)),"")</f>
        <v/>
      </c>
      <c r="X414" s="599" t="str">
        <f>IFERROR(INDEX('Annex 2_Code'!M$8:M$33,MATCH('Annex 3_MAFF'!$AG414,'Annex 2_Code'!$G$8:$G$33,0)),"")</f>
        <v/>
      </c>
      <c r="Y414" s="647" t="str">
        <f t="shared" si="554"/>
        <v/>
      </c>
      <c r="Z414" s="600" t="str">
        <f t="shared" si="555"/>
        <v/>
      </c>
      <c r="AA414" s="600" t="str">
        <f t="shared" si="553"/>
        <v/>
      </c>
      <c r="AB414" s="600" t="str">
        <f t="shared" si="556"/>
        <v/>
      </c>
      <c r="AC414" s="601" t="str">
        <f t="shared" si="557"/>
        <v/>
      </c>
      <c r="AD414" s="602"/>
      <c r="AE414" s="602">
        <f t="shared" si="561"/>
        <v>-954.5</v>
      </c>
      <c r="AF414" s="605"/>
      <c r="AG414" s="605"/>
      <c r="AH414" s="605" t="str">
        <f>IFERROR(INDEX('Annex 2_Code'!$J$114:$J$126,MATCH('Annex 3_MAFF'!AF414,'Annex 2_Code'!$G$114:$G$126,0)),"")</f>
        <v/>
      </c>
      <c r="AI414" s="646" t="str">
        <f t="shared" si="559"/>
        <v/>
      </c>
    </row>
    <row r="415" spans="1:39" s="625" customFormat="1" ht="16.5">
      <c r="A415" s="307"/>
      <c r="B415" s="659" t="s">
        <v>1463</v>
      </c>
      <c r="C415" s="669" t="s">
        <v>131</v>
      </c>
      <c r="D415" s="701"/>
      <c r="E415" s="612"/>
      <c r="F415" s="615"/>
      <c r="G415" s="2258" t="s">
        <v>792</v>
      </c>
      <c r="H415" s="1404"/>
      <c r="I415" s="1366"/>
      <c r="J415" s="619">
        <v>0</v>
      </c>
      <c r="K415" s="620">
        <v>1</v>
      </c>
      <c r="L415" s="620"/>
      <c r="M415" s="620"/>
      <c r="N415" s="621"/>
      <c r="O415" s="623">
        <f>$I415*J415</f>
        <v>0</v>
      </c>
      <c r="P415" s="623">
        <f>$I415*K415</f>
        <v>0</v>
      </c>
      <c r="Q415" s="623">
        <f>$I415*L415</f>
        <v>0</v>
      </c>
      <c r="R415" s="623">
        <f>$I415*M415</f>
        <v>0</v>
      </c>
      <c r="S415" s="1356">
        <f>SUM(O415:R415)</f>
        <v>0</v>
      </c>
      <c r="T415" s="599">
        <f>IFERROR(INDEX('Annex 2_Code'!I$8:I$33,MATCH('Annex 3_MAFF'!$AG415,'Annex 2_Code'!$G$8:$G$33,0)),"")</f>
        <v>0</v>
      </c>
      <c r="U415" s="599">
        <f>IFERROR(INDEX('Annex 2_Code'!J$8:J$33,MATCH('Annex 3_MAFF'!$AG415,'Annex 2_Code'!$G$8:$G$33,0)),"")</f>
        <v>0</v>
      </c>
      <c r="V415" s="599">
        <f>IFERROR(INDEX('Annex 2_Code'!K$8:K$33,MATCH('Annex 3_MAFF'!$AG415,'Annex 2_Code'!$G$8:$G$33,0)),"")</f>
        <v>1</v>
      </c>
      <c r="W415" s="599">
        <f>IFERROR(INDEX('Annex 2_Code'!L$8:L$33,MATCH('Annex 3_MAFF'!$AG415,'Annex 2_Code'!$G$8:$G$33,0)),"")</f>
        <v>0</v>
      </c>
      <c r="X415" s="599">
        <f>IFERROR(INDEX('Annex 2_Code'!M$8:M$33,MATCH('Annex 3_MAFF'!$AG415,'Annex 2_Code'!$G$8:$G$33,0)),"")</f>
        <v>0</v>
      </c>
      <c r="Y415" s="647">
        <f t="shared" ref="Y415:AC417" si="563">IFERROR($S415*T415,"")</f>
        <v>0</v>
      </c>
      <c r="Z415" s="600">
        <f t="shared" si="563"/>
        <v>0</v>
      </c>
      <c r="AA415" s="600">
        <f t="shared" si="563"/>
        <v>0</v>
      </c>
      <c r="AB415" s="600">
        <f t="shared" si="563"/>
        <v>0</v>
      </c>
      <c r="AC415" s="601">
        <f t="shared" si="563"/>
        <v>0</v>
      </c>
      <c r="AD415" s="602">
        <f>SUM(Y415:AC415)</f>
        <v>0</v>
      </c>
      <c r="AE415" s="602">
        <f>AD415-S415</f>
        <v>0</v>
      </c>
      <c r="AF415" s="605" t="s">
        <v>258</v>
      </c>
      <c r="AG415" s="605" t="s">
        <v>219</v>
      </c>
      <c r="AH415" s="605" t="str">
        <f>IFERROR(INDEX('Annex 2_Code'!$J$114:$J$126,MATCH('Annex 3_MAFF'!AF415,'Annex 2_Code'!$G$114:$G$126,0)),"")</f>
        <v>MAFF-GDA</v>
      </c>
      <c r="AI415" s="646" t="str">
        <f>IF(ISNUMBER(FIND("-",AH415,1))=FALSE,LEFT(AH415,LEN(AH415)),LEFT(AH415,(FIND("-",AH415,1))-1))</f>
        <v>MAFF</v>
      </c>
      <c r="AK415" s="824"/>
      <c r="AL415" s="824"/>
      <c r="AM415" s="824"/>
    </row>
    <row r="416" spans="1:39" s="625" customFormat="1" ht="16.5">
      <c r="A416" s="307"/>
      <c r="B416" s="659" t="s">
        <v>1463</v>
      </c>
      <c r="C416" s="669" t="s">
        <v>131</v>
      </c>
      <c r="D416" s="701"/>
      <c r="E416" s="799" t="s">
        <v>1131</v>
      </c>
      <c r="F416" s="615"/>
      <c r="G416" s="2259" t="s">
        <v>791</v>
      </c>
      <c r="H416" s="1404"/>
      <c r="I416" s="1366"/>
      <c r="J416" s="619"/>
      <c r="K416" s="620"/>
      <c r="L416" s="620"/>
      <c r="M416" s="620"/>
      <c r="N416" s="621"/>
      <c r="O416" s="738"/>
      <c r="P416" s="739"/>
      <c r="Q416" s="739"/>
      <c r="R416" s="739"/>
      <c r="S416" s="1428"/>
      <c r="T416" s="599">
        <f>IFERROR(INDEX('Annex 2_Code'!I$8:I$33,MATCH('Annex 3_MAFF'!$AG416,'Annex 2_Code'!$G$8:$G$33,0)),"")</f>
        <v>0</v>
      </c>
      <c r="U416" s="599">
        <f>IFERROR(INDEX('Annex 2_Code'!J$8:J$33,MATCH('Annex 3_MAFF'!$AG416,'Annex 2_Code'!$G$8:$G$33,0)),"")</f>
        <v>0</v>
      </c>
      <c r="V416" s="599">
        <f>IFERROR(INDEX('Annex 2_Code'!K$8:K$33,MATCH('Annex 3_MAFF'!$AG416,'Annex 2_Code'!$G$8:$G$33,0)),"")</f>
        <v>1</v>
      </c>
      <c r="W416" s="599">
        <f>IFERROR(INDEX('Annex 2_Code'!L$8:L$33,MATCH('Annex 3_MAFF'!$AG416,'Annex 2_Code'!$G$8:$G$33,0)),"")</f>
        <v>0</v>
      </c>
      <c r="X416" s="599">
        <f>IFERROR(INDEX('Annex 2_Code'!M$8:M$33,MATCH('Annex 3_MAFF'!$AG416,'Annex 2_Code'!$G$8:$G$33,0)),"")</f>
        <v>0</v>
      </c>
      <c r="Y416" s="647">
        <f t="shared" si="563"/>
        <v>0</v>
      </c>
      <c r="Z416" s="600">
        <f t="shared" si="563"/>
        <v>0</v>
      </c>
      <c r="AA416" s="600">
        <f t="shared" si="563"/>
        <v>0</v>
      </c>
      <c r="AB416" s="600">
        <f t="shared" si="563"/>
        <v>0</v>
      </c>
      <c r="AC416" s="601">
        <f t="shared" si="563"/>
        <v>0</v>
      </c>
      <c r="AD416" s="602">
        <f>SUM(Y416:AC416)</f>
        <v>0</v>
      </c>
      <c r="AE416" s="602">
        <f>AD416-S416</f>
        <v>0</v>
      </c>
      <c r="AF416" s="605" t="s">
        <v>258</v>
      </c>
      <c r="AG416" s="605" t="s">
        <v>219</v>
      </c>
      <c r="AH416" s="605" t="str">
        <f>IFERROR(INDEX('Annex 2_Code'!$J$114:$J$126,MATCH('Annex 3_MAFF'!AF416,'Annex 2_Code'!$G$114:$G$126,0)),"")</f>
        <v>MAFF-GDA</v>
      </c>
      <c r="AI416" s="646" t="str">
        <f>IF(ISNUMBER(FIND("-",AH416,1))=FALSE,LEFT(AH416,LEN(AH416)),LEFT(AH416,(FIND("-",AH416,1))-1))</f>
        <v>MAFF</v>
      </c>
      <c r="AK416" s="824"/>
      <c r="AL416" s="824"/>
      <c r="AM416" s="824"/>
    </row>
    <row r="417" spans="1:41" s="625" customFormat="1" ht="69.75">
      <c r="A417" s="307"/>
      <c r="B417" s="659" t="s">
        <v>1463</v>
      </c>
      <c r="C417" s="669" t="s">
        <v>131</v>
      </c>
      <c r="D417" s="701"/>
      <c r="E417" s="896" t="s">
        <v>536</v>
      </c>
      <c r="F417" s="615"/>
      <c r="G417" s="1922" t="s">
        <v>1288</v>
      </c>
      <c r="H417" s="811" t="s">
        <v>598</v>
      </c>
      <c r="I417" s="1366">
        <f>(346000/1000)</f>
        <v>346</v>
      </c>
      <c r="J417" s="619">
        <v>0</v>
      </c>
      <c r="K417" s="1471">
        <v>0.33</v>
      </c>
      <c r="L417" s="2514">
        <v>0.33500000000000002</v>
      </c>
      <c r="M417" s="2514">
        <v>0.33500000000000002</v>
      </c>
      <c r="N417" s="621">
        <f t="shared" ref="N417" si="564">SUM(J417:M417)</f>
        <v>1</v>
      </c>
      <c r="O417" s="622">
        <f>($I$417*J417)</f>
        <v>0</v>
      </c>
      <c r="P417" s="623">
        <f>($I$417*K417)</f>
        <v>114.18</v>
      </c>
      <c r="Q417" s="623">
        <f t="shared" ref="Q417:R417" si="565">($I$417*L417)</f>
        <v>115.91000000000001</v>
      </c>
      <c r="R417" s="623">
        <f t="shared" si="565"/>
        <v>115.91000000000001</v>
      </c>
      <c r="S417" s="1428">
        <f>SUM(O417:R417)</f>
        <v>346.00000000000006</v>
      </c>
      <c r="T417" s="599">
        <f>IFERROR(INDEX('Annex 2_Code'!I$8:I$33,MATCH('Annex 3_MAFF'!$AG417,'Annex 2_Code'!$G$8:$G$33,0)),"")</f>
        <v>0</v>
      </c>
      <c r="U417" s="599">
        <f>IFERROR(INDEX('Annex 2_Code'!J$8:J$33,MATCH('Annex 3_MAFF'!$AG417,'Annex 2_Code'!$G$8:$G$33,0)),"")</f>
        <v>0</v>
      </c>
      <c r="V417" s="599">
        <f>IFERROR(INDEX('Annex 2_Code'!K$8:K$33,MATCH('Annex 3_MAFF'!$AG417,'Annex 2_Code'!$G$8:$G$33,0)),"")</f>
        <v>1</v>
      </c>
      <c r="W417" s="599">
        <f>IFERROR(INDEX('Annex 2_Code'!L$8:L$33,MATCH('Annex 3_MAFF'!$AG417,'Annex 2_Code'!$G$8:$G$33,0)),"")</f>
        <v>0</v>
      </c>
      <c r="X417" s="599">
        <f>IFERROR(INDEX('Annex 2_Code'!M$8:M$33,MATCH('Annex 3_MAFF'!$AG417,'Annex 2_Code'!$G$8:$G$33,0)),"")</f>
        <v>0</v>
      </c>
      <c r="Y417" s="647">
        <f t="shared" si="563"/>
        <v>0</v>
      </c>
      <c r="Z417" s="600">
        <f t="shared" si="563"/>
        <v>0</v>
      </c>
      <c r="AA417" s="600">
        <f t="shared" si="563"/>
        <v>346.00000000000006</v>
      </c>
      <c r="AB417" s="600">
        <f t="shared" si="563"/>
        <v>0</v>
      </c>
      <c r="AC417" s="601">
        <f t="shared" si="563"/>
        <v>0</v>
      </c>
      <c r="AD417" s="602">
        <f>SUM(Y417:AC417)</f>
        <v>346.00000000000006</v>
      </c>
      <c r="AE417" s="602">
        <f>AD417-S417</f>
        <v>0</v>
      </c>
      <c r="AF417" s="605" t="s">
        <v>258</v>
      </c>
      <c r="AG417" s="605" t="s">
        <v>219</v>
      </c>
      <c r="AH417" s="605" t="str">
        <f>IFERROR(INDEX('Annex 2_Code'!$J$114:$J$126,MATCH('Annex 3_MAFF'!AF417,'Annex 2_Code'!$G$114:$G$126,0)),"")</f>
        <v>MAFF-GDA</v>
      </c>
      <c r="AI417" s="646" t="str">
        <f>IF(ISNUMBER(FIND("-",AH417,1))=FALSE,LEFT(AH417,LEN(AH417)),LEFT(AH417,(FIND("-",AH417,1))-1))</f>
        <v>MAFF</v>
      </c>
      <c r="AK417" s="824"/>
      <c r="AL417" s="824"/>
      <c r="AM417" s="824"/>
    </row>
    <row r="418" spans="1:41" s="625" customFormat="1" ht="23.25">
      <c r="A418" s="307"/>
      <c r="B418" s="659"/>
      <c r="C418" s="669"/>
      <c r="D418" s="730"/>
      <c r="E418" s="591" t="s">
        <v>583</v>
      </c>
      <c r="F418" s="592"/>
      <c r="G418" s="734"/>
      <c r="H418" s="805" t="s">
        <v>12</v>
      </c>
      <c r="I418" s="2180"/>
      <c r="J418" s="2260">
        <f t="shared" ref="J418:S418" si="566">SUM(J415:J417)</f>
        <v>0</v>
      </c>
      <c r="K418" s="2261">
        <f t="shared" si="566"/>
        <v>1.33</v>
      </c>
      <c r="L418" s="2261">
        <f t="shared" si="566"/>
        <v>0.33500000000000002</v>
      </c>
      <c r="M418" s="2261">
        <f t="shared" si="566"/>
        <v>0.33500000000000002</v>
      </c>
      <c r="N418" s="2262">
        <f t="shared" si="566"/>
        <v>1</v>
      </c>
      <c r="O418" s="2263">
        <f t="shared" si="566"/>
        <v>0</v>
      </c>
      <c r="P418" s="2264">
        <f t="shared" si="566"/>
        <v>114.18</v>
      </c>
      <c r="Q418" s="2264">
        <f t="shared" si="566"/>
        <v>115.91000000000001</v>
      </c>
      <c r="R418" s="2264">
        <f t="shared" si="566"/>
        <v>115.91000000000001</v>
      </c>
      <c r="S418" s="2265">
        <f t="shared" si="566"/>
        <v>346.00000000000006</v>
      </c>
      <c r="T418" s="599"/>
      <c r="U418" s="599"/>
      <c r="V418" s="599"/>
      <c r="W418" s="599"/>
      <c r="X418" s="599"/>
      <c r="Y418" s="647"/>
      <c r="Z418" s="600"/>
      <c r="AA418" s="600"/>
      <c r="AB418" s="600"/>
      <c r="AC418" s="601"/>
      <c r="AD418" s="602"/>
      <c r="AE418" s="602"/>
      <c r="AF418" s="605"/>
      <c r="AG418" s="605"/>
      <c r="AH418" s="605"/>
      <c r="AI418" s="646"/>
      <c r="AK418" s="824"/>
      <c r="AL418" s="824"/>
      <c r="AM418" s="824"/>
    </row>
    <row r="419" spans="1:41" s="625" customFormat="1" ht="36" customHeight="1">
      <c r="A419" s="307"/>
      <c r="B419" s="659" t="s">
        <v>54</v>
      </c>
      <c r="C419" s="669"/>
      <c r="D419" s="701"/>
      <c r="E419" s="799" t="s">
        <v>1132</v>
      </c>
      <c r="F419" s="2621" t="s">
        <v>789</v>
      </c>
      <c r="G419" s="2621"/>
      <c r="H419" s="782" t="s">
        <v>12</v>
      </c>
      <c r="I419" s="1366"/>
      <c r="J419" s="619"/>
      <c r="K419" s="620"/>
      <c r="L419" s="620"/>
      <c r="M419" s="620"/>
      <c r="N419" s="621"/>
      <c r="O419" s="622"/>
      <c r="P419" s="623"/>
      <c r="Q419" s="623"/>
      <c r="R419" s="623"/>
      <c r="S419" s="1356" t="s">
        <v>12</v>
      </c>
      <c r="T419" s="599" t="str">
        <f>IFERROR(INDEX('Annex 2_Code'!I$8:I$33,MATCH('Annex 3_MAFF'!$AG419,'Annex 2_Code'!$G$8:$G$33,0)),"")</f>
        <v/>
      </c>
      <c r="U419" s="599" t="str">
        <f>IFERROR(INDEX('Annex 2_Code'!J$8:J$33,MATCH('Annex 3_MAFF'!$AG419,'Annex 2_Code'!$G$8:$G$33,0)),"")</f>
        <v/>
      </c>
      <c r="V419" s="599" t="str">
        <f>IFERROR(INDEX('Annex 2_Code'!K$8:K$33,MATCH('Annex 3_MAFF'!$AG419,'Annex 2_Code'!$G$8:$G$33,0)),"")</f>
        <v/>
      </c>
      <c r="W419" s="599" t="str">
        <f>IFERROR(INDEX('Annex 2_Code'!L$8:L$33,MATCH('Annex 3_MAFF'!$AG419,'Annex 2_Code'!$G$8:$G$33,0)),"")</f>
        <v/>
      </c>
      <c r="X419" s="599" t="str">
        <f>IFERROR(INDEX('Annex 2_Code'!M$8:M$33,MATCH('Annex 3_MAFF'!$AG419,'Annex 2_Code'!$G$8:$G$33,0)),"")</f>
        <v/>
      </c>
      <c r="Y419" s="647" t="str">
        <f t="shared" ref="Y419:AC420" si="567">IFERROR($S419*T419,"")</f>
        <v/>
      </c>
      <c r="Z419" s="600" t="str">
        <f t="shared" si="567"/>
        <v/>
      </c>
      <c r="AA419" s="600" t="str">
        <f t="shared" si="567"/>
        <v/>
      </c>
      <c r="AB419" s="600" t="str">
        <f t="shared" si="567"/>
        <v/>
      </c>
      <c r="AC419" s="601" t="str">
        <f t="shared" si="567"/>
        <v/>
      </c>
      <c r="AD419" s="602">
        <f>SUM(Y419:AC419)</f>
        <v>0</v>
      </c>
      <c r="AE419" s="602"/>
      <c r="AF419" s="605"/>
      <c r="AG419" s="605"/>
      <c r="AH419" s="605" t="str">
        <f>IFERROR(INDEX('Annex 2_Code'!$J$114:$J$126,MATCH('Annex 3_MAFF'!AF419,'Annex 2_Code'!$G$114:$G$126,0)),"")</f>
        <v/>
      </c>
      <c r="AI419" s="646" t="str">
        <f>IF(ISNUMBER(FIND("-",AH419,1))=FALSE,LEFT(AH419,LEN(AH419)),LEFT(AH419,(FIND("-",AH419,1))-1))</f>
        <v/>
      </c>
    </row>
    <row r="420" spans="1:41" s="625" customFormat="1" ht="37.5" outlineLevel="1">
      <c r="A420" s="307"/>
      <c r="B420" s="659" t="s">
        <v>1463</v>
      </c>
      <c r="C420" s="669" t="s">
        <v>131</v>
      </c>
      <c r="D420" s="701"/>
      <c r="E420" s="307" t="s">
        <v>1292</v>
      </c>
      <c r="F420" s="615"/>
      <c r="G420" s="616" t="s">
        <v>1289</v>
      </c>
      <c r="H420" s="811" t="s">
        <v>598</v>
      </c>
      <c r="I420" s="2480">
        <f>(84705.55/1000)</f>
        <v>84.705550000000002</v>
      </c>
      <c r="J420" s="619"/>
      <c r="K420" s="620">
        <v>0</v>
      </c>
      <c r="L420" s="620">
        <v>0</v>
      </c>
      <c r="M420" s="620">
        <v>1</v>
      </c>
      <c r="N420" s="621">
        <f>SUM(J420:M420)</f>
        <v>1</v>
      </c>
      <c r="O420" s="2266">
        <f t="shared" ref="O420:P420" si="568">$I420*J420</f>
        <v>0</v>
      </c>
      <c r="P420" s="2267">
        <f t="shared" si="568"/>
        <v>0</v>
      </c>
      <c r="Q420" s="2267">
        <f t="shared" ref="Q420" si="569">$I420*L420</f>
        <v>0</v>
      </c>
      <c r="R420" s="2267">
        <f>$I420*M420</f>
        <v>84.705550000000002</v>
      </c>
      <c r="S420" s="2479">
        <f>SUM(O420:R420)</f>
        <v>84.705550000000002</v>
      </c>
      <c r="T420" s="599">
        <f>IFERROR(INDEX('Annex 2_Code'!I$8:I$33,MATCH('Annex 3_MAFF'!$AG420,'Annex 2_Code'!$G$8:$G$33,0)),"")</f>
        <v>0</v>
      </c>
      <c r="U420" s="599">
        <f>IFERROR(INDEX('Annex 2_Code'!J$8:J$33,MATCH('Annex 3_MAFF'!$AG420,'Annex 2_Code'!$G$8:$G$33,0)),"")</f>
        <v>0</v>
      </c>
      <c r="V420" s="599">
        <f>IFERROR(INDEX('Annex 2_Code'!K$8:K$33,MATCH('Annex 3_MAFF'!$AG420,'Annex 2_Code'!$G$8:$G$33,0)),"")</f>
        <v>1</v>
      </c>
      <c r="W420" s="599">
        <f>IFERROR(INDEX('Annex 2_Code'!L$8:L$33,MATCH('Annex 3_MAFF'!$AG420,'Annex 2_Code'!$G$8:$G$33,0)),"")</f>
        <v>0</v>
      </c>
      <c r="X420" s="599">
        <f>IFERROR(INDEX('Annex 2_Code'!M$8:M$33,MATCH('Annex 3_MAFF'!$AG420,'Annex 2_Code'!$G$8:$G$33,0)),"")</f>
        <v>0</v>
      </c>
      <c r="Y420" s="647">
        <f t="shared" si="567"/>
        <v>0</v>
      </c>
      <c r="Z420" s="600">
        <f t="shared" si="567"/>
        <v>0</v>
      </c>
      <c r="AA420" s="600">
        <f t="shared" si="567"/>
        <v>84.705550000000002</v>
      </c>
      <c r="AB420" s="600">
        <f t="shared" si="567"/>
        <v>0</v>
      </c>
      <c r="AC420" s="601">
        <f t="shared" si="567"/>
        <v>0</v>
      </c>
      <c r="AD420" s="602">
        <f>SUM(Y420:AC420)</f>
        <v>84.705550000000002</v>
      </c>
      <c r="AE420" s="602">
        <f>AD420-S420</f>
        <v>0</v>
      </c>
      <c r="AF420" s="605" t="s">
        <v>258</v>
      </c>
      <c r="AG420" s="605" t="s">
        <v>219</v>
      </c>
      <c r="AH420" s="605" t="str">
        <f>IFERROR(INDEX('Annex 2_Code'!$J$114:$J$131,MATCH('Annex 3_MAFF'!AF420,'Annex 2_Code'!$G$114:$G$131,0)),"")</f>
        <v>MAFF-GDA</v>
      </c>
      <c r="AI420" s="646" t="str">
        <f>IF(ISNUMBER(FIND("-",AH420,1))=FALSE,LEFT(AH420,LEN(AH420)),LEFT(AH420,(FIND("-",AH420,1))-1))</f>
        <v>MAFF</v>
      </c>
      <c r="AJ420" s="625" t="s">
        <v>450</v>
      </c>
    </row>
    <row r="421" spans="1:41" s="625" customFormat="1" ht="23.25">
      <c r="A421" s="307"/>
      <c r="B421" s="659" t="s">
        <v>54</v>
      </c>
      <c r="C421" s="669"/>
      <c r="D421" s="730"/>
      <c r="E421" s="591" t="s">
        <v>583</v>
      </c>
      <c r="F421" s="592"/>
      <c r="G421" s="734"/>
      <c r="H421" s="805"/>
      <c r="I421" s="2180"/>
      <c r="J421" s="2260">
        <f t="shared" ref="J421:S421" si="570">SUM(J420:J420)</f>
        <v>0</v>
      </c>
      <c r="K421" s="2261">
        <f t="shared" si="570"/>
        <v>0</v>
      </c>
      <c r="L421" s="2268">
        <f t="shared" si="570"/>
        <v>0</v>
      </c>
      <c r="M421" s="2268">
        <f t="shared" si="570"/>
        <v>1</v>
      </c>
      <c r="N421" s="2262">
        <f t="shared" si="570"/>
        <v>1</v>
      </c>
      <c r="O421" s="2263">
        <f t="shared" si="570"/>
        <v>0</v>
      </c>
      <c r="P421" s="2264">
        <f t="shared" si="570"/>
        <v>0</v>
      </c>
      <c r="Q421" s="2264">
        <f t="shared" si="570"/>
        <v>0</v>
      </c>
      <c r="R421" s="2264">
        <f t="shared" si="570"/>
        <v>84.705550000000002</v>
      </c>
      <c r="S421" s="2478">
        <f t="shared" si="570"/>
        <v>84.705550000000002</v>
      </c>
      <c r="T421" s="599"/>
      <c r="U421" s="599"/>
      <c r="V421" s="599"/>
      <c r="W421" s="599"/>
      <c r="X421" s="599"/>
      <c r="Y421" s="647"/>
      <c r="Z421" s="600"/>
      <c r="AA421" s="600"/>
      <c r="AB421" s="600"/>
      <c r="AC421" s="601"/>
      <c r="AD421" s="602"/>
      <c r="AE421" s="602"/>
      <c r="AF421" s="605"/>
      <c r="AG421" s="605"/>
      <c r="AH421" s="605"/>
      <c r="AI421" s="646"/>
    </row>
    <row r="422" spans="1:41" s="625" customFormat="1" ht="23.25">
      <c r="A422" s="307"/>
      <c r="B422" s="659" t="s">
        <v>54</v>
      </c>
      <c r="C422" s="669"/>
      <c r="D422" s="701"/>
      <c r="E422" s="799" t="s">
        <v>1133</v>
      </c>
      <c r="F422" s="615" t="s">
        <v>775</v>
      </c>
      <c r="G422" s="616"/>
      <c r="H422" s="782" t="s">
        <v>12</v>
      </c>
      <c r="I422" s="1366"/>
      <c r="J422" s="619"/>
      <c r="K422" s="620"/>
      <c r="L422" s="620"/>
      <c r="M422" s="620"/>
      <c r="N422" s="621"/>
      <c r="O422" s="622"/>
      <c r="P422" s="623"/>
      <c r="Q422" s="623"/>
      <c r="R422" s="623"/>
      <c r="S422" s="1356" t="s">
        <v>12</v>
      </c>
      <c r="T422" s="599">
        <f>IFERROR(INDEX('Annex 2_Code'!I$8:I$33,MATCH('Annex 3_MAFF'!$AG422,'Annex 2_Code'!$G$8:$G$33,0)),"")</f>
        <v>0</v>
      </c>
      <c r="U422" s="599">
        <f>IFERROR(INDEX('Annex 2_Code'!J$8:J$33,MATCH('Annex 3_MAFF'!$AG422,'Annex 2_Code'!$G$8:$G$33,0)),"")</f>
        <v>0</v>
      </c>
      <c r="V422" s="599">
        <f>IFERROR(INDEX('Annex 2_Code'!K$8:K$33,MATCH('Annex 3_MAFF'!$AG422,'Annex 2_Code'!$G$8:$G$33,0)),"")</f>
        <v>1</v>
      </c>
      <c r="W422" s="599">
        <f>IFERROR(INDEX('Annex 2_Code'!L$8:L$33,MATCH('Annex 3_MAFF'!$AG422,'Annex 2_Code'!$G$8:$G$33,0)),"")</f>
        <v>0</v>
      </c>
      <c r="X422" s="599">
        <f>IFERROR(INDEX('Annex 2_Code'!M$8:M$33,MATCH('Annex 3_MAFF'!$AG422,'Annex 2_Code'!$G$8:$G$33,0)),"")</f>
        <v>0</v>
      </c>
      <c r="Y422" s="647" t="str">
        <f t="shared" ref="Y422:AC423" si="571">IFERROR($S422*T422,"")</f>
        <v/>
      </c>
      <c r="Z422" s="600" t="str">
        <f t="shared" si="571"/>
        <v/>
      </c>
      <c r="AA422" s="600" t="str">
        <f t="shared" si="571"/>
        <v/>
      </c>
      <c r="AB422" s="600" t="str">
        <f t="shared" si="571"/>
        <v/>
      </c>
      <c r="AC422" s="601" t="str">
        <f t="shared" si="571"/>
        <v/>
      </c>
      <c r="AD422" s="602">
        <f t="shared" ref="AD422:AD428" si="572">SUM(Y422:AC422)</f>
        <v>0</v>
      </c>
      <c r="AE422" s="602"/>
      <c r="AF422" s="605" t="s">
        <v>258</v>
      </c>
      <c r="AG422" s="605" t="s">
        <v>219</v>
      </c>
      <c r="AH422" s="605" t="str">
        <f>IFERROR(INDEX('Annex 2_Code'!$J$114:$J$131,MATCH('Annex 3_MAFF'!AF422,'Annex 2_Code'!$G$114:$G$131,0)),"")</f>
        <v>MAFF-GDA</v>
      </c>
      <c r="AI422" s="646" t="str">
        <f t="shared" ref="AI422:AI471" si="573">IF(ISNUMBER(FIND("-",AH422,1))=FALSE,LEFT(AH422,LEN(AH422)),LEFT(AH422,(FIND("-",AH422,1))-1))</f>
        <v>MAFF</v>
      </c>
    </row>
    <row r="423" spans="1:41" s="625" customFormat="1" ht="36" customHeight="1" outlineLevel="1">
      <c r="A423" s="307"/>
      <c r="B423" s="659" t="s">
        <v>1463</v>
      </c>
      <c r="C423" s="669" t="s">
        <v>131</v>
      </c>
      <c r="D423" s="701"/>
      <c r="E423" s="307" t="s">
        <v>1293</v>
      </c>
      <c r="F423" s="615"/>
      <c r="G423" s="616" t="s">
        <v>640</v>
      </c>
      <c r="H423" s="811" t="s">
        <v>598</v>
      </c>
      <c r="I423" s="1366">
        <v>20</v>
      </c>
      <c r="J423" s="620">
        <v>1</v>
      </c>
      <c r="K423" s="620">
        <v>1</v>
      </c>
      <c r="L423" s="620"/>
      <c r="M423" s="620"/>
      <c r="N423" s="621">
        <f>SUM(J423:M423)</f>
        <v>2</v>
      </c>
      <c r="O423" s="622">
        <f>$I$423*J423</f>
        <v>20</v>
      </c>
      <c r="P423" s="623">
        <f>$I$423*K423</f>
        <v>20</v>
      </c>
      <c r="Q423" s="623">
        <f>$I$423*L423</f>
        <v>0</v>
      </c>
      <c r="R423" s="623">
        <f>$I$423*M423</f>
        <v>0</v>
      </c>
      <c r="S423" s="1356">
        <f>SUM(O423:R423)</f>
        <v>40</v>
      </c>
      <c r="T423" s="719">
        <f>IFERROR(INDEX('Annex 2_Code'!I$8:I$33,MATCH('Annex 3_MAFF'!$AG423,'Annex 2_Code'!$G$8:$G$33,0)),"")</f>
        <v>0</v>
      </c>
      <c r="U423" s="719">
        <f>IFERROR(INDEX('Annex 2_Code'!J$8:J$33,MATCH('Annex 3_MAFF'!$AG423,'Annex 2_Code'!$G$8:$G$33,0)),"")</f>
        <v>0</v>
      </c>
      <c r="V423" s="719">
        <f>IFERROR(INDEX('Annex 2_Code'!K$8:K$33,MATCH('Annex 3_MAFF'!$AG423,'Annex 2_Code'!$G$8:$G$33,0)),"")</f>
        <v>1</v>
      </c>
      <c r="W423" s="719">
        <f>IFERROR(INDEX('Annex 2_Code'!L$8:L$33,MATCH('Annex 3_MAFF'!$AG423,'Annex 2_Code'!$G$8:$G$33,0)),"")</f>
        <v>0</v>
      </c>
      <c r="X423" s="719">
        <f>IFERROR(INDEX('Annex 2_Code'!M$8:M$33,MATCH('Annex 3_MAFF'!$AG423,'Annex 2_Code'!$G$8:$G$33,0)),"")</f>
        <v>0</v>
      </c>
      <c r="Y423" s="647">
        <f t="shared" si="571"/>
        <v>0</v>
      </c>
      <c r="Z423" s="600">
        <f t="shared" si="571"/>
        <v>0</v>
      </c>
      <c r="AA423" s="600">
        <f t="shared" si="571"/>
        <v>40</v>
      </c>
      <c r="AB423" s="600">
        <f t="shared" si="571"/>
        <v>0</v>
      </c>
      <c r="AC423" s="601">
        <f t="shared" si="571"/>
        <v>0</v>
      </c>
      <c r="AD423" s="602">
        <f t="shared" si="572"/>
        <v>40</v>
      </c>
      <c r="AE423" s="602">
        <f>AD423-S423</f>
        <v>0</v>
      </c>
      <c r="AF423" s="605" t="s">
        <v>258</v>
      </c>
      <c r="AG423" s="605" t="s">
        <v>219</v>
      </c>
      <c r="AH423" s="605" t="str">
        <f>IFERROR(INDEX('Annex 2_Code'!$J$114:$J$131,MATCH('Annex 3_MAFF'!AF423,'Annex 2_Code'!$G$114:$G$131,0)),"")</f>
        <v>MAFF-GDA</v>
      </c>
      <c r="AI423" s="646" t="str">
        <f t="shared" si="573"/>
        <v>MAFF</v>
      </c>
      <c r="AJ423" s="625" t="s">
        <v>452</v>
      </c>
    </row>
    <row r="424" spans="1:41" s="625" customFormat="1" ht="23.25" outlineLevel="1">
      <c r="A424" s="307"/>
      <c r="B424" s="659" t="s">
        <v>1463</v>
      </c>
      <c r="C424" s="669" t="s">
        <v>131</v>
      </c>
      <c r="D424" s="701"/>
      <c r="E424" s="307" t="s">
        <v>1294</v>
      </c>
      <c r="F424" s="615"/>
      <c r="G424" s="616" t="s">
        <v>641</v>
      </c>
      <c r="H424" s="811" t="s">
        <v>598</v>
      </c>
      <c r="I424" s="1366">
        <v>30</v>
      </c>
      <c r="J424" s="619">
        <v>0</v>
      </c>
      <c r="K424" s="620">
        <v>1</v>
      </c>
      <c r="L424" s="620">
        <v>1</v>
      </c>
      <c r="M424" s="620">
        <v>1</v>
      </c>
      <c r="N424" s="621">
        <f>SUM(J424:M424)</f>
        <v>3</v>
      </c>
      <c r="O424" s="622">
        <f>$I$424*J424</f>
        <v>0</v>
      </c>
      <c r="P424" s="623">
        <f>$I$424*K424</f>
        <v>30</v>
      </c>
      <c r="Q424" s="623">
        <f>$I$424*L424</f>
        <v>30</v>
      </c>
      <c r="R424" s="623">
        <f>$I$424*M424</f>
        <v>30</v>
      </c>
      <c r="S424" s="1356">
        <f>SUM(O424:R424)</f>
        <v>90</v>
      </c>
      <c r="T424" s="719">
        <f>IFERROR(INDEX('Annex 2_Code'!I$8:I$33,MATCH('Annex 3_MAFF'!$AG424,'Annex 2_Code'!$G$8:$G$33,0)),"")</f>
        <v>0</v>
      </c>
      <c r="U424" s="719">
        <f>IFERROR(INDEX('Annex 2_Code'!J$8:J$33,MATCH('Annex 3_MAFF'!$AG424,'Annex 2_Code'!$G$8:$G$33,0)),"")</f>
        <v>0</v>
      </c>
      <c r="V424" s="719">
        <f>IFERROR(INDEX('Annex 2_Code'!K$8:K$33,MATCH('Annex 3_MAFF'!$AG424,'Annex 2_Code'!$G$8:$G$33,0)),"")</f>
        <v>1</v>
      </c>
      <c r="W424" s="719">
        <f>IFERROR(INDEX('Annex 2_Code'!L$8:L$33,MATCH('Annex 3_MAFF'!$AG424,'Annex 2_Code'!$G$8:$G$33,0)),"")</f>
        <v>0</v>
      </c>
      <c r="X424" s="719">
        <f>IFERROR(INDEX('Annex 2_Code'!M$8:M$33,MATCH('Annex 3_MAFF'!$AG424,'Annex 2_Code'!$G$8:$G$33,0)),"")</f>
        <v>0</v>
      </c>
      <c r="Y424" s="647">
        <f t="shared" ref="Y424:Y468" si="574">IFERROR($S424*T424,"")</f>
        <v>0</v>
      </c>
      <c r="Z424" s="600">
        <f t="shared" ref="Z424:AA468" si="575">IFERROR($S424*U424,"")</f>
        <v>0</v>
      </c>
      <c r="AA424" s="600">
        <f t="shared" si="575"/>
        <v>90</v>
      </c>
      <c r="AB424" s="600">
        <f t="shared" ref="AB424:AB468" si="576">IFERROR($S424*W424,"")</f>
        <v>0</v>
      </c>
      <c r="AC424" s="601">
        <f t="shared" ref="AC424:AC468" si="577">IFERROR($S424*X424,"")</f>
        <v>0</v>
      </c>
      <c r="AD424" s="602">
        <f t="shared" si="572"/>
        <v>90</v>
      </c>
      <c r="AE424" s="602">
        <f>AD424-S424</f>
        <v>0</v>
      </c>
      <c r="AF424" s="605" t="s">
        <v>258</v>
      </c>
      <c r="AG424" s="605" t="s">
        <v>219</v>
      </c>
      <c r="AH424" s="605" t="str">
        <f>IFERROR(INDEX('Annex 2_Code'!$J$114:$J$131,MATCH('Annex 3_MAFF'!AF424,'Annex 2_Code'!$G$114:$G$131,0)),"")</f>
        <v>MAFF-GDA</v>
      </c>
      <c r="AI424" s="646" t="str">
        <f t="shared" si="573"/>
        <v>MAFF</v>
      </c>
      <c r="AJ424" s="625" t="s">
        <v>452</v>
      </c>
    </row>
    <row r="425" spans="1:41" s="625" customFormat="1" ht="23.25">
      <c r="A425" s="307"/>
      <c r="B425" s="659" t="s">
        <v>54</v>
      </c>
      <c r="C425" s="669"/>
      <c r="D425" s="730"/>
      <c r="E425" s="591" t="s">
        <v>583</v>
      </c>
      <c r="F425" s="592"/>
      <c r="G425" s="734"/>
      <c r="H425" s="805"/>
      <c r="I425" s="2180"/>
      <c r="J425" s="2260">
        <f t="shared" ref="J425:S425" si="578">SUM(J423:J424)</f>
        <v>1</v>
      </c>
      <c r="K425" s="2261">
        <f t="shared" si="578"/>
        <v>2</v>
      </c>
      <c r="L425" s="2261">
        <f t="shared" si="578"/>
        <v>1</v>
      </c>
      <c r="M425" s="2261">
        <f t="shared" si="578"/>
        <v>1</v>
      </c>
      <c r="N425" s="2262">
        <f t="shared" si="578"/>
        <v>5</v>
      </c>
      <c r="O425" s="2263">
        <f t="shared" si="578"/>
        <v>20</v>
      </c>
      <c r="P425" s="2264">
        <f t="shared" si="578"/>
        <v>50</v>
      </c>
      <c r="Q425" s="2264">
        <f t="shared" si="578"/>
        <v>30</v>
      </c>
      <c r="R425" s="2264">
        <f t="shared" si="578"/>
        <v>30</v>
      </c>
      <c r="S425" s="2478">
        <f t="shared" si="578"/>
        <v>130</v>
      </c>
      <c r="T425" s="599" t="str">
        <f>IFERROR(INDEX('Annex 2_Code'!I$8:I$33,MATCH('Annex 3_MAFF'!$AG425,'Annex 2_Code'!$G$8:$G$33,0)),"")</f>
        <v/>
      </c>
      <c r="U425" s="599" t="str">
        <f>IFERROR(INDEX('Annex 2_Code'!J$8:J$33,MATCH('Annex 3_MAFF'!$AG425,'Annex 2_Code'!$G$8:$G$33,0)),"")</f>
        <v/>
      </c>
      <c r="V425" s="599" t="str">
        <f>IFERROR(INDEX('Annex 2_Code'!K$8:K$33,MATCH('Annex 3_MAFF'!$AG425,'Annex 2_Code'!$G$8:$G$33,0)),"")</f>
        <v/>
      </c>
      <c r="W425" s="599" t="str">
        <f>IFERROR(INDEX('Annex 2_Code'!L$8:L$33,MATCH('Annex 3_MAFF'!$AG425,'Annex 2_Code'!$G$8:$G$33,0)),"")</f>
        <v/>
      </c>
      <c r="X425" s="599" t="str">
        <f>IFERROR(INDEX('Annex 2_Code'!M$8:M$33,MATCH('Annex 3_MAFF'!$AG425,'Annex 2_Code'!$G$8:$G$33,0)),"")</f>
        <v/>
      </c>
      <c r="Y425" s="647" t="str">
        <f t="shared" si="574"/>
        <v/>
      </c>
      <c r="Z425" s="600" t="str">
        <f t="shared" si="575"/>
        <v/>
      </c>
      <c r="AA425" s="600" t="str">
        <f t="shared" si="575"/>
        <v/>
      </c>
      <c r="AB425" s="600" t="str">
        <f t="shared" si="576"/>
        <v/>
      </c>
      <c r="AC425" s="601" t="str">
        <f t="shared" si="577"/>
        <v/>
      </c>
      <c r="AD425" s="602">
        <f t="shared" si="572"/>
        <v>0</v>
      </c>
      <c r="AE425" s="602">
        <f>AD425-S425</f>
        <v>-130</v>
      </c>
      <c r="AF425" s="605"/>
      <c r="AG425" s="605"/>
      <c r="AH425" s="605" t="str">
        <f>IFERROR(INDEX('Annex 2_Code'!$J$114:$J$126,MATCH('Annex 3_MAFF'!AF425,'Annex 2_Code'!$G$114:$G$126,0)),"")</f>
        <v/>
      </c>
      <c r="AI425" s="646" t="str">
        <f t="shared" si="573"/>
        <v/>
      </c>
    </row>
    <row r="426" spans="1:41" s="625" customFormat="1" ht="16.5">
      <c r="A426" s="307"/>
      <c r="B426" s="659" t="s">
        <v>54</v>
      </c>
      <c r="C426" s="669"/>
      <c r="D426" s="701"/>
      <c r="E426" s="799" t="s">
        <v>1134</v>
      </c>
      <c r="F426" s="615" t="s">
        <v>790</v>
      </c>
      <c r="G426" s="616"/>
      <c r="H426" s="782" t="s">
        <v>12</v>
      </c>
      <c r="I426" s="1366"/>
      <c r="J426" s="619"/>
      <c r="K426" s="620"/>
      <c r="L426" s="620"/>
      <c r="M426" s="620"/>
      <c r="N426" s="621"/>
      <c r="O426" s="622"/>
      <c r="P426" s="623"/>
      <c r="Q426" s="623"/>
      <c r="R426" s="623"/>
      <c r="S426" s="1356" t="s">
        <v>12</v>
      </c>
      <c r="T426" s="599" t="str">
        <f>IFERROR(INDEX('Annex 2_Code'!I$8:I$33,MATCH('Annex 3_MAFF'!$AG426,'Annex 2_Code'!$G$8:$G$33,0)),"")</f>
        <v/>
      </c>
      <c r="U426" s="599" t="str">
        <f>IFERROR(INDEX('Annex 2_Code'!J$8:J$33,MATCH('Annex 3_MAFF'!$AG426,'Annex 2_Code'!$G$8:$G$33,0)),"")</f>
        <v/>
      </c>
      <c r="V426" s="599" t="str">
        <f>IFERROR(INDEX('Annex 2_Code'!K$8:K$33,MATCH('Annex 3_MAFF'!$AG426,'Annex 2_Code'!$G$8:$G$33,0)),"")</f>
        <v/>
      </c>
      <c r="W426" s="599" t="str">
        <f>IFERROR(INDEX('Annex 2_Code'!L$8:L$33,MATCH('Annex 3_MAFF'!$AG426,'Annex 2_Code'!$G$8:$G$33,0)),"")</f>
        <v/>
      </c>
      <c r="X426" s="599" t="str">
        <f>IFERROR(INDEX('Annex 2_Code'!M$8:M$33,MATCH('Annex 3_MAFF'!$AG426,'Annex 2_Code'!$G$8:$G$33,0)),"")</f>
        <v/>
      </c>
      <c r="Y426" s="647" t="str">
        <f t="shared" si="574"/>
        <v/>
      </c>
      <c r="Z426" s="600" t="str">
        <f t="shared" si="575"/>
        <v/>
      </c>
      <c r="AA426" s="600" t="str">
        <f t="shared" si="575"/>
        <v/>
      </c>
      <c r="AB426" s="600" t="str">
        <f t="shared" si="576"/>
        <v/>
      </c>
      <c r="AC426" s="601" t="str">
        <f t="shared" si="577"/>
        <v/>
      </c>
      <c r="AD426" s="602">
        <f t="shared" si="572"/>
        <v>0</v>
      </c>
      <c r="AE426" s="602"/>
      <c r="AF426" s="605"/>
      <c r="AG426" s="605"/>
      <c r="AH426" s="605" t="str">
        <f>IFERROR(INDEX('Annex 2_Code'!$J$114:$J$126,MATCH('Annex 3_MAFF'!AF426,'Annex 2_Code'!$G$114:$G$126,0)),"")</f>
        <v/>
      </c>
      <c r="AI426" s="646" t="str">
        <f t="shared" si="573"/>
        <v/>
      </c>
    </row>
    <row r="427" spans="1:41" s="625" customFormat="1" ht="37.5" outlineLevel="1">
      <c r="A427" s="307"/>
      <c r="B427" s="659" t="s">
        <v>1463</v>
      </c>
      <c r="C427" s="669" t="s">
        <v>131</v>
      </c>
      <c r="D427" s="701"/>
      <c r="E427" s="307" t="s">
        <v>1290</v>
      </c>
      <c r="F427" s="615"/>
      <c r="G427" s="616" t="s">
        <v>642</v>
      </c>
      <c r="H427" s="811" t="s">
        <v>598</v>
      </c>
      <c r="I427" s="1366">
        <v>485.24</v>
      </c>
      <c r="J427" s="619">
        <v>0.1</v>
      </c>
      <c r="K427" s="620">
        <v>0.3</v>
      </c>
      <c r="L427" s="620">
        <v>0.3</v>
      </c>
      <c r="M427" s="620">
        <v>0.3</v>
      </c>
      <c r="N427" s="621">
        <f>SUM(J427:M427)</f>
        <v>1</v>
      </c>
      <c r="O427" s="622">
        <f t="shared" ref="O427:P427" si="579">$I427*J427</f>
        <v>48.524000000000001</v>
      </c>
      <c r="P427" s="623">
        <f t="shared" si="579"/>
        <v>145.572</v>
      </c>
      <c r="Q427" s="623">
        <f t="shared" ref="Q427:R427" si="580">$I427*L427</f>
        <v>145.572</v>
      </c>
      <c r="R427" s="623">
        <f t="shared" si="580"/>
        <v>145.572</v>
      </c>
      <c r="S427" s="1356">
        <f>SUM(O427:R427)</f>
        <v>485.24</v>
      </c>
      <c r="T427" s="599">
        <f>IFERROR(INDEX('Annex 2_Code'!I$8:I$33,MATCH('Annex 3_MAFF'!$AG427,'Annex 2_Code'!$G$8:$G$33,0)),"")</f>
        <v>0</v>
      </c>
      <c r="U427" s="599">
        <f>IFERROR(INDEX('Annex 2_Code'!J$8:J$33,MATCH('Annex 3_MAFF'!$AG427,'Annex 2_Code'!$G$8:$G$33,0)),"")</f>
        <v>0</v>
      </c>
      <c r="V427" s="599">
        <f>IFERROR(INDEX('Annex 2_Code'!K$8:K$33,MATCH('Annex 3_MAFF'!$AG427,'Annex 2_Code'!$G$8:$G$33,0)),"")</f>
        <v>1</v>
      </c>
      <c r="W427" s="599">
        <f>IFERROR(INDEX('Annex 2_Code'!L$8:L$33,MATCH('Annex 3_MAFF'!$AG427,'Annex 2_Code'!$G$8:$G$33,0)),"")</f>
        <v>0</v>
      </c>
      <c r="X427" s="599">
        <f>IFERROR(INDEX('Annex 2_Code'!M$8:M$33,MATCH('Annex 3_MAFF'!$AG427,'Annex 2_Code'!$G$8:$G$33,0)),"")</f>
        <v>0</v>
      </c>
      <c r="Y427" s="647">
        <f t="shared" si="574"/>
        <v>0</v>
      </c>
      <c r="Z427" s="600">
        <f t="shared" si="575"/>
        <v>0</v>
      </c>
      <c r="AA427" s="600">
        <f t="shared" si="575"/>
        <v>485.24</v>
      </c>
      <c r="AB427" s="600">
        <f t="shared" si="576"/>
        <v>0</v>
      </c>
      <c r="AC427" s="601">
        <f t="shared" si="577"/>
        <v>0</v>
      </c>
      <c r="AD427" s="602">
        <f t="shared" si="572"/>
        <v>485.24</v>
      </c>
      <c r="AE427" s="602">
        <f>AD427-S427</f>
        <v>0</v>
      </c>
      <c r="AF427" s="605" t="s">
        <v>258</v>
      </c>
      <c r="AG427" s="605" t="s">
        <v>219</v>
      </c>
      <c r="AH427" s="605" t="str">
        <f>IFERROR(INDEX('Annex 2_Code'!$J$114:$J$131,MATCH('Annex 3_MAFF'!AF427,'Annex 2_Code'!$G$114:$G$131,0)),"")</f>
        <v>MAFF-GDA</v>
      </c>
      <c r="AI427" s="646" t="str">
        <f t="shared" si="573"/>
        <v>MAFF</v>
      </c>
      <c r="AJ427" s="625" t="s">
        <v>450</v>
      </c>
    </row>
    <row r="428" spans="1:41" s="625" customFormat="1" ht="23.25">
      <c r="A428" s="307"/>
      <c r="B428" s="659" t="s">
        <v>54</v>
      </c>
      <c r="C428" s="669"/>
      <c r="D428" s="730"/>
      <c r="E428" s="591" t="s">
        <v>583</v>
      </c>
      <c r="F428" s="592"/>
      <c r="G428" s="734"/>
      <c r="H428" s="805"/>
      <c r="I428" s="2180"/>
      <c r="J428" s="2260">
        <f t="shared" ref="J428:S428" si="581">SUM(J427:J427)</f>
        <v>0.1</v>
      </c>
      <c r="K428" s="2261">
        <f t="shared" si="581"/>
        <v>0.3</v>
      </c>
      <c r="L428" s="2261">
        <f t="shared" si="581"/>
        <v>0.3</v>
      </c>
      <c r="M428" s="2261">
        <f t="shared" si="581"/>
        <v>0.3</v>
      </c>
      <c r="N428" s="2262">
        <f t="shared" si="581"/>
        <v>1</v>
      </c>
      <c r="O428" s="2263">
        <f t="shared" si="581"/>
        <v>48.524000000000001</v>
      </c>
      <c r="P428" s="2264">
        <f t="shared" si="581"/>
        <v>145.572</v>
      </c>
      <c r="Q428" s="2264">
        <f t="shared" si="581"/>
        <v>145.572</v>
      </c>
      <c r="R428" s="2264">
        <f t="shared" si="581"/>
        <v>145.572</v>
      </c>
      <c r="S428" s="2478">
        <f t="shared" si="581"/>
        <v>485.24</v>
      </c>
      <c r="T428" s="599" t="str">
        <f>IFERROR(INDEX('Annex 2_Code'!I$8:I$33,MATCH('Annex 3_MAFF'!$AG428,'Annex 2_Code'!$G$8:$G$33,0)),"")</f>
        <v/>
      </c>
      <c r="U428" s="599" t="str">
        <f>IFERROR(INDEX('Annex 2_Code'!J$8:J$33,MATCH('Annex 3_MAFF'!$AG428,'Annex 2_Code'!$G$8:$G$33,0)),"")</f>
        <v/>
      </c>
      <c r="V428" s="599" t="str">
        <f>IFERROR(INDEX('Annex 2_Code'!K$8:K$33,MATCH('Annex 3_MAFF'!$AG428,'Annex 2_Code'!$G$8:$G$33,0)),"")</f>
        <v/>
      </c>
      <c r="W428" s="599" t="str">
        <f>IFERROR(INDEX('Annex 2_Code'!L$8:L$33,MATCH('Annex 3_MAFF'!$AG428,'Annex 2_Code'!$G$8:$G$33,0)),"")</f>
        <v/>
      </c>
      <c r="X428" s="599" t="str">
        <f>IFERROR(INDEX('Annex 2_Code'!M$8:M$33,MATCH('Annex 3_MAFF'!$AG428,'Annex 2_Code'!$G$8:$G$33,0)),"")</f>
        <v/>
      </c>
      <c r="Y428" s="647" t="str">
        <f t="shared" si="574"/>
        <v/>
      </c>
      <c r="Z428" s="600" t="str">
        <f t="shared" si="575"/>
        <v/>
      </c>
      <c r="AA428" s="600" t="str">
        <f t="shared" si="575"/>
        <v/>
      </c>
      <c r="AB428" s="600" t="str">
        <f t="shared" si="576"/>
        <v/>
      </c>
      <c r="AC428" s="601" t="str">
        <f t="shared" si="577"/>
        <v/>
      </c>
      <c r="AD428" s="602">
        <f t="shared" si="572"/>
        <v>0</v>
      </c>
      <c r="AE428" s="602">
        <f>AD428-S428</f>
        <v>-485.24</v>
      </c>
      <c r="AF428" s="605"/>
      <c r="AG428" s="605"/>
      <c r="AH428" s="605" t="str">
        <f>IFERROR(INDEX('Annex 2_Code'!$J$114:$J$126,MATCH('Annex 3_MAFF'!AF428,'Annex 2_Code'!$G$114:$G$126,0)),"")</f>
        <v/>
      </c>
      <c r="AI428" s="646" t="str">
        <f t="shared" si="573"/>
        <v/>
      </c>
    </row>
    <row r="429" spans="1:41" s="625" customFormat="1" ht="23.25">
      <c r="A429" s="307"/>
      <c r="B429" s="659"/>
      <c r="C429" s="613"/>
      <c r="D429" s="730"/>
      <c r="E429" s="591" t="s">
        <v>794</v>
      </c>
      <c r="F429" s="592"/>
      <c r="G429" s="734"/>
      <c r="H429" s="805"/>
      <c r="I429" s="2180"/>
      <c r="J429" s="2260">
        <f>SUM(J428,J425,J421,J418,J414)</f>
        <v>1.1000000000000001</v>
      </c>
      <c r="K429" s="2261">
        <f>SUM(K428,K425,K421,K418,K414)</f>
        <v>3.63</v>
      </c>
      <c r="L429" s="2261">
        <f t="shared" ref="L429:M429" si="582">SUM(L428,L425,L421,L418,L414)</f>
        <v>2.1349999999999998</v>
      </c>
      <c r="M429" s="2261">
        <f t="shared" si="582"/>
        <v>3.1349999999999998</v>
      </c>
      <c r="N429" s="2262">
        <f>SUM(J429:M429)</f>
        <v>10</v>
      </c>
      <c r="O429" s="2263">
        <f>SUM(O428,O425,O421,O418)</f>
        <v>68.524000000000001</v>
      </c>
      <c r="P429" s="2264">
        <f>SUM(P428,P425,P421,P418)</f>
        <v>309.75200000000001</v>
      </c>
      <c r="Q429" s="2264">
        <f t="shared" ref="Q429:R429" si="583">SUM(Q428,Q425,Q421,Q418)</f>
        <v>291.48200000000003</v>
      </c>
      <c r="R429" s="2264">
        <f t="shared" si="583"/>
        <v>376.18755000000004</v>
      </c>
      <c r="S429" s="2481">
        <f>SUM(O429:R429)</f>
        <v>1045.9455500000001</v>
      </c>
      <c r="T429" s="599" t="str">
        <f>IFERROR(INDEX('Annex 2_Code'!I$8:I$33,MATCH('Annex 3_MAFF'!$AG429,'Annex 2_Code'!$G$8:$G$33,0)),"")</f>
        <v/>
      </c>
      <c r="U429" s="599" t="str">
        <f>IFERROR(INDEX('Annex 2_Code'!J$8:J$33,MATCH('Annex 3_MAFF'!$AG429,'Annex 2_Code'!$G$8:$G$33,0)),"")</f>
        <v/>
      </c>
      <c r="V429" s="599" t="str">
        <f>IFERROR(INDEX('Annex 2_Code'!K$8:K$33,MATCH('Annex 3_MAFF'!$AG429,'Annex 2_Code'!$G$8:$G$33,0)),"")</f>
        <v/>
      </c>
      <c r="W429" s="599" t="str">
        <f>IFERROR(INDEX('Annex 2_Code'!L$8:L$33,MATCH('Annex 3_MAFF'!$AG429,'Annex 2_Code'!$G$8:$G$33,0)),"")</f>
        <v/>
      </c>
      <c r="X429" s="599" t="str">
        <f>IFERROR(INDEX('Annex 2_Code'!M$8:M$33,MATCH('Annex 3_MAFF'!$AG429,'Annex 2_Code'!$G$8:$G$33,0)),"")</f>
        <v/>
      </c>
      <c r="Y429" s="647"/>
      <c r="Z429" s="600"/>
      <c r="AA429" s="600"/>
      <c r="AB429" s="600"/>
      <c r="AC429" s="601"/>
      <c r="AD429" s="602"/>
      <c r="AE429" s="602"/>
      <c r="AF429" s="605"/>
      <c r="AG429" s="605"/>
      <c r="AH429" s="605"/>
      <c r="AI429" s="646"/>
      <c r="AK429" s="824"/>
      <c r="AL429" s="824"/>
      <c r="AN429" s="607"/>
    </row>
    <row r="430" spans="1:41" s="625" customFormat="1" ht="45" customHeight="1">
      <c r="A430" s="307"/>
      <c r="B430" s="613" t="s">
        <v>54</v>
      </c>
      <c r="C430" s="613"/>
      <c r="D430" s="2624" t="s">
        <v>1502</v>
      </c>
      <c r="E430" s="2625"/>
      <c r="F430" s="2625"/>
      <c r="G430" s="2626"/>
      <c r="H430" s="2269" t="s">
        <v>12</v>
      </c>
      <c r="I430" s="2270" t="s">
        <v>12</v>
      </c>
      <c r="J430" s="2271">
        <f>SUM(J429)</f>
        <v>1.1000000000000001</v>
      </c>
      <c r="K430" s="2272">
        <f>SUM(K429)</f>
        <v>3.63</v>
      </c>
      <c r="L430" s="2272">
        <f>SUM(L429)</f>
        <v>2.1349999999999998</v>
      </c>
      <c r="M430" s="2272">
        <f>SUM(M429)</f>
        <v>3.1349999999999998</v>
      </c>
      <c r="N430" s="2273">
        <f>SUM(J430:M430)</f>
        <v>10</v>
      </c>
      <c r="O430" s="1756">
        <f>SUM(O429,O414)</f>
        <v>68.524000000000001</v>
      </c>
      <c r="P430" s="1704">
        <f>SUM(P429,P414)</f>
        <v>309.75200000000001</v>
      </c>
      <c r="Q430" s="1704">
        <f t="shared" ref="Q430:R430" si="584">SUM(Q429,Q414)</f>
        <v>768.73199999999997</v>
      </c>
      <c r="R430" s="1704">
        <f t="shared" si="584"/>
        <v>853.4375500000001</v>
      </c>
      <c r="S430" s="2481">
        <f>SUM(O430:R430)</f>
        <v>2000.4455500000001</v>
      </c>
      <c r="T430" s="599" t="str">
        <f>IFERROR(INDEX('Annex 2_Code'!I$8:I$33,MATCH('Annex 3_MAFF'!$AG430,'Annex 2_Code'!$G$8:$G$33,0)),"")</f>
        <v/>
      </c>
      <c r="U430" s="599" t="str">
        <f>IFERROR(INDEX('Annex 2_Code'!J$8:J$33,MATCH('Annex 3_MAFF'!$AG430,'Annex 2_Code'!$G$8:$G$33,0)),"")</f>
        <v/>
      </c>
      <c r="V430" s="599" t="str">
        <f>IFERROR(INDEX('Annex 2_Code'!K$8:K$33,MATCH('Annex 3_MAFF'!$AG430,'Annex 2_Code'!$G$8:$G$33,0)),"")</f>
        <v/>
      </c>
      <c r="W430" s="599" t="str">
        <f>IFERROR(INDEX('Annex 2_Code'!L$8:L$33,MATCH('Annex 3_MAFF'!$AG430,'Annex 2_Code'!$G$8:$G$33,0)),"")</f>
        <v/>
      </c>
      <c r="X430" s="599" t="str">
        <f>IFERROR(INDEX('Annex 2_Code'!M$8:M$33,MATCH('Annex 3_MAFF'!$AG430,'Annex 2_Code'!$G$8:$G$33,0)),"")</f>
        <v/>
      </c>
      <c r="Y430" s="1756"/>
      <c r="Z430" s="1704"/>
      <c r="AA430" s="1704"/>
      <c r="AB430" s="1704"/>
      <c r="AC430" s="1757"/>
      <c r="AD430" s="634">
        <f>SUM(AD412:AD428)</f>
        <v>2000.4455499999999</v>
      </c>
      <c r="AE430" s="602">
        <f>AD430-S430</f>
        <v>0</v>
      </c>
      <c r="AF430" s="605"/>
      <c r="AG430" s="605"/>
      <c r="AH430" s="605" t="str">
        <f>IFERROR(INDEX('Annex 2_Code'!$J$114:$J$126,MATCH('Annex 3_MAFF'!AF430,'Annex 2_Code'!$G$114:$G$126,0)),"")</f>
        <v/>
      </c>
      <c r="AI430" s="646" t="str">
        <f t="shared" si="573"/>
        <v/>
      </c>
      <c r="AN430" s="607" t="s">
        <v>422</v>
      </c>
    </row>
    <row r="431" spans="1:41" s="625" customFormat="1" ht="23.25">
      <c r="A431" s="587"/>
      <c r="B431" s="613" t="s">
        <v>54</v>
      </c>
      <c r="C431" s="613"/>
      <c r="D431" s="475" t="s">
        <v>643</v>
      </c>
      <c r="E431" s="743"/>
      <c r="F431" s="656"/>
      <c r="G431" s="656"/>
      <c r="H431" s="812"/>
      <c r="I431" s="753"/>
      <c r="J431" s="1494"/>
      <c r="K431" s="1495"/>
      <c r="L431" s="1495"/>
      <c r="M431" s="1495"/>
      <c r="N431" s="1496"/>
      <c r="O431" s="815"/>
      <c r="P431" s="816"/>
      <c r="Q431" s="816"/>
      <c r="R431" s="816"/>
      <c r="S431" s="2482">
        <f>SUM(O430:R430)</f>
        <v>2000.4455500000001</v>
      </c>
      <c r="T431" s="599"/>
      <c r="U431" s="599"/>
      <c r="V431" s="599"/>
      <c r="W431" s="599"/>
      <c r="X431" s="599"/>
      <c r="Y431" s="647"/>
      <c r="Z431" s="600"/>
      <c r="AA431" s="600">
        <f t="shared" si="575"/>
        <v>0</v>
      </c>
      <c r="AB431" s="600"/>
      <c r="AC431" s="601"/>
      <c r="AD431" s="602"/>
      <c r="AE431" s="602"/>
      <c r="AF431" s="605"/>
      <c r="AG431" s="605"/>
      <c r="AH431" s="605"/>
      <c r="AI431" s="646"/>
      <c r="AN431" s="625" t="str">
        <f>G437</f>
        <v>Road Taxes (12 Pick-Up Cars) / ពន្ធផ្លូវ (ទ្បានម៉ាក់ Pick-Up ១២ គ្រឿង)</v>
      </c>
      <c r="AO431" s="817">
        <f>+S437</f>
        <v>4.8000000000000007</v>
      </c>
    </row>
    <row r="432" spans="1:41" s="625" customFormat="1" ht="29.25" customHeight="1">
      <c r="A432" s="587"/>
      <c r="B432" s="659" t="s">
        <v>54</v>
      </c>
      <c r="C432" s="613"/>
      <c r="D432" s="818"/>
      <c r="E432" s="2622" t="s">
        <v>644</v>
      </c>
      <c r="F432" s="2622"/>
      <c r="G432" s="2622"/>
      <c r="H432" s="617"/>
      <c r="I432" s="618"/>
      <c r="J432" s="1470"/>
      <c r="K432" s="1471"/>
      <c r="L432" s="1471"/>
      <c r="M432" s="1471"/>
      <c r="N432" s="1469"/>
      <c r="O432" s="622"/>
      <c r="P432" s="623"/>
      <c r="Q432" s="623" t="s">
        <v>12</v>
      </c>
      <c r="R432" s="623"/>
      <c r="S432" s="1419"/>
      <c r="T432" s="599" t="str">
        <f>IFERROR(INDEX('Annex 2_Code'!I$8:I$33,MATCH('Annex 3_MAFF'!$AG432,'Annex 2_Code'!$G$8:$G$33,0)),"")</f>
        <v/>
      </c>
      <c r="U432" s="599" t="str">
        <f>IFERROR(INDEX('Annex 2_Code'!J$8:J$33,MATCH('Annex 3_MAFF'!$AG432,'Annex 2_Code'!$G$8:$G$33,0)),"")</f>
        <v/>
      </c>
      <c r="V432" s="599" t="str">
        <f>IFERROR(INDEX('Annex 2_Code'!K$8:K$33,MATCH('Annex 3_MAFF'!$AG432,'Annex 2_Code'!$G$8:$G$33,0)),"")</f>
        <v/>
      </c>
      <c r="W432" s="599" t="str">
        <f>IFERROR(INDEX('Annex 2_Code'!L$8:L$33,MATCH('Annex 3_MAFF'!$AG432,'Annex 2_Code'!$G$8:$G$33,0)),"")</f>
        <v/>
      </c>
      <c r="X432" s="599" t="str">
        <f>IFERROR(INDEX('Annex 2_Code'!M$8:M$33,MATCH('Annex 3_MAFF'!$AG432,'Annex 2_Code'!$G$8:$G$33,0)),"")</f>
        <v/>
      </c>
      <c r="Y432" s="647" t="str">
        <f t="shared" si="574"/>
        <v/>
      </c>
      <c r="Z432" s="600" t="str">
        <f t="shared" si="575"/>
        <v/>
      </c>
      <c r="AA432" s="600" t="str">
        <f t="shared" si="575"/>
        <v/>
      </c>
      <c r="AB432" s="600" t="str">
        <f t="shared" si="576"/>
        <v/>
      </c>
      <c r="AC432" s="601" t="str">
        <f t="shared" si="577"/>
        <v/>
      </c>
      <c r="AD432" s="602"/>
      <c r="AE432" s="602"/>
      <c r="AF432" s="605"/>
      <c r="AG432" s="605"/>
      <c r="AH432" s="605" t="str">
        <f>IFERROR(INDEX('Annex 2_Code'!$J$114:$J$126,MATCH('Annex 3_MAFF'!AF432,'Annex 2_Code'!$G$114:$G$126,0)),"")</f>
        <v/>
      </c>
      <c r="AI432" s="646" t="str">
        <f t="shared" si="573"/>
        <v/>
      </c>
      <c r="AM432" s="819" t="s">
        <v>74</v>
      </c>
      <c r="AN432" s="820" t="str">
        <f>+G440</f>
        <v xml:space="preserve">Vehicle Operating Costs (15 Vehicles "500$/month/vehicle")
ការចំណាយលើការប្រើប្រាស់ប្រេងឥន្ធនៈសម្រាប់យានយន្ត </v>
      </c>
      <c r="AO432" s="821">
        <f>+S440</f>
        <v>90</v>
      </c>
    </row>
    <row r="433" spans="1:41" s="625" customFormat="1" ht="36" customHeight="1">
      <c r="A433" s="587"/>
      <c r="B433" s="659" t="s">
        <v>54</v>
      </c>
      <c r="C433" s="613"/>
      <c r="D433" s="701"/>
      <c r="E433" s="307" t="s">
        <v>645</v>
      </c>
      <c r="F433" s="615"/>
      <c r="G433" s="616"/>
      <c r="H433" s="782"/>
      <c r="I433" s="572"/>
      <c r="J433" s="1470"/>
      <c r="K433" s="1471"/>
      <c r="L433" s="1471"/>
      <c r="M433" s="1471"/>
      <c r="N433" s="1472"/>
      <c r="O433" s="622"/>
      <c r="P433" s="623"/>
      <c r="Q433" s="623"/>
      <c r="R433" s="623"/>
      <c r="S433" s="1423"/>
      <c r="T433" s="599" t="str">
        <f>IFERROR(INDEX('Annex 2_Code'!I$8:I$33,MATCH('Annex 3_MAFF'!$AG433,'Annex 2_Code'!$G$8:$G$33,0)),"")</f>
        <v/>
      </c>
      <c r="U433" s="599" t="str">
        <f>IFERROR(INDEX('Annex 2_Code'!J$8:J$33,MATCH('Annex 3_MAFF'!$AG433,'Annex 2_Code'!$G$8:$G$33,0)),"")</f>
        <v/>
      </c>
      <c r="V433" s="599" t="str">
        <f>IFERROR(INDEX('Annex 2_Code'!K$8:K$33,MATCH('Annex 3_MAFF'!$AG433,'Annex 2_Code'!$G$8:$G$33,0)),"")</f>
        <v/>
      </c>
      <c r="W433" s="599" t="str">
        <f>IFERROR(INDEX('Annex 2_Code'!L$8:L$33,MATCH('Annex 3_MAFF'!$AG433,'Annex 2_Code'!$G$8:$G$33,0)),"")</f>
        <v/>
      </c>
      <c r="X433" s="599" t="str">
        <f>IFERROR(INDEX('Annex 2_Code'!M$8:M$33,MATCH('Annex 3_MAFF'!$AG433,'Annex 2_Code'!$G$8:$G$33,0)),"")</f>
        <v/>
      </c>
      <c r="Y433" s="647" t="str">
        <f t="shared" si="574"/>
        <v/>
      </c>
      <c r="Z433" s="600" t="str">
        <f t="shared" si="575"/>
        <v/>
      </c>
      <c r="AA433" s="600" t="str">
        <f t="shared" si="575"/>
        <v/>
      </c>
      <c r="AB433" s="600" t="str">
        <f t="shared" si="576"/>
        <v/>
      </c>
      <c r="AC433" s="601" t="str">
        <f t="shared" si="577"/>
        <v/>
      </c>
      <c r="AD433" s="602">
        <f t="shared" ref="AD433:AD490" si="585">SUM(Y433:AC433)</f>
        <v>0</v>
      </c>
      <c r="AE433" s="602">
        <f t="shared" ref="AE433:AE492" si="586">AD433-S433</f>
        <v>0</v>
      </c>
      <c r="AF433" s="605"/>
      <c r="AG433" s="605"/>
      <c r="AH433" s="605" t="str">
        <f>IFERROR(INDEX('Annex 2_Code'!$J$114:$J$126,MATCH('Annex 3_MAFF'!AF433,'Annex 2_Code'!$G$114:$G$126,0)),"")</f>
        <v/>
      </c>
      <c r="AI433" s="646" t="str">
        <f t="shared" si="573"/>
        <v/>
      </c>
      <c r="AM433" s="819" t="s">
        <v>77</v>
      </c>
      <c r="AN433" s="820" t="str">
        <f>+G441</f>
        <v>Motorbike fuel 
ការចំណាយលើថ្លៃប្រេងឥន្ធនៈសំរាប់ម៉ូតូ</v>
      </c>
      <c r="AO433" s="821">
        <f>+S441</f>
        <v>28.799999999999997</v>
      </c>
    </row>
    <row r="434" spans="1:41" s="625" customFormat="1" ht="20.25" customHeight="1">
      <c r="A434" s="587"/>
      <c r="B434" s="659" t="s">
        <v>54</v>
      </c>
      <c r="C434" s="613"/>
      <c r="D434" s="701"/>
      <c r="E434" s="307"/>
      <c r="F434" s="615" t="s">
        <v>646</v>
      </c>
      <c r="G434" s="616"/>
      <c r="H434" s="782"/>
      <c r="I434" s="572"/>
      <c r="J434" s="1470"/>
      <c r="K434" s="1471"/>
      <c r="L434" s="1471"/>
      <c r="M434" s="1471"/>
      <c r="N434" s="1472"/>
      <c r="O434" s="622"/>
      <c r="P434" s="623"/>
      <c r="Q434" s="623"/>
      <c r="R434" s="623"/>
      <c r="S434" s="1423"/>
      <c r="T434" s="599" t="str">
        <f>IFERROR(INDEX('Annex 2_Code'!I$8:I$33,MATCH('Annex 3_MAFF'!$AG434,'Annex 2_Code'!$G$8:$G$33,0)),"")</f>
        <v/>
      </c>
      <c r="U434" s="599" t="str">
        <f>IFERROR(INDEX('Annex 2_Code'!J$8:J$33,MATCH('Annex 3_MAFF'!$AG434,'Annex 2_Code'!$G$8:$G$33,0)),"")</f>
        <v/>
      </c>
      <c r="V434" s="599" t="str">
        <f>IFERROR(INDEX('Annex 2_Code'!K$8:K$33,MATCH('Annex 3_MAFF'!$AG434,'Annex 2_Code'!$G$8:$G$33,0)),"")</f>
        <v/>
      </c>
      <c r="W434" s="599" t="str">
        <f>IFERROR(INDEX('Annex 2_Code'!L$8:L$33,MATCH('Annex 3_MAFF'!$AG434,'Annex 2_Code'!$G$8:$G$33,0)),"")</f>
        <v/>
      </c>
      <c r="X434" s="599" t="str">
        <f>IFERROR(INDEX('Annex 2_Code'!M$8:M$33,MATCH('Annex 3_MAFF'!$AG434,'Annex 2_Code'!$G$8:$G$33,0)),"")</f>
        <v/>
      </c>
      <c r="Y434" s="647" t="str">
        <f t="shared" si="574"/>
        <v/>
      </c>
      <c r="Z434" s="600" t="str">
        <f t="shared" si="575"/>
        <v/>
      </c>
      <c r="AA434" s="600" t="str">
        <f t="shared" si="575"/>
        <v/>
      </c>
      <c r="AB434" s="600" t="str">
        <f t="shared" si="576"/>
        <v/>
      </c>
      <c r="AC434" s="601" t="str">
        <f t="shared" si="577"/>
        <v/>
      </c>
      <c r="AD434" s="602">
        <f t="shared" si="585"/>
        <v>0</v>
      </c>
      <c r="AE434" s="602">
        <f t="shared" si="586"/>
        <v>0</v>
      </c>
      <c r="AF434" s="605"/>
      <c r="AG434" s="605"/>
      <c r="AH434" s="605" t="str">
        <f>IFERROR(INDEX('Annex 2_Code'!$J$114:$J$126,MATCH('Annex 3_MAFF'!AF434,'Annex 2_Code'!$G$114:$G$126,0)),"")</f>
        <v/>
      </c>
      <c r="AI434" s="646" t="str">
        <f t="shared" si="573"/>
        <v/>
      </c>
      <c r="AL434" s="819"/>
      <c r="AO434" s="822">
        <f>SUM(AO431:AO433)</f>
        <v>123.6</v>
      </c>
    </row>
    <row r="435" spans="1:41" s="625" customFormat="1" ht="25.5" customHeight="1" outlineLevel="1">
      <c r="A435" s="587"/>
      <c r="B435" s="669" t="s">
        <v>42</v>
      </c>
      <c r="C435" s="669" t="s">
        <v>42</v>
      </c>
      <c r="D435" s="701"/>
      <c r="E435" s="307"/>
      <c r="F435" s="615"/>
      <c r="G435" s="616" t="s">
        <v>647</v>
      </c>
      <c r="H435" s="811" t="s">
        <v>1144</v>
      </c>
      <c r="I435" s="572">
        <f>(300+250+180*29+100)/1000</f>
        <v>5.87</v>
      </c>
      <c r="J435" s="1470">
        <v>3</v>
      </c>
      <c r="K435" s="1471">
        <v>3</v>
      </c>
      <c r="L435" s="1471">
        <v>3</v>
      </c>
      <c r="M435" s="1471">
        <v>3</v>
      </c>
      <c r="N435" s="1472">
        <f>SUM(J435:M435)</f>
        <v>12</v>
      </c>
      <c r="O435" s="657">
        <f t="shared" ref="O435:P437" si="587">($I435*J435)</f>
        <v>17.61</v>
      </c>
      <c r="P435" s="623">
        <f t="shared" si="587"/>
        <v>17.61</v>
      </c>
      <c r="Q435" s="623">
        <f t="shared" ref="Q435:R437" si="588">($I435*L435)</f>
        <v>17.61</v>
      </c>
      <c r="R435" s="623">
        <f t="shared" si="588"/>
        <v>17.61</v>
      </c>
      <c r="S435" s="1356">
        <f>SUM(O435:R435)</f>
        <v>70.44</v>
      </c>
      <c r="T435" s="599">
        <f>IFERROR(INDEX('Annex 2_Code'!I$8:I$33,MATCH('Annex 3_MAFF'!$AG435,'Annex 2_Code'!$G$8:$G$33,0)),"")</f>
        <v>0</v>
      </c>
      <c r="U435" s="599">
        <f>IFERROR(INDEX('Annex 2_Code'!J$8:J$33,MATCH('Annex 3_MAFF'!$AG435,'Annex 2_Code'!$G$8:$G$33,0)),"")</f>
        <v>0</v>
      </c>
      <c r="V435" s="599">
        <f>IFERROR(INDEX('Annex 2_Code'!K$8:K$33,MATCH('Annex 3_MAFF'!$AG435,'Annex 2_Code'!$G$8:$G$33,0)),"")</f>
        <v>0</v>
      </c>
      <c r="W435" s="599">
        <f>IFERROR(INDEX('Annex 2_Code'!L$8:L$33,MATCH('Annex 3_MAFF'!$AG435,'Annex 2_Code'!$G$8:$G$33,0)),"")</f>
        <v>1</v>
      </c>
      <c r="X435" s="599">
        <f>IFERROR(INDEX('Annex 2_Code'!M$8:M$33,MATCH('Annex 3_MAFF'!$AG435,'Annex 2_Code'!$G$8:$G$33,0)),"")</f>
        <v>0</v>
      </c>
      <c r="Y435" s="647">
        <f t="shared" si="574"/>
        <v>0</v>
      </c>
      <c r="Z435" s="600">
        <f t="shared" si="575"/>
        <v>0</v>
      </c>
      <c r="AA435" s="600">
        <f t="shared" si="575"/>
        <v>0</v>
      </c>
      <c r="AB435" s="600">
        <f t="shared" si="576"/>
        <v>70.44</v>
      </c>
      <c r="AC435" s="601">
        <f t="shared" si="577"/>
        <v>0</v>
      </c>
      <c r="AD435" s="602">
        <f t="shared" si="585"/>
        <v>70.44</v>
      </c>
      <c r="AE435" s="602">
        <f t="shared" si="586"/>
        <v>0</v>
      </c>
      <c r="AF435" s="605" t="s">
        <v>374</v>
      </c>
      <c r="AG435" s="605" t="s">
        <v>229</v>
      </c>
      <c r="AH435" s="605" t="str">
        <f>IFERROR(INDEX('Annex 2_Code'!$J$114:$J$131,MATCH('Annex 3_MAFF'!AF435,'Annex 2_Code'!$G$114:$G$131,0)),"")</f>
        <v>MAFF</v>
      </c>
      <c r="AI435" s="646" t="str">
        <f t="shared" si="573"/>
        <v>MAFF</v>
      </c>
      <c r="AJ435" s="625" t="s">
        <v>25</v>
      </c>
      <c r="AN435" s="607" t="s">
        <v>420</v>
      </c>
    </row>
    <row r="436" spans="1:41" s="625" customFormat="1" ht="48" customHeight="1" outlineLevel="1">
      <c r="A436" s="587"/>
      <c r="B436" s="669" t="s">
        <v>42</v>
      </c>
      <c r="C436" s="669" t="s">
        <v>42</v>
      </c>
      <c r="D436" s="701"/>
      <c r="E436" s="307"/>
      <c r="F436" s="615"/>
      <c r="G436" s="616" t="s">
        <v>649</v>
      </c>
      <c r="H436" s="811" t="s">
        <v>1144</v>
      </c>
      <c r="I436" s="572">
        <f>2860/1000</f>
        <v>2.86</v>
      </c>
      <c r="J436" s="1470">
        <v>3</v>
      </c>
      <c r="K436" s="1471">
        <v>3</v>
      </c>
      <c r="L436" s="1471">
        <v>3</v>
      </c>
      <c r="M436" s="1471">
        <v>3</v>
      </c>
      <c r="N436" s="1472">
        <f>SUM(J436:M436)</f>
        <v>12</v>
      </c>
      <c r="O436" s="657">
        <f t="shared" si="587"/>
        <v>8.58</v>
      </c>
      <c r="P436" s="623">
        <f t="shared" si="587"/>
        <v>8.58</v>
      </c>
      <c r="Q436" s="623">
        <f t="shared" si="588"/>
        <v>8.58</v>
      </c>
      <c r="R436" s="623">
        <f t="shared" si="588"/>
        <v>8.58</v>
      </c>
      <c r="S436" s="1356">
        <f>SUM(O436:R436)</f>
        <v>34.32</v>
      </c>
      <c r="T436" s="599">
        <f>IFERROR(INDEX('Annex 2_Code'!I$8:I$33,MATCH('Annex 3_MAFF'!$AG436,'Annex 2_Code'!$G$8:$G$33,0)),"")</f>
        <v>0</v>
      </c>
      <c r="U436" s="599">
        <f>IFERROR(INDEX('Annex 2_Code'!J$8:J$33,MATCH('Annex 3_MAFF'!$AG436,'Annex 2_Code'!$G$8:$G$33,0)),"")</f>
        <v>0</v>
      </c>
      <c r="V436" s="599">
        <f>IFERROR(INDEX('Annex 2_Code'!K$8:K$33,MATCH('Annex 3_MAFF'!$AG436,'Annex 2_Code'!$G$8:$G$33,0)),"")</f>
        <v>0</v>
      </c>
      <c r="W436" s="599">
        <f>IFERROR(INDEX('Annex 2_Code'!L$8:L$33,MATCH('Annex 3_MAFF'!$AG436,'Annex 2_Code'!$G$8:$G$33,0)),"")</f>
        <v>1</v>
      </c>
      <c r="X436" s="599">
        <f>IFERROR(INDEX('Annex 2_Code'!M$8:M$33,MATCH('Annex 3_MAFF'!$AG436,'Annex 2_Code'!$G$8:$G$33,0)),"")</f>
        <v>0</v>
      </c>
      <c r="Y436" s="647">
        <f t="shared" si="574"/>
        <v>0</v>
      </c>
      <c r="Z436" s="600">
        <f t="shared" si="575"/>
        <v>0</v>
      </c>
      <c r="AA436" s="600">
        <f t="shared" si="575"/>
        <v>0</v>
      </c>
      <c r="AB436" s="600">
        <f t="shared" si="576"/>
        <v>34.32</v>
      </c>
      <c r="AC436" s="601">
        <f t="shared" si="577"/>
        <v>0</v>
      </c>
      <c r="AD436" s="602">
        <f>SUM(Y436:AC436)</f>
        <v>34.32</v>
      </c>
      <c r="AE436" s="602">
        <f t="shared" si="586"/>
        <v>0</v>
      </c>
      <c r="AF436" s="605" t="s">
        <v>374</v>
      </c>
      <c r="AG436" s="605" t="s">
        <v>229</v>
      </c>
      <c r="AH436" s="605" t="str">
        <f>IFERROR(INDEX('Annex 2_Code'!$J$114:$J$131,MATCH('Annex 3_MAFF'!AF436,'Annex 2_Code'!$G$114:$G$131,0)),"")</f>
        <v>MAFF</v>
      </c>
      <c r="AI436" s="646" t="str">
        <f t="shared" si="573"/>
        <v>MAFF</v>
      </c>
      <c r="AJ436" s="625" t="s">
        <v>25</v>
      </c>
      <c r="AM436" s="819" t="s">
        <v>79</v>
      </c>
      <c r="AN436" s="820" t="str">
        <f>+G442</f>
        <v>Per Diems and DSA for PMU, AIs (43 Staffs +12 driver = 55 Persons "34x10=340$/month") ចំណាយថ្លៃស្នាក់នៅនិងអាហារសំរាប់មមន្ត្រីអង្គភាពគ្រប់គ្រងគម្រោង និងភ្នាក់ងារអនុវត្ត</v>
      </c>
      <c r="AO436" s="821">
        <f>+S442</f>
        <v>224.4</v>
      </c>
    </row>
    <row r="437" spans="1:41" s="625" customFormat="1" ht="60" customHeight="1" outlineLevel="1">
      <c r="A437" s="587"/>
      <c r="B437" s="2369" t="s">
        <v>42</v>
      </c>
      <c r="C437" s="2369" t="s">
        <v>42</v>
      </c>
      <c r="D437" s="2383"/>
      <c r="E437" s="2370"/>
      <c r="F437" s="2384"/>
      <c r="G437" s="2385" t="s">
        <v>1610</v>
      </c>
      <c r="H437" s="2386" t="s">
        <v>598</v>
      </c>
      <c r="I437" s="2365">
        <v>0.4</v>
      </c>
      <c r="J437" s="2387">
        <v>0</v>
      </c>
      <c r="K437" s="2359">
        <v>0</v>
      </c>
      <c r="L437" s="2359">
        <v>12</v>
      </c>
      <c r="M437" s="2359">
        <v>0</v>
      </c>
      <c r="N437" s="2388">
        <f>SUM(J437:M437)</f>
        <v>12</v>
      </c>
      <c r="O437" s="2371">
        <f t="shared" si="587"/>
        <v>0</v>
      </c>
      <c r="P437" s="2372">
        <f t="shared" si="587"/>
        <v>0</v>
      </c>
      <c r="Q437" s="2372">
        <f t="shared" si="588"/>
        <v>4.8000000000000007</v>
      </c>
      <c r="R437" s="2372">
        <f t="shared" si="588"/>
        <v>0</v>
      </c>
      <c r="S437" s="2389">
        <f>SUM(O437:R437)</f>
        <v>4.8000000000000007</v>
      </c>
      <c r="T437" s="599">
        <f>IFERROR(INDEX('Annex 2_Code'!I$8:I$33,MATCH('Annex 3_MAFF'!$AG437,'Annex 2_Code'!$G$8:$G$33,0)),"")</f>
        <v>0</v>
      </c>
      <c r="U437" s="599">
        <f>IFERROR(INDEX('Annex 2_Code'!J$8:J$33,MATCH('Annex 3_MAFF'!$AG437,'Annex 2_Code'!$G$8:$G$33,0)),"")</f>
        <v>0</v>
      </c>
      <c r="V437" s="599">
        <f>IFERROR(INDEX('Annex 2_Code'!K$8:K$33,MATCH('Annex 3_MAFF'!$AG437,'Annex 2_Code'!$G$8:$G$33,0)),"")</f>
        <v>0</v>
      </c>
      <c r="W437" s="599">
        <f>IFERROR(INDEX('Annex 2_Code'!L$8:L$33,MATCH('Annex 3_MAFF'!$AG437,'Annex 2_Code'!$G$8:$G$33,0)),"")</f>
        <v>1</v>
      </c>
      <c r="X437" s="599">
        <f>IFERROR(INDEX('Annex 2_Code'!M$8:M$33,MATCH('Annex 3_MAFF'!$AG437,'Annex 2_Code'!$G$8:$G$33,0)),"")</f>
        <v>0</v>
      </c>
      <c r="Y437" s="647">
        <f t="shared" si="574"/>
        <v>0</v>
      </c>
      <c r="Z437" s="600">
        <f t="shared" si="575"/>
        <v>0</v>
      </c>
      <c r="AA437" s="600">
        <f t="shared" si="575"/>
        <v>0</v>
      </c>
      <c r="AB437" s="600">
        <f t="shared" si="576"/>
        <v>4.8000000000000007</v>
      </c>
      <c r="AC437" s="601">
        <f t="shared" si="577"/>
        <v>0</v>
      </c>
      <c r="AD437" s="602">
        <f>SUM(Y437:AC437)</f>
        <v>4.8000000000000007</v>
      </c>
      <c r="AE437" s="602">
        <f t="shared" si="586"/>
        <v>0</v>
      </c>
      <c r="AF437" s="605" t="s">
        <v>374</v>
      </c>
      <c r="AG437" s="605" t="s">
        <v>229</v>
      </c>
      <c r="AH437" s="605" t="str">
        <f>IFERROR(INDEX('Annex 2_Code'!$J$114:$J$131,MATCH('Annex 3_MAFF'!AF437,'Annex 2_Code'!$G$114:$G$131,0)),"")</f>
        <v>MAFF</v>
      </c>
      <c r="AI437" s="646" t="str">
        <f t="shared" si="573"/>
        <v>MAFF</v>
      </c>
      <c r="AJ437" s="625" t="s">
        <v>25</v>
      </c>
      <c r="AM437" s="819" t="s">
        <v>86</v>
      </c>
      <c r="AN437" s="820" t="str">
        <f>+G443</f>
        <v>Per Diems and DSA (PDAFF  40 persons +4 drivers=44persons "34x2+14*10=208$/month") ចំណាយថ្លៃស្នាក់នៅនិងអាហារសំរាប់មមន្ត្រីអង្គភាពអនុវត្តគ្រប់គ្រងគម្រោងថ្នាក់ខេត្តនៃមន្ទីរកសិកម្មខេត្ត</v>
      </c>
      <c r="AO437" s="821">
        <f>+S443</f>
        <v>109.824</v>
      </c>
    </row>
    <row r="438" spans="1:41" s="625" customFormat="1" ht="23.25">
      <c r="A438" s="587"/>
      <c r="B438" s="659" t="s">
        <v>54</v>
      </c>
      <c r="C438" s="669"/>
      <c r="D438" s="720"/>
      <c r="E438" s="591" t="s">
        <v>583</v>
      </c>
      <c r="F438" s="592"/>
      <c r="G438" s="734"/>
      <c r="H438" s="735"/>
      <c r="I438" s="736"/>
      <c r="J438" s="1497">
        <f t="shared" ref="J438:S438" si="589">SUM(J435:J437)</f>
        <v>6</v>
      </c>
      <c r="K438" s="1498">
        <f t="shared" si="589"/>
        <v>6</v>
      </c>
      <c r="L438" s="1498">
        <f t="shared" si="589"/>
        <v>18</v>
      </c>
      <c r="M438" s="1498">
        <f t="shared" si="589"/>
        <v>6</v>
      </c>
      <c r="N438" s="1499">
        <f t="shared" si="589"/>
        <v>36</v>
      </c>
      <c r="O438" s="597">
        <f t="shared" si="589"/>
        <v>26.189999999999998</v>
      </c>
      <c r="P438" s="598">
        <f t="shared" si="589"/>
        <v>26.189999999999998</v>
      </c>
      <c r="Q438" s="598">
        <f t="shared" si="589"/>
        <v>30.99</v>
      </c>
      <c r="R438" s="598">
        <f t="shared" si="589"/>
        <v>26.189999999999998</v>
      </c>
      <c r="S438" s="2418">
        <f t="shared" si="589"/>
        <v>109.55999999999999</v>
      </c>
      <c r="T438" s="599" t="str">
        <f>IFERROR(INDEX('Annex 2_Code'!I$8:I$33,MATCH('Annex 3_MAFF'!$AG438,'Annex 2_Code'!$G$8:$G$33,0)),"")</f>
        <v/>
      </c>
      <c r="U438" s="599" t="str">
        <f>IFERROR(INDEX('Annex 2_Code'!J$8:J$33,MATCH('Annex 3_MAFF'!$AG438,'Annex 2_Code'!$G$8:$G$33,0)),"")</f>
        <v/>
      </c>
      <c r="V438" s="599" t="str">
        <f>IFERROR(INDEX('Annex 2_Code'!K$8:K$33,MATCH('Annex 3_MAFF'!$AG438,'Annex 2_Code'!$G$8:$G$33,0)),"")</f>
        <v/>
      </c>
      <c r="W438" s="599" t="str">
        <f>IFERROR(INDEX('Annex 2_Code'!L$8:L$33,MATCH('Annex 3_MAFF'!$AG438,'Annex 2_Code'!$G$8:$G$33,0)),"")</f>
        <v/>
      </c>
      <c r="X438" s="599" t="str">
        <f>IFERROR(INDEX('Annex 2_Code'!M$8:M$33,MATCH('Annex 3_MAFF'!$AG438,'Annex 2_Code'!$G$8:$G$33,0)),"")</f>
        <v/>
      </c>
      <c r="Y438" s="647" t="str">
        <f t="shared" si="574"/>
        <v/>
      </c>
      <c r="Z438" s="600" t="str">
        <f t="shared" si="575"/>
        <v/>
      </c>
      <c r="AA438" s="600" t="str">
        <f t="shared" si="575"/>
        <v/>
      </c>
      <c r="AB438" s="600" t="str">
        <f t="shared" si="576"/>
        <v/>
      </c>
      <c r="AC438" s="601" t="str">
        <f t="shared" si="577"/>
        <v/>
      </c>
      <c r="AD438" s="602">
        <f t="shared" si="585"/>
        <v>0</v>
      </c>
      <c r="AE438" s="602">
        <f t="shared" si="586"/>
        <v>-109.55999999999999</v>
      </c>
      <c r="AF438" s="605"/>
      <c r="AG438" s="605"/>
      <c r="AH438" s="605" t="str">
        <f>IFERROR(INDEX('Annex 2_Code'!$J$114:$J$131,MATCH('Annex 3_MAFF'!AF438,'Annex 2_Code'!$G$114:$G$131,0)),"")</f>
        <v/>
      </c>
      <c r="AI438" s="646" t="str">
        <f t="shared" si="573"/>
        <v/>
      </c>
      <c r="AK438" s="740">
        <f>+AO438</f>
        <v>334.22399999999999</v>
      </c>
      <c r="AL438" s="740" t="s">
        <v>418</v>
      </c>
      <c r="AO438" s="822">
        <f>SUM(AO436:AO437)</f>
        <v>334.22399999999999</v>
      </c>
    </row>
    <row r="439" spans="1:41" s="625" customFormat="1" ht="23.25">
      <c r="A439" s="587"/>
      <c r="B439" s="659" t="s">
        <v>54</v>
      </c>
      <c r="C439" s="669"/>
      <c r="D439" s="614"/>
      <c r="E439" s="612" t="s">
        <v>651</v>
      </c>
      <c r="F439" s="615"/>
      <c r="G439" s="768"/>
      <c r="H439" s="617"/>
      <c r="I439" s="618"/>
      <c r="J439" s="1470"/>
      <c r="K439" s="1471"/>
      <c r="L439" s="1471"/>
      <c r="M439" s="1471"/>
      <c r="N439" s="1469"/>
      <c r="O439" s="622"/>
      <c r="P439" s="623"/>
      <c r="Q439" s="623"/>
      <c r="R439" s="623"/>
      <c r="S439" s="1423"/>
      <c r="T439" s="599" t="str">
        <f>IFERROR(INDEX('Annex 2_Code'!I$8:I$33,MATCH('Annex 3_MAFF'!$AG439,'Annex 2_Code'!$G$8:$G$33,0)),"")</f>
        <v/>
      </c>
      <c r="U439" s="599" t="str">
        <f>IFERROR(INDEX('Annex 2_Code'!J$8:J$33,MATCH('Annex 3_MAFF'!$AG439,'Annex 2_Code'!$G$8:$G$33,0)),"")</f>
        <v/>
      </c>
      <c r="V439" s="599" t="str">
        <f>IFERROR(INDEX('Annex 2_Code'!K$8:K$33,MATCH('Annex 3_MAFF'!$AG439,'Annex 2_Code'!$G$8:$G$33,0)),"")</f>
        <v/>
      </c>
      <c r="W439" s="599" t="str">
        <f>IFERROR(INDEX('Annex 2_Code'!L$8:L$33,MATCH('Annex 3_MAFF'!$AG439,'Annex 2_Code'!$G$8:$G$33,0)),"")</f>
        <v/>
      </c>
      <c r="X439" s="599" t="str">
        <f>IFERROR(INDEX('Annex 2_Code'!M$8:M$33,MATCH('Annex 3_MAFF'!$AG439,'Annex 2_Code'!$G$8:$G$33,0)),"")</f>
        <v/>
      </c>
      <c r="Y439" s="647" t="str">
        <f t="shared" si="574"/>
        <v/>
      </c>
      <c r="Z439" s="600" t="str">
        <f t="shared" si="575"/>
        <v/>
      </c>
      <c r="AA439" s="600" t="str">
        <f t="shared" si="575"/>
        <v/>
      </c>
      <c r="AB439" s="600" t="str">
        <f t="shared" si="576"/>
        <v/>
      </c>
      <c r="AC439" s="601" t="str">
        <f t="shared" si="577"/>
        <v/>
      </c>
      <c r="AD439" s="602">
        <f t="shared" si="585"/>
        <v>0</v>
      </c>
      <c r="AE439" s="602">
        <f t="shared" si="586"/>
        <v>0</v>
      </c>
      <c r="AF439" s="605"/>
      <c r="AG439" s="605"/>
      <c r="AH439" s="605" t="str">
        <f>IFERROR(INDEX('Annex 2_Code'!$J$114:$J$131,MATCH('Annex 3_MAFF'!AF439,'Annex 2_Code'!$G$114:$G$131,0)),"")</f>
        <v/>
      </c>
      <c r="AI439" s="646" t="str">
        <f t="shared" si="573"/>
        <v/>
      </c>
      <c r="AN439" s="607" t="s">
        <v>421</v>
      </c>
    </row>
    <row r="440" spans="1:41" s="625" customFormat="1" ht="78" customHeight="1" outlineLevel="1">
      <c r="A440" s="587"/>
      <c r="B440" s="659" t="s">
        <v>1465</v>
      </c>
      <c r="C440" s="669" t="s">
        <v>114</v>
      </c>
      <c r="D440" s="614"/>
      <c r="E440" s="584"/>
      <c r="F440" s="751" t="s">
        <v>74</v>
      </c>
      <c r="G440" s="1574" t="s">
        <v>1614</v>
      </c>
      <c r="H440" s="1523" t="s">
        <v>1145</v>
      </c>
      <c r="I440" s="727">
        <f>500/1000</f>
        <v>0.5</v>
      </c>
      <c r="J440" s="1502">
        <f>15*3</f>
        <v>45</v>
      </c>
      <c r="K440" s="1503">
        <f>15*3</f>
        <v>45</v>
      </c>
      <c r="L440" s="1503">
        <f>15*3</f>
        <v>45</v>
      </c>
      <c r="M440" s="1503">
        <f>15*3</f>
        <v>45</v>
      </c>
      <c r="N440" s="1504">
        <f t="shared" ref="N440:N458" si="590">SUM(J440:M440)</f>
        <v>180</v>
      </c>
      <c r="O440" s="657">
        <f>($I440*J440)</f>
        <v>22.5</v>
      </c>
      <c r="P440" s="623">
        <f>($I440*K440)</f>
        <v>22.5</v>
      </c>
      <c r="Q440" s="623">
        <f t="shared" ref="Q440:R458" si="591">($I440*L440)</f>
        <v>22.5</v>
      </c>
      <c r="R440" s="623">
        <f t="shared" si="591"/>
        <v>22.5</v>
      </c>
      <c r="S440" s="1356">
        <f>SUM(O440:R440)</f>
        <v>90</v>
      </c>
      <c r="T440" s="599">
        <f>IFERROR(INDEX('Annex 2_Code'!I$8:I$33,MATCH('Annex 3_MAFF'!$AG440,'Annex 2_Code'!$G$8:$G$33,0)),"")</f>
        <v>1</v>
      </c>
      <c r="U440" s="599">
        <f>IFERROR(INDEX('Annex 2_Code'!J$8:J$33,MATCH('Annex 3_MAFF'!$AG440,'Annex 2_Code'!$G$8:$G$33,0)),"")</f>
        <v>0</v>
      </c>
      <c r="V440" s="599">
        <f>IFERROR(INDEX('Annex 2_Code'!K$8:K$33,MATCH('Annex 3_MAFF'!$AG440,'Annex 2_Code'!$G$8:$G$33,0)),"")</f>
        <v>0</v>
      </c>
      <c r="W440" s="599">
        <f>IFERROR(INDEX('Annex 2_Code'!L$8:L$33,MATCH('Annex 3_MAFF'!$AG440,'Annex 2_Code'!$G$8:$G$33,0)),"")</f>
        <v>0</v>
      </c>
      <c r="X440" s="599">
        <f>IFERROR(INDEX('Annex 2_Code'!M$8:M$33,MATCH('Annex 3_MAFF'!$AG440,'Annex 2_Code'!$G$8:$G$33,0)),"")</f>
        <v>0</v>
      </c>
      <c r="Y440" s="1575">
        <f t="shared" si="574"/>
        <v>90</v>
      </c>
      <c r="Z440" s="600">
        <f t="shared" si="575"/>
        <v>0</v>
      </c>
      <c r="AA440" s="600">
        <f t="shared" si="575"/>
        <v>0</v>
      </c>
      <c r="AB440" s="600">
        <f t="shared" si="576"/>
        <v>0</v>
      </c>
      <c r="AC440" s="601">
        <f t="shared" si="577"/>
        <v>0</v>
      </c>
      <c r="AD440" s="602">
        <f t="shared" si="585"/>
        <v>90</v>
      </c>
      <c r="AE440" s="602">
        <f t="shared" si="586"/>
        <v>0</v>
      </c>
      <c r="AF440" s="605" t="s">
        <v>374</v>
      </c>
      <c r="AG440" s="605" t="s">
        <v>227</v>
      </c>
      <c r="AH440" s="605" t="str">
        <f>IFERROR(INDEX('Annex 2_Code'!$J$114:$J$131,MATCH('Annex 3_MAFF'!AF440,'Annex 2_Code'!$G$114:$G$131,0)),"")</f>
        <v>MAFF</v>
      </c>
      <c r="AI440" s="646" t="str">
        <f t="shared" si="573"/>
        <v>MAFF</v>
      </c>
      <c r="AJ440" s="625" t="s">
        <v>451</v>
      </c>
      <c r="AM440" s="625" t="s">
        <v>88</v>
      </c>
      <c r="AN440" s="820" t="str">
        <f>G444</f>
        <v>Office Operating Costs for PMU and Ias (Reproduction Supplies, Office Maintainance, and Utilities)                                                                            
ការចំណាយលើប្រតិបត្តិការការិយាល័យ (បូករួមទាំងប្រាក់ខែសំរាប់អ្នកអនាម័យនិងអ្នកបើកបរ</v>
      </c>
      <c r="AO440" s="821">
        <f>+S444</f>
        <v>26.400000000000002</v>
      </c>
    </row>
    <row r="441" spans="1:41" s="625" customFormat="1" ht="51" customHeight="1" outlineLevel="1">
      <c r="A441" s="587"/>
      <c r="B441" s="659" t="s">
        <v>1465</v>
      </c>
      <c r="C441" s="669" t="s">
        <v>114</v>
      </c>
      <c r="D441" s="614"/>
      <c r="E441" s="2513"/>
      <c r="F441" s="2362" t="s">
        <v>77</v>
      </c>
      <c r="G441" s="2390" t="s">
        <v>1613</v>
      </c>
      <c r="H441" s="2364" t="s">
        <v>1145</v>
      </c>
      <c r="I441" s="2365">
        <v>2.4</v>
      </c>
      <c r="J441" s="1502">
        <v>3</v>
      </c>
      <c r="K441" s="1503">
        <v>3</v>
      </c>
      <c r="L441" s="1503">
        <v>3</v>
      </c>
      <c r="M441" s="1503">
        <v>3</v>
      </c>
      <c r="N441" s="1504">
        <f t="shared" si="590"/>
        <v>12</v>
      </c>
      <c r="O441" s="2371">
        <f t="shared" ref="O441:O457" si="592">($I441*J441)</f>
        <v>7.1999999999999993</v>
      </c>
      <c r="P441" s="2372">
        <f t="shared" ref="P441:P458" si="593">($I441*K441)</f>
        <v>7.1999999999999993</v>
      </c>
      <c r="Q441" s="2372">
        <f t="shared" si="591"/>
        <v>7.1999999999999993</v>
      </c>
      <c r="R441" s="2372">
        <f t="shared" si="591"/>
        <v>7.1999999999999993</v>
      </c>
      <c r="S441" s="2389">
        <f>SUM(O441:R441)</f>
        <v>28.799999999999997</v>
      </c>
      <c r="T441" s="599">
        <f>IFERROR(INDEX('Annex 2_Code'!I$8:I$33,MATCH('Annex 3_MAFF'!$AG441,'Annex 2_Code'!$G$8:$G$33,0)),"")</f>
        <v>1</v>
      </c>
      <c r="U441" s="599">
        <f>IFERROR(INDEX('Annex 2_Code'!J$8:J$33,MATCH('Annex 3_MAFF'!$AG441,'Annex 2_Code'!$G$8:$G$33,0)),"")</f>
        <v>0</v>
      </c>
      <c r="V441" s="599">
        <f>IFERROR(INDEX('Annex 2_Code'!K$8:K$33,MATCH('Annex 3_MAFF'!$AG441,'Annex 2_Code'!$G$8:$G$33,0)),"")</f>
        <v>0</v>
      </c>
      <c r="W441" s="599">
        <f>IFERROR(INDEX('Annex 2_Code'!L$8:L$33,MATCH('Annex 3_MAFF'!$AG441,'Annex 2_Code'!$G$8:$G$33,0)),"")</f>
        <v>0</v>
      </c>
      <c r="X441" s="599">
        <f>IFERROR(INDEX('Annex 2_Code'!M$8:M$33,MATCH('Annex 3_MAFF'!$AG441,'Annex 2_Code'!$G$8:$G$33,0)),"")</f>
        <v>0</v>
      </c>
      <c r="Y441" s="1575">
        <f t="shared" si="574"/>
        <v>28.799999999999997</v>
      </c>
      <c r="Z441" s="600">
        <f t="shared" si="575"/>
        <v>0</v>
      </c>
      <c r="AA441" s="600">
        <f t="shared" si="575"/>
        <v>0</v>
      </c>
      <c r="AB441" s="600">
        <f t="shared" si="576"/>
        <v>0</v>
      </c>
      <c r="AC441" s="601">
        <f t="shared" si="577"/>
        <v>0</v>
      </c>
      <c r="AD441" s="602">
        <f t="shared" si="585"/>
        <v>28.799999999999997</v>
      </c>
      <c r="AE441" s="602">
        <f t="shared" si="586"/>
        <v>0</v>
      </c>
      <c r="AF441" s="605" t="s">
        <v>374</v>
      </c>
      <c r="AG441" s="605" t="s">
        <v>227</v>
      </c>
      <c r="AH441" s="605" t="str">
        <f>IFERROR(INDEX('Annex 2_Code'!$J$114:$J$131,MATCH('Annex 3_MAFF'!AF441,'Annex 2_Code'!$G$114:$G$131,0)),"")</f>
        <v>MAFF</v>
      </c>
      <c r="AI441" s="646" t="str">
        <f t="shared" si="573"/>
        <v>MAFF</v>
      </c>
      <c r="AJ441" s="625" t="s">
        <v>451</v>
      </c>
      <c r="AK441" s="740">
        <f>+AO448</f>
        <v>2.8000000000000003</v>
      </c>
      <c r="AL441" s="740" t="s">
        <v>432</v>
      </c>
    </row>
    <row r="442" spans="1:41" s="625" customFormat="1" ht="66" customHeight="1" outlineLevel="1">
      <c r="A442" s="307"/>
      <c r="B442" s="659" t="s">
        <v>1465</v>
      </c>
      <c r="C442" s="669" t="s">
        <v>114</v>
      </c>
      <c r="D442" s="614"/>
      <c r="E442" s="2370"/>
      <c r="F442" s="2362" t="s">
        <v>79</v>
      </c>
      <c r="G442" s="2363" t="s">
        <v>1611</v>
      </c>
      <c r="H442" s="2364" t="s">
        <v>1145</v>
      </c>
      <c r="I442" s="2365">
        <f>(34*10)/1000</f>
        <v>0.34</v>
      </c>
      <c r="J442" s="2366">
        <f>55*3</f>
        <v>165</v>
      </c>
      <c r="K442" s="2367">
        <f>55*3</f>
        <v>165</v>
      </c>
      <c r="L442" s="2367">
        <f>55*3</f>
        <v>165</v>
      </c>
      <c r="M442" s="2367">
        <f>55*3</f>
        <v>165</v>
      </c>
      <c r="N442" s="2368">
        <f t="shared" si="590"/>
        <v>660</v>
      </c>
      <c r="O442" s="2371">
        <f>($I442*J442)</f>
        <v>56.1</v>
      </c>
      <c r="P442" s="2372">
        <f t="shared" si="593"/>
        <v>56.1</v>
      </c>
      <c r="Q442" s="2372">
        <f t="shared" si="591"/>
        <v>56.1</v>
      </c>
      <c r="R442" s="2372">
        <f t="shared" si="591"/>
        <v>56.1</v>
      </c>
      <c r="S442" s="2373">
        <f t="shared" ref="S442:S458" si="594">SUM(O442:R442)</f>
        <v>224.4</v>
      </c>
      <c r="T442" s="2374">
        <f>IFERROR(INDEX('Annex 2_Code'!I$8:I$33,MATCH('Annex 3_MAFF'!$AG442,'Annex 2_Code'!$G$8:$G$33,0)),"")</f>
        <v>1</v>
      </c>
      <c r="U442" s="2374">
        <f>IFERROR(INDEX('Annex 2_Code'!J$8:J$33,MATCH('Annex 3_MAFF'!$AG442,'Annex 2_Code'!$G$8:$G$33,0)),"")</f>
        <v>0</v>
      </c>
      <c r="V442" s="2374">
        <f>IFERROR(INDEX('Annex 2_Code'!K$8:K$33,MATCH('Annex 3_MAFF'!$AG442,'Annex 2_Code'!$G$8:$G$33,0)),"")</f>
        <v>0</v>
      </c>
      <c r="W442" s="2374">
        <f>IFERROR(INDEX('Annex 2_Code'!L$8:L$33,MATCH('Annex 3_MAFF'!$AG442,'Annex 2_Code'!$G$8:$G$33,0)),"")</f>
        <v>0</v>
      </c>
      <c r="X442" s="2374">
        <f>IFERROR(INDEX('Annex 2_Code'!M$8:M$33,MATCH('Annex 3_MAFF'!$AG442,'Annex 2_Code'!$G$8:$G$33,0)),"")</f>
        <v>0</v>
      </c>
      <c r="Y442" s="2375">
        <f t="shared" si="574"/>
        <v>224.4</v>
      </c>
      <c r="Z442" s="2376">
        <f t="shared" si="575"/>
        <v>0</v>
      </c>
      <c r="AA442" s="2376">
        <f t="shared" si="575"/>
        <v>0</v>
      </c>
      <c r="AB442" s="2376">
        <f t="shared" si="576"/>
        <v>0</v>
      </c>
      <c r="AC442" s="2377">
        <f t="shared" si="577"/>
        <v>0</v>
      </c>
      <c r="AD442" s="2378">
        <f t="shared" si="585"/>
        <v>224.4</v>
      </c>
      <c r="AE442" s="2378">
        <f t="shared" si="586"/>
        <v>0</v>
      </c>
      <c r="AF442" s="1835" t="s">
        <v>374</v>
      </c>
      <c r="AG442" s="1835" t="s">
        <v>227</v>
      </c>
      <c r="AH442" s="1835" t="str">
        <f>IFERROR(INDEX('Annex 2_Code'!$J$114:$J$131,MATCH('Annex 3_MAFF'!AF442,'Annex 2_Code'!$G$114:$G$131,0)),"")</f>
        <v>MAFF</v>
      </c>
      <c r="AI442" s="2379" t="str">
        <f t="shared" si="573"/>
        <v>MAFF</v>
      </c>
      <c r="AJ442" s="2380" t="s">
        <v>451</v>
      </c>
      <c r="AN442" s="607" t="s">
        <v>390</v>
      </c>
    </row>
    <row r="443" spans="1:41" s="625" customFormat="1" ht="72" customHeight="1" outlineLevel="1">
      <c r="A443" s="307"/>
      <c r="B443" s="659" t="s">
        <v>1465</v>
      </c>
      <c r="C443" s="669" t="s">
        <v>114</v>
      </c>
      <c r="D443" s="614"/>
      <c r="E443" s="307"/>
      <c r="F443" s="751" t="s">
        <v>86</v>
      </c>
      <c r="G443" s="1574" t="s">
        <v>1612</v>
      </c>
      <c r="H443" s="1523" t="s">
        <v>1145</v>
      </c>
      <c r="I443" s="727">
        <f>((34*2)+(14*10))/1000</f>
        <v>0.20799999999999999</v>
      </c>
      <c r="J443" s="1502">
        <f>44*3</f>
        <v>132</v>
      </c>
      <c r="K443" s="1503">
        <f>44*3</f>
        <v>132</v>
      </c>
      <c r="L443" s="1503">
        <f>44*3</f>
        <v>132</v>
      </c>
      <c r="M443" s="1503">
        <f>44*3</f>
        <v>132</v>
      </c>
      <c r="N443" s="1504">
        <f t="shared" si="590"/>
        <v>528</v>
      </c>
      <c r="O443" s="622">
        <f t="shared" si="592"/>
        <v>27.456</v>
      </c>
      <c r="P443" s="623">
        <f t="shared" si="593"/>
        <v>27.456</v>
      </c>
      <c r="Q443" s="623">
        <f t="shared" si="591"/>
        <v>27.456</v>
      </c>
      <c r="R443" s="623">
        <f t="shared" si="591"/>
        <v>27.456</v>
      </c>
      <c r="S443" s="1429">
        <f t="shared" si="594"/>
        <v>109.824</v>
      </c>
      <c r="T443" s="599">
        <f>IFERROR(INDEX('Annex 2_Code'!I$8:I$33,MATCH('Annex 3_MAFF'!$AG443,'Annex 2_Code'!$G$8:$G$33,0)),"")</f>
        <v>1</v>
      </c>
      <c r="U443" s="599">
        <f>IFERROR(INDEX('Annex 2_Code'!J$8:J$33,MATCH('Annex 3_MAFF'!$AG443,'Annex 2_Code'!$G$8:$G$33,0)),"")</f>
        <v>0</v>
      </c>
      <c r="V443" s="599">
        <f>IFERROR(INDEX('Annex 2_Code'!K$8:K$33,MATCH('Annex 3_MAFF'!$AG443,'Annex 2_Code'!$G$8:$G$33,0)),"")</f>
        <v>0</v>
      </c>
      <c r="W443" s="599">
        <f>IFERROR(INDEX('Annex 2_Code'!L$8:L$33,MATCH('Annex 3_MAFF'!$AG443,'Annex 2_Code'!$G$8:$G$33,0)),"")</f>
        <v>0</v>
      </c>
      <c r="X443" s="599">
        <f>IFERROR(INDEX('Annex 2_Code'!M$8:M$33,MATCH('Annex 3_MAFF'!$AG443,'Annex 2_Code'!$G$8:$G$33,0)),"")</f>
        <v>0</v>
      </c>
      <c r="Y443" s="1575">
        <f t="shared" si="574"/>
        <v>109.824</v>
      </c>
      <c r="Z443" s="600">
        <f t="shared" si="575"/>
        <v>0</v>
      </c>
      <c r="AA443" s="600">
        <f t="shared" si="575"/>
        <v>0</v>
      </c>
      <c r="AB443" s="600">
        <f t="shared" si="576"/>
        <v>0</v>
      </c>
      <c r="AC443" s="601">
        <f t="shared" si="577"/>
        <v>0</v>
      </c>
      <c r="AD443" s="602">
        <f t="shared" si="585"/>
        <v>109.824</v>
      </c>
      <c r="AE443" s="602">
        <f t="shared" si="586"/>
        <v>0</v>
      </c>
      <c r="AF443" s="605" t="s">
        <v>374</v>
      </c>
      <c r="AG443" s="605" t="s">
        <v>227</v>
      </c>
      <c r="AH443" s="605" t="str">
        <f>IFERROR(INDEX('Annex 2_Code'!$J$114:$J$131,MATCH('Annex 3_MAFF'!AF443,'Annex 2_Code'!$G$114:$G$131,0)),"")</f>
        <v>MAFF</v>
      </c>
      <c r="AI443" s="646" t="str">
        <f t="shared" si="573"/>
        <v>MAFF</v>
      </c>
      <c r="AJ443" s="625" t="s">
        <v>451</v>
      </c>
      <c r="AM443" s="625" t="s">
        <v>92</v>
      </c>
      <c r="AN443" s="625" t="e">
        <f>+#REF!</f>
        <v>#REF!</v>
      </c>
      <c r="AO443" s="817" t="e">
        <f>+#REF!</f>
        <v>#REF!</v>
      </c>
    </row>
    <row r="444" spans="1:41" s="625" customFormat="1" ht="56.25" customHeight="1" outlineLevel="1">
      <c r="A444" s="587"/>
      <c r="B444" s="659" t="s">
        <v>1465</v>
      </c>
      <c r="C444" s="669" t="s">
        <v>114</v>
      </c>
      <c r="D444" s="614"/>
      <c r="E444" s="2370"/>
      <c r="F444" s="2362" t="s">
        <v>1628</v>
      </c>
      <c r="G444" s="2390" t="s">
        <v>1623</v>
      </c>
      <c r="H444" s="2364" t="s">
        <v>1145</v>
      </c>
      <c r="I444" s="2365">
        <f>2200/1000</f>
        <v>2.2000000000000002</v>
      </c>
      <c r="J444" s="1500">
        <v>3</v>
      </c>
      <c r="K444" s="1501">
        <v>3</v>
      </c>
      <c r="L444" s="1501">
        <v>3</v>
      </c>
      <c r="M444" s="1501">
        <v>3</v>
      </c>
      <c r="N444" s="1504">
        <f t="shared" si="590"/>
        <v>12</v>
      </c>
      <c r="O444" s="657">
        <f t="shared" si="592"/>
        <v>6.6000000000000005</v>
      </c>
      <c r="P444" s="623">
        <f t="shared" si="593"/>
        <v>6.6000000000000005</v>
      </c>
      <c r="Q444" s="623">
        <f t="shared" si="591"/>
        <v>6.6000000000000005</v>
      </c>
      <c r="R444" s="623">
        <f t="shared" si="591"/>
        <v>6.6000000000000005</v>
      </c>
      <c r="S444" s="1429">
        <f t="shared" si="594"/>
        <v>26.400000000000002</v>
      </c>
      <c r="T444" s="599">
        <f>IFERROR(INDEX('Annex 2_Code'!I$8:I$33,MATCH('Annex 3_MAFF'!$AG444,'Annex 2_Code'!$G$8:$G$33,0)),"")</f>
        <v>1</v>
      </c>
      <c r="U444" s="599">
        <f>IFERROR(INDEX('Annex 2_Code'!J$8:J$33,MATCH('Annex 3_MAFF'!$AG444,'Annex 2_Code'!$G$8:$G$33,0)),"")</f>
        <v>0</v>
      </c>
      <c r="V444" s="599">
        <f>IFERROR(INDEX('Annex 2_Code'!K$8:K$33,MATCH('Annex 3_MAFF'!$AG444,'Annex 2_Code'!$G$8:$G$33,0)),"")</f>
        <v>0</v>
      </c>
      <c r="W444" s="599">
        <f>IFERROR(INDEX('Annex 2_Code'!L$8:L$33,MATCH('Annex 3_MAFF'!$AG444,'Annex 2_Code'!$G$8:$G$33,0)),"")</f>
        <v>0</v>
      </c>
      <c r="X444" s="599">
        <f>IFERROR(INDEX('Annex 2_Code'!M$8:M$33,MATCH('Annex 3_MAFF'!$AG444,'Annex 2_Code'!$G$8:$G$33,0)),"")</f>
        <v>0</v>
      </c>
      <c r="Y444" s="1575">
        <f t="shared" si="574"/>
        <v>26.400000000000002</v>
      </c>
      <c r="Z444" s="600">
        <f t="shared" si="575"/>
        <v>0</v>
      </c>
      <c r="AA444" s="600">
        <f t="shared" si="575"/>
        <v>0</v>
      </c>
      <c r="AB444" s="600">
        <f t="shared" si="576"/>
        <v>0</v>
      </c>
      <c r="AC444" s="601">
        <f t="shared" si="577"/>
        <v>0</v>
      </c>
      <c r="AD444" s="602">
        <f t="shared" si="585"/>
        <v>26.400000000000002</v>
      </c>
      <c r="AE444" s="602">
        <f t="shared" si="586"/>
        <v>0</v>
      </c>
      <c r="AF444" s="605" t="s">
        <v>374</v>
      </c>
      <c r="AG444" s="605" t="s">
        <v>227</v>
      </c>
      <c r="AH444" s="605" t="str">
        <f>IFERROR(INDEX('Annex 2_Code'!$J$114:$J$131,MATCH('Annex 3_MAFF'!AF444,'Annex 2_Code'!$G$114:$G$131,0)),"")</f>
        <v>MAFF</v>
      </c>
      <c r="AI444" s="646" t="str">
        <f t="shared" si="573"/>
        <v>MAFF</v>
      </c>
      <c r="AJ444" s="625" t="s">
        <v>451</v>
      </c>
      <c r="AK444" s="740">
        <f>+AO434</f>
        <v>123.6</v>
      </c>
      <c r="AL444" s="740" t="s">
        <v>194</v>
      </c>
      <c r="AN444" s="607" t="s">
        <v>425</v>
      </c>
    </row>
    <row r="445" spans="1:41" s="625" customFormat="1" ht="56.25" customHeight="1" outlineLevel="1">
      <c r="A445" s="587"/>
      <c r="B445" s="659" t="s">
        <v>1465</v>
      </c>
      <c r="C445" s="669" t="s">
        <v>114</v>
      </c>
      <c r="D445" s="614"/>
      <c r="E445" s="2370"/>
      <c r="F445" s="2362" t="s">
        <v>1629</v>
      </c>
      <c r="G445" s="2390" t="s">
        <v>1624</v>
      </c>
      <c r="H445" s="2364" t="s">
        <v>1145</v>
      </c>
      <c r="I445" s="2365">
        <f>1000/1000</f>
        <v>1</v>
      </c>
      <c r="J445" s="1500">
        <v>3</v>
      </c>
      <c r="K445" s="1501">
        <v>3</v>
      </c>
      <c r="L445" s="1501">
        <v>3</v>
      </c>
      <c r="M445" s="1501">
        <v>3</v>
      </c>
      <c r="N445" s="1504">
        <f t="shared" ref="N445:N447" si="595">SUM(J445:M445)</f>
        <v>12</v>
      </c>
      <c r="O445" s="657">
        <f t="shared" ref="O445:O447" si="596">($I445*J445)</f>
        <v>3</v>
      </c>
      <c r="P445" s="623">
        <f t="shared" ref="P445:P447" si="597">($I445*K445)</f>
        <v>3</v>
      </c>
      <c r="Q445" s="623">
        <f t="shared" ref="Q445:Q447" si="598">($I445*L445)</f>
        <v>3</v>
      </c>
      <c r="R445" s="623">
        <f t="shared" ref="R445:R447" si="599">($I445*M445)</f>
        <v>3</v>
      </c>
      <c r="S445" s="1429">
        <f t="shared" ref="S445:S447" si="600">SUM(O445:R445)</f>
        <v>12</v>
      </c>
      <c r="T445" s="599">
        <f>IFERROR(INDEX('Annex 2_Code'!I$8:I$33,MATCH('Annex 3_MAFF'!$AG445,'Annex 2_Code'!$G$8:$G$33,0)),"")</f>
        <v>1</v>
      </c>
      <c r="U445" s="599">
        <f>IFERROR(INDEX('Annex 2_Code'!J$8:J$33,MATCH('Annex 3_MAFF'!$AG445,'Annex 2_Code'!$G$8:$G$33,0)),"")</f>
        <v>0</v>
      </c>
      <c r="V445" s="599">
        <f>IFERROR(INDEX('Annex 2_Code'!K$8:K$33,MATCH('Annex 3_MAFF'!$AG445,'Annex 2_Code'!$G$8:$G$33,0)),"")</f>
        <v>0</v>
      </c>
      <c r="W445" s="599">
        <f>IFERROR(INDEX('Annex 2_Code'!L$8:L$33,MATCH('Annex 3_MAFF'!$AG445,'Annex 2_Code'!$G$8:$G$33,0)),"")</f>
        <v>0</v>
      </c>
      <c r="X445" s="599">
        <f>IFERROR(INDEX('Annex 2_Code'!M$8:M$33,MATCH('Annex 3_MAFF'!$AG445,'Annex 2_Code'!$G$8:$G$33,0)),"")</f>
        <v>0</v>
      </c>
      <c r="Y445" s="1575">
        <f t="shared" ref="Y445:Y447" si="601">IFERROR($S445*T445,"")</f>
        <v>12</v>
      </c>
      <c r="Z445" s="600">
        <f t="shared" ref="Z445:Z447" si="602">IFERROR($S445*U445,"")</f>
        <v>0</v>
      </c>
      <c r="AA445" s="600">
        <f t="shared" ref="AA445:AA447" si="603">IFERROR($S445*V445,"")</f>
        <v>0</v>
      </c>
      <c r="AB445" s="600">
        <f t="shared" ref="AB445:AB447" si="604">IFERROR($S445*W445,"")</f>
        <v>0</v>
      </c>
      <c r="AC445" s="601">
        <f t="shared" ref="AC445:AC447" si="605">IFERROR($S445*X445,"")</f>
        <v>0</v>
      </c>
      <c r="AD445" s="602">
        <f t="shared" ref="AD445:AD447" si="606">SUM(Y445:AC445)</f>
        <v>12</v>
      </c>
      <c r="AE445" s="602">
        <f t="shared" ref="AE445:AE447" si="607">AD445-S445</f>
        <v>0</v>
      </c>
      <c r="AF445" s="605" t="s">
        <v>374</v>
      </c>
      <c r="AG445" s="605" t="s">
        <v>227</v>
      </c>
      <c r="AH445" s="605" t="str">
        <f>IFERROR(INDEX('Annex 2_Code'!$J$114:$J$131,MATCH('Annex 3_MAFF'!AF445,'Annex 2_Code'!$G$114:$G$131,0)),"")</f>
        <v>MAFF</v>
      </c>
      <c r="AI445" s="646" t="str">
        <f t="shared" ref="AI445:AI447" si="608">IF(ISNUMBER(FIND("-",AH445,1))=FALSE,LEFT(AH445,LEN(AH445)),LEFT(AH445,(FIND("-",AH445,1))-1))</f>
        <v>MAFF</v>
      </c>
      <c r="AJ445" s="625" t="s">
        <v>451</v>
      </c>
      <c r="AK445" s="740"/>
      <c r="AL445" s="740"/>
      <c r="AN445" s="607"/>
    </row>
    <row r="446" spans="1:41" s="625" customFormat="1" ht="56.25" customHeight="1" outlineLevel="1">
      <c r="A446" s="587"/>
      <c r="B446" s="659" t="s">
        <v>1465</v>
      </c>
      <c r="C446" s="669" t="s">
        <v>114</v>
      </c>
      <c r="D446" s="614"/>
      <c r="E446" s="2370"/>
      <c r="F446" s="2362" t="s">
        <v>1630</v>
      </c>
      <c r="G446" s="2390" t="s">
        <v>1625</v>
      </c>
      <c r="H446" s="2364" t="s">
        <v>1145</v>
      </c>
      <c r="I446" s="2365">
        <f>200/1000</f>
        <v>0.2</v>
      </c>
      <c r="J446" s="1500">
        <v>6</v>
      </c>
      <c r="K446" s="1501">
        <v>6</v>
      </c>
      <c r="L446" s="1501">
        <v>6</v>
      </c>
      <c r="M446" s="1501">
        <v>6</v>
      </c>
      <c r="N446" s="1504">
        <f t="shared" si="595"/>
        <v>24</v>
      </c>
      <c r="O446" s="657">
        <f t="shared" si="596"/>
        <v>1.2000000000000002</v>
      </c>
      <c r="P446" s="623">
        <f t="shared" si="597"/>
        <v>1.2000000000000002</v>
      </c>
      <c r="Q446" s="623">
        <f t="shared" si="598"/>
        <v>1.2000000000000002</v>
      </c>
      <c r="R446" s="623">
        <f t="shared" si="599"/>
        <v>1.2000000000000002</v>
      </c>
      <c r="S446" s="1429">
        <f t="shared" si="600"/>
        <v>4.8000000000000007</v>
      </c>
      <c r="T446" s="599">
        <f>IFERROR(INDEX('Annex 2_Code'!I$8:I$33,MATCH('Annex 3_MAFF'!$AG446,'Annex 2_Code'!$G$8:$G$33,0)),"")</f>
        <v>1</v>
      </c>
      <c r="U446" s="599">
        <f>IFERROR(INDEX('Annex 2_Code'!J$8:J$33,MATCH('Annex 3_MAFF'!$AG446,'Annex 2_Code'!$G$8:$G$33,0)),"")</f>
        <v>0</v>
      </c>
      <c r="V446" s="599">
        <f>IFERROR(INDEX('Annex 2_Code'!K$8:K$33,MATCH('Annex 3_MAFF'!$AG446,'Annex 2_Code'!$G$8:$G$33,0)),"")</f>
        <v>0</v>
      </c>
      <c r="W446" s="599">
        <f>IFERROR(INDEX('Annex 2_Code'!L$8:L$33,MATCH('Annex 3_MAFF'!$AG446,'Annex 2_Code'!$G$8:$G$33,0)),"")</f>
        <v>0</v>
      </c>
      <c r="X446" s="599">
        <f>IFERROR(INDEX('Annex 2_Code'!M$8:M$33,MATCH('Annex 3_MAFF'!$AG446,'Annex 2_Code'!$G$8:$G$33,0)),"")</f>
        <v>0</v>
      </c>
      <c r="Y446" s="1575">
        <f t="shared" si="601"/>
        <v>4.8000000000000007</v>
      </c>
      <c r="Z446" s="600">
        <f t="shared" si="602"/>
        <v>0</v>
      </c>
      <c r="AA446" s="600">
        <f t="shared" si="603"/>
        <v>0</v>
      </c>
      <c r="AB446" s="600">
        <f t="shared" si="604"/>
        <v>0</v>
      </c>
      <c r="AC446" s="601">
        <f t="shared" si="605"/>
        <v>0</v>
      </c>
      <c r="AD446" s="602">
        <f t="shared" si="606"/>
        <v>4.8000000000000007</v>
      </c>
      <c r="AE446" s="602">
        <f t="shared" si="607"/>
        <v>0</v>
      </c>
      <c r="AF446" s="605" t="s">
        <v>374</v>
      </c>
      <c r="AG446" s="605" t="s">
        <v>227</v>
      </c>
      <c r="AH446" s="605" t="str">
        <f>IFERROR(INDEX('Annex 2_Code'!$J$114:$J$131,MATCH('Annex 3_MAFF'!AF446,'Annex 2_Code'!$G$114:$G$131,0)),"")</f>
        <v>MAFF</v>
      </c>
      <c r="AI446" s="646" t="str">
        <f t="shared" si="608"/>
        <v>MAFF</v>
      </c>
      <c r="AJ446" s="625" t="s">
        <v>451</v>
      </c>
      <c r="AK446" s="740"/>
      <c r="AL446" s="740"/>
      <c r="AN446" s="607"/>
    </row>
    <row r="447" spans="1:41" s="625" customFormat="1" ht="56.25" customHeight="1" outlineLevel="1">
      <c r="A447" s="587"/>
      <c r="B447" s="659" t="s">
        <v>1465</v>
      </c>
      <c r="C447" s="669" t="s">
        <v>114</v>
      </c>
      <c r="D447" s="614"/>
      <c r="E447" s="2370"/>
      <c r="F447" s="2362" t="s">
        <v>1631</v>
      </c>
      <c r="G447" s="2390" t="s">
        <v>1632</v>
      </c>
      <c r="H447" s="2364" t="s">
        <v>1145</v>
      </c>
      <c r="I447" s="2365">
        <v>0.3</v>
      </c>
      <c r="J447" s="1500">
        <v>30</v>
      </c>
      <c r="K447" s="1501">
        <v>30</v>
      </c>
      <c r="L447" s="1501">
        <v>30</v>
      </c>
      <c r="M447" s="1501">
        <v>30</v>
      </c>
      <c r="N447" s="1504">
        <f t="shared" si="595"/>
        <v>120</v>
      </c>
      <c r="O447" s="657">
        <f t="shared" si="596"/>
        <v>9</v>
      </c>
      <c r="P447" s="623">
        <f t="shared" si="597"/>
        <v>9</v>
      </c>
      <c r="Q447" s="623">
        <f t="shared" si="598"/>
        <v>9</v>
      </c>
      <c r="R447" s="623">
        <f t="shared" si="599"/>
        <v>9</v>
      </c>
      <c r="S447" s="1429">
        <f t="shared" si="600"/>
        <v>36</v>
      </c>
      <c r="T447" s="599">
        <f>IFERROR(INDEX('Annex 2_Code'!I$8:I$33,MATCH('Annex 3_MAFF'!$AG447,'Annex 2_Code'!$G$8:$G$33,0)),"")</f>
        <v>1</v>
      </c>
      <c r="U447" s="599">
        <f>IFERROR(INDEX('Annex 2_Code'!J$8:J$33,MATCH('Annex 3_MAFF'!$AG447,'Annex 2_Code'!$G$8:$G$33,0)),"")</f>
        <v>0</v>
      </c>
      <c r="V447" s="599">
        <f>IFERROR(INDEX('Annex 2_Code'!K$8:K$33,MATCH('Annex 3_MAFF'!$AG447,'Annex 2_Code'!$G$8:$G$33,0)),"")</f>
        <v>0</v>
      </c>
      <c r="W447" s="599">
        <f>IFERROR(INDEX('Annex 2_Code'!L$8:L$33,MATCH('Annex 3_MAFF'!$AG447,'Annex 2_Code'!$G$8:$G$33,0)),"")</f>
        <v>0</v>
      </c>
      <c r="X447" s="599">
        <f>IFERROR(INDEX('Annex 2_Code'!M$8:M$33,MATCH('Annex 3_MAFF'!$AG447,'Annex 2_Code'!$G$8:$G$33,0)),"")</f>
        <v>0</v>
      </c>
      <c r="Y447" s="1575">
        <f t="shared" si="601"/>
        <v>36</v>
      </c>
      <c r="Z447" s="600">
        <f t="shared" si="602"/>
        <v>0</v>
      </c>
      <c r="AA447" s="600">
        <f t="shared" si="603"/>
        <v>0</v>
      </c>
      <c r="AB447" s="600">
        <f t="shared" si="604"/>
        <v>0</v>
      </c>
      <c r="AC447" s="601">
        <f t="shared" si="605"/>
        <v>0</v>
      </c>
      <c r="AD447" s="602">
        <f t="shared" si="606"/>
        <v>36</v>
      </c>
      <c r="AE447" s="602">
        <f t="shared" si="607"/>
        <v>0</v>
      </c>
      <c r="AF447" s="605" t="s">
        <v>374</v>
      </c>
      <c r="AG447" s="605" t="s">
        <v>227</v>
      </c>
      <c r="AH447" s="605" t="str">
        <f>IFERROR(INDEX('Annex 2_Code'!$J$114:$J$131,MATCH('Annex 3_MAFF'!AF447,'Annex 2_Code'!$G$114:$G$131,0)),"")</f>
        <v>MAFF</v>
      </c>
      <c r="AI447" s="646" t="str">
        <f t="shared" si="608"/>
        <v>MAFF</v>
      </c>
      <c r="AJ447" s="625" t="s">
        <v>451</v>
      </c>
      <c r="AK447" s="740"/>
      <c r="AL447" s="740"/>
      <c r="AN447" s="607"/>
    </row>
    <row r="448" spans="1:41" s="625" customFormat="1" ht="39" customHeight="1" outlineLevel="1">
      <c r="A448" s="587"/>
      <c r="B448" s="659" t="s">
        <v>1465</v>
      </c>
      <c r="C448" s="669" t="s">
        <v>114</v>
      </c>
      <c r="D448" s="614"/>
      <c r="E448" s="307"/>
      <c r="F448" s="751" t="s">
        <v>90</v>
      </c>
      <c r="G448" s="1706" t="s">
        <v>653</v>
      </c>
      <c r="H448" s="1523" t="s">
        <v>1146</v>
      </c>
      <c r="I448" s="727">
        <f>(12*2000+7*2000)/1000</f>
        <v>38</v>
      </c>
      <c r="J448" s="1502"/>
      <c r="K448" s="1503">
        <v>1</v>
      </c>
      <c r="L448" s="1503">
        <v>0</v>
      </c>
      <c r="M448" s="1503">
        <v>0</v>
      </c>
      <c r="N448" s="1504">
        <f t="shared" si="590"/>
        <v>1</v>
      </c>
      <c r="O448" s="622">
        <f t="shared" si="592"/>
        <v>0</v>
      </c>
      <c r="P448" s="623">
        <f t="shared" si="593"/>
        <v>38</v>
      </c>
      <c r="Q448" s="623">
        <f t="shared" si="591"/>
        <v>0</v>
      </c>
      <c r="R448" s="623">
        <f t="shared" si="591"/>
        <v>0</v>
      </c>
      <c r="S448" s="1429">
        <f t="shared" si="594"/>
        <v>38</v>
      </c>
      <c r="T448" s="599">
        <f>IFERROR(INDEX('Annex 2_Code'!I$8:I$33,MATCH('Annex 3_MAFF'!$AG448,'Annex 2_Code'!$G$8:$G$33,0)),"")</f>
        <v>1</v>
      </c>
      <c r="U448" s="599">
        <f>IFERROR(INDEX('Annex 2_Code'!J$8:J$33,MATCH('Annex 3_MAFF'!$AG448,'Annex 2_Code'!$G$8:$G$33,0)),"")</f>
        <v>0</v>
      </c>
      <c r="V448" s="599">
        <f>IFERROR(INDEX('Annex 2_Code'!K$8:K$33,MATCH('Annex 3_MAFF'!$AG448,'Annex 2_Code'!$G$8:$G$33,0)),"")</f>
        <v>0</v>
      </c>
      <c r="W448" s="599">
        <f>IFERROR(INDEX('Annex 2_Code'!L$8:L$33,MATCH('Annex 3_MAFF'!$AG448,'Annex 2_Code'!$G$8:$G$33,0)),"")</f>
        <v>0</v>
      </c>
      <c r="X448" s="599">
        <f>IFERROR(INDEX('Annex 2_Code'!M$8:M$33,MATCH('Annex 3_MAFF'!$AG448,'Annex 2_Code'!$G$8:$G$33,0)),"")</f>
        <v>0</v>
      </c>
      <c r="Y448" s="647">
        <f t="shared" si="574"/>
        <v>38</v>
      </c>
      <c r="Z448" s="600">
        <f t="shared" si="575"/>
        <v>0</v>
      </c>
      <c r="AA448" s="600">
        <f t="shared" si="575"/>
        <v>0</v>
      </c>
      <c r="AB448" s="600">
        <f t="shared" si="576"/>
        <v>0</v>
      </c>
      <c r="AC448" s="601">
        <f t="shared" si="577"/>
        <v>0</v>
      </c>
      <c r="AD448" s="602">
        <f t="shared" si="585"/>
        <v>38</v>
      </c>
      <c r="AE448" s="602">
        <f t="shared" si="586"/>
        <v>0</v>
      </c>
      <c r="AF448" s="605" t="s">
        <v>374</v>
      </c>
      <c r="AG448" s="605" t="s">
        <v>227</v>
      </c>
      <c r="AH448" s="605" t="str">
        <f>IFERROR(INDEX('Annex 2_Code'!$J$114:$J$131,MATCH('Annex 3_MAFF'!AF448,'Annex 2_Code'!$G$114:$G$131,0)),"")</f>
        <v>MAFF</v>
      </c>
      <c r="AI448" s="646" t="str">
        <f t="shared" si="573"/>
        <v>MAFF</v>
      </c>
      <c r="AJ448" s="625" t="s">
        <v>451</v>
      </c>
      <c r="AK448" s="740">
        <f>+AO455</f>
        <v>13.399999999999999</v>
      </c>
      <c r="AL448" s="740" t="s">
        <v>392</v>
      </c>
      <c r="AM448" s="625" t="s">
        <v>94</v>
      </c>
      <c r="AN448" s="625" t="str">
        <f>+G450</f>
        <v>Advertisement Charges (ចំណាយលើផ្នែកផ្សព្វផ្សាយព័ត៌មាន)</v>
      </c>
      <c r="AO448" s="817">
        <f>S450</f>
        <v>2.8000000000000003</v>
      </c>
    </row>
    <row r="449" spans="1:41" s="625" customFormat="1" ht="39" customHeight="1" outlineLevel="1">
      <c r="A449" s="587"/>
      <c r="B449" s="2510" t="s">
        <v>1465</v>
      </c>
      <c r="C449" s="2369" t="s">
        <v>114</v>
      </c>
      <c r="D449" s="2511"/>
      <c r="E449" s="2370"/>
      <c r="F449" s="2362" t="s">
        <v>92</v>
      </c>
      <c r="G449" s="2512" t="s">
        <v>1498</v>
      </c>
      <c r="H449" s="2364" t="s">
        <v>1499</v>
      </c>
      <c r="I449" s="2365">
        <v>24.5</v>
      </c>
      <c r="J449" s="2366"/>
      <c r="K449" s="2367">
        <v>0</v>
      </c>
      <c r="L449" s="2367">
        <v>0</v>
      </c>
      <c r="M449" s="2367">
        <v>0</v>
      </c>
      <c r="N449" s="2368">
        <f t="shared" ref="N449" si="609">SUM(J449:M449)</f>
        <v>0</v>
      </c>
      <c r="O449" s="2371">
        <f t="shared" ref="O449" si="610">($I449*J449)</f>
        <v>0</v>
      </c>
      <c r="P449" s="2372">
        <f t="shared" ref="P449" si="611">($I449*K449)</f>
        <v>0</v>
      </c>
      <c r="Q449" s="2372">
        <f t="shared" ref="Q449" si="612">($I449*L449)</f>
        <v>0</v>
      </c>
      <c r="R449" s="2372">
        <f t="shared" ref="R449" si="613">($I449*M449)</f>
        <v>0</v>
      </c>
      <c r="S449" s="2389">
        <f t="shared" ref="S449" si="614">SUM(O449:R449)</f>
        <v>0</v>
      </c>
      <c r="T449" s="599">
        <f>IFERROR(INDEX('Annex 2_Code'!I$8:I$33,MATCH('Annex 3_MAFF'!$AG449,'Annex 2_Code'!$G$8:$G$33,0)),"")</f>
        <v>1</v>
      </c>
      <c r="U449" s="599">
        <f>IFERROR(INDEX('Annex 2_Code'!J$8:J$33,MATCH('Annex 3_MAFF'!$AG449,'Annex 2_Code'!$G$8:$G$33,0)),"")</f>
        <v>0</v>
      </c>
      <c r="V449" s="599">
        <f>IFERROR(INDEX('Annex 2_Code'!K$8:K$33,MATCH('Annex 3_MAFF'!$AG449,'Annex 2_Code'!$G$8:$G$33,0)),"")</f>
        <v>0</v>
      </c>
      <c r="W449" s="599">
        <f>IFERROR(INDEX('Annex 2_Code'!L$8:L$33,MATCH('Annex 3_MAFF'!$AG449,'Annex 2_Code'!$G$8:$G$33,0)),"")</f>
        <v>0</v>
      </c>
      <c r="X449" s="599">
        <f>IFERROR(INDEX('Annex 2_Code'!M$8:M$33,MATCH('Annex 3_MAFF'!$AG449,'Annex 2_Code'!$G$8:$G$33,0)),"")</f>
        <v>0</v>
      </c>
      <c r="Y449" s="647">
        <f t="shared" ref="Y449" si="615">IFERROR($S449*T449,"")</f>
        <v>0</v>
      </c>
      <c r="Z449" s="600">
        <f t="shared" ref="Z449" si="616">IFERROR($S449*U449,"")</f>
        <v>0</v>
      </c>
      <c r="AA449" s="600">
        <f t="shared" ref="AA449" si="617">IFERROR($S449*V449,"")</f>
        <v>0</v>
      </c>
      <c r="AB449" s="600">
        <f t="shared" ref="AB449" si="618">IFERROR($S449*W449,"")</f>
        <v>0</v>
      </c>
      <c r="AC449" s="601">
        <f t="shared" ref="AC449" si="619">IFERROR($S449*X449,"")</f>
        <v>0</v>
      </c>
      <c r="AD449" s="602">
        <f t="shared" ref="AD449" si="620">SUM(Y449:AC449)</f>
        <v>0</v>
      </c>
      <c r="AE449" s="602">
        <f t="shared" ref="AE449" si="621">AD449-S449</f>
        <v>0</v>
      </c>
      <c r="AF449" s="605" t="s">
        <v>374</v>
      </c>
      <c r="AG449" s="605" t="s">
        <v>227</v>
      </c>
      <c r="AH449" s="605" t="str">
        <f>IFERROR(INDEX('Annex 2_Code'!$J$114:$J$131,MATCH('Annex 3_MAFF'!AF449,'Annex 2_Code'!$G$114:$G$131,0)),"")</f>
        <v>MAFF</v>
      </c>
      <c r="AI449" s="646" t="str">
        <f t="shared" ref="AI449" si="622">IF(ISNUMBER(FIND("-",AH449,1))=FALSE,LEFT(AH449,LEN(AH449)),LEFT(AH449,(FIND("-",AH449,1))-1))</f>
        <v>MAFF</v>
      </c>
      <c r="AJ449" s="625" t="s">
        <v>451</v>
      </c>
      <c r="AK449" s="740">
        <f>+AO456</f>
        <v>0</v>
      </c>
      <c r="AL449" s="740" t="s">
        <v>392</v>
      </c>
      <c r="AM449" s="625" t="s">
        <v>94</v>
      </c>
      <c r="AN449" s="625" t="str">
        <f>+G451</f>
        <v>Project Steering Committee Meeting (ប្រជុំគណៈកម្មការគ្រប់គ្រងគម្រោង)</v>
      </c>
      <c r="AO449" s="817"/>
    </row>
    <row r="450" spans="1:41" s="625" customFormat="1" ht="23.25" outlineLevel="1">
      <c r="A450" s="587"/>
      <c r="B450" s="659" t="s">
        <v>1465</v>
      </c>
      <c r="C450" s="669" t="s">
        <v>114</v>
      </c>
      <c r="D450" s="614"/>
      <c r="E450" s="307"/>
      <c r="F450" s="751" t="s">
        <v>94</v>
      </c>
      <c r="G450" s="825" t="s">
        <v>654</v>
      </c>
      <c r="H450" s="1523" t="s">
        <v>1146</v>
      </c>
      <c r="I450" s="727">
        <f>200/1000</f>
        <v>0.2</v>
      </c>
      <c r="J450" s="1502">
        <v>3</v>
      </c>
      <c r="K450" s="1503">
        <v>3</v>
      </c>
      <c r="L450" s="1503">
        <v>3</v>
      </c>
      <c r="M450" s="1503">
        <v>5</v>
      </c>
      <c r="N450" s="1504">
        <f t="shared" si="590"/>
        <v>14</v>
      </c>
      <c r="O450" s="622">
        <f t="shared" si="592"/>
        <v>0.60000000000000009</v>
      </c>
      <c r="P450" s="623">
        <f t="shared" si="593"/>
        <v>0.60000000000000009</v>
      </c>
      <c r="Q450" s="623">
        <f t="shared" si="591"/>
        <v>0.60000000000000009</v>
      </c>
      <c r="R450" s="623">
        <f t="shared" si="591"/>
        <v>1</v>
      </c>
      <c r="S450" s="1356">
        <f t="shared" si="594"/>
        <v>2.8000000000000003</v>
      </c>
      <c r="T450" s="599">
        <f>IFERROR(INDEX('Annex 2_Code'!I$8:I$33,MATCH('Annex 3_MAFF'!$AG450,'Annex 2_Code'!$G$8:$G$33,0)),"")</f>
        <v>1</v>
      </c>
      <c r="U450" s="599">
        <f>IFERROR(INDEX('Annex 2_Code'!J$8:J$33,MATCH('Annex 3_MAFF'!$AG450,'Annex 2_Code'!$G$8:$G$33,0)),"")</f>
        <v>0</v>
      </c>
      <c r="V450" s="599">
        <f>IFERROR(INDEX('Annex 2_Code'!K$8:K$33,MATCH('Annex 3_MAFF'!$AG450,'Annex 2_Code'!$G$8:$G$33,0)),"")</f>
        <v>0</v>
      </c>
      <c r="W450" s="599">
        <f>IFERROR(INDEX('Annex 2_Code'!L$8:L$33,MATCH('Annex 3_MAFF'!$AG450,'Annex 2_Code'!$G$8:$G$33,0)),"")</f>
        <v>0</v>
      </c>
      <c r="X450" s="599">
        <f>IFERROR(INDEX('Annex 2_Code'!M$8:M$33,MATCH('Annex 3_MAFF'!$AG450,'Annex 2_Code'!$G$8:$G$33,0)),"")</f>
        <v>0</v>
      </c>
      <c r="Y450" s="647">
        <f t="shared" si="574"/>
        <v>2.8000000000000003</v>
      </c>
      <c r="Z450" s="600">
        <f t="shared" si="575"/>
        <v>0</v>
      </c>
      <c r="AA450" s="600">
        <f t="shared" si="575"/>
        <v>0</v>
      </c>
      <c r="AB450" s="600">
        <f t="shared" si="576"/>
        <v>0</v>
      </c>
      <c r="AC450" s="601">
        <f t="shared" si="577"/>
        <v>0</v>
      </c>
      <c r="AD450" s="602">
        <f t="shared" si="585"/>
        <v>2.8000000000000003</v>
      </c>
      <c r="AE450" s="602">
        <f t="shared" si="586"/>
        <v>0</v>
      </c>
      <c r="AF450" s="605" t="s">
        <v>374</v>
      </c>
      <c r="AG450" s="605" t="s">
        <v>227</v>
      </c>
      <c r="AH450" s="605" t="str">
        <f>IFERROR(INDEX('Annex 2_Code'!$J$114:$J$131,MATCH('Annex 3_MAFF'!AF450,'Annex 2_Code'!$G$114:$G$131,0)),"")</f>
        <v>MAFF</v>
      </c>
      <c r="AI450" s="646" t="str">
        <f t="shared" si="573"/>
        <v>MAFF</v>
      </c>
      <c r="AJ450" s="625" t="s">
        <v>451</v>
      </c>
      <c r="AK450" s="740">
        <f>+AO438</f>
        <v>334.22399999999999</v>
      </c>
      <c r="AL450" s="740" t="s">
        <v>420</v>
      </c>
      <c r="AM450" s="819" t="s">
        <v>423</v>
      </c>
      <c r="AN450" s="625" t="str">
        <f>+G452</f>
        <v>General Meeting (ចំណាយលើអង្គប្រជុំទូទៅ)</v>
      </c>
      <c r="AO450" s="817">
        <f>S452</f>
        <v>5.3999999999999995</v>
      </c>
    </row>
    <row r="451" spans="1:41" s="902" customFormat="1" ht="23.25" outlineLevel="1">
      <c r="A451" s="1357"/>
      <c r="B451" s="659" t="s">
        <v>1465</v>
      </c>
      <c r="C451" s="669" t="s">
        <v>114</v>
      </c>
      <c r="D451" s="1358"/>
      <c r="E451" s="307"/>
      <c r="F451" s="2274" t="s">
        <v>423</v>
      </c>
      <c r="G451" s="307" t="s">
        <v>1065</v>
      </c>
      <c r="H451" s="1523" t="s">
        <v>934</v>
      </c>
      <c r="I451" s="727">
        <v>3</v>
      </c>
      <c r="J451" s="2366">
        <v>0</v>
      </c>
      <c r="K451" s="1503">
        <v>1</v>
      </c>
      <c r="L451" s="2367">
        <v>0</v>
      </c>
      <c r="M451" s="1503">
        <v>1</v>
      </c>
      <c r="N451" s="1504">
        <f t="shared" si="590"/>
        <v>2</v>
      </c>
      <c r="O451" s="2371">
        <f>($I451*J451)</f>
        <v>0</v>
      </c>
      <c r="P451" s="623">
        <f>($I451*K451)</f>
        <v>3</v>
      </c>
      <c r="Q451" s="2372">
        <f>($I451*L451)</f>
        <v>0</v>
      </c>
      <c r="R451" s="623">
        <f>($I451*M451)</f>
        <v>3</v>
      </c>
      <c r="S451" s="2389">
        <f t="shared" si="594"/>
        <v>6</v>
      </c>
      <c r="T451" s="599">
        <f>IFERROR(INDEX('Annex 2_Code'!I$8:I$33,MATCH('Annex 3_MAFF'!$AG451,'Annex 2_Code'!$G$8:$G$33,0)),"")</f>
        <v>1</v>
      </c>
      <c r="U451" s="599">
        <f>IFERROR(INDEX('Annex 2_Code'!J$8:J$33,MATCH('Annex 3_MAFF'!$AG451,'Annex 2_Code'!$G$8:$G$33,0)),"")</f>
        <v>0</v>
      </c>
      <c r="V451" s="599">
        <f>IFERROR(INDEX('Annex 2_Code'!K$8:K$33,MATCH('Annex 3_MAFF'!$AG451,'Annex 2_Code'!$G$8:$G$33,0)),"")</f>
        <v>0</v>
      </c>
      <c r="W451" s="599">
        <f>IFERROR(INDEX('Annex 2_Code'!L$8:L$33,MATCH('Annex 3_MAFF'!$AG451,'Annex 2_Code'!$G$8:$G$33,0)),"")</f>
        <v>0</v>
      </c>
      <c r="X451" s="599">
        <f>IFERROR(INDEX('Annex 2_Code'!M$8:M$33,MATCH('Annex 3_MAFF'!$AG451,'Annex 2_Code'!$G$8:$G$33,0)),"")</f>
        <v>0</v>
      </c>
      <c r="Y451" s="647">
        <f>IFERROR($S451*T451,"")</f>
        <v>6</v>
      </c>
      <c r="Z451" s="600">
        <f>IFERROR($S451*U451,"")</f>
        <v>0</v>
      </c>
      <c r="AA451" s="600">
        <f>IFERROR($S451*V451,"")</f>
        <v>0</v>
      </c>
      <c r="AB451" s="600">
        <f>IFERROR($S451*W451,"")</f>
        <v>0</v>
      </c>
      <c r="AC451" s="601">
        <f>IFERROR($S451*X451,"")</f>
        <v>0</v>
      </c>
      <c r="AD451" s="602">
        <f>SUM(Y451:AC451)</f>
        <v>6</v>
      </c>
      <c r="AE451" s="602">
        <f>AD451-S451</f>
        <v>0</v>
      </c>
      <c r="AF451" s="605" t="s">
        <v>374</v>
      </c>
      <c r="AG451" s="605" t="s">
        <v>227</v>
      </c>
      <c r="AH451" s="605" t="str">
        <f>IFERROR(INDEX('Annex 2_Code'!$J$114:$J$131,MATCH('Annex 3_MAFF'!AF451,'Annex 2_Code'!$G$114:$G$131,0)),"")</f>
        <v>MAFF</v>
      </c>
      <c r="AI451" s="646" t="str">
        <f>IF(ISNUMBER(FIND("-",AH451,1))=FALSE,LEFT(AH451,LEN(AH451)),LEFT(AH451,(FIND("-",AH451,1))-1))</f>
        <v>MAFF</v>
      </c>
      <c r="AJ451" s="625" t="s">
        <v>451</v>
      </c>
      <c r="AK451" s="1449"/>
      <c r="AL451" s="1449"/>
      <c r="AM451" s="1524"/>
      <c r="AO451" s="1525"/>
    </row>
    <row r="452" spans="1:41" s="625" customFormat="1" ht="23.25" outlineLevel="1">
      <c r="A452" s="587"/>
      <c r="B452" s="659" t="s">
        <v>1465</v>
      </c>
      <c r="C452" s="669" t="s">
        <v>114</v>
      </c>
      <c r="D452" s="614"/>
      <c r="E452" s="307"/>
      <c r="F452" s="2274" t="s">
        <v>424</v>
      </c>
      <c r="G452" s="2275" t="s">
        <v>655</v>
      </c>
      <c r="H452" s="1523" t="s">
        <v>1145</v>
      </c>
      <c r="I452" s="727">
        <v>0.6</v>
      </c>
      <c r="J452" s="2366">
        <v>2</v>
      </c>
      <c r="K452" s="2367">
        <v>2</v>
      </c>
      <c r="L452" s="2367">
        <v>2</v>
      </c>
      <c r="M452" s="1503">
        <v>3</v>
      </c>
      <c r="N452" s="1504">
        <f t="shared" si="590"/>
        <v>9</v>
      </c>
      <c r="O452" s="2371">
        <f t="shared" si="592"/>
        <v>1.2</v>
      </c>
      <c r="P452" s="2372">
        <f>($I452*K452)</f>
        <v>1.2</v>
      </c>
      <c r="Q452" s="2372">
        <f t="shared" si="591"/>
        <v>1.2</v>
      </c>
      <c r="R452" s="623">
        <f t="shared" si="591"/>
        <v>1.7999999999999998</v>
      </c>
      <c r="S452" s="2389">
        <f t="shared" si="594"/>
        <v>5.3999999999999995</v>
      </c>
      <c r="T452" s="599">
        <f>IFERROR(INDEX('Annex 2_Code'!I$8:I$33,MATCH('Annex 3_MAFF'!$AG452,'Annex 2_Code'!$G$8:$G$33,0)),"")</f>
        <v>1</v>
      </c>
      <c r="U452" s="599">
        <f>IFERROR(INDEX('Annex 2_Code'!J$8:J$33,MATCH('Annex 3_MAFF'!$AG452,'Annex 2_Code'!$G$8:$G$33,0)),"")</f>
        <v>0</v>
      </c>
      <c r="V452" s="599">
        <f>IFERROR(INDEX('Annex 2_Code'!K$8:K$33,MATCH('Annex 3_MAFF'!$AG452,'Annex 2_Code'!$G$8:$G$33,0)),"")</f>
        <v>0</v>
      </c>
      <c r="W452" s="599">
        <f>IFERROR(INDEX('Annex 2_Code'!L$8:L$33,MATCH('Annex 3_MAFF'!$AG452,'Annex 2_Code'!$G$8:$G$33,0)),"")</f>
        <v>0</v>
      </c>
      <c r="X452" s="599">
        <f>IFERROR(INDEX('Annex 2_Code'!M$8:M$33,MATCH('Annex 3_MAFF'!$AG452,'Annex 2_Code'!$G$8:$G$33,0)),"")</f>
        <v>0</v>
      </c>
      <c r="Y452" s="647">
        <f t="shared" si="574"/>
        <v>5.3999999999999995</v>
      </c>
      <c r="Z452" s="600">
        <f t="shared" si="575"/>
        <v>0</v>
      </c>
      <c r="AA452" s="600">
        <f t="shared" si="575"/>
        <v>0</v>
      </c>
      <c r="AB452" s="600">
        <f t="shared" si="576"/>
        <v>0</v>
      </c>
      <c r="AC452" s="601">
        <f t="shared" si="577"/>
        <v>0</v>
      </c>
      <c r="AD452" s="602">
        <f t="shared" si="585"/>
        <v>5.3999999999999995</v>
      </c>
      <c r="AE452" s="602">
        <f t="shared" si="586"/>
        <v>0</v>
      </c>
      <c r="AF452" s="605" t="s">
        <v>374</v>
      </c>
      <c r="AG452" s="605" t="s">
        <v>227</v>
      </c>
      <c r="AH452" s="605" t="str">
        <f>IFERROR(INDEX('Annex 2_Code'!$J$114:$J$131,MATCH('Annex 3_MAFF'!AF452,'Annex 2_Code'!$G$114:$G$131,0)),"")</f>
        <v>MAFF</v>
      </c>
      <c r="AI452" s="646" t="str">
        <f t="shared" si="573"/>
        <v>MAFF</v>
      </c>
      <c r="AJ452" s="625" t="s">
        <v>451</v>
      </c>
      <c r="AM452" s="819" t="s">
        <v>424</v>
      </c>
      <c r="AN452" s="625" t="str">
        <f>+G455</f>
        <v>Dissemination Workshop on AWPB 2024 
(សិក្ខាសាលាផ្សព្វផ្សាយស្តីពី ផែនការសកម្មភាព និងថវិកាឆ្នាំ២០២៤ )</v>
      </c>
      <c r="AO452" s="817">
        <f>S455</f>
        <v>8</v>
      </c>
    </row>
    <row r="453" spans="1:41" s="902" customFormat="1" ht="23.25" outlineLevel="1">
      <c r="A453" s="1357"/>
      <c r="B453" s="659" t="s">
        <v>1465</v>
      </c>
      <c r="C453" s="669" t="s">
        <v>114</v>
      </c>
      <c r="D453" s="1358"/>
      <c r="E453" s="307"/>
      <c r="F453" s="2274" t="s">
        <v>99</v>
      </c>
      <c r="G453" s="1727" t="s">
        <v>1141</v>
      </c>
      <c r="H453" s="1523" t="s">
        <v>934</v>
      </c>
      <c r="I453" s="727">
        <v>3.5</v>
      </c>
      <c r="J453" s="1502">
        <v>1</v>
      </c>
      <c r="K453" s="1503">
        <v>1</v>
      </c>
      <c r="L453" s="1503">
        <v>1</v>
      </c>
      <c r="M453" s="1503">
        <v>1</v>
      </c>
      <c r="N453" s="1504">
        <f t="shared" si="590"/>
        <v>4</v>
      </c>
      <c r="O453" s="622">
        <f t="shared" si="592"/>
        <v>3.5</v>
      </c>
      <c r="P453" s="623">
        <f>($I453*K453)</f>
        <v>3.5</v>
      </c>
      <c r="Q453" s="623">
        <f t="shared" si="591"/>
        <v>3.5</v>
      </c>
      <c r="R453" s="623">
        <f t="shared" si="591"/>
        <v>3.5</v>
      </c>
      <c r="S453" s="1356">
        <f t="shared" si="594"/>
        <v>14</v>
      </c>
      <c r="T453" s="599">
        <f>IFERROR(INDEX('Annex 2_Code'!I$8:I$33,MATCH('Annex 3_MAFF'!$AG453,'Annex 2_Code'!$G$8:$G$33,0)),"")</f>
        <v>1</v>
      </c>
      <c r="U453" s="599">
        <f>IFERROR(INDEX('Annex 2_Code'!J$8:J$33,MATCH('Annex 3_MAFF'!$AG453,'Annex 2_Code'!$G$8:$G$33,0)),"")</f>
        <v>0</v>
      </c>
      <c r="V453" s="599">
        <f>IFERROR(INDEX('Annex 2_Code'!K$8:K$33,MATCH('Annex 3_MAFF'!$AG453,'Annex 2_Code'!$G$8:$G$33,0)),"")</f>
        <v>0</v>
      </c>
      <c r="W453" s="599">
        <f>IFERROR(INDEX('Annex 2_Code'!L$8:L$33,MATCH('Annex 3_MAFF'!$AG453,'Annex 2_Code'!$G$8:$G$33,0)),"")</f>
        <v>0</v>
      </c>
      <c r="X453" s="599">
        <f>IFERROR(INDEX('Annex 2_Code'!M$8:M$33,MATCH('Annex 3_MAFF'!$AG453,'Annex 2_Code'!$G$8:$G$33,0)),"")</f>
        <v>0</v>
      </c>
      <c r="Y453" s="647">
        <f t="shared" ref="Y453:AC454" si="623">IFERROR($S453*T453,"")</f>
        <v>14</v>
      </c>
      <c r="Z453" s="600">
        <f t="shared" si="623"/>
        <v>0</v>
      </c>
      <c r="AA453" s="600">
        <f t="shared" si="623"/>
        <v>0</v>
      </c>
      <c r="AB453" s="600">
        <f t="shared" si="623"/>
        <v>0</v>
      </c>
      <c r="AC453" s="601">
        <f t="shared" si="623"/>
        <v>0</v>
      </c>
      <c r="AD453" s="602">
        <f>SUM(Y453:AC453)</f>
        <v>14</v>
      </c>
      <c r="AE453" s="602">
        <f>AD453-S453</f>
        <v>0</v>
      </c>
      <c r="AF453" s="605" t="s">
        <v>374</v>
      </c>
      <c r="AG453" s="605" t="s">
        <v>227</v>
      </c>
      <c r="AH453" s="605" t="str">
        <f>IFERROR(INDEX('Annex 2_Code'!$J$114:$J$131,MATCH('Annex 3_MAFF'!AF453,'Annex 2_Code'!$G$114:$G$131,0)),"")</f>
        <v>MAFF</v>
      </c>
      <c r="AI453" s="646" t="str">
        <f>IF(ISNUMBER(FIND("-",AH453,1))=FALSE,LEFT(AH453,LEN(AH453)),LEFT(AH453,(FIND("-",AH453,1))-1))</f>
        <v>MAFF</v>
      </c>
      <c r="AJ453" s="625" t="s">
        <v>451</v>
      </c>
      <c r="AM453" s="1524"/>
      <c r="AO453" s="1525"/>
    </row>
    <row r="454" spans="1:41" s="902" customFormat="1" ht="46.5" outlineLevel="1">
      <c r="A454" s="1357"/>
      <c r="B454" s="659" t="s">
        <v>1465</v>
      </c>
      <c r="C454" s="669" t="s">
        <v>114</v>
      </c>
      <c r="D454" s="1358"/>
      <c r="E454" s="307"/>
      <c r="F454" s="2274" t="s">
        <v>101</v>
      </c>
      <c r="G454" s="1728" t="s">
        <v>1369</v>
      </c>
      <c r="H454" s="1523" t="s">
        <v>934</v>
      </c>
      <c r="I454" s="727">
        <v>5</v>
      </c>
      <c r="J454" s="1502">
        <v>0</v>
      </c>
      <c r="K454" s="1503">
        <v>2</v>
      </c>
      <c r="L454" s="1503">
        <v>2</v>
      </c>
      <c r="M454" s="1503">
        <v>0</v>
      </c>
      <c r="N454" s="1504">
        <f t="shared" si="590"/>
        <v>4</v>
      </c>
      <c r="O454" s="622">
        <f t="shared" si="592"/>
        <v>0</v>
      </c>
      <c r="P454" s="623">
        <f>($I454*K454)</f>
        <v>10</v>
      </c>
      <c r="Q454" s="623">
        <f t="shared" si="591"/>
        <v>10</v>
      </c>
      <c r="R454" s="623">
        <f t="shared" si="591"/>
        <v>0</v>
      </c>
      <c r="S454" s="1356">
        <f t="shared" si="594"/>
        <v>20</v>
      </c>
      <c r="T454" s="599">
        <f>IFERROR(INDEX('Annex 2_Code'!I$8:I$33,MATCH('Annex 3_MAFF'!$AG454,'Annex 2_Code'!$G$8:$G$33,0)),"")</f>
        <v>1</v>
      </c>
      <c r="U454" s="599">
        <f>IFERROR(INDEX('Annex 2_Code'!J$8:J$33,MATCH('Annex 3_MAFF'!$AG454,'Annex 2_Code'!$G$8:$G$33,0)),"")</f>
        <v>0</v>
      </c>
      <c r="V454" s="599">
        <f>IFERROR(INDEX('Annex 2_Code'!K$8:K$33,MATCH('Annex 3_MAFF'!$AG454,'Annex 2_Code'!$G$8:$G$33,0)),"")</f>
        <v>0</v>
      </c>
      <c r="W454" s="599">
        <f>IFERROR(INDEX('Annex 2_Code'!L$8:L$33,MATCH('Annex 3_MAFF'!$AG454,'Annex 2_Code'!$G$8:$G$33,0)),"")</f>
        <v>0</v>
      </c>
      <c r="X454" s="599">
        <f>IFERROR(INDEX('Annex 2_Code'!M$8:M$33,MATCH('Annex 3_MAFF'!$AG454,'Annex 2_Code'!$G$8:$G$33,0)),"")</f>
        <v>0</v>
      </c>
      <c r="Y454" s="647">
        <f t="shared" si="623"/>
        <v>20</v>
      </c>
      <c r="Z454" s="600">
        <f t="shared" si="623"/>
        <v>0</v>
      </c>
      <c r="AA454" s="600">
        <f t="shared" si="623"/>
        <v>0</v>
      </c>
      <c r="AB454" s="600">
        <f t="shared" si="623"/>
        <v>0</v>
      </c>
      <c r="AC454" s="601">
        <f t="shared" si="623"/>
        <v>0</v>
      </c>
      <c r="AD454" s="602">
        <f>SUM(Y454:AC454)</f>
        <v>20</v>
      </c>
      <c r="AE454" s="602">
        <f>AD454-S454</f>
        <v>0</v>
      </c>
      <c r="AF454" s="605" t="s">
        <v>374</v>
      </c>
      <c r="AG454" s="605" t="s">
        <v>227</v>
      </c>
      <c r="AH454" s="605" t="str">
        <f>IFERROR(INDEX('Annex 2_Code'!$J$114:$J$131,MATCH('Annex 3_MAFF'!AF454,'Annex 2_Code'!$G$114:$G$131,0)),"")</f>
        <v>MAFF</v>
      </c>
      <c r="AI454" s="646" t="str">
        <f>IF(ISNUMBER(FIND("-",AH454,1))=FALSE,LEFT(AH454,LEN(AH454)),LEFT(AH454,(FIND("-",AH454,1))-1))</f>
        <v>MAFF</v>
      </c>
      <c r="AJ454" s="625" t="s">
        <v>451</v>
      </c>
      <c r="AM454" s="1524"/>
      <c r="AO454" s="1525"/>
    </row>
    <row r="455" spans="1:41" s="625" customFormat="1" ht="46.5" outlineLevel="1">
      <c r="A455" s="587"/>
      <c r="B455" s="659" t="s">
        <v>1465</v>
      </c>
      <c r="C455" s="669" t="s">
        <v>114</v>
      </c>
      <c r="D455" s="614"/>
      <c r="E455" s="307"/>
      <c r="F455" s="2274" t="s">
        <v>103</v>
      </c>
      <c r="G455" s="2276" t="s">
        <v>1367</v>
      </c>
      <c r="H455" s="1523" t="s">
        <v>832</v>
      </c>
      <c r="I455" s="1945">
        <v>8</v>
      </c>
      <c r="J455" s="1502">
        <v>1</v>
      </c>
      <c r="K455" s="1503">
        <v>0</v>
      </c>
      <c r="L455" s="1503">
        <v>0</v>
      </c>
      <c r="M455" s="1503">
        <v>0</v>
      </c>
      <c r="N455" s="1504">
        <f t="shared" si="590"/>
        <v>1</v>
      </c>
      <c r="O455" s="622">
        <f>I455*J455</f>
        <v>8</v>
      </c>
      <c r="P455" s="623">
        <f t="shared" si="593"/>
        <v>0</v>
      </c>
      <c r="Q455" s="623">
        <f t="shared" si="591"/>
        <v>0</v>
      </c>
      <c r="R455" s="623">
        <f t="shared" si="591"/>
        <v>0</v>
      </c>
      <c r="S455" s="1356">
        <f t="shared" si="594"/>
        <v>8</v>
      </c>
      <c r="T455" s="599">
        <f>IFERROR(INDEX('Annex 2_Code'!I$8:I$33,MATCH('Annex 3_MAFF'!$AG455,'Annex 2_Code'!$G$8:$G$33,0)),"")</f>
        <v>1</v>
      </c>
      <c r="U455" s="599">
        <f>IFERROR(INDEX('Annex 2_Code'!J$8:J$33,MATCH('Annex 3_MAFF'!$AG455,'Annex 2_Code'!$G$8:$G$33,0)),"")</f>
        <v>0</v>
      </c>
      <c r="V455" s="599">
        <f>IFERROR(INDEX('Annex 2_Code'!K$8:K$33,MATCH('Annex 3_MAFF'!$AG455,'Annex 2_Code'!$G$8:$G$33,0)),"")</f>
        <v>0</v>
      </c>
      <c r="W455" s="599">
        <f>IFERROR(INDEX('Annex 2_Code'!L$8:L$33,MATCH('Annex 3_MAFF'!$AG455,'Annex 2_Code'!$G$8:$G$33,0)),"")</f>
        <v>0</v>
      </c>
      <c r="X455" s="599">
        <f>IFERROR(INDEX('Annex 2_Code'!M$8:M$33,MATCH('Annex 3_MAFF'!$AG455,'Annex 2_Code'!$G$8:$G$33,0)),"")</f>
        <v>0</v>
      </c>
      <c r="Y455" s="647">
        <f t="shared" si="574"/>
        <v>8</v>
      </c>
      <c r="Z455" s="600">
        <f t="shared" si="575"/>
        <v>0</v>
      </c>
      <c r="AA455" s="600">
        <f t="shared" si="575"/>
        <v>0</v>
      </c>
      <c r="AB455" s="600">
        <f t="shared" si="576"/>
        <v>0</v>
      </c>
      <c r="AC455" s="601">
        <f t="shared" si="577"/>
        <v>0</v>
      </c>
      <c r="AD455" s="602">
        <f t="shared" si="585"/>
        <v>8</v>
      </c>
      <c r="AE455" s="602">
        <f t="shared" si="586"/>
        <v>0</v>
      </c>
      <c r="AF455" s="605" t="s">
        <v>374</v>
      </c>
      <c r="AG455" s="605" t="s">
        <v>227</v>
      </c>
      <c r="AH455" s="605" t="str">
        <f>IFERROR(INDEX('Annex 2_Code'!$J$114:$J$131,MATCH('Annex 3_MAFF'!AF455,'Annex 2_Code'!$G$114:$G$131,0)),"")</f>
        <v>MAFF</v>
      </c>
      <c r="AI455" s="646" t="str">
        <f t="shared" si="573"/>
        <v>MAFF</v>
      </c>
      <c r="AJ455" s="625" t="s">
        <v>451</v>
      </c>
      <c r="AK455" s="740">
        <f>+AO440</f>
        <v>26.400000000000002</v>
      </c>
      <c r="AL455" s="740" t="s">
        <v>419</v>
      </c>
      <c r="AO455" s="826">
        <f>SUM(AO450:AO452)</f>
        <v>13.399999999999999</v>
      </c>
    </row>
    <row r="456" spans="1:41" s="625" customFormat="1" ht="46.5" outlineLevel="1">
      <c r="A456" s="587"/>
      <c r="B456" s="659" t="s">
        <v>1465</v>
      </c>
      <c r="C456" s="669" t="s">
        <v>114</v>
      </c>
      <c r="D456" s="614"/>
      <c r="E456" s="307"/>
      <c r="F456" s="751" t="s">
        <v>105</v>
      </c>
      <c r="G456" s="2276" t="s">
        <v>1368</v>
      </c>
      <c r="H456" s="1918" t="s">
        <v>844</v>
      </c>
      <c r="I456" s="1945">
        <v>8</v>
      </c>
      <c r="J456" s="2366">
        <v>0</v>
      </c>
      <c r="K456" s="1503"/>
      <c r="L456" s="1503"/>
      <c r="M456" s="1503"/>
      <c r="N456" s="1504">
        <f t="shared" si="590"/>
        <v>0</v>
      </c>
      <c r="O456" s="2371">
        <f>I456*J456</f>
        <v>0</v>
      </c>
      <c r="P456" s="2372">
        <f t="shared" si="593"/>
        <v>0</v>
      </c>
      <c r="Q456" s="2372">
        <f t="shared" si="591"/>
        <v>0</v>
      </c>
      <c r="R456" s="2372">
        <f t="shared" si="591"/>
        <v>0</v>
      </c>
      <c r="S456" s="2389">
        <f t="shared" si="594"/>
        <v>0</v>
      </c>
      <c r="T456" s="599">
        <f>IFERROR(INDEX('Annex 2_Code'!I$8:I$33,MATCH('Annex 3_MAFF'!$AG456,'Annex 2_Code'!$G$8:$G$33,0)),"")</f>
        <v>1</v>
      </c>
      <c r="U456" s="599">
        <f>IFERROR(INDEX('Annex 2_Code'!J$8:J$33,MATCH('Annex 3_MAFF'!$AG456,'Annex 2_Code'!$G$8:$G$33,0)),"")</f>
        <v>0</v>
      </c>
      <c r="V456" s="599">
        <f>IFERROR(INDEX('Annex 2_Code'!K$8:K$33,MATCH('Annex 3_MAFF'!$AG456,'Annex 2_Code'!$G$8:$G$33,0)),"")</f>
        <v>0</v>
      </c>
      <c r="W456" s="599">
        <f>IFERROR(INDEX('Annex 2_Code'!L$8:L$33,MATCH('Annex 3_MAFF'!$AG456,'Annex 2_Code'!$G$8:$G$33,0)),"")</f>
        <v>0</v>
      </c>
      <c r="X456" s="599">
        <f>IFERROR(INDEX('Annex 2_Code'!M$8:M$33,MATCH('Annex 3_MAFF'!$AG456,'Annex 2_Code'!$G$8:$G$33,0)),"")</f>
        <v>0</v>
      </c>
      <c r="Y456" s="647">
        <f t="shared" ref="Y456" si="624">IFERROR($S456*T456,"")</f>
        <v>0</v>
      </c>
      <c r="Z456" s="600">
        <f t="shared" ref="Z456" si="625">IFERROR($S456*U456,"")</f>
        <v>0</v>
      </c>
      <c r="AA456" s="600">
        <f t="shared" ref="AA456" si="626">IFERROR($S456*V456,"")</f>
        <v>0</v>
      </c>
      <c r="AB456" s="600">
        <f t="shared" ref="AB456" si="627">IFERROR($S456*W456,"")</f>
        <v>0</v>
      </c>
      <c r="AC456" s="601">
        <f t="shared" ref="AC456" si="628">IFERROR($S456*X456,"")</f>
        <v>0</v>
      </c>
      <c r="AD456" s="602">
        <f t="shared" ref="AD456" si="629">SUM(Y456:AC456)</f>
        <v>0</v>
      </c>
      <c r="AE456" s="602">
        <f t="shared" ref="AE456" si="630">AD456-S456</f>
        <v>0</v>
      </c>
      <c r="AF456" s="605" t="s">
        <v>374</v>
      </c>
      <c r="AG456" s="605" t="s">
        <v>227</v>
      </c>
      <c r="AH456" s="605" t="str">
        <f>IFERROR(INDEX('Annex 2_Code'!$J$114:$J$131,MATCH('Annex 3_MAFF'!AF456,'Annex 2_Code'!$G$114:$G$131,0)),"")</f>
        <v>MAFF</v>
      </c>
      <c r="AI456" s="646" t="str">
        <f t="shared" ref="AI456" si="631">IF(ISNUMBER(FIND("-",AH456,1))=FALSE,LEFT(AH456,LEN(AH456)),LEFT(AH456,(FIND("-",AH456,1))-1))</f>
        <v>MAFF</v>
      </c>
      <c r="AJ456" s="625" t="s">
        <v>451</v>
      </c>
      <c r="AK456" s="740"/>
      <c r="AL456" s="740"/>
      <c r="AO456" s="826"/>
    </row>
    <row r="457" spans="1:41" s="625" customFormat="1" ht="23.25" outlineLevel="1">
      <c r="A457" s="587"/>
      <c r="B457" s="659" t="s">
        <v>1465</v>
      </c>
      <c r="C457" s="669" t="s">
        <v>114</v>
      </c>
      <c r="D457" s="614"/>
      <c r="E457" s="307"/>
      <c r="F457" s="1916" t="s">
        <v>1142</v>
      </c>
      <c r="G457" s="2277" t="s">
        <v>656</v>
      </c>
      <c r="H457" s="1523" t="s">
        <v>1626</v>
      </c>
      <c r="I457" s="2457">
        <v>1.7000000000000001E-2</v>
      </c>
      <c r="J457" s="1502">
        <v>0</v>
      </c>
      <c r="K457" s="1503">
        <v>0</v>
      </c>
      <c r="L457" s="2367">
        <v>150</v>
      </c>
      <c r="M457" s="1503">
        <v>0</v>
      </c>
      <c r="N457" s="1504">
        <f t="shared" si="590"/>
        <v>150</v>
      </c>
      <c r="O457" s="622">
        <f t="shared" si="592"/>
        <v>0</v>
      </c>
      <c r="P457" s="623">
        <f t="shared" si="593"/>
        <v>0</v>
      </c>
      <c r="Q457" s="623">
        <f t="shared" si="591"/>
        <v>2.5500000000000003</v>
      </c>
      <c r="R457" s="623">
        <f t="shared" si="591"/>
        <v>0</v>
      </c>
      <c r="S457" s="1356">
        <f t="shared" si="594"/>
        <v>2.5500000000000003</v>
      </c>
      <c r="T457" s="599">
        <f>IFERROR(INDEX('Annex 2_Code'!I$8:I$33,MATCH('Annex 3_MAFF'!$AG457,'Annex 2_Code'!$G$8:$G$33,0)),"")</f>
        <v>1</v>
      </c>
      <c r="U457" s="599">
        <f>IFERROR(INDEX('Annex 2_Code'!J$8:J$33,MATCH('Annex 3_MAFF'!$AG457,'Annex 2_Code'!$G$8:$G$33,0)),"")</f>
        <v>0</v>
      </c>
      <c r="V457" s="599">
        <f>IFERROR(INDEX('Annex 2_Code'!K$8:K$33,MATCH('Annex 3_MAFF'!$AG457,'Annex 2_Code'!$G$8:$G$33,0)),"")</f>
        <v>0</v>
      </c>
      <c r="W457" s="599">
        <f>IFERROR(INDEX('Annex 2_Code'!L$8:L$33,MATCH('Annex 3_MAFF'!$AG457,'Annex 2_Code'!$G$8:$G$33,0)),"")</f>
        <v>0</v>
      </c>
      <c r="X457" s="599">
        <f>IFERROR(INDEX('Annex 2_Code'!M$8:M$33,MATCH('Annex 3_MAFF'!$AG457,'Annex 2_Code'!$G$8:$G$33,0)),"")</f>
        <v>0</v>
      </c>
      <c r="Y457" s="647">
        <f>IFERROR($S457*T457,"")</f>
        <v>2.5500000000000003</v>
      </c>
      <c r="Z457" s="600">
        <f t="shared" si="575"/>
        <v>0</v>
      </c>
      <c r="AA457" s="600">
        <f t="shared" si="575"/>
        <v>0</v>
      </c>
      <c r="AB457" s="600">
        <f t="shared" si="576"/>
        <v>0</v>
      </c>
      <c r="AC457" s="601">
        <f t="shared" si="577"/>
        <v>0</v>
      </c>
      <c r="AD457" s="602">
        <f t="shared" si="585"/>
        <v>2.5500000000000003</v>
      </c>
      <c r="AE457" s="602">
        <f t="shared" si="586"/>
        <v>0</v>
      </c>
      <c r="AF457" s="605" t="s">
        <v>374</v>
      </c>
      <c r="AG457" s="605" t="s">
        <v>227</v>
      </c>
      <c r="AH457" s="605" t="str">
        <f>IFERROR(INDEX('Annex 2_Code'!$J$114:$J$131,MATCH('Annex 3_MAFF'!AF457,'Annex 2_Code'!$G$114:$G$131,0)),"")</f>
        <v>MAFF</v>
      </c>
      <c r="AI457" s="646" t="str">
        <f t="shared" si="573"/>
        <v>MAFF</v>
      </c>
      <c r="AJ457" s="625" t="s">
        <v>451</v>
      </c>
      <c r="AK457" s="740">
        <f>+AO459</f>
        <v>1.7000000000000001E-2</v>
      </c>
      <c r="AL457" s="740" t="s">
        <v>389</v>
      </c>
      <c r="AN457" s="827" t="s">
        <v>389</v>
      </c>
    </row>
    <row r="458" spans="1:41" s="625" customFormat="1" ht="46.5" outlineLevel="1">
      <c r="A458" s="307"/>
      <c r="B458" s="659" t="s">
        <v>1465</v>
      </c>
      <c r="C458" s="669" t="s">
        <v>114</v>
      </c>
      <c r="D458" s="614"/>
      <c r="E458" s="1915"/>
      <c r="F458" s="1916" t="s">
        <v>1500</v>
      </c>
      <c r="G458" s="1917" t="s">
        <v>1147</v>
      </c>
      <c r="H458" s="1918" t="s">
        <v>844</v>
      </c>
      <c r="I458" s="1462">
        <v>6</v>
      </c>
      <c r="J458" s="2483"/>
      <c r="K458" s="2484">
        <v>0</v>
      </c>
      <c r="L458" s="2484">
        <v>0</v>
      </c>
      <c r="M458" s="1919"/>
      <c r="N458" s="1504">
        <f t="shared" si="590"/>
        <v>0</v>
      </c>
      <c r="O458" s="2371">
        <f t="shared" ref="O458" si="632">($I458*J458)</f>
        <v>0</v>
      </c>
      <c r="P458" s="2372">
        <f t="shared" si="593"/>
        <v>0</v>
      </c>
      <c r="Q458" s="2372">
        <f t="shared" si="591"/>
        <v>0</v>
      </c>
      <c r="R458" s="2372">
        <f t="shared" si="591"/>
        <v>0</v>
      </c>
      <c r="S458" s="2389">
        <f t="shared" si="594"/>
        <v>0</v>
      </c>
      <c r="T458" s="599">
        <f>IFERROR(INDEX('Annex 2_Code'!I$8:I$33,MATCH('Annex 3_MAFF'!$AG457,'Annex 2_Code'!$G$8:$G$33,0)),"")</f>
        <v>1</v>
      </c>
      <c r="U458" s="599">
        <f>IFERROR(INDEX('Annex 2_Code'!J$8:J$33,MATCH('Annex 3_MAFF'!$AG457,'Annex 2_Code'!$G$8:$G$33,0)),"")</f>
        <v>0</v>
      </c>
      <c r="V458" s="599">
        <f>IFERROR(INDEX('Annex 2_Code'!K$8:K$33,MATCH('Annex 3_MAFF'!$AG457,'Annex 2_Code'!$G$8:$G$33,0)),"")</f>
        <v>0</v>
      </c>
      <c r="W458" s="599">
        <f>IFERROR(INDEX('Annex 2_Code'!L$8:L$33,MATCH('Annex 3_MAFF'!$AG457,'Annex 2_Code'!$G$8:$G$33,0)),"")</f>
        <v>0</v>
      </c>
      <c r="X458" s="599">
        <f>IFERROR(INDEX('Annex 2_Code'!M$8:M$33,MATCH('Annex 3_MAFF'!$AG457,'Annex 2_Code'!$G$8:$G$33,0)),"")</f>
        <v>0</v>
      </c>
      <c r="Y458" s="647">
        <f>IFERROR($S458*T458,"")</f>
        <v>0</v>
      </c>
      <c r="Z458" s="600">
        <f>IFERROR($S458*U458,"")</f>
        <v>0</v>
      </c>
      <c r="AA458" s="600"/>
      <c r="AB458" s="600"/>
      <c r="AC458" s="601"/>
      <c r="AD458" s="602"/>
      <c r="AE458" s="602"/>
      <c r="AF458" s="605" t="s">
        <v>374</v>
      </c>
      <c r="AG458" s="605" t="s">
        <v>227</v>
      </c>
      <c r="AH458" s="605" t="str">
        <f>IFERROR(INDEX('Annex 2_Code'!$J$114:$J$131,MATCH('Annex 3_MAFF'!AF458,'Annex 2_Code'!$G$114:$G$131,0)),"")</f>
        <v>MAFF</v>
      </c>
      <c r="AI458" s="646" t="str">
        <f t="shared" ref="AI458" si="633">IF(ISNUMBER(FIND("-",AH458,1))=FALSE,LEFT(AH458,LEN(AH458)),LEFT(AH458,(FIND("-",AH458,1))-1))</f>
        <v>MAFF</v>
      </c>
      <c r="AJ458" s="625" t="s">
        <v>451</v>
      </c>
      <c r="AK458" s="824"/>
      <c r="AL458" s="824"/>
      <c r="AN458" s="827"/>
    </row>
    <row r="459" spans="1:41" s="625" customFormat="1" ht="23.25">
      <c r="A459" s="587"/>
      <c r="B459" s="659" t="s">
        <v>54</v>
      </c>
      <c r="C459" s="613"/>
      <c r="D459" s="720"/>
      <c r="E459" s="591" t="s">
        <v>583</v>
      </c>
      <c r="F459" s="592"/>
      <c r="G459" s="721"/>
      <c r="H459" s="735"/>
      <c r="I459" s="736"/>
      <c r="J459" s="1497">
        <f>SUM(J440:J458)</f>
        <v>394</v>
      </c>
      <c r="K459" s="1498">
        <f>SUM(K440:K457)</f>
        <v>397</v>
      </c>
      <c r="L459" s="1498">
        <f>SUM(L440:L458)</f>
        <v>545</v>
      </c>
      <c r="M459" s="1498">
        <f>SUM(M440:M458)</f>
        <v>397</v>
      </c>
      <c r="N459" s="1499"/>
      <c r="O459" s="597">
        <f>SUM(O440:O458)</f>
        <v>146.35599999999997</v>
      </c>
      <c r="P459" s="598">
        <f>SUM(P440:P458)</f>
        <v>189.35599999999997</v>
      </c>
      <c r="Q459" s="598">
        <f>SUM(Q440:Q458)</f>
        <v>150.90599999999998</v>
      </c>
      <c r="R459" s="598">
        <f>SUM(R440:R458)</f>
        <v>142.35599999999999</v>
      </c>
      <c r="S459" s="2418">
        <f>SUM(S440:S458)</f>
        <v>628.97399999999982</v>
      </c>
      <c r="T459" s="599" t="str">
        <f>IFERROR(INDEX('Annex 2_Code'!I$8:I$33,MATCH('Annex 3_MAFF'!$AG459,'Annex 2_Code'!$G$8:$G$33,0)),"")</f>
        <v/>
      </c>
      <c r="U459" s="599" t="str">
        <f>IFERROR(INDEX('Annex 2_Code'!J$8:J$33,MATCH('Annex 3_MAFF'!$AG459,'Annex 2_Code'!$G$8:$G$33,0)),"")</f>
        <v/>
      </c>
      <c r="V459" s="599" t="str">
        <f>IFERROR(INDEX('Annex 2_Code'!K$8:K$33,MATCH('Annex 3_MAFF'!$AG459,'Annex 2_Code'!$G$8:$G$33,0)),"")</f>
        <v/>
      </c>
      <c r="W459" s="599" t="str">
        <f>IFERROR(INDEX('Annex 2_Code'!L$8:L$33,MATCH('Annex 3_MAFF'!$AG459,'Annex 2_Code'!$G$8:$G$33,0)),"")</f>
        <v/>
      </c>
      <c r="X459" s="599" t="str">
        <f>IFERROR(INDEX('Annex 2_Code'!M$8:M$33,MATCH('Annex 3_MAFF'!$AG459,'Annex 2_Code'!$G$8:$G$33,0)),"")</f>
        <v/>
      </c>
      <c r="Y459" s="647" t="str">
        <f t="shared" si="574"/>
        <v/>
      </c>
      <c r="Z459" s="600" t="str">
        <f t="shared" si="575"/>
        <v/>
      </c>
      <c r="AA459" s="600" t="str">
        <f t="shared" si="575"/>
        <v/>
      </c>
      <c r="AB459" s="600" t="str">
        <f t="shared" si="576"/>
        <v/>
      </c>
      <c r="AC459" s="601" t="str">
        <f t="shared" si="577"/>
        <v/>
      </c>
      <c r="AD459" s="602">
        <f t="shared" si="585"/>
        <v>0</v>
      </c>
      <c r="AE459" s="602">
        <f>AD459-S459</f>
        <v>-628.97399999999982</v>
      </c>
      <c r="AF459" s="605"/>
      <c r="AG459" s="605"/>
      <c r="AH459" s="605" t="str">
        <f>IFERROR(INDEX('Annex 2_Code'!$J$114:$J$131,MATCH('Annex 3_MAFF'!AF459,'Annex 2_Code'!$G$114:$G$131,0)),"")</f>
        <v/>
      </c>
      <c r="AI459" s="646" t="str">
        <f t="shared" si="573"/>
        <v/>
      </c>
      <c r="AK459" s="817"/>
      <c r="AM459" s="625" t="s">
        <v>99</v>
      </c>
      <c r="AN459" s="625" t="str">
        <f>+G457</f>
        <v>Translatation Fees (ចំណាយថ្លៃបកប្រែ)</v>
      </c>
      <c r="AO459" s="826">
        <f>I457</f>
        <v>1.7000000000000001E-2</v>
      </c>
    </row>
    <row r="460" spans="1:41" s="637" customFormat="1" ht="23.25">
      <c r="A460" s="587"/>
      <c r="B460" s="659" t="s">
        <v>54</v>
      </c>
      <c r="C460" s="782"/>
      <c r="D460" s="981" t="s">
        <v>657</v>
      </c>
      <c r="E460" s="1007"/>
      <c r="F460" s="983"/>
      <c r="G460" s="984"/>
      <c r="H460" s="985"/>
      <c r="I460" s="986"/>
      <c r="J460" s="1485"/>
      <c r="K460" s="1486"/>
      <c r="L460" s="1486"/>
      <c r="M460" s="1486"/>
      <c r="N460" s="1487"/>
      <c r="O460" s="990">
        <f>SUM(O459,O438)</f>
        <v>172.54599999999996</v>
      </c>
      <c r="P460" s="991">
        <f>SUM(P459,P438)</f>
        <v>215.54599999999996</v>
      </c>
      <c r="Q460" s="991">
        <f>SUM(Q459,Q438)</f>
        <v>181.89599999999999</v>
      </c>
      <c r="R460" s="991">
        <f>SUM(R459,R438)</f>
        <v>168.54599999999999</v>
      </c>
      <c r="S460" s="2485">
        <f>SUM(S459,S438)</f>
        <v>738.53399999999976</v>
      </c>
      <c r="T460" s="599" t="str">
        <f>IFERROR(INDEX('Annex 2_Code'!I$8:I$33,MATCH('Annex 3_MAFF'!$AG460,'Annex 2_Code'!$G$8:$G$33,0)),"")</f>
        <v/>
      </c>
      <c r="U460" s="599" t="str">
        <f>IFERROR(INDEX('Annex 2_Code'!J$8:J$33,MATCH('Annex 3_MAFF'!$AG460,'Annex 2_Code'!$G$8:$G$33,0)),"")</f>
        <v/>
      </c>
      <c r="V460" s="599" t="str">
        <f>IFERROR(INDEX('Annex 2_Code'!K$8:K$33,MATCH('Annex 3_MAFF'!$AG460,'Annex 2_Code'!$G$8:$G$33,0)),"")</f>
        <v/>
      </c>
      <c r="W460" s="599" t="str">
        <f>IFERROR(INDEX('Annex 2_Code'!L$8:L$33,MATCH('Annex 3_MAFF'!$AG460,'Annex 2_Code'!$G$8:$G$33,0)),"")</f>
        <v/>
      </c>
      <c r="X460" s="599" t="str">
        <f>IFERROR(INDEX('Annex 2_Code'!M$8:M$33,MATCH('Annex 3_MAFF'!$AG460,'Annex 2_Code'!$G$8:$G$33,0)),"")</f>
        <v/>
      </c>
      <c r="Y460" s="1756"/>
      <c r="Z460" s="1704"/>
      <c r="AA460" s="1704"/>
      <c r="AB460" s="1704"/>
      <c r="AC460" s="1757"/>
      <c r="AD460" s="634">
        <f>SUM(AD433:AD459)</f>
        <v>738.53399999999976</v>
      </c>
      <c r="AE460" s="602">
        <f>AD460-S460</f>
        <v>0</v>
      </c>
      <c r="AF460" s="605"/>
      <c r="AG460" s="605"/>
      <c r="AH460" s="605" t="str">
        <f>IFERROR(INDEX('Annex 2_Code'!$J$114:$J$131,MATCH('Annex 3_MAFF'!AF460,'Annex 2_Code'!$G$114:$G$131,0)),"")</f>
        <v/>
      </c>
      <c r="AI460" s="646" t="str">
        <f t="shared" si="573"/>
        <v/>
      </c>
      <c r="AL460" s="824">
        <f>SUM(AK438:AK457)</f>
        <v>834.66500000000008</v>
      </c>
    </row>
    <row r="461" spans="1:41" s="637" customFormat="1" ht="23.25">
      <c r="A461" s="587"/>
      <c r="B461" s="659" t="s">
        <v>54</v>
      </c>
      <c r="C461" s="782"/>
      <c r="D461" s="829" t="s">
        <v>658</v>
      </c>
      <c r="E461" s="830"/>
      <c r="F461" s="831"/>
      <c r="G461" s="832"/>
      <c r="H461" s="812"/>
      <c r="I461" s="753"/>
      <c r="J461" s="1476"/>
      <c r="K461" s="1477"/>
      <c r="L461" s="1478"/>
      <c r="M461" s="1478"/>
      <c r="N461" s="1472"/>
      <c r="O461" s="622"/>
      <c r="P461" s="623"/>
      <c r="Q461" s="623"/>
      <c r="R461" s="834"/>
      <c r="S461" s="2421">
        <f>SUM(O460:R460)</f>
        <v>738.53399999999988</v>
      </c>
      <c r="T461" s="599" t="str">
        <f>IFERROR(INDEX('Annex 2_Code'!I$8:I$33,MATCH('Annex 3_MAFF'!$AG461,'Annex 2_Code'!$G$8:$G$33,0)),"")</f>
        <v/>
      </c>
      <c r="U461" s="599" t="str">
        <f>IFERROR(INDEX('Annex 2_Code'!J$8:J$33,MATCH('Annex 3_MAFF'!$AG461,'Annex 2_Code'!$G$8:$G$33,0)),"")</f>
        <v/>
      </c>
      <c r="V461" s="599" t="str">
        <f>IFERROR(INDEX('Annex 2_Code'!K$8:K$33,MATCH('Annex 3_MAFF'!$AG461,'Annex 2_Code'!$G$8:$G$33,0)),"")</f>
        <v/>
      </c>
      <c r="W461" s="599" t="str">
        <f>IFERROR(INDEX('Annex 2_Code'!L$8:L$33,MATCH('Annex 3_MAFF'!$AG461,'Annex 2_Code'!$G$8:$G$33,0)),"")</f>
        <v/>
      </c>
      <c r="X461" s="599" t="str">
        <f>IFERROR(INDEX('Annex 2_Code'!M$8:M$33,MATCH('Annex 3_MAFF'!$AG461,'Annex 2_Code'!$G$8:$G$33,0)),"")</f>
        <v/>
      </c>
      <c r="Y461" s="647" t="str">
        <f t="shared" si="574"/>
        <v/>
      </c>
      <c r="Z461" s="600" t="str">
        <f t="shared" si="575"/>
        <v/>
      </c>
      <c r="AA461" s="600" t="str">
        <f t="shared" si="575"/>
        <v/>
      </c>
      <c r="AB461" s="600" t="str">
        <f t="shared" si="576"/>
        <v/>
      </c>
      <c r="AC461" s="601" t="str">
        <f t="shared" si="577"/>
        <v/>
      </c>
      <c r="AD461" s="602">
        <f t="shared" si="585"/>
        <v>0</v>
      </c>
      <c r="AE461" s="602">
        <f>AD461-S461</f>
        <v>-738.53399999999988</v>
      </c>
      <c r="AF461" s="605"/>
      <c r="AG461" s="605"/>
      <c r="AH461" s="605" t="str">
        <f>IFERROR(INDEX('Annex 2_Code'!$J$114:$J$131,MATCH('Annex 3_MAFF'!AF461,'Annex 2_Code'!$G$114:$G$131,0)),"")</f>
        <v/>
      </c>
      <c r="AI461" s="646" t="str">
        <f t="shared" si="573"/>
        <v/>
      </c>
      <c r="AK461" s="828"/>
    </row>
    <row r="462" spans="1:41" s="637" customFormat="1" ht="23.25">
      <c r="A462" s="587"/>
      <c r="B462" s="659" t="s">
        <v>54</v>
      </c>
      <c r="C462" s="782"/>
      <c r="D462" s="701"/>
      <c r="E462" s="307" t="s">
        <v>1057</v>
      </c>
      <c r="F462" s="626"/>
      <c r="G462" s="616"/>
      <c r="H462" s="782" t="s">
        <v>12</v>
      </c>
      <c r="I462" s="765"/>
      <c r="J462" s="1509"/>
      <c r="K462" s="1510"/>
      <c r="L462" s="1478"/>
      <c r="M462" s="1478"/>
      <c r="N462" s="1472"/>
      <c r="O462" s="622"/>
      <c r="P462" s="623"/>
      <c r="Q462" s="623"/>
      <c r="R462" s="623"/>
      <c r="S462" s="1423"/>
      <c r="T462" s="599" t="str">
        <f>IFERROR(INDEX('Annex 2_Code'!I$8:I$33,MATCH('Annex 3_MAFF'!$AG462,'Annex 2_Code'!$G$8:$G$33,0)),"")</f>
        <v/>
      </c>
      <c r="U462" s="599" t="str">
        <f>IFERROR(INDEX('Annex 2_Code'!J$8:J$33,MATCH('Annex 3_MAFF'!$AG462,'Annex 2_Code'!$G$8:$G$33,0)),"")</f>
        <v/>
      </c>
      <c r="V462" s="599" t="str">
        <f>IFERROR(INDEX('Annex 2_Code'!K$8:K$33,MATCH('Annex 3_MAFF'!$AG462,'Annex 2_Code'!$G$8:$G$33,0)),"")</f>
        <v/>
      </c>
      <c r="W462" s="599" t="str">
        <f>IFERROR(INDEX('Annex 2_Code'!L$8:L$33,MATCH('Annex 3_MAFF'!$AG462,'Annex 2_Code'!$G$8:$G$33,0)),"")</f>
        <v/>
      </c>
      <c r="X462" s="599" t="str">
        <f>IFERROR(INDEX('Annex 2_Code'!M$8:M$33,MATCH('Annex 3_MAFF'!$AG462,'Annex 2_Code'!$G$8:$G$33,0)),"")</f>
        <v/>
      </c>
      <c r="Y462" s="647" t="str">
        <f t="shared" si="574"/>
        <v/>
      </c>
      <c r="Z462" s="600" t="str">
        <f t="shared" si="575"/>
        <v/>
      </c>
      <c r="AA462" s="600" t="str">
        <f t="shared" si="575"/>
        <v/>
      </c>
      <c r="AB462" s="600" t="str">
        <f t="shared" si="576"/>
        <v/>
      </c>
      <c r="AC462" s="601" t="str">
        <f t="shared" si="577"/>
        <v/>
      </c>
      <c r="AD462" s="602">
        <f t="shared" si="585"/>
        <v>0</v>
      </c>
      <c r="AE462" s="602">
        <f t="shared" si="586"/>
        <v>0</v>
      </c>
      <c r="AF462" s="605"/>
      <c r="AG462" s="605"/>
      <c r="AH462" s="605" t="str">
        <f>IFERROR(INDEX('Annex 2_Code'!$J$114:$J$131,MATCH('Annex 3_MAFF'!AF462,'Annex 2_Code'!$G$114:$G$131,0)),"")</f>
        <v/>
      </c>
      <c r="AI462" s="646" t="str">
        <f t="shared" si="573"/>
        <v/>
      </c>
    </row>
    <row r="463" spans="1:41" s="637" customFormat="1" ht="23.25">
      <c r="A463" s="587"/>
      <c r="B463" s="659" t="s">
        <v>54</v>
      </c>
      <c r="C463" s="782"/>
      <c r="D463" s="701"/>
      <c r="E463" s="307"/>
      <c r="F463" s="615" t="s">
        <v>659</v>
      </c>
      <c r="G463" s="616"/>
      <c r="H463" s="782" t="s">
        <v>12</v>
      </c>
      <c r="I463" s="2278"/>
      <c r="J463" s="1509"/>
      <c r="K463" s="1510"/>
      <c r="L463" s="1478"/>
      <c r="M463" s="1478"/>
      <c r="N463" s="1472"/>
      <c r="O463" s="622"/>
      <c r="P463" s="623"/>
      <c r="Q463" s="623"/>
      <c r="R463" s="623"/>
      <c r="S463" s="1423"/>
      <c r="T463" s="599" t="str">
        <f>IFERROR(INDEX('Annex 2_Code'!I$8:I$33,MATCH('Annex 3_MAFF'!$AG463,'Annex 2_Code'!$G$8:$G$33,0)),"")</f>
        <v/>
      </c>
      <c r="U463" s="599" t="str">
        <f>IFERROR(INDEX('Annex 2_Code'!J$8:J$33,MATCH('Annex 3_MAFF'!$AG463,'Annex 2_Code'!$G$8:$G$33,0)),"")</f>
        <v/>
      </c>
      <c r="V463" s="599" t="str">
        <f>IFERROR(INDEX('Annex 2_Code'!K$8:K$33,MATCH('Annex 3_MAFF'!$AG463,'Annex 2_Code'!$G$8:$G$33,0)),"")</f>
        <v/>
      </c>
      <c r="W463" s="599" t="str">
        <f>IFERROR(INDEX('Annex 2_Code'!L$8:L$33,MATCH('Annex 3_MAFF'!$AG463,'Annex 2_Code'!$G$8:$G$33,0)),"")</f>
        <v/>
      </c>
      <c r="X463" s="599" t="str">
        <f>IFERROR(INDEX('Annex 2_Code'!M$8:M$33,MATCH('Annex 3_MAFF'!$AG463,'Annex 2_Code'!$G$8:$G$33,0)),"")</f>
        <v/>
      </c>
      <c r="Y463" s="647" t="str">
        <f t="shared" si="574"/>
        <v/>
      </c>
      <c r="Z463" s="600" t="str">
        <f t="shared" si="575"/>
        <v/>
      </c>
      <c r="AA463" s="600" t="str">
        <f t="shared" si="575"/>
        <v/>
      </c>
      <c r="AB463" s="600" t="str">
        <f t="shared" si="576"/>
        <v/>
      </c>
      <c r="AC463" s="601" t="str">
        <f t="shared" si="577"/>
        <v/>
      </c>
      <c r="AD463" s="602">
        <f t="shared" si="585"/>
        <v>0</v>
      </c>
      <c r="AE463" s="602">
        <f t="shared" si="586"/>
        <v>0</v>
      </c>
      <c r="AF463" s="605"/>
      <c r="AG463" s="605"/>
      <c r="AH463" s="605" t="str">
        <f>IFERROR(INDEX('Annex 2_Code'!$J$114:$J$131,MATCH('Annex 3_MAFF'!AF463,'Annex 2_Code'!$G$114:$G$131,0)),"")</f>
        <v/>
      </c>
      <c r="AI463" s="646" t="str">
        <f t="shared" si="573"/>
        <v/>
      </c>
      <c r="AK463" s="835"/>
    </row>
    <row r="464" spans="1:41" s="637" customFormat="1" ht="23.25" outlineLevel="1">
      <c r="A464" s="587"/>
      <c r="B464" s="659" t="s">
        <v>1452</v>
      </c>
      <c r="C464" s="782" t="s">
        <v>132</v>
      </c>
      <c r="D464" s="701"/>
      <c r="E464" s="307"/>
      <c r="F464" s="626"/>
      <c r="G464" s="616" t="s">
        <v>1058</v>
      </c>
      <c r="H464" s="811" t="s">
        <v>652</v>
      </c>
      <c r="I464" s="727">
        <f>13501/1000</f>
        <v>13.500999999999999</v>
      </c>
      <c r="J464" s="2279">
        <v>0.3</v>
      </c>
      <c r="K464" s="2280">
        <v>0.3</v>
      </c>
      <c r="L464" s="2280">
        <v>0.3</v>
      </c>
      <c r="M464" s="2280">
        <v>0.3</v>
      </c>
      <c r="N464" s="731">
        <f>SUM(J464:M464)</f>
        <v>1.2</v>
      </c>
      <c r="O464" s="622">
        <f>$I464*J464</f>
        <v>4.0503</v>
      </c>
      <c r="P464" s="623">
        <f>$I464*K464</f>
        <v>4.0503</v>
      </c>
      <c r="Q464" s="623">
        <f t="shared" ref="Q464:R470" si="634">$I464*L464</f>
        <v>4.0503</v>
      </c>
      <c r="R464" s="623">
        <f t="shared" si="634"/>
        <v>4.0503</v>
      </c>
      <c r="S464" s="1356">
        <f t="shared" ref="S464:S469" si="635">SUM(O464:R464)</f>
        <v>16.2012</v>
      </c>
      <c r="T464" s="599">
        <f>IFERROR(INDEX('Annex 2_Code'!I$8:I$33,MATCH('Annex 3_MAFF'!$AG464,'Annex 2_Code'!$G$8:$G$33,0)),"")</f>
        <v>1</v>
      </c>
      <c r="U464" s="599">
        <f>IFERROR(INDEX('Annex 2_Code'!J$8:J$33,MATCH('Annex 3_MAFF'!$AG464,'Annex 2_Code'!$G$8:$G$33,0)),"")</f>
        <v>0</v>
      </c>
      <c r="V464" s="599">
        <f>IFERROR(INDEX('Annex 2_Code'!K$8:K$33,MATCH('Annex 3_MAFF'!$AG464,'Annex 2_Code'!$G$8:$G$33,0)),"")</f>
        <v>0</v>
      </c>
      <c r="W464" s="599">
        <f>IFERROR(INDEX('Annex 2_Code'!L$8:L$33,MATCH('Annex 3_MAFF'!$AG464,'Annex 2_Code'!$G$8:$G$33,0)),"")</f>
        <v>0</v>
      </c>
      <c r="X464" s="599">
        <f>IFERROR(INDEX('Annex 2_Code'!M$8:M$33,MATCH('Annex 3_MAFF'!$AG464,'Annex 2_Code'!$G$8:$G$33,0)),"")</f>
        <v>0</v>
      </c>
      <c r="Y464" s="647">
        <f t="shared" si="574"/>
        <v>16.2012</v>
      </c>
      <c r="Z464" s="600">
        <f t="shared" si="575"/>
        <v>0</v>
      </c>
      <c r="AA464" s="600">
        <f t="shared" si="575"/>
        <v>0</v>
      </c>
      <c r="AB464" s="600">
        <f t="shared" si="576"/>
        <v>0</v>
      </c>
      <c r="AC464" s="601">
        <f t="shared" si="577"/>
        <v>0</v>
      </c>
      <c r="AD464" s="602">
        <f t="shared" si="585"/>
        <v>16.2012</v>
      </c>
      <c r="AE464" s="602">
        <f t="shared" si="586"/>
        <v>0</v>
      </c>
      <c r="AF464" s="605" t="s">
        <v>374</v>
      </c>
      <c r="AG464" s="605" t="s">
        <v>213</v>
      </c>
      <c r="AH464" s="605" t="str">
        <f>IFERROR(INDEX('Annex 2_Code'!$J$114:$J$131,MATCH('Annex 3_MAFF'!AF464,'Annex 2_Code'!$G$114:$G$131,0)),"")</f>
        <v>MAFF</v>
      </c>
      <c r="AI464" s="646" t="str">
        <f t="shared" si="573"/>
        <v>MAFF</v>
      </c>
      <c r="AJ464" s="637" t="s">
        <v>449</v>
      </c>
    </row>
    <row r="465" spans="1:36" s="637" customFormat="1" ht="37.5" outlineLevel="1">
      <c r="A465" s="587"/>
      <c r="B465" s="659" t="s">
        <v>1452</v>
      </c>
      <c r="C465" s="782" t="s">
        <v>132</v>
      </c>
      <c r="D465" s="701"/>
      <c r="E465" s="307"/>
      <c r="F465" s="626"/>
      <c r="G465" s="616" t="s">
        <v>1059</v>
      </c>
      <c r="H465" s="811" t="s">
        <v>652</v>
      </c>
      <c r="I465" s="727">
        <f>21533/1000</f>
        <v>21.533000000000001</v>
      </c>
      <c r="J465" s="2279">
        <v>0.75</v>
      </c>
      <c r="K465" s="2280">
        <v>0.75</v>
      </c>
      <c r="L465" s="2280">
        <v>0.75</v>
      </c>
      <c r="M465" s="2280">
        <v>0.75</v>
      </c>
      <c r="N465" s="731">
        <f>SUM(J465:M465)</f>
        <v>3</v>
      </c>
      <c r="O465" s="622">
        <f t="shared" ref="O465:O470" si="636">$I465*J465</f>
        <v>16.149750000000001</v>
      </c>
      <c r="P465" s="623">
        <f t="shared" ref="P465:P470" si="637">$I465*K465</f>
        <v>16.149750000000001</v>
      </c>
      <c r="Q465" s="623">
        <f t="shared" si="634"/>
        <v>16.149750000000001</v>
      </c>
      <c r="R465" s="623">
        <f t="shared" si="634"/>
        <v>16.149750000000001</v>
      </c>
      <c r="S465" s="1356">
        <f t="shared" si="635"/>
        <v>64.599000000000004</v>
      </c>
      <c r="T465" s="599">
        <f>IFERROR(INDEX('Annex 2_Code'!I$8:I$33,MATCH('Annex 3_MAFF'!$AG465,'Annex 2_Code'!$G$8:$G$33,0)),"")</f>
        <v>1</v>
      </c>
      <c r="U465" s="599">
        <f>IFERROR(INDEX('Annex 2_Code'!J$8:J$33,MATCH('Annex 3_MAFF'!$AG465,'Annex 2_Code'!$G$8:$G$33,0)),"")</f>
        <v>0</v>
      </c>
      <c r="V465" s="599">
        <f>IFERROR(INDEX('Annex 2_Code'!K$8:K$33,MATCH('Annex 3_MAFF'!$AG465,'Annex 2_Code'!$G$8:$G$33,0)),"")</f>
        <v>0</v>
      </c>
      <c r="W465" s="599">
        <f>IFERROR(INDEX('Annex 2_Code'!L$8:L$33,MATCH('Annex 3_MAFF'!$AG465,'Annex 2_Code'!$G$8:$G$33,0)),"")</f>
        <v>0</v>
      </c>
      <c r="X465" s="599">
        <f>IFERROR(INDEX('Annex 2_Code'!M$8:M$33,MATCH('Annex 3_MAFF'!$AG465,'Annex 2_Code'!$G$8:$G$33,0)),"")</f>
        <v>0</v>
      </c>
      <c r="Y465" s="647">
        <f t="shared" si="574"/>
        <v>64.599000000000004</v>
      </c>
      <c r="Z465" s="600">
        <f t="shared" si="575"/>
        <v>0</v>
      </c>
      <c r="AA465" s="600">
        <f t="shared" si="575"/>
        <v>0</v>
      </c>
      <c r="AB465" s="600">
        <f t="shared" si="576"/>
        <v>0</v>
      </c>
      <c r="AC465" s="601">
        <f t="shared" si="577"/>
        <v>0</v>
      </c>
      <c r="AD465" s="602">
        <f t="shared" si="585"/>
        <v>64.599000000000004</v>
      </c>
      <c r="AE465" s="602">
        <f t="shared" si="586"/>
        <v>0</v>
      </c>
      <c r="AF465" s="605" t="s">
        <v>374</v>
      </c>
      <c r="AG465" s="605" t="s">
        <v>213</v>
      </c>
      <c r="AH465" s="605" t="str">
        <f>IFERROR(INDEX('Annex 2_Code'!$J$114:$J$131,MATCH('Annex 3_MAFF'!AF465,'Annex 2_Code'!$G$114:$G$131,0)),"")</f>
        <v>MAFF</v>
      </c>
      <c r="AI465" s="646" t="str">
        <f t="shared" si="573"/>
        <v>MAFF</v>
      </c>
      <c r="AJ465" s="637" t="s">
        <v>449</v>
      </c>
    </row>
    <row r="466" spans="1:36" s="637" customFormat="1" ht="37.5" outlineLevel="1">
      <c r="A466" s="587"/>
      <c r="B466" s="659" t="s">
        <v>1452</v>
      </c>
      <c r="C466" s="782" t="s">
        <v>132</v>
      </c>
      <c r="D466" s="701"/>
      <c r="E466" s="307"/>
      <c r="F466" s="626"/>
      <c r="G466" s="616" t="s">
        <v>1060</v>
      </c>
      <c r="H466" s="811" t="s">
        <v>652</v>
      </c>
      <c r="I466" s="727">
        <f>15593/1000</f>
        <v>15.593</v>
      </c>
      <c r="J466" s="2279">
        <v>0.2</v>
      </c>
      <c r="K466" s="2280">
        <v>0.2</v>
      </c>
      <c r="L466" s="2280">
        <v>0.2</v>
      </c>
      <c r="M466" s="2280">
        <v>0.2</v>
      </c>
      <c r="N466" s="731">
        <f>SUM(J466:M466)</f>
        <v>0.8</v>
      </c>
      <c r="O466" s="622">
        <f t="shared" si="636"/>
        <v>3.1186000000000003</v>
      </c>
      <c r="P466" s="623">
        <f t="shared" si="637"/>
        <v>3.1186000000000003</v>
      </c>
      <c r="Q466" s="623">
        <f t="shared" si="634"/>
        <v>3.1186000000000003</v>
      </c>
      <c r="R466" s="623">
        <f t="shared" si="634"/>
        <v>3.1186000000000003</v>
      </c>
      <c r="S466" s="1356">
        <f t="shared" si="635"/>
        <v>12.474400000000001</v>
      </c>
      <c r="T466" s="599">
        <f>IFERROR(INDEX('Annex 2_Code'!I$8:I$33,MATCH('Annex 3_MAFF'!$AG466,'Annex 2_Code'!$G$8:$G$33,0)),"")</f>
        <v>1</v>
      </c>
      <c r="U466" s="599">
        <f>IFERROR(INDEX('Annex 2_Code'!J$8:J$33,MATCH('Annex 3_MAFF'!$AG466,'Annex 2_Code'!$G$8:$G$33,0)),"")</f>
        <v>0</v>
      </c>
      <c r="V466" s="599">
        <f>IFERROR(INDEX('Annex 2_Code'!K$8:K$33,MATCH('Annex 3_MAFF'!$AG466,'Annex 2_Code'!$G$8:$G$33,0)),"")</f>
        <v>0</v>
      </c>
      <c r="W466" s="599">
        <f>IFERROR(INDEX('Annex 2_Code'!L$8:L$33,MATCH('Annex 3_MAFF'!$AG466,'Annex 2_Code'!$G$8:$G$33,0)),"")</f>
        <v>0</v>
      </c>
      <c r="X466" s="599">
        <f>IFERROR(INDEX('Annex 2_Code'!M$8:M$33,MATCH('Annex 3_MAFF'!$AG466,'Annex 2_Code'!$G$8:$G$33,0)),"")</f>
        <v>0</v>
      </c>
      <c r="Y466" s="647">
        <f t="shared" si="574"/>
        <v>12.474400000000001</v>
      </c>
      <c r="Z466" s="600">
        <f t="shared" si="575"/>
        <v>0</v>
      </c>
      <c r="AA466" s="600">
        <f t="shared" si="575"/>
        <v>0</v>
      </c>
      <c r="AB466" s="600">
        <f t="shared" si="576"/>
        <v>0</v>
      </c>
      <c r="AC466" s="601">
        <f t="shared" si="577"/>
        <v>0</v>
      </c>
      <c r="AD466" s="602">
        <f t="shared" si="585"/>
        <v>12.474400000000001</v>
      </c>
      <c r="AE466" s="602">
        <f t="shared" si="586"/>
        <v>0</v>
      </c>
      <c r="AF466" s="605" t="s">
        <v>374</v>
      </c>
      <c r="AG466" s="605" t="s">
        <v>213</v>
      </c>
      <c r="AH466" s="605" t="str">
        <f>IFERROR(INDEX('Annex 2_Code'!$J$114:$J$131,MATCH('Annex 3_MAFF'!AF466,'Annex 2_Code'!$G$114:$G$131,0)),"")</f>
        <v>MAFF</v>
      </c>
      <c r="AI466" s="646" t="str">
        <f t="shared" si="573"/>
        <v>MAFF</v>
      </c>
      <c r="AJ466" s="637" t="s">
        <v>449</v>
      </c>
    </row>
    <row r="467" spans="1:36" s="637" customFormat="1" ht="33.75" customHeight="1" outlineLevel="1">
      <c r="A467" s="587"/>
      <c r="B467" s="659" t="s">
        <v>1452</v>
      </c>
      <c r="C467" s="782" t="s">
        <v>132</v>
      </c>
      <c r="D467" s="701"/>
      <c r="E467" s="307"/>
      <c r="F467" s="626"/>
      <c r="G467" s="616" t="s">
        <v>1061</v>
      </c>
      <c r="H467" s="811" t="s">
        <v>652</v>
      </c>
      <c r="I467" s="727">
        <f>11409/1000</f>
        <v>11.409000000000001</v>
      </c>
      <c r="J467" s="2279">
        <v>0.6</v>
      </c>
      <c r="K467" s="2280">
        <v>0.6</v>
      </c>
      <c r="L467" s="2280">
        <v>0.6</v>
      </c>
      <c r="M467" s="2280">
        <v>0.6</v>
      </c>
      <c r="N467" s="731">
        <f>SUM(J467:M467)</f>
        <v>2.4</v>
      </c>
      <c r="O467" s="622">
        <f t="shared" si="636"/>
        <v>6.8454000000000006</v>
      </c>
      <c r="P467" s="623">
        <f t="shared" si="637"/>
        <v>6.8454000000000006</v>
      </c>
      <c r="Q467" s="623">
        <f t="shared" si="634"/>
        <v>6.8454000000000006</v>
      </c>
      <c r="R467" s="623">
        <f t="shared" si="634"/>
        <v>6.8454000000000006</v>
      </c>
      <c r="S467" s="1356">
        <f t="shared" si="635"/>
        <v>27.381600000000002</v>
      </c>
      <c r="T467" s="599">
        <f>IFERROR(INDEX('Annex 2_Code'!I$8:I$33,MATCH('Annex 3_MAFF'!$AG467,'Annex 2_Code'!$G$8:$G$33,0)),"")</f>
        <v>1</v>
      </c>
      <c r="U467" s="599">
        <f>IFERROR(INDEX('Annex 2_Code'!J$8:J$33,MATCH('Annex 3_MAFF'!$AG467,'Annex 2_Code'!$G$8:$G$33,0)),"")</f>
        <v>0</v>
      </c>
      <c r="V467" s="599">
        <f>IFERROR(INDEX('Annex 2_Code'!K$8:K$33,MATCH('Annex 3_MAFF'!$AG467,'Annex 2_Code'!$G$8:$G$33,0)),"")</f>
        <v>0</v>
      </c>
      <c r="W467" s="599">
        <f>IFERROR(INDEX('Annex 2_Code'!L$8:L$33,MATCH('Annex 3_MAFF'!$AG467,'Annex 2_Code'!$G$8:$G$33,0)),"")</f>
        <v>0</v>
      </c>
      <c r="X467" s="599">
        <f>IFERROR(INDEX('Annex 2_Code'!M$8:M$33,MATCH('Annex 3_MAFF'!$AG467,'Annex 2_Code'!$G$8:$G$33,0)),"")</f>
        <v>0</v>
      </c>
      <c r="Y467" s="647">
        <f t="shared" si="574"/>
        <v>27.381600000000002</v>
      </c>
      <c r="Z467" s="600">
        <f t="shared" si="575"/>
        <v>0</v>
      </c>
      <c r="AA467" s="600">
        <f t="shared" si="575"/>
        <v>0</v>
      </c>
      <c r="AB467" s="600">
        <f t="shared" si="576"/>
        <v>0</v>
      </c>
      <c r="AC467" s="601">
        <f t="shared" si="577"/>
        <v>0</v>
      </c>
      <c r="AD467" s="602">
        <f t="shared" si="585"/>
        <v>27.381600000000002</v>
      </c>
      <c r="AE467" s="602">
        <f t="shared" si="586"/>
        <v>0</v>
      </c>
      <c r="AF467" s="605" t="s">
        <v>374</v>
      </c>
      <c r="AG467" s="605" t="s">
        <v>213</v>
      </c>
      <c r="AH467" s="605" t="str">
        <f>IFERROR(INDEX('Annex 2_Code'!$J$114:$J$131,MATCH('Annex 3_MAFF'!AF467,'Annex 2_Code'!$G$114:$G$131,0)),"")</f>
        <v>MAFF</v>
      </c>
      <c r="AI467" s="646" t="str">
        <f t="shared" si="573"/>
        <v>MAFF</v>
      </c>
      <c r="AJ467" s="637" t="s">
        <v>449</v>
      </c>
    </row>
    <row r="468" spans="1:36" s="637" customFormat="1" ht="37.5" outlineLevel="1">
      <c r="A468" s="587"/>
      <c r="B468" s="659" t="s">
        <v>1452</v>
      </c>
      <c r="C468" s="782" t="s">
        <v>132</v>
      </c>
      <c r="D468" s="701"/>
      <c r="E468" s="307"/>
      <c r="F468" s="626"/>
      <c r="G468" s="616" t="s">
        <v>1062</v>
      </c>
      <c r="H468" s="811" t="s">
        <v>652</v>
      </c>
      <c r="I468" s="727">
        <f>14198/1000</f>
        <v>14.198</v>
      </c>
      <c r="J468" s="783">
        <v>0.51</v>
      </c>
      <c r="K468" s="784">
        <v>0.51</v>
      </c>
      <c r="L468" s="784">
        <v>0.51</v>
      </c>
      <c r="M468" s="784">
        <v>0.51</v>
      </c>
      <c r="N468" s="731">
        <f>SUM(J468:M468)</f>
        <v>2.04</v>
      </c>
      <c r="O468" s="622">
        <f t="shared" si="636"/>
        <v>7.2409800000000004</v>
      </c>
      <c r="P468" s="623">
        <f t="shared" si="637"/>
        <v>7.2409800000000004</v>
      </c>
      <c r="Q468" s="623">
        <f t="shared" si="634"/>
        <v>7.2409800000000004</v>
      </c>
      <c r="R468" s="623">
        <f t="shared" si="634"/>
        <v>7.2409800000000004</v>
      </c>
      <c r="S468" s="1356">
        <f t="shared" si="635"/>
        <v>28.963920000000002</v>
      </c>
      <c r="T468" s="599">
        <f>IFERROR(INDEX('Annex 2_Code'!I$8:I$33,MATCH('Annex 3_MAFF'!$AG468,'Annex 2_Code'!$G$8:$G$33,0)),"")</f>
        <v>1</v>
      </c>
      <c r="U468" s="599">
        <f>IFERROR(INDEX('Annex 2_Code'!J$8:J$33,MATCH('Annex 3_MAFF'!$AG468,'Annex 2_Code'!$G$8:$G$33,0)),"")</f>
        <v>0</v>
      </c>
      <c r="V468" s="599">
        <f>IFERROR(INDEX('Annex 2_Code'!K$8:K$33,MATCH('Annex 3_MAFF'!$AG468,'Annex 2_Code'!$G$8:$G$33,0)),"")</f>
        <v>0</v>
      </c>
      <c r="W468" s="599">
        <f>IFERROR(INDEX('Annex 2_Code'!L$8:L$33,MATCH('Annex 3_MAFF'!$AG468,'Annex 2_Code'!$G$8:$G$33,0)),"")</f>
        <v>0</v>
      </c>
      <c r="X468" s="599">
        <f>IFERROR(INDEX('Annex 2_Code'!M$8:M$33,MATCH('Annex 3_MAFF'!$AG468,'Annex 2_Code'!$G$8:$G$33,0)),"")</f>
        <v>0</v>
      </c>
      <c r="Y468" s="647">
        <f t="shared" si="574"/>
        <v>28.963920000000002</v>
      </c>
      <c r="Z468" s="600">
        <f t="shared" si="575"/>
        <v>0</v>
      </c>
      <c r="AA468" s="600">
        <f t="shared" si="575"/>
        <v>0</v>
      </c>
      <c r="AB468" s="600">
        <f t="shared" si="576"/>
        <v>0</v>
      </c>
      <c r="AC468" s="601">
        <f t="shared" si="577"/>
        <v>0</v>
      </c>
      <c r="AD468" s="602">
        <f t="shared" si="585"/>
        <v>28.963920000000002</v>
      </c>
      <c r="AE468" s="602">
        <f t="shared" si="586"/>
        <v>0</v>
      </c>
      <c r="AF468" s="605" t="s">
        <v>374</v>
      </c>
      <c r="AG468" s="605" t="s">
        <v>213</v>
      </c>
      <c r="AH468" s="605" t="str">
        <f>IFERROR(INDEX('Annex 2_Code'!$J$114:$J$131,MATCH('Annex 3_MAFF'!AF468,'Annex 2_Code'!$G$114:$G$131,0)),"")</f>
        <v>MAFF</v>
      </c>
      <c r="AI468" s="646" t="str">
        <f t="shared" si="573"/>
        <v>MAFF</v>
      </c>
      <c r="AJ468" s="637" t="s">
        <v>449</v>
      </c>
    </row>
    <row r="469" spans="1:36" s="637" customFormat="1" ht="37.5" outlineLevel="1">
      <c r="A469" s="587"/>
      <c r="B469" s="659" t="s">
        <v>1452</v>
      </c>
      <c r="C469" s="782" t="s">
        <v>132</v>
      </c>
      <c r="D469" s="701"/>
      <c r="E469" s="307"/>
      <c r="F469" s="626"/>
      <c r="G469" s="616" t="s">
        <v>1063</v>
      </c>
      <c r="H469" s="811" t="s">
        <v>652</v>
      </c>
      <c r="I469" s="727">
        <f>12803/1000</f>
        <v>12.803000000000001</v>
      </c>
      <c r="J469" s="783">
        <v>0</v>
      </c>
      <c r="K469" s="784">
        <v>0</v>
      </c>
      <c r="L469" s="784">
        <v>0</v>
      </c>
      <c r="M469" s="784">
        <v>0</v>
      </c>
      <c r="N469" s="731">
        <v>0</v>
      </c>
      <c r="O469" s="622">
        <f t="shared" si="636"/>
        <v>0</v>
      </c>
      <c r="P469" s="623">
        <f t="shared" si="637"/>
        <v>0</v>
      </c>
      <c r="Q469" s="623">
        <f t="shared" si="634"/>
        <v>0</v>
      </c>
      <c r="R469" s="623">
        <f t="shared" si="634"/>
        <v>0</v>
      </c>
      <c r="S469" s="1356">
        <f t="shared" si="635"/>
        <v>0</v>
      </c>
      <c r="T469" s="599">
        <f>IFERROR(INDEX('Annex 2_Code'!I$8:I$33,MATCH('Annex 3_MAFF'!$AG469,'Annex 2_Code'!$G$8:$G$33,0)),"")</f>
        <v>1</v>
      </c>
      <c r="U469" s="599">
        <f>IFERROR(INDEX('Annex 2_Code'!J$8:J$33,MATCH('Annex 3_MAFF'!$AG469,'Annex 2_Code'!$G$8:$G$33,0)),"")</f>
        <v>0</v>
      </c>
      <c r="V469" s="599">
        <f>IFERROR(INDEX('Annex 2_Code'!K$8:K$33,MATCH('Annex 3_MAFF'!$AG469,'Annex 2_Code'!$G$8:$G$33,0)),"")</f>
        <v>0</v>
      </c>
      <c r="W469" s="599">
        <f>IFERROR(INDEX('Annex 2_Code'!L$8:L$33,MATCH('Annex 3_MAFF'!$AG469,'Annex 2_Code'!$G$8:$G$33,0)),"")</f>
        <v>0</v>
      </c>
      <c r="X469" s="599">
        <f>IFERROR(INDEX('Annex 2_Code'!M$8:M$33,MATCH('Annex 3_MAFF'!$AG469,'Annex 2_Code'!$G$8:$G$33,0)),"")</f>
        <v>0</v>
      </c>
      <c r="Y469" s="647">
        <f t="shared" ref="Y469:Y545" si="638">IFERROR($S469*T469,"")</f>
        <v>0</v>
      </c>
      <c r="Z469" s="600">
        <f t="shared" ref="Z469:AA545" si="639">IFERROR($S469*U469,"")</f>
        <v>0</v>
      </c>
      <c r="AA469" s="600">
        <f t="shared" si="639"/>
        <v>0</v>
      </c>
      <c r="AB469" s="600">
        <f t="shared" ref="AB469:AB545" si="640">IFERROR($S469*W469,"")</f>
        <v>0</v>
      </c>
      <c r="AC469" s="601">
        <f t="shared" ref="AC469:AC545" si="641">IFERROR($S469*X469,"")</f>
        <v>0</v>
      </c>
      <c r="AD469" s="602">
        <f t="shared" si="585"/>
        <v>0</v>
      </c>
      <c r="AE469" s="602">
        <f t="shared" si="586"/>
        <v>0</v>
      </c>
      <c r="AF469" s="605" t="s">
        <v>374</v>
      </c>
      <c r="AG469" s="605" t="s">
        <v>213</v>
      </c>
      <c r="AH469" s="605" t="str">
        <f>IFERROR(INDEX('Annex 2_Code'!$J$114:$J$131,MATCH('Annex 3_MAFF'!AF469,'Annex 2_Code'!$G$114:$G$131,0)),"")</f>
        <v>MAFF</v>
      </c>
      <c r="AI469" s="646" t="str">
        <f t="shared" si="573"/>
        <v>MAFF</v>
      </c>
      <c r="AJ469" s="637" t="s">
        <v>449</v>
      </c>
    </row>
    <row r="470" spans="1:36" s="637" customFormat="1" ht="46.5" outlineLevel="1">
      <c r="A470" s="587"/>
      <c r="B470" s="659" t="s">
        <v>1452</v>
      </c>
      <c r="C470" s="782" t="s">
        <v>132</v>
      </c>
      <c r="D470" s="701"/>
      <c r="E470" s="307"/>
      <c r="F470" s="626"/>
      <c r="G470" s="616" t="s">
        <v>1064</v>
      </c>
      <c r="H470" s="811" t="s">
        <v>652</v>
      </c>
      <c r="I470" s="727">
        <f>12803/1000</f>
        <v>12.803000000000001</v>
      </c>
      <c r="J470" s="783">
        <v>0</v>
      </c>
      <c r="K470" s="784">
        <v>0</v>
      </c>
      <c r="L470" s="784">
        <v>0</v>
      </c>
      <c r="M470" s="784">
        <v>0</v>
      </c>
      <c r="N470" s="731">
        <v>0</v>
      </c>
      <c r="O470" s="622">
        <f t="shared" si="636"/>
        <v>0</v>
      </c>
      <c r="P470" s="623">
        <f t="shared" si="637"/>
        <v>0</v>
      </c>
      <c r="Q470" s="623">
        <f t="shared" si="634"/>
        <v>0</v>
      </c>
      <c r="R470" s="623">
        <f t="shared" si="634"/>
        <v>0</v>
      </c>
      <c r="S470" s="1356">
        <f>SUM(O470:R470)</f>
        <v>0</v>
      </c>
      <c r="T470" s="599">
        <f>IFERROR(INDEX('Annex 2_Code'!I$8:I$33,MATCH('Annex 3_MAFF'!$AG470,'Annex 2_Code'!$G$8:$G$33,0)),"")</f>
        <v>1</v>
      </c>
      <c r="U470" s="599">
        <f>IFERROR(INDEX('Annex 2_Code'!J$8:J$33,MATCH('Annex 3_MAFF'!$AG470,'Annex 2_Code'!$G$8:$G$33,0)),"")</f>
        <v>0</v>
      </c>
      <c r="V470" s="599">
        <f>IFERROR(INDEX('Annex 2_Code'!K$8:K$33,MATCH('Annex 3_MAFF'!$AG470,'Annex 2_Code'!$G$8:$G$33,0)),"")</f>
        <v>0</v>
      </c>
      <c r="W470" s="599">
        <f>IFERROR(INDEX('Annex 2_Code'!L$8:L$33,MATCH('Annex 3_MAFF'!$AG470,'Annex 2_Code'!$G$8:$G$33,0)),"")</f>
        <v>0</v>
      </c>
      <c r="X470" s="599">
        <f>IFERROR(INDEX('Annex 2_Code'!M$8:M$33,MATCH('Annex 3_MAFF'!$AG470,'Annex 2_Code'!$G$8:$G$33,0)),"")</f>
        <v>0</v>
      </c>
      <c r="Y470" s="647">
        <f t="shared" si="638"/>
        <v>0</v>
      </c>
      <c r="Z470" s="600">
        <f t="shared" si="639"/>
        <v>0</v>
      </c>
      <c r="AA470" s="600">
        <f t="shared" si="639"/>
        <v>0</v>
      </c>
      <c r="AB470" s="600">
        <f t="shared" si="640"/>
        <v>0</v>
      </c>
      <c r="AC470" s="601">
        <f t="shared" si="641"/>
        <v>0</v>
      </c>
      <c r="AD470" s="602">
        <f t="shared" si="585"/>
        <v>0</v>
      </c>
      <c r="AE470" s="602">
        <f t="shared" si="586"/>
        <v>0</v>
      </c>
      <c r="AF470" s="605" t="s">
        <v>374</v>
      </c>
      <c r="AG470" s="605" t="s">
        <v>213</v>
      </c>
      <c r="AH470" s="605" t="str">
        <f>IFERROR(INDEX('Annex 2_Code'!$J$114:$J$131,MATCH('Annex 3_MAFF'!AF470,'Annex 2_Code'!$G$114:$G$131,0)),"")</f>
        <v>MAFF</v>
      </c>
      <c r="AI470" s="646" t="str">
        <f t="shared" si="573"/>
        <v>MAFF</v>
      </c>
      <c r="AJ470" s="637" t="s">
        <v>449</v>
      </c>
    </row>
    <row r="471" spans="1:36" s="637" customFormat="1" ht="23.25">
      <c r="A471" s="587"/>
      <c r="B471" s="659" t="s">
        <v>54</v>
      </c>
      <c r="C471" s="782"/>
      <c r="D471" s="2247"/>
      <c r="E471" s="2248" t="s">
        <v>583</v>
      </c>
      <c r="F471" s="2249"/>
      <c r="G471" s="2250"/>
      <c r="H471" s="2251" t="s">
        <v>12</v>
      </c>
      <c r="I471" s="2281"/>
      <c r="J471" s="2282">
        <f t="shared" ref="J471:S471" si="642">SUM(J464:J470)</f>
        <v>2.3600000000000003</v>
      </c>
      <c r="K471" s="2283">
        <f t="shared" si="642"/>
        <v>2.3600000000000003</v>
      </c>
      <c r="L471" s="2284">
        <f t="shared" si="642"/>
        <v>2.3600000000000003</v>
      </c>
      <c r="M471" s="2284">
        <f t="shared" si="642"/>
        <v>2.3600000000000003</v>
      </c>
      <c r="N471" s="2285">
        <f t="shared" si="642"/>
        <v>9.4400000000000013</v>
      </c>
      <c r="O471" s="2486">
        <f t="shared" si="642"/>
        <v>37.405030000000004</v>
      </c>
      <c r="P471" s="2487">
        <f t="shared" si="642"/>
        <v>37.405030000000004</v>
      </c>
      <c r="Q471" s="2487">
        <f t="shared" si="642"/>
        <v>37.405030000000004</v>
      </c>
      <c r="R471" s="2487">
        <f t="shared" si="642"/>
        <v>37.405030000000004</v>
      </c>
      <c r="S471" s="2488">
        <f t="shared" si="642"/>
        <v>149.62012000000001</v>
      </c>
      <c r="T471" s="599" t="str">
        <f>IFERROR(INDEX('Annex 2_Code'!I$8:I$33,MATCH('Annex 3_MAFF'!$AG471,'Annex 2_Code'!$G$8:$G$33,0)),"")</f>
        <v/>
      </c>
      <c r="U471" s="599" t="str">
        <f>IFERROR(INDEX('Annex 2_Code'!J$8:J$33,MATCH('Annex 3_MAFF'!$AG471,'Annex 2_Code'!$G$8:$G$33,0)),"")</f>
        <v/>
      </c>
      <c r="V471" s="599" t="str">
        <f>IFERROR(INDEX('Annex 2_Code'!K$8:K$33,MATCH('Annex 3_MAFF'!$AG471,'Annex 2_Code'!$G$8:$G$33,0)),"")</f>
        <v/>
      </c>
      <c r="W471" s="599" t="str">
        <f>IFERROR(INDEX('Annex 2_Code'!L$8:L$33,MATCH('Annex 3_MAFF'!$AG471,'Annex 2_Code'!$G$8:$G$33,0)),"")</f>
        <v/>
      </c>
      <c r="X471" s="599" t="str">
        <f>IFERROR(INDEX('Annex 2_Code'!M$8:M$33,MATCH('Annex 3_MAFF'!$AG471,'Annex 2_Code'!$G$8:$G$33,0)),"")</f>
        <v/>
      </c>
      <c r="Y471" s="647" t="str">
        <f t="shared" si="638"/>
        <v/>
      </c>
      <c r="Z471" s="600" t="str">
        <f t="shared" si="639"/>
        <v/>
      </c>
      <c r="AA471" s="600" t="str">
        <f t="shared" si="639"/>
        <v/>
      </c>
      <c r="AB471" s="600" t="str">
        <f t="shared" si="640"/>
        <v/>
      </c>
      <c r="AC471" s="601" t="str">
        <f t="shared" si="641"/>
        <v/>
      </c>
      <c r="AD471" s="602">
        <f t="shared" si="585"/>
        <v>0</v>
      </c>
      <c r="AE471" s="602">
        <f t="shared" si="586"/>
        <v>-149.62012000000001</v>
      </c>
      <c r="AF471" s="605"/>
      <c r="AG471" s="605"/>
      <c r="AH471" s="605" t="str">
        <f>IFERROR(INDEX('Annex 2_Code'!$J$114:$J$131,MATCH('Annex 3_MAFF'!AF471,'Annex 2_Code'!$G$114:$G$131,0)),"")</f>
        <v/>
      </c>
      <c r="AI471" s="646" t="str">
        <f t="shared" si="573"/>
        <v/>
      </c>
    </row>
    <row r="472" spans="1:36" s="637" customFormat="1" ht="23.25">
      <c r="A472" s="587"/>
      <c r="B472" s="659" t="s">
        <v>54</v>
      </c>
      <c r="C472" s="782"/>
      <c r="D472" s="701"/>
      <c r="E472" s="307"/>
      <c r="F472" s="615" t="s">
        <v>660</v>
      </c>
      <c r="G472" s="616"/>
      <c r="H472" s="782" t="s">
        <v>12</v>
      </c>
      <c r="I472" s="2286"/>
      <c r="J472" s="1476"/>
      <c r="K472" s="1477"/>
      <c r="L472" s="1478"/>
      <c r="M472" s="1478"/>
      <c r="N472" s="1472"/>
      <c r="O472" s="2489"/>
      <c r="P472" s="2490"/>
      <c r="Q472" s="2490"/>
      <c r="R472" s="2490"/>
      <c r="S472" s="2477">
        <f>SUM(O471:R471)</f>
        <v>149.62012000000001</v>
      </c>
      <c r="T472" s="599" t="str">
        <f>IFERROR(INDEX('Annex 2_Code'!I$8:I$33,MATCH('Annex 3_MAFF'!$AG472,'Annex 2_Code'!$G$8:$G$33,0)),"")</f>
        <v/>
      </c>
      <c r="U472" s="599" t="str">
        <f>IFERROR(INDEX('Annex 2_Code'!J$8:J$33,MATCH('Annex 3_MAFF'!$AG472,'Annex 2_Code'!$G$8:$G$33,0)),"")</f>
        <v/>
      </c>
      <c r="V472" s="599" t="str">
        <f>IFERROR(INDEX('Annex 2_Code'!K$8:K$33,MATCH('Annex 3_MAFF'!$AG472,'Annex 2_Code'!$G$8:$G$33,0)),"")</f>
        <v/>
      </c>
      <c r="W472" s="599" t="str">
        <f>IFERROR(INDEX('Annex 2_Code'!L$8:L$33,MATCH('Annex 3_MAFF'!$AG472,'Annex 2_Code'!$G$8:$G$33,0)),"")</f>
        <v/>
      </c>
      <c r="X472" s="599" t="str">
        <f>IFERROR(INDEX('Annex 2_Code'!M$8:M$33,MATCH('Annex 3_MAFF'!$AG472,'Annex 2_Code'!$G$8:$G$33,0)),"")</f>
        <v/>
      </c>
      <c r="Y472" s="647" t="str">
        <f t="shared" si="638"/>
        <v/>
      </c>
      <c r="Z472" s="600" t="str">
        <f t="shared" si="639"/>
        <v/>
      </c>
      <c r="AA472" s="600" t="str">
        <f t="shared" si="639"/>
        <v/>
      </c>
      <c r="AB472" s="600" t="str">
        <f t="shared" si="640"/>
        <v/>
      </c>
      <c r="AC472" s="601" t="str">
        <f t="shared" si="641"/>
        <v/>
      </c>
      <c r="AD472" s="602">
        <f t="shared" si="585"/>
        <v>0</v>
      </c>
      <c r="AE472" s="602">
        <f t="shared" si="586"/>
        <v>-149.62012000000001</v>
      </c>
      <c r="AF472" s="605"/>
      <c r="AG472" s="605"/>
      <c r="AH472" s="605" t="str">
        <f>IFERROR(INDEX('Annex 2_Code'!$J$114:$J$131,MATCH('Annex 3_MAFF'!AF472,'Annex 2_Code'!$G$114:$G$131,0)),"")</f>
        <v/>
      </c>
      <c r="AI472" s="646" t="str">
        <f t="shared" ref="AI472:AI547" si="643">IF(ISNUMBER(FIND("-",AH472,1))=FALSE,LEFT(AH472,LEN(AH472)),LEFT(AH472,(FIND("-",AH472,1))-1))</f>
        <v/>
      </c>
    </row>
    <row r="473" spans="1:36" s="902" customFormat="1" ht="43.5" customHeight="1" outlineLevel="1">
      <c r="A473" s="901"/>
      <c r="B473" s="669" t="s">
        <v>1452</v>
      </c>
      <c r="C473" s="782" t="s">
        <v>132</v>
      </c>
      <c r="D473" s="701"/>
      <c r="E473" s="307"/>
      <c r="F473" s="626"/>
      <c r="G473" s="616" t="s">
        <v>1597</v>
      </c>
      <c r="H473" s="811" t="s">
        <v>652</v>
      </c>
      <c r="I473" s="727">
        <f>(4183)/1000</f>
        <v>4.1829999999999998</v>
      </c>
      <c r="J473" s="783">
        <f>(0.5*3)+(0.5*3)+(0.5*3)</f>
        <v>4.5</v>
      </c>
      <c r="K473" s="784">
        <f t="shared" ref="K473:M473" si="644">(0.5*3)+(0.5*3)+(0.5*3)</f>
        <v>4.5</v>
      </c>
      <c r="L473" s="784">
        <f t="shared" si="644"/>
        <v>4.5</v>
      </c>
      <c r="M473" s="2334">
        <f t="shared" si="644"/>
        <v>4.5</v>
      </c>
      <c r="N473" s="2335">
        <f>SUM(J473:M473)</f>
        <v>18</v>
      </c>
      <c r="O473" s="622">
        <f>$I473*J473</f>
        <v>18.823499999999999</v>
      </c>
      <c r="P473" s="623">
        <f>$I473*K473</f>
        <v>18.823499999999999</v>
      </c>
      <c r="Q473" s="623">
        <f t="shared" ref="Q473:R483" si="645">$I473*L473</f>
        <v>18.823499999999999</v>
      </c>
      <c r="R473" s="623">
        <f t="shared" si="645"/>
        <v>18.823499999999999</v>
      </c>
      <c r="S473" s="1356">
        <f>SUM(O473:R473)</f>
        <v>75.293999999999997</v>
      </c>
      <c r="T473" s="1379">
        <f>IFERROR(INDEX('Annex 2_Code'!I$8:I$33,MATCH('Annex 3_MAFF'!$AG473,'Annex 2_Code'!$G$8:$G$33,0)),"")</f>
        <v>1</v>
      </c>
      <c r="U473" s="1379">
        <f>IFERROR(INDEX('Annex 2_Code'!J$8:J$33,MATCH('Annex 3_MAFF'!$AG473,'Annex 2_Code'!$G$8:$G$33,0)),"")</f>
        <v>0</v>
      </c>
      <c r="V473" s="1379">
        <f>IFERROR(INDEX('Annex 2_Code'!K$8:K$33,MATCH('Annex 3_MAFF'!$AG473,'Annex 2_Code'!$G$8:$G$33,0)),"")</f>
        <v>0</v>
      </c>
      <c r="W473" s="1379">
        <f>IFERROR(INDEX('Annex 2_Code'!L$8:L$33,MATCH('Annex 3_MAFF'!$AG473,'Annex 2_Code'!$G$8:$G$33,0)),"")</f>
        <v>0</v>
      </c>
      <c r="X473" s="1379">
        <f>IFERROR(INDEX('Annex 2_Code'!M$8:M$33,MATCH('Annex 3_MAFF'!$AG473,'Annex 2_Code'!$G$8:$G$33,0)),"")</f>
        <v>0</v>
      </c>
      <c r="Y473" s="1392">
        <f t="shared" si="638"/>
        <v>75.293999999999997</v>
      </c>
      <c r="Z473" s="1359">
        <f t="shared" si="639"/>
        <v>0</v>
      </c>
      <c r="AA473" s="1359">
        <f t="shared" si="639"/>
        <v>0</v>
      </c>
      <c r="AB473" s="1359">
        <f t="shared" si="640"/>
        <v>0</v>
      </c>
      <c r="AC473" s="1360">
        <f t="shared" si="641"/>
        <v>0</v>
      </c>
      <c r="AD473" s="1361">
        <f t="shared" si="585"/>
        <v>75.293999999999997</v>
      </c>
      <c r="AE473" s="1361">
        <f t="shared" si="586"/>
        <v>0</v>
      </c>
      <c r="AF473" s="1362" t="s">
        <v>374</v>
      </c>
      <c r="AG473" s="605" t="s">
        <v>215</v>
      </c>
      <c r="AH473" s="1362" t="str">
        <f>IFERROR(INDEX('Annex 2_Code'!$J$114:$J$131,MATCH('Annex 3_MAFF'!AF473,'Annex 2_Code'!$G$114:$G$131,0)),"")</f>
        <v>MAFF</v>
      </c>
      <c r="AI473" s="646" t="str">
        <f t="shared" si="643"/>
        <v>MAFF</v>
      </c>
      <c r="AJ473" s="902" t="s">
        <v>449</v>
      </c>
    </row>
    <row r="474" spans="1:36" s="902" customFormat="1" ht="60" customHeight="1" outlineLevel="1">
      <c r="A474" s="901"/>
      <c r="B474" s="669" t="s">
        <v>1452</v>
      </c>
      <c r="C474" s="782" t="s">
        <v>132</v>
      </c>
      <c r="D474" s="701"/>
      <c r="E474" s="307"/>
      <c r="F474" s="626"/>
      <c r="G474" s="616" t="s">
        <v>1598</v>
      </c>
      <c r="H474" s="811" t="s">
        <v>652</v>
      </c>
      <c r="I474" s="727">
        <f>(2785)/1000</f>
        <v>2.7850000000000001</v>
      </c>
      <c r="J474" s="1951">
        <f>(0.5*3)+(0.45*3)+(0.5*3)</f>
        <v>4.3499999999999996</v>
      </c>
      <c r="K474" s="1952">
        <f>(0.5*3)+(0.45*3)+(0.5*3)</f>
        <v>4.3499999999999996</v>
      </c>
      <c r="L474" s="1952">
        <f>(0.5*3)+(0.45*3)+(0.5*3)</f>
        <v>4.3499999999999996</v>
      </c>
      <c r="M474" s="1952">
        <f>(0.5*3)+(0.45*3)+(0.5*3)</f>
        <v>4.3499999999999996</v>
      </c>
      <c r="N474" s="2295">
        <f t="shared" ref="N474:N484" si="646">SUM(J474:M474)</f>
        <v>17.399999999999999</v>
      </c>
      <c r="O474" s="622">
        <f t="shared" ref="O474:O483" si="647">$I474*J474</f>
        <v>12.114749999999999</v>
      </c>
      <c r="P474" s="623">
        <f t="shared" ref="P474:P483" si="648">$I474*K474</f>
        <v>12.114749999999999</v>
      </c>
      <c r="Q474" s="623">
        <f t="shared" si="645"/>
        <v>12.114749999999999</v>
      </c>
      <c r="R474" s="623">
        <f t="shared" si="645"/>
        <v>12.114749999999999</v>
      </c>
      <c r="S474" s="1356">
        <f t="shared" ref="S474:S481" si="649">SUM(O474:R474)</f>
        <v>48.458999999999996</v>
      </c>
      <c r="T474" s="1379">
        <f>IFERROR(INDEX('Annex 2_Code'!I$8:I$33,MATCH('Annex 3_MAFF'!$AG474,'Annex 2_Code'!$G$8:$G$33,0)),"")</f>
        <v>1</v>
      </c>
      <c r="U474" s="1379">
        <f>IFERROR(INDEX('Annex 2_Code'!J$8:J$33,MATCH('Annex 3_MAFF'!$AG474,'Annex 2_Code'!$G$8:$G$33,0)),"")</f>
        <v>0</v>
      </c>
      <c r="V474" s="1379">
        <f>IFERROR(INDEX('Annex 2_Code'!K$8:K$33,MATCH('Annex 3_MAFF'!$AG474,'Annex 2_Code'!$G$8:$G$33,0)),"")</f>
        <v>0</v>
      </c>
      <c r="W474" s="1379">
        <f>IFERROR(INDEX('Annex 2_Code'!L$8:L$33,MATCH('Annex 3_MAFF'!$AG474,'Annex 2_Code'!$G$8:$G$33,0)),"")</f>
        <v>0</v>
      </c>
      <c r="X474" s="1379">
        <f>IFERROR(INDEX('Annex 2_Code'!M$8:M$33,MATCH('Annex 3_MAFF'!$AG474,'Annex 2_Code'!$G$8:$G$33,0)),"")</f>
        <v>0</v>
      </c>
      <c r="Y474" s="1392">
        <f t="shared" si="638"/>
        <v>48.458999999999996</v>
      </c>
      <c r="Z474" s="1359">
        <f t="shared" si="639"/>
        <v>0</v>
      </c>
      <c r="AA474" s="1359">
        <f t="shared" si="639"/>
        <v>0</v>
      </c>
      <c r="AB474" s="1359">
        <f t="shared" si="640"/>
        <v>0</v>
      </c>
      <c r="AC474" s="1360">
        <f t="shared" si="641"/>
        <v>0</v>
      </c>
      <c r="AD474" s="1361">
        <f t="shared" si="585"/>
        <v>48.458999999999996</v>
      </c>
      <c r="AE474" s="1361">
        <f t="shared" si="586"/>
        <v>0</v>
      </c>
      <c r="AF474" s="1362" t="s">
        <v>374</v>
      </c>
      <c r="AG474" s="605" t="s">
        <v>215</v>
      </c>
      <c r="AH474" s="1362" t="str">
        <f>IFERROR(INDEX('Annex 2_Code'!$J$114:$J$131,MATCH('Annex 3_MAFF'!AF474,'Annex 2_Code'!$G$114:$G$131,0)),"")</f>
        <v>MAFF</v>
      </c>
      <c r="AI474" s="646" t="str">
        <f t="shared" si="643"/>
        <v>MAFF</v>
      </c>
      <c r="AJ474" s="902" t="s">
        <v>449</v>
      </c>
    </row>
    <row r="475" spans="1:36" s="902" customFormat="1" ht="37.5" customHeight="1" outlineLevel="1">
      <c r="A475" s="901"/>
      <c r="B475" s="669" t="s">
        <v>1452</v>
      </c>
      <c r="C475" s="782" t="s">
        <v>132</v>
      </c>
      <c r="D475" s="701"/>
      <c r="E475" s="307"/>
      <c r="F475" s="626"/>
      <c r="G475" s="616" t="s">
        <v>1599</v>
      </c>
      <c r="H475" s="811" t="s">
        <v>652</v>
      </c>
      <c r="I475" s="727">
        <f>(2785)/1000</f>
        <v>2.7850000000000001</v>
      </c>
      <c r="J475" s="1951">
        <f>(0.5*3)+(0.5*3)</f>
        <v>3</v>
      </c>
      <c r="K475" s="1952">
        <f t="shared" ref="K475:M475" si="650">(0.5*3)+(0.5*3)</f>
        <v>3</v>
      </c>
      <c r="L475" s="1952">
        <f t="shared" si="650"/>
        <v>3</v>
      </c>
      <c r="M475" s="1952">
        <f t="shared" si="650"/>
        <v>3</v>
      </c>
      <c r="N475" s="2295">
        <f t="shared" si="646"/>
        <v>12</v>
      </c>
      <c r="O475" s="622">
        <f t="shared" si="647"/>
        <v>8.3550000000000004</v>
      </c>
      <c r="P475" s="623">
        <f t="shared" si="648"/>
        <v>8.3550000000000004</v>
      </c>
      <c r="Q475" s="623">
        <f t="shared" si="645"/>
        <v>8.3550000000000004</v>
      </c>
      <c r="R475" s="623">
        <f t="shared" si="645"/>
        <v>8.3550000000000004</v>
      </c>
      <c r="S475" s="1356">
        <f t="shared" si="649"/>
        <v>33.42</v>
      </c>
      <c r="T475" s="1379">
        <f>IFERROR(INDEX('Annex 2_Code'!I$8:I$33,MATCH('Annex 3_MAFF'!$AG475,'Annex 2_Code'!$G$8:$G$33,0)),"")</f>
        <v>1</v>
      </c>
      <c r="U475" s="1379">
        <f>IFERROR(INDEX('Annex 2_Code'!J$8:J$33,MATCH('Annex 3_MAFF'!$AG475,'Annex 2_Code'!$G$8:$G$33,0)),"")</f>
        <v>0</v>
      </c>
      <c r="V475" s="1379">
        <f>IFERROR(INDEX('Annex 2_Code'!K$8:K$33,MATCH('Annex 3_MAFF'!$AG475,'Annex 2_Code'!$G$8:$G$33,0)),"")</f>
        <v>0</v>
      </c>
      <c r="W475" s="1379">
        <f>IFERROR(INDEX('Annex 2_Code'!L$8:L$33,MATCH('Annex 3_MAFF'!$AG475,'Annex 2_Code'!$G$8:$G$33,0)),"")</f>
        <v>0</v>
      </c>
      <c r="X475" s="1379">
        <f>IFERROR(INDEX('Annex 2_Code'!M$8:M$33,MATCH('Annex 3_MAFF'!$AG475,'Annex 2_Code'!$G$8:$G$33,0)),"")</f>
        <v>0</v>
      </c>
      <c r="Y475" s="1392">
        <f t="shared" si="638"/>
        <v>33.42</v>
      </c>
      <c r="Z475" s="1359">
        <f t="shared" si="639"/>
        <v>0</v>
      </c>
      <c r="AA475" s="1359">
        <f t="shared" si="639"/>
        <v>0</v>
      </c>
      <c r="AB475" s="1359">
        <f t="shared" si="640"/>
        <v>0</v>
      </c>
      <c r="AC475" s="1360">
        <f t="shared" si="641"/>
        <v>0</v>
      </c>
      <c r="AD475" s="1361">
        <f t="shared" si="585"/>
        <v>33.42</v>
      </c>
      <c r="AE475" s="1361">
        <f t="shared" si="586"/>
        <v>0</v>
      </c>
      <c r="AF475" s="1362" t="s">
        <v>374</v>
      </c>
      <c r="AG475" s="605" t="s">
        <v>215</v>
      </c>
      <c r="AH475" s="1362" t="str">
        <f>IFERROR(INDEX('Annex 2_Code'!$J$114:$J$131,MATCH('Annex 3_MAFF'!AF475,'Annex 2_Code'!$G$114:$G$131,0)),"")</f>
        <v>MAFF</v>
      </c>
      <c r="AI475" s="646" t="str">
        <f t="shared" si="643"/>
        <v>MAFF</v>
      </c>
      <c r="AJ475" s="902" t="s">
        <v>449</v>
      </c>
    </row>
    <row r="476" spans="1:36" s="902" customFormat="1" ht="48.75" customHeight="1" outlineLevel="1">
      <c r="A476" s="901"/>
      <c r="B476" s="669" t="s">
        <v>1452</v>
      </c>
      <c r="C476" s="782" t="s">
        <v>132</v>
      </c>
      <c r="D476" s="701"/>
      <c r="E476" s="307"/>
      <c r="F476" s="626"/>
      <c r="G476" s="616" t="s">
        <v>1600</v>
      </c>
      <c r="H476" s="811" t="s">
        <v>652</v>
      </c>
      <c r="I476" s="727">
        <f>2785/1000</f>
        <v>2.7850000000000001</v>
      </c>
      <c r="J476" s="1951">
        <v>3</v>
      </c>
      <c r="K476" s="1952">
        <v>3</v>
      </c>
      <c r="L476" s="1952">
        <v>3</v>
      </c>
      <c r="M476" s="1952">
        <v>3</v>
      </c>
      <c r="N476" s="2295">
        <f t="shared" si="646"/>
        <v>12</v>
      </c>
      <c r="O476" s="622">
        <f t="shared" si="647"/>
        <v>8.3550000000000004</v>
      </c>
      <c r="P476" s="623">
        <f t="shared" si="648"/>
        <v>8.3550000000000004</v>
      </c>
      <c r="Q476" s="623">
        <f t="shared" si="645"/>
        <v>8.3550000000000004</v>
      </c>
      <c r="R476" s="623">
        <f t="shared" si="645"/>
        <v>8.3550000000000004</v>
      </c>
      <c r="S476" s="1356">
        <f>SUM(O476:R476)</f>
        <v>33.42</v>
      </c>
      <c r="T476" s="1379">
        <f>IFERROR(INDEX('Annex 2_Code'!I$8:I$33,MATCH('Annex 3_MAFF'!$AG476,'Annex 2_Code'!$G$8:$G$33,0)),"")</f>
        <v>1</v>
      </c>
      <c r="U476" s="1379">
        <f>IFERROR(INDEX('Annex 2_Code'!J$8:J$33,MATCH('Annex 3_MAFF'!$AG476,'Annex 2_Code'!$G$8:$G$33,0)),"")</f>
        <v>0</v>
      </c>
      <c r="V476" s="1379">
        <f>IFERROR(INDEX('Annex 2_Code'!K$8:K$33,MATCH('Annex 3_MAFF'!$AG476,'Annex 2_Code'!$G$8:$G$33,0)),"")</f>
        <v>0</v>
      </c>
      <c r="W476" s="1379">
        <f>IFERROR(INDEX('Annex 2_Code'!L$8:L$33,MATCH('Annex 3_MAFF'!$AG476,'Annex 2_Code'!$G$8:$G$33,0)),"")</f>
        <v>0</v>
      </c>
      <c r="X476" s="1379">
        <f>IFERROR(INDEX('Annex 2_Code'!M$8:M$33,MATCH('Annex 3_MAFF'!$AG476,'Annex 2_Code'!$G$8:$G$33,0)),"")</f>
        <v>0</v>
      </c>
      <c r="Y476" s="1392">
        <f t="shared" si="638"/>
        <v>33.42</v>
      </c>
      <c r="Z476" s="1359">
        <f t="shared" si="639"/>
        <v>0</v>
      </c>
      <c r="AA476" s="1359">
        <f t="shared" si="639"/>
        <v>0</v>
      </c>
      <c r="AB476" s="1359">
        <f t="shared" si="640"/>
        <v>0</v>
      </c>
      <c r="AC476" s="1360">
        <f t="shared" si="641"/>
        <v>0</v>
      </c>
      <c r="AD476" s="1361">
        <f t="shared" si="585"/>
        <v>33.42</v>
      </c>
      <c r="AE476" s="1361">
        <f t="shared" si="586"/>
        <v>0</v>
      </c>
      <c r="AF476" s="1362" t="s">
        <v>374</v>
      </c>
      <c r="AG476" s="605" t="s">
        <v>215</v>
      </c>
      <c r="AH476" s="1362" t="str">
        <f>IFERROR(INDEX('Annex 2_Code'!$J$114:$J$131,MATCH('Annex 3_MAFF'!AF476,'Annex 2_Code'!$G$114:$G$131,0)),"")</f>
        <v>MAFF</v>
      </c>
      <c r="AI476" s="646" t="str">
        <f t="shared" si="643"/>
        <v>MAFF</v>
      </c>
      <c r="AJ476" s="902" t="s">
        <v>449</v>
      </c>
    </row>
    <row r="477" spans="1:36" s="902" customFormat="1" ht="42" customHeight="1" outlineLevel="1">
      <c r="A477" s="901"/>
      <c r="B477" s="669" t="s">
        <v>1452</v>
      </c>
      <c r="C477" s="782" t="s">
        <v>132</v>
      </c>
      <c r="D477" s="701"/>
      <c r="E477" s="307"/>
      <c r="F477" s="626"/>
      <c r="G477" s="616" t="s">
        <v>1601</v>
      </c>
      <c r="H477" s="811" t="s">
        <v>652</v>
      </c>
      <c r="I477" s="727">
        <v>2.79</v>
      </c>
      <c r="J477" s="783">
        <v>3</v>
      </c>
      <c r="K477" s="784">
        <v>3</v>
      </c>
      <c r="L477" s="784">
        <v>3</v>
      </c>
      <c r="M477" s="784">
        <v>3</v>
      </c>
      <c r="N477" s="731">
        <f t="shared" si="646"/>
        <v>12</v>
      </c>
      <c r="O477" s="622">
        <f t="shared" si="647"/>
        <v>8.370000000000001</v>
      </c>
      <c r="P477" s="623">
        <f t="shared" si="648"/>
        <v>8.370000000000001</v>
      </c>
      <c r="Q477" s="623">
        <f t="shared" si="645"/>
        <v>8.370000000000001</v>
      </c>
      <c r="R477" s="623">
        <f t="shared" si="645"/>
        <v>8.370000000000001</v>
      </c>
      <c r="S477" s="1356">
        <f t="shared" si="649"/>
        <v>33.480000000000004</v>
      </c>
      <c r="T477" s="1379">
        <f>IFERROR(INDEX('Annex 2_Code'!I$8:I$33,MATCH('Annex 3_MAFF'!$AG477,'Annex 2_Code'!$G$8:$G$33,0)),"")</f>
        <v>1</v>
      </c>
      <c r="U477" s="1379">
        <f>IFERROR(INDEX('Annex 2_Code'!J$8:J$33,MATCH('Annex 3_MAFF'!$AG477,'Annex 2_Code'!$G$8:$G$33,0)),"")</f>
        <v>0</v>
      </c>
      <c r="V477" s="1379">
        <f>IFERROR(INDEX('Annex 2_Code'!K$8:K$33,MATCH('Annex 3_MAFF'!$AG477,'Annex 2_Code'!$G$8:$G$33,0)),"")</f>
        <v>0</v>
      </c>
      <c r="W477" s="1379">
        <f>IFERROR(INDEX('Annex 2_Code'!L$8:L$33,MATCH('Annex 3_MAFF'!$AG477,'Annex 2_Code'!$G$8:$G$33,0)),"")</f>
        <v>0</v>
      </c>
      <c r="X477" s="1379">
        <f>IFERROR(INDEX('Annex 2_Code'!M$8:M$33,MATCH('Annex 3_MAFF'!$AG477,'Annex 2_Code'!$G$8:$G$33,0)),"")</f>
        <v>0</v>
      </c>
      <c r="Y477" s="1392">
        <f t="shared" si="638"/>
        <v>33.480000000000004</v>
      </c>
      <c r="Z477" s="1359">
        <f t="shared" si="639"/>
        <v>0</v>
      </c>
      <c r="AA477" s="1359">
        <f t="shared" si="639"/>
        <v>0</v>
      </c>
      <c r="AB477" s="1359">
        <f t="shared" si="640"/>
        <v>0</v>
      </c>
      <c r="AC477" s="1360">
        <f t="shared" si="641"/>
        <v>0</v>
      </c>
      <c r="AD477" s="1361">
        <f t="shared" si="585"/>
        <v>33.480000000000004</v>
      </c>
      <c r="AE477" s="1361">
        <f t="shared" si="586"/>
        <v>0</v>
      </c>
      <c r="AF477" s="1362" t="s">
        <v>374</v>
      </c>
      <c r="AG477" s="605" t="s">
        <v>215</v>
      </c>
      <c r="AH477" s="1362" t="str">
        <f>IFERROR(INDEX('Annex 2_Code'!$J$114:$J$131,MATCH('Annex 3_MAFF'!AF477,'Annex 2_Code'!$G$114:$G$131,0)),"")</f>
        <v>MAFF</v>
      </c>
      <c r="AI477" s="646" t="str">
        <f t="shared" si="643"/>
        <v>MAFF</v>
      </c>
      <c r="AJ477" s="902" t="s">
        <v>449</v>
      </c>
    </row>
    <row r="478" spans="1:36" s="902" customFormat="1" ht="35.25" customHeight="1" outlineLevel="1">
      <c r="A478" s="901"/>
      <c r="B478" s="669" t="s">
        <v>1452</v>
      </c>
      <c r="C478" s="782" t="s">
        <v>132</v>
      </c>
      <c r="D478" s="701"/>
      <c r="E478" s="307"/>
      <c r="F478" s="626"/>
      <c r="G478" s="616" t="s">
        <v>1602</v>
      </c>
      <c r="H478" s="811" t="s">
        <v>652</v>
      </c>
      <c r="I478" s="727">
        <f>4184/1000</f>
        <v>4.1840000000000002</v>
      </c>
      <c r="J478" s="783">
        <f>0.7*3</f>
        <v>2.0999999999999996</v>
      </c>
      <c r="K478" s="784">
        <f t="shared" ref="K478:L478" si="651">0.7*3</f>
        <v>2.0999999999999996</v>
      </c>
      <c r="L478" s="784">
        <f t="shared" si="651"/>
        <v>2.0999999999999996</v>
      </c>
      <c r="M478" s="784">
        <f>0.5*3</f>
        <v>1.5</v>
      </c>
      <c r="N478" s="731">
        <f t="shared" si="646"/>
        <v>7.7999999999999989</v>
      </c>
      <c r="O478" s="622">
        <f t="shared" si="647"/>
        <v>8.7863999999999987</v>
      </c>
      <c r="P478" s="623">
        <f t="shared" si="648"/>
        <v>8.7863999999999987</v>
      </c>
      <c r="Q478" s="623">
        <f t="shared" si="645"/>
        <v>8.7863999999999987</v>
      </c>
      <c r="R478" s="623">
        <f t="shared" si="645"/>
        <v>6.2759999999999998</v>
      </c>
      <c r="S478" s="1356">
        <f t="shared" si="649"/>
        <v>32.635199999999998</v>
      </c>
      <c r="T478" s="1379">
        <f>IFERROR(INDEX('Annex 2_Code'!I$8:I$33,MATCH('Annex 3_MAFF'!$AG478,'Annex 2_Code'!$G$8:$G$33,0)),"")</f>
        <v>1</v>
      </c>
      <c r="U478" s="1379">
        <f>IFERROR(INDEX('Annex 2_Code'!J$8:J$33,MATCH('Annex 3_MAFF'!$AG478,'Annex 2_Code'!$G$8:$G$33,0)),"")</f>
        <v>0</v>
      </c>
      <c r="V478" s="1379">
        <f>IFERROR(INDEX('Annex 2_Code'!K$8:K$33,MATCH('Annex 3_MAFF'!$AG478,'Annex 2_Code'!$G$8:$G$33,0)),"")</f>
        <v>0</v>
      </c>
      <c r="W478" s="1379">
        <f>IFERROR(INDEX('Annex 2_Code'!L$8:L$33,MATCH('Annex 3_MAFF'!$AG478,'Annex 2_Code'!$G$8:$G$33,0)),"")</f>
        <v>0</v>
      </c>
      <c r="X478" s="1379">
        <f>IFERROR(INDEX('Annex 2_Code'!M$8:M$33,MATCH('Annex 3_MAFF'!$AG478,'Annex 2_Code'!$G$8:$G$33,0)),"")</f>
        <v>0</v>
      </c>
      <c r="Y478" s="1392">
        <f t="shared" si="638"/>
        <v>32.635199999999998</v>
      </c>
      <c r="Z478" s="1359">
        <f t="shared" si="639"/>
        <v>0</v>
      </c>
      <c r="AA478" s="1359">
        <f t="shared" si="639"/>
        <v>0</v>
      </c>
      <c r="AB478" s="1359">
        <f t="shared" si="640"/>
        <v>0</v>
      </c>
      <c r="AC478" s="1360">
        <f t="shared" si="641"/>
        <v>0</v>
      </c>
      <c r="AD478" s="1361">
        <f t="shared" si="585"/>
        <v>32.635199999999998</v>
      </c>
      <c r="AE478" s="1361">
        <f t="shared" si="586"/>
        <v>0</v>
      </c>
      <c r="AF478" s="1362" t="s">
        <v>374</v>
      </c>
      <c r="AG478" s="605" t="s">
        <v>215</v>
      </c>
      <c r="AH478" s="1362" t="str">
        <f>IFERROR(INDEX('Annex 2_Code'!$J$114:$J$131,MATCH('Annex 3_MAFF'!AF478,'Annex 2_Code'!$G$114:$G$131,0)),"")</f>
        <v>MAFF</v>
      </c>
      <c r="AI478" s="646" t="str">
        <f t="shared" si="643"/>
        <v>MAFF</v>
      </c>
      <c r="AJ478" s="902" t="s">
        <v>449</v>
      </c>
    </row>
    <row r="479" spans="1:36" s="902" customFormat="1" ht="23.25" outlineLevel="1">
      <c r="A479" s="901"/>
      <c r="B479" s="669" t="s">
        <v>1452</v>
      </c>
      <c r="C479" s="782" t="s">
        <v>132</v>
      </c>
      <c r="D479" s="701"/>
      <c r="E479" s="307"/>
      <c r="F479" s="626"/>
      <c r="G479" s="616" t="s">
        <v>1603</v>
      </c>
      <c r="H479" s="811" t="s">
        <v>652</v>
      </c>
      <c r="I479" s="727">
        <f>4184/1000</f>
        <v>4.1840000000000002</v>
      </c>
      <c r="J479" s="783">
        <f>0.75*3</f>
        <v>2.25</v>
      </c>
      <c r="K479" s="784">
        <f t="shared" ref="K479:L479" si="652">0.75*3</f>
        <v>2.25</v>
      </c>
      <c r="L479" s="784">
        <f t="shared" si="652"/>
        <v>2.25</v>
      </c>
      <c r="M479" s="784">
        <f>0.5*3</f>
        <v>1.5</v>
      </c>
      <c r="N479" s="731">
        <f t="shared" si="646"/>
        <v>8.25</v>
      </c>
      <c r="O479" s="622">
        <f t="shared" si="647"/>
        <v>9.4139999999999997</v>
      </c>
      <c r="P479" s="623">
        <f t="shared" si="648"/>
        <v>9.4139999999999997</v>
      </c>
      <c r="Q479" s="623">
        <f t="shared" si="645"/>
        <v>9.4139999999999997</v>
      </c>
      <c r="R479" s="623">
        <f t="shared" si="645"/>
        <v>6.2759999999999998</v>
      </c>
      <c r="S479" s="1356">
        <f t="shared" si="649"/>
        <v>34.518000000000001</v>
      </c>
      <c r="T479" s="1379">
        <f>IFERROR(INDEX('Annex 2_Code'!I$8:I$33,MATCH('Annex 3_MAFF'!$AG479,'Annex 2_Code'!$G$8:$G$33,0)),"")</f>
        <v>1</v>
      </c>
      <c r="U479" s="1379">
        <f>IFERROR(INDEX('Annex 2_Code'!J$8:J$33,MATCH('Annex 3_MAFF'!$AG479,'Annex 2_Code'!$G$8:$G$33,0)),"")</f>
        <v>0</v>
      </c>
      <c r="V479" s="1379">
        <f>IFERROR(INDEX('Annex 2_Code'!K$8:K$33,MATCH('Annex 3_MAFF'!$AG479,'Annex 2_Code'!$G$8:$G$33,0)),"")</f>
        <v>0</v>
      </c>
      <c r="W479" s="1379">
        <f>IFERROR(INDEX('Annex 2_Code'!L$8:L$33,MATCH('Annex 3_MAFF'!$AG479,'Annex 2_Code'!$G$8:$G$33,0)),"")</f>
        <v>0</v>
      </c>
      <c r="X479" s="1379">
        <f>IFERROR(INDEX('Annex 2_Code'!M$8:M$33,MATCH('Annex 3_MAFF'!$AG479,'Annex 2_Code'!$G$8:$G$33,0)),"")</f>
        <v>0</v>
      </c>
      <c r="Y479" s="1392">
        <f t="shared" si="638"/>
        <v>34.518000000000001</v>
      </c>
      <c r="Z479" s="1359">
        <f t="shared" si="639"/>
        <v>0</v>
      </c>
      <c r="AA479" s="1359">
        <f t="shared" si="639"/>
        <v>0</v>
      </c>
      <c r="AB479" s="1359">
        <f t="shared" si="640"/>
        <v>0</v>
      </c>
      <c r="AC479" s="1360">
        <f t="shared" si="641"/>
        <v>0</v>
      </c>
      <c r="AD479" s="1361">
        <f t="shared" si="585"/>
        <v>34.518000000000001</v>
      </c>
      <c r="AE479" s="1361">
        <f t="shared" si="586"/>
        <v>0</v>
      </c>
      <c r="AF479" s="1362" t="s">
        <v>374</v>
      </c>
      <c r="AG479" s="605" t="s">
        <v>215</v>
      </c>
      <c r="AH479" s="1362" t="str">
        <f>IFERROR(INDEX('Annex 2_Code'!$J$114:$J$131,MATCH('Annex 3_MAFF'!AF479,'Annex 2_Code'!$G$114:$G$131,0)),"")</f>
        <v>MAFF</v>
      </c>
      <c r="AI479" s="646" t="str">
        <f t="shared" si="643"/>
        <v>MAFF</v>
      </c>
      <c r="AJ479" s="902" t="s">
        <v>449</v>
      </c>
    </row>
    <row r="480" spans="1:36" s="902" customFormat="1" ht="38.25" customHeight="1" outlineLevel="1">
      <c r="A480" s="901"/>
      <c r="B480" s="669" t="s">
        <v>1452</v>
      </c>
      <c r="C480" s="782" t="s">
        <v>132</v>
      </c>
      <c r="D480" s="701"/>
      <c r="E480" s="307"/>
      <c r="F480" s="626"/>
      <c r="G480" s="616" t="s">
        <v>1604</v>
      </c>
      <c r="H480" s="811" t="s">
        <v>652</v>
      </c>
      <c r="I480" s="727">
        <v>4.18</v>
      </c>
      <c r="J480" s="783">
        <f>0.75*3</f>
        <v>2.25</v>
      </c>
      <c r="K480" s="784">
        <f>0.75*3</f>
        <v>2.25</v>
      </c>
      <c r="L480" s="784">
        <f>0.75*3</f>
        <v>2.25</v>
      </c>
      <c r="M480" s="784">
        <f>0.5*3</f>
        <v>1.5</v>
      </c>
      <c r="N480" s="731">
        <f t="shared" si="646"/>
        <v>8.25</v>
      </c>
      <c r="O480" s="622">
        <f t="shared" si="647"/>
        <v>9.4049999999999994</v>
      </c>
      <c r="P480" s="623">
        <f t="shared" si="648"/>
        <v>9.4049999999999994</v>
      </c>
      <c r="Q480" s="623">
        <f t="shared" si="645"/>
        <v>9.4049999999999994</v>
      </c>
      <c r="R480" s="623">
        <f t="shared" si="645"/>
        <v>6.27</v>
      </c>
      <c r="S480" s="1356">
        <f t="shared" si="649"/>
        <v>34.484999999999999</v>
      </c>
      <c r="T480" s="1379">
        <f>IFERROR(INDEX('Annex 2_Code'!I$8:I$33,MATCH('Annex 3_MAFF'!$AG480,'Annex 2_Code'!$G$8:$G$33,0)),"")</f>
        <v>1</v>
      </c>
      <c r="U480" s="1379">
        <f>IFERROR(INDEX('Annex 2_Code'!J$8:J$33,MATCH('Annex 3_MAFF'!$AG480,'Annex 2_Code'!$G$8:$G$33,0)),"")</f>
        <v>0</v>
      </c>
      <c r="V480" s="1379">
        <f>IFERROR(INDEX('Annex 2_Code'!K$8:K$33,MATCH('Annex 3_MAFF'!$AG480,'Annex 2_Code'!$G$8:$G$33,0)),"")</f>
        <v>0</v>
      </c>
      <c r="W480" s="1379">
        <f>IFERROR(INDEX('Annex 2_Code'!L$8:L$33,MATCH('Annex 3_MAFF'!$AG480,'Annex 2_Code'!$G$8:$G$33,0)),"")</f>
        <v>0</v>
      </c>
      <c r="X480" s="1379">
        <f>IFERROR(INDEX('Annex 2_Code'!M$8:M$33,MATCH('Annex 3_MAFF'!$AG480,'Annex 2_Code'!$G$8:$G$33,0)),"")</f>
        <v>0</v>
      </c>
      <c r="Y480" s="1392">
        <f t="shared" si="638"/>
        <v>34.484999999999999</v>
      </c>
      <c r="Z480" s="1359">
        <f t="shared" si="639"/>
        <v>0</v>
      </c>
      <c r="AA480" s="1359">
        <f t="shared" si="639"/>
        <v>0</v>
      </c>
      <c r="AB480" s="1359">
        <f t="shared" si="640"/>
        <v>0</v>
      </c>
      <c r="AC480" s="1360">
        <f t="shared" si="641"/>
        <v>0</v>
      </c>
      <c r="AD480" s="1361">
        <f t="shared" si="585"/>
        <v>34.484999999999999</v>
      </c>
      <c r="AE480" s="1361">
        <f t="shared" si="586"/>
        <v>0</v>
      </c>
      <c r="AF480" s="1362" t="s">
        <v>374</v>
      </c>
      <c r="AG480" s="605" t="s">
        <v>215</v>
      </c>
      <c r="AH480" s="1362" t="str">
        <f>IFERROR(INDEX('Annex 2_Code'!$J$114:$J$131,MATCH('Annex 3_MAFF'!AF480,'Annex 2_Code'!$G$114:$G$131,0)),"")</f>
        <v>MAFF</v>
      </c>
      <c r="AI480" s="646" t="str">
        <f t="shared" si="643"/>
        <v>MAFF</v>
      </c>
      <c r="AJ480" s="902" t="s">
        <v>449</v>
      </c>
    </row>
    <row r="481" spans="1:41" s="902" customFormat="1" ht="60" customHeight="1" outlineLevel="1">
      <c r="A481" s="901"/>
      <c r="B481" s="669" t="s">
        <v>1452</v>
      </c>
      <c r="C481" s="782" t="s">
        <v>132</v>
      </c>
      <c r="D481" s="701"/>
      <c r="E481" s="307"/>
      <c r="F481" s="626"/>
      <c r="G481" s="616" t="s">
        <v>1605</v>
      </c>
      <c r="H481" s="811" t="s">
        <v>652</v>
      </c>
      <c r="I481" s="727">
        <f>(2785)/1000</f>
        <v>2.7850000000000001</v>
      </c>
      <c r="J481" s="1951">
        <f>(0.5*3)+(0.5*3)+(0.5*3)+(0.5*3)</f>
        <v>6</v>
      </c>
      <c r="K481" s="1952">
        <f t="shared" ref="K481:M482" si="653">(0.5*3)+(0.5*3)+(0.5*3)+(0.5*3)</f>
        <v>6</v>
      </c>
      <c r="L481" s="1952">
        <f t="shared" si="653"/>
        <v>6</v>
      </c>
      <c r="M481" s="1952">
        <f t="shared" si="653"/>
        <v>6</v>
      </c>
      <c r="N481" s="2295">
        <f t="shared" si="646"/>
        <v>24</v>
      </c>
      <c r="O481" s="622">
        <f t="shared" si="647"/>
        <v>16.71</v>
      </c>
      <c r="P481" s="623">
        <f t="shared" si="648"/>
        <v>16.71</v>
      </c>
      <c r="Q481" s="623">
        <f t="shared" si="645"/>
        <v>16.71</v>
      </c>
      <c r="R481" s="623">
        <f t="shared" si="645"/>
        <v>16.71</v>
      </c>
      <c r="S481" s="1356">
        <f t="shared" si="649"/>
        <v>66.84</v>
      </c>
      <c r="T481" s="1379">
        <f>IFERROR(INDEX('Annex 2_Code'!I$8:I$33,MATCH('Annex 3_MAFF'!$AG481,'Annex 2_Code'!$G$8:$G$33,0)),"")</f>
        <v>1</v>
      </c>
      <c r="U481" s="1379">
        <f>IFERROR(INDEX('Annex 2_Code'!J$8:J$33,MATCH('Annex 3_MAFF'!$AG481,'Annex 2_Code'!$G$8:$G$33,0)),"")</f>
        <v>0</v>
      </c>
      <c r="V481" s="1379">
        <f>IFERROR(INDEX('Annex 2_Code'!K$8:K$33,MATCH('Annex 3_MAFF'!$AG481,'Annex 2_Code'!$G$8:$G$33,0)),"")</f>
        <v>0</v>
      </c>
      <c r="W481" s="1379">
        <f>IFERROR(INDEX('Annex 2_Code'!L$8:L$33,MATCH('Annex 3_MAFF'!$AG481,'Annex 2_Code'!$G$8:$G$33,0)),"")</f>
        <v>0</v>
      </c>
      <c r="X481" s="1379">
        <f>IFERROR(INDEX('Annex 2_Code'!M$8:M$33,MATCH('Annex 3_MAFF'!$AG481,'Annex 2_Code'!$G$8:$G$33,0)),"")</f>
        <v>0</v>
      </c>
      <c r="Y481" s="1392">
        <f t="shared" si="638"/>
        <v>66.84</v>
      </c>
      <c r="Z481" s="1359">
        <f t="shared" si="639"/>
        <v>0</v>
      </c>
      <c r="AA481" s="1359">
        <f t="shared" si="639"/>
        <v>0</v>
      </c>
      <c r="AB481" s="1359">
        <f t="shared" si="640"/>
        <v>0</v>
      </c>
      <c r="AC481" s="1360">
        <f t="shared" si="641"/>
        <v>0</v>
      </c>
      <c r="AD481" s="1361">
        <f t="shared" si="585"/>
        <v>66.84</v>
      </c>
      <c r="AE481" s="1361">
        <f t="shared" si="586"/>
        <v>0</v>
      </c>
      <c r="AF481" s="1362" t="s">
        <v>374</v>
      </c>
      <c r="AG481" s="605" t="s">
        <v>215</v>
      </c>
      <c r="AH481" s="1362" t="str">
        <f>IFERROR(INDEX('Annex 2_Code'!$J$114:$J$131,MATCH('Annex 3_MAFF'!AF481,'Annex 2_Code'!$G$114:$G$131,0)),"")</f>
        <v>MAFF</v>
      </c>
      <c r="AI481" s="646" t="str">
        <f t="shared" si="643"/>
        <v>MAFF</v>
      </c>
      <c r="AJ481" s="902" t="s">
        <v>449</v>
      </c>
    </row>
    <row r="482" spans="1:41" s="902" customFormat="1" ht="56.25" customHeight="1" outlineLevel="1">
      <c r="A482" s="901"/>
      <c r="B482" s="669" t="s">
        <v>1452</v>
      </c>
      <c r="C482" s="782" t="s">
        <v>132</v>
      </c>
      <c r="D482" s="701"/>
      <c r="E482" s="307"/>
      <c r="F482" s="626"/>
      <c r="G482" s="616" t="s">
        <v>1606</v>
      </c>
      <c r="H482" s="811" t="s">
        <v>652</v>
      </c>
      <c r="I482" s="727">
        <v>2.7850000000000001</v>
      </c>
      <c r="J482" s="1951">
        <f>(0.5*3)+(0.5*3)+(0.5*3)+(0.5*3)</f>
        <v>6</v>
      </c>
      <c r="K482" s="1952">
        <f t="shared" si="653"/>
        <v>6</v>
      </c>
      <c r="L482" s="1952">
        <f t="shared" si="653"/>
        <v>6</v>
      </c>
      <c r="M482" s="1952">
        <f t="shared" si="653"/>
        <v>6</v>
      </c>
      <c r="N482" s="2295">
        <f t="shared" si="646"/>
        <v>24</v>
      </c>
      <c r="O482" s="622">
        <f t="shared" si="647"/>
        <v>16.71</v>
      </c>
      <c r="P482" s="623">
        <f t="shared" si="648"/>
        <v>16.71</v>
      </c>
      <c r="Q482" s="623">
        <f t="shared" si="645"/>
        <v>16.71</v>
      </c>
      <c r="R482" s="623">
        <f t="shared" si="645"/>
        <v>16.71</v>
      </c>
      <c r="S482" s="1356">
        <f>SUM(O482:R482)</f>
        <v>66.84</v>
      </c>
      <c r="T482" s="1379">
        <f>IFERROR(INDEX('Annex 2_Code'!I$8:I$33,MATCH('Annex 3_MAFF'!$AG482,'Annex 2_Code'!$G$8:$G$33,0)),"")</f>
        <v>1</v>
      </c>
      <c r="U482" s="1379">
        <f>IFERROR(INDEX('Annex 2_Code'!J$8:J$33,MATCH('Annex 3_MAFF'!$AG482,'Annex 2_Code'!$G$8:$G$33,0)),"")</f>
        <v>0</v>
      </c>
      <c r="V482" s="1379">
        <f>IFERROR(INDEX('Annex 2_Code'!K$8:K$33,MATCH('Annex 3_MAFF'!$AG482,'Annex 2_Code'!$G$8:$G$33,0)),"")</f>
        <v>0</v>
      </c>
      <c r="W482" s="1379">
        <f>IFERROR(INDEX('Annex 2_Code'!L$8:L$33,MATCH('Annex 3_MAFF'!$AG482,'Annex 2_Code'!$G$8:$G$33,0)),"")</f>
        <v>0</v>
      </c>
      <c r="X482" s="1379">
        <f>IFERROR(INDEX('Annex 2_Code'!M$8:M$33,MATCH('Annex 3_MAFF'!$AG482,'Annex 2_Code'!$G$8:$G$33,0)),"")</f>
        <v>0</v>
      </c>
      <c r="Y482" s="1392">
        <f t="shared" si="638"/>
        <v>66.84</v>
      </c>
      <c r="Z482" s="1359">
        <f t="shared" si="639"/>
        <v>0</v>
      </c>
      <c r="AA482" s="1359">
        <f t="shared" si="639"/>
        <v>0</v>
      </c>
      <c r="AB482" s="1359">
        <f t="shared" si="640"/>
        <v>0</v>
      </c>
      <c r="AC482" s="1360">
        <f t="shared" si="641"/>
        <v>0</v>
      </c>
      <c r="AD482" s="1361">
        <f t="shared" si="585"/>
        <v>66.84</v>
      </c>
      <c r="AE482" s="1361">
        <f t="shared" si="586"/>
        <v>0</v>
      </c>
      <c r="AF482" s="1362" t="s">
        <v>374</v>
      </c>
      <c r="AG482" s="605" t="s">
        <v>215</v>
      </c>
      <c r="AH482" s="1362" t="str">
        <f>IFERROR(INDEX('Annex 2_Code'!$J$114:$J$131,MATCH('Annex 3_MAFF'!AF482,'Annex 2_Code'!$G$114:$G$131,0)),"")</f>
        <v>MAFF</v>
      </c>
      <c r="AI482" s="646" t="str">
        <f t="shared" si="643"/>
        <v>MAFF</v>
      </c>
      <c r="AJ482" s="902" t="s">
        <v>449</v>
      </c>
    </row>
    <row r="483" spans="1:41" s="902" customFormat="1" ht="24.95" customHeight="1" outlineLevel="1">
      <c r="A483" s="901"/>
      <c r="B483" s="669" t="s">
        <v>1452</v>
      </c>
      <c r="C483" s="782" t="s">
        <v>132</v>
      </c>
      <c r="D483" s="701"/>
      <c r="E483" s="612"/>
      <c r="F483" s="626"/>
      <c r="G483" s="616" t="s">
        <v>1607</v>
      </c>
      <c r="H483" s="811" t="s">
        <v>591</v>
      </c>
      <c r="I483" s="727">
        <f>4180/1000</f>
        <v>4.18</v>
      </c>
      <c r="J483" s="1951">
        <f>(0.5*3)</f>
        <v>1.5</v>
      </c>
      <c r="K483" s="1952">
        <f>(0.5*3)</f>
        <v>1.5</v>
      </c>
      <c r="L483" s="1952">
        <f>(0.5*3)</f>
        <v>1.5</v>
      </c>
      <c r="M483" s="1952">
        <f>(0.5*3)</f>
        <v>1.5</v>
      </c>
      <c r="N483" s="1718">
        <f>SUM(J483:M483)</f>
        <v>6</v>
      </c>
      <c r="O483" s="622">
        <f t="shared" si="647"/>
        <v>6.27</v>
      </c>
      <c r="P483" s="623">
        <f t="shared" si="648"/>
        <v>6.27</v>
      </c>
      <c r="Q483" s="623">
        <f t="shared" si="645"/>
        <v>6.27</v>
      </c>
      <c r="R483" s="623">
        <f t="shared" si="645"/>
        <v>6.27</v>
      </c>
      <c r="S483" s="1356">
        <f>SUM(O483:R483)</f>
        <v>25.08</v>
      </c>
      <c r="T483" s="1379">
        <f>IFERROR(INDEX('Annex 2_Code'!I$8:I$33,MATCH('Annex 3_MAFF'!$AG483,'Annex 2_Code'!$G$8:$G$33,0)),"")</f>
        <v>1</v>
      </c>
      <c r="U483" s="1379">
        <f>IFERROR(INDEX('Annex 2_Code'!J$8:J$33,MATCH('Annex 3_MAFF'!$AG483,'Annex 2_Code'!$G$8:$G$33,0)),"")</f>
        <v>0</v>
      </c>
      <c r="V483" s="1379">
        <f>IFERROR(INDEX('Annex 2_Code'!K$8:K$33,MATCH('Annex 3_MAFF'!$AG483,'Annex 2_Code'!$G$8:$G$33,0)),"")</f>
        <v>0</v>
      </c>
      <c r="W483" s="1379">
        <f>IFERROR(INDEX('Annex 2_Code'!L$8:L$33,MATCH('Annex 3_MAFF'!$AG483,'Annex 2_Code'!$G$8:$G$33,0)),"")</f>
        <v>0</v>
      </c>
      <c r="X483" s="1379">
        <f>IFERROR(INDEX('Annex 2_Code'!M$8:M$33,MATCH('Annex 3_MAFF'!$AG483,'Annex 2_Code'!$G$8:$G$33,0)),"")</f>
        <v>0</v>
      </c>
      <c r="Y483" s="1392">
        <f t="shared" si="638"/>
        <v>25.08</v>
      </c>
      <c r="Z483" s="1359">
        <f t="shared" si="639"/>
        <v>0</v>
      </c>
      <c r="AA483" s="1359">
        <f t="shared" ref="AA483" si="654">IFERROR($S483*V483,"")</f>
        <v>0</v>
      </c>
      <c r="AB483" s="1359">
        <f t="shared" si="640"/>
        <v>0</v>
      </c>
      <c r="AC483" s="1360">
        <f t="shared" si="641"/>
        <v>0</v>
      </c>
      <c r="AD483" s="1361">
        <f t="shared" si="585"/>
        <v>25.08</v>
      </c>
      <c r="AE483" s="1361">
        <f>AD483-S483</f>
        <v>0</v>
      </c>
      <c r="AF483" s="1362" t="s">
        <v>374</v>
      </c>
      <c r="AG483" s="605" t="s">
        <v>213</v>
      </c>
      <c r="AH483" s="1362" t="str">
        <f>IFERROR(INDEX('Annex 2_Code'!$J$114:$J$131,MATCH('Annex 3_MAFF'!AF483,'Annex 2_Code'!$G$114:$G$131,0)),"")</f>
        <v>MAFF</v>
      </c>
      <c r="AI483" s="646" t="str">
        <f>IF(ISNUMBER(FIND("-",AH483,1))=FALSE,LEFT(AH483,LEN(AH483)),LEFT(AH483,(FIND("-",AH483,1))-1))</f>
        <v>MAFF</v>
      </c>
      <c r="AJ483" s="902" t="s">
        <v>449</v>
      </c>
    </row>
    <row r="484" spans="1:41" s="902" customFormat="1" ht="23.25" outlineLevel="1">
      <c r="A484" s="901"/>
      <c r="B484" s="669" t="s">
        <v>1452</v>
      </c>
      <c r="C484" s="782" t="s">
        <v>132</v>
      </c>
      <c r="D484" s="701"/>
      <c r="E484" s="307"/>
      <c r="F484" s="626"/>
      <c r="G484" s="616" t="s">
        <v>916</v>
      </c>
      <c r="H484" s="811" t="s">
        <v>652</v>
      </c>
      <c r="I484" s="727">
        <v>1</v>
      </c>
      <c r="J484" s="783">
        <v>3</v>
      </c>
      <c r="K484" s="784">
        <v>3</v>
      </c>
      <c r="L484" s="784">
        <v>3</v>
      </c>
      <c r="M484" s="784">
        <v>3</v>
      </c>
      <c r="N484" s="2295">
        <f t="shared" si="646"/>
        <v>12</v>
      </c>
      <c r="O484" s="622">
        <f>$I484*J484</f>
        <v>3</v>
      </c>
      <c r="P484" s="623">
        <f>$I484*K484</f>
        <v>3</v>
      </c>
      <c r="Q484" s="623">
        <f>$I484*L484</f>
        <v>3</v>
      </c>
      <c r="R484" s="623">
        <f>$I484*M484</f>
        <v>3</v>
      </c>
      <c r="S484" s="1356">
        <f>SUM(O484:R484)</f>
        <v>12</v>
      </c>
      <c r="T484" s="1379">
        <f>IFERROR(INDEX('Annex 2_Code'!I$8:I$33,MATCH('Annex 3_MAFF'!$AG484,'Annex 2_Code'!$G$8:$G$33,0)),"")</f>
        <v>1</v>
      </c>
      <c r="U484" s="1379">
        <f>IFERROR(INDEX('Annex 2_Code'!J$8:J$33,MATCH('Annex 3_MAFF'!$AG484,'Annex 2_Code'!$G$8:$G$33,0)),"")</f>
        <v>0</v>
      </c>
      <c r="V484" s="1379">
        <f>IFERROR(INDEX('Annex 2_Code'!K$8:K$33,MATCH('Annex 3_MAFF'!$AG484,'Annex 2_Code'!$G$8:$G$33,0)),"")</f>
        <v>0</v>
      </c>
      <c r="W484" s="1379">
        <f>IFERROR(INDEX('Annex 2_Code'!L$8:L$33,MATCH('Annex 3_MAFF'!$AG484,'Annex 2_Code'!$G$8:$G$33,0)),"")</f>
        <v>0</v>
      </c>
      <c r="X484" s="1379">
        <f>IFERROR(INDEX('Annex 2_Code'!M$8:M$33,MATCH('Annex 3_MAFF'!$AG484,'Annex 2_Code'!$G$8:$G$33,0)),"")</f>
        <v>0</v>
      </c>
      <c r="Y484" s="1392">
        <f>IFERROR($S484*T484,"")</f>
        <v>12</v>
      </c>
      <c r="Z484" s="1359">
        <f>IFERROR($S484*U484,"")</f>
        <v>0</v>
      </c>
      <c r="AA484" s="1359">
        <f>IFERROR($S484*V484,"")</f>
        <v>0</v>
      </c>
      <c r="AB484" s="1359">
        <f>IFERROR($S484*W484,"")</f>
        <v>0</v>
      </c>
      <c r="AC484" s="1360">
        <f>IFERROR($S484*X484,"")</f>
        <v>0</v>
      </c>
      <c r="AD484" s="1361">
        <f>SUM(Y484:AC484)</f>
        <v>12</v>
      </c>
      <c r="AE484" s="1361">
        <f>AD484-S484</f>
        <v>0</v>
      </c>
      <c r="AF484" s="1362" t="s">
        <v>374</v>
      </c>
      <c r="AG484" s="605" t="s">
        <v>215</v>
      </c>
      <c r="AH484" s="1362" t="str">
        <f>IFERROR(INDEX('Annex 2_Code'!$J$114:$J$131,MATCH('Annex 3_MAFF'!AF484,'Annex 2_Code'!$G$114:$G$131,0)),"")</f>
        <v>MAFF</v>
      </c>
      <c r="AI484" s="646" t="str">
        <f>IF(ISNUMBER(FIND("-",AH484,1))=FALSE,LEFT(AH484,LEN(AH484)),LEFT(AH484,(FIND("-",AH484,1))-1))</f>
        <v>MAFF</v>
      </c>
    </row>
    <row r="485" spans="1:41" s="637" customFormat="1" ht="23.25">
      <c r="A485" s="587"/>
      <c r="B485" s="659" t="s">
        <v>54</v>
      </c>
      <c r="C485" s="782"/>
      <c r="D485" s="730"/>
      <c r="E485" s="840"/>
      <c r="F485" s="591" t="s">
        <v>583</v>
      </c>
      <c r="G485" s="734"/>
      <c r="H485" s="805"/>
      <c r="I485" s="723"/>
      <c r="J485" s="1505">
        <f t="shared" ref="J485:S485" si="655">SUM(J473:J484)</f>
        <v>40.950000000000003</v>
      </c>
      <c r="K485" s="1480">
        <f t="shared" si="655"/>
        <v>40.950000000000003</v>
      </c>
      <c r="L485" s="1480">
        <f t="shared" si="655"/>
        <v>40.950000000000003</v>
      </c>
      <c r="M485" s="1480">
        <f t="shared" si="655"/>
        <v>38.85</v>
      </c>
      <c r="N485" s="1481">
        <f t="shared" si="655"/>
        <v>161.69999999999999</v>
      </c>
      <c r="O485" s="842">
        <f t="shared" si="655"/>
        <v>126.31365000000001</v>
      </c>
      <c r="P485" s="843">
        <f t="shared" si="655"/>
        <v>126.31365000000001</v>
      </c>
      <c r="Q485" s="843">
        <f t="shared" si="655"/>
        <v>126.31365000000001</v>
      </c>
      <c r="R485" s="843">
        <f t="shared" si="655"/>
        <v>117.53025000000001</v>
      </c>
      <c r="S485" s="2492">
        <f t="shared" si="655"/>
        <v>496.47120000000012</v>
      </c>
      <c r="T485" s="599" t="str">
        <f>IFERROR(INDEX('Annex 2_Code'!I$8:I$33,MATCH('Annex 3_MAFF'!$AG485,'Annex 2_Code'!$G$8:$G$33,0)),"")</f>
        <v/>
      </c>
      <c r="U485" s="599" t="str">
        <f>IFERROR(INDEX('Annex 2_Code'!J$8:J$33,MATCH('Annex 3_MAFF'!$AG485,'Annex 2_Code'!$G$8:$G$33,0)),"")</f>
        <v/>
      </c>
      <c r="V485" s="599" t="str">
        <f>IFERROR(INDEX('Annex 2_Code'!K$8:K$33,MATCH('Annex 3_MAFF'!$AG485,'Annex 2_Code'!$G$8:$G$33,0)),"")</f>
        <v/>
      </c>
      <c r="W485" s="599" t="str">
        <f>IFERROR(INDEX('Annex 2_Code'!L$8:L$33,MATCH('Annex 3_MAFF'!$AG485,'Annex 2_Code'!$G$8:$G$33,0)),"")</f>
        <v/>
      </c>
      <c r="X485" s="599" t="str">
        <f>IFERROR(INDEX('Annex 2_Code'!M$8:M$33,MATCH('Annex 3_MAFF'!$AG485,'Annex 2_Code'!$G$8:$G$33,0)),"")</f>
        <v/>
      </c>
      <c r="Y485" s="647" t="str">
        <f t="shared" si="638"/>
        <v/>
      </c>
      <c r="Z485" s="600" t="str">
        <f t="shared" si="639"/>
        <v/>
      </c>
      <c r="AA485" s="600" t="str">
        <f t="shared" si="639"/>
        <v/>
      </c>
      <c r="AB485" s="600" t="str">
        <f t="shared" si="640"/>
        <v/>
      </c>
      <c r="AC485" s="601" t="str">
        <f t="shared" si="641"/>
        <v/>
      </c>
      <c r="AD485" s="602">
        <f t="shared" si="585"/>
        <v>0</v>
      </c>
      <c r="AE485" s="602">
        <f t="shared" si="586"/>
        <v>-496.47120000000012</v>
      </c>
      <c r="AF485" s="605"/>
      <c r="AG485" s="605"/>
      <c r="AH485" s="605" t="str">
        <f>IFERROR(INDEX('Annex 2_Code'!$J$114:$J$131,MATCH('Annex 3_MAFF'!AF485,'Annex 2_Code'!$G$114:$G$131,0)),"")</f>
        <v/>
      </c>
      <c r="AI485" s="646" t="str">
        <f t="shared" si="643"/>
        <v/>
      </c>
      <c r="AL485" s="781">
        <f>SUM(Y464:Y482)</f>
        <v>609.01132000000018</v>
      </c>
      <c r="AM485" s="781" t="s">
        <v>426</v>
      </c>
      <c r="AN485" s="781"/>
      <c r="AO485" s="781"/>
    </row>
    <row r="486" spans="1:41" s="637" customFormat="1" ht="23.25">
      <c r="A486" s="587"/>
      <c r="B486" s="659" t="s">
        <v>54</v>
      </c>
      <c r="C486" s="782"/>
      <c r="D486" s="590"/>
      <c r="E486" s="591" t="s">
        <v>711</v>
      </c>
      <c r="F486" s="592"/>
      <c r="G486" s="577"/>
      <c r="H486" s="663"/>
      <c r="I486" s="661"/>
      <c r="J486" s="1506"/>
      <c r="K486" s="1507"/>
      <c r="L486" s="1507"/>
      <c r="M486" s="1507"/>
      <c r="N486" s="1508"/>
      <c r="O486" s="777">
        <f>O471+O485</f>
        <v>163.71868000000001</v>
      </c>
      <c r="P486" s="778">
        <f>P471+P485</f>
        <v>163.71868000000001</v>
      </c>
      <c r="Q486" s="778">
        <f>Q471+Q485</f>
        <v>163.71868000000001</v>
      </c>
      <c r="R486" s="778">
        <f>R471+R485</f>
        <v>154.93528000000001</v>
      </c>
      <c r="S486" s="2493">
        <f>S471+S485</f>
        <v>646.09132000000011</v>
      </c>
      <c r="T486" s="599" t="str">
        <f>IFERROR(INDEX('Annex 2_Code'!I$8:I$33,MATCH('Annex 3_MAFF'!$AG486,'Annex 2_Code'!$G$8:$G$33,0)),"")</f>
        <v/>
      </c>
      <c r="U486" s="599" t="str">
        <f>IFERROR(INDEX('Annex 2_Code'!J$8:J$33,MATCH('Annex 3_MAFF'!$AG486,'Annex 2_Code'!$G$8:$G$33,0)),"")</f>
        <v/>
      </c>
      <c r="V486" s="599" t="str">
        <f>IFERROR(INDEX('Annex 2_Code'!K$8:K$33,MATCH('Annex 3_MAFF'!$AG486,'Annex 2_Code'!$G$8:$G$33,0)),"")</f>
        <v/>
      </c>
      <c r="W486" s="599" t="str">
        <f>IFERROR(INDEX('Annex 2_Code'!L$8:L$33,MATCH('Annex 3_MAFF'!$AG486,'Annex 2_Code'!$G$8:$G$33,0)),"")</f>
        <v/>
      </c>
      <c r="X486" s="599" t="str">
        <f>IFERROR(INDEX('Annex 2_Code'!M$8:M$33,MATCH('Annex 3_MAFF'!$AG486,'Annex 2_Code'!$G$8:$G$33,0)),"")</f>
        <v/>
      </c>
      <c r="Y486" s="1756"/>
      <c r="Z486" s="1704"/>
      <c r="AA486" s="1704"/>
      <c r="AB486" s="1704"/>
      <c r="AC486" s="1757"/>
      <c r="AD486" s="634">
        <f>SUM(AD463:AD485)</f>
        <v>646.09132000000022</v>
      </c>
      <c r="AE486" s="602">
        <f t="shared" si="586"/>
        <v>0</v>
      </c>
      <c r="AF486" s="605"/>
      <c r="AG486" s="605"/>
      <c r="AH486" s="605" t="str">
        <f>IFERROR(INDEX('Annex 2_Code'!$J$114:$J$131,MATCH('Annex 3_MAFF'!AF486,'Annex 2_Code'!$G$114:$G$131,0)),"")</f>
        <v/>
      </c>
      <c r="AI486" s="646" t="str">
        <f t="shared" si="643"/>
        <v/>
      </c>
    </row>
    <row r="487" spans="1:41" s="637" customFormat="1" ht="16.5">
      <c r="A487" s="587"/>
      <c r="B487" s="659" t="s">
        <v>54</v>
      </c>
      <c r="C487" s="782"/>
      <c r="D487" s="701"/>
      <c r="E487" s="612"/>
      <c r="F487" s="612" t="s">
        <v>433</v>
      </c>
      <c r="G487" s="616"/>
      <c r="H487" s="782"/>
      <c r="I487" s="765"/>
      <c r="J487" s="1509"/>
      <c r="K487" s="1510"/>
      <c r="L487" s="1478"/>
      <c r="M487" s="1478"/>
      <c r="N487" s="1472"/>
      <c r="O487" s="738"/>
      <c r="P487" s="739"/>
      <c r="Q487" s="739"/>
      <c r="R487" s="739"/>
      <c r="S487" s="1428"/>
      <c r="T487" s="599" t="str">
        <f>IFERROR(INDEX('Annex 2_Code'!I$8:I$33,MATCH('Annex 3_MAFF'!$AG487,'Annex 2_Code'!$G$8:$G$33,0)),"")</f>
        <v/>
      </c>
      <c r="U487" s="599" t="str">
        <f>IFERROR(INDEX('Annex 2_Code'!J$8:J$33,MATCH('Annex 3_MAFF'!$AG487,'Annex 2_Code'!$G$8:$G$33,0)),"")</f>
        <v/>
      </c>
      <c r="V487" s="599" t="str">
        <f>IFERROR(INDEX('Annex 2_Code'!K$8:K$33,MATCH('Annex 3_MAFF'!$AG487,'Annex 2_Code'!$G$8:$G$33,0)),"")</f>
        <v/>
      </c>
      <c r="W487" s="599" t="str">
        <f>IFERROR(INDEX('Annex 2_Code'!L$8:L$33,MATCH('Annex 3_MAFF'!$AG487,'Annex 2_Code'!$G$8:$G$33,0)),"")</f>
        <v/>
      </c>
      <c r="X487" s="599" t="str">
        <f>IFERROR(INDEX('Annex 2_Code'!M$8:M$33,MATCH('Annex 3_MAFF'!$AG487,'Annex 2_Code'!$G$8:$G$33,0)),"")</f>
        <v/>
      </c>
      <c r="Y487" s="647" t="str">
        <f t="shared" si="638"/>
        <v/>
      </c>
      <c r="Z487" s="600" t="str">
        <f t="shared" si="639"/>
        <v/>
      </c>
      <c r="AA487" s="600" t="str">
        <f t="shared" si="639"/>
        <v/>
      </c>
      <c r="AB487" s="600" t="str">
        <f t="shared" si="640"/>
        <v/>
      </c>
      <c r="AC487" s="601" t="str">
        <f t="shared" si="641"/>
        <v/>
      </c>
      <c r="AD487" s="602">
        <f t="shared" si="585"/>
        <v>0</v>
      </c>
      <c r="AE487" s="602">
        <f t="shared" si="586"/>
        <v>0</v>
      </c>
      <c r="AF487" s="605"/>
      <c r="AG487" s="605"/>
      <c r="AH487" s="605" t="str">
        <f>IFERROR(INDEX('Annex 2_Code'!$J$114:$J$131,MATCH('Annex 3_MAFF'!AF487,'Annex 2_Code'!$G$114:$G$131,0)),"")</f>
        <v/>
      </c>
      <c r="AI487" s="646" t="str">
        <f t="shared" si="643"/>
        <v/>
      </c>
    </row>
    <row r="488" spans="1:41" s="637" customFormat="1" ht="16.5">
      <c r="A488" s="587"/>
      <c r="B488" s="1391" t="s">
        <v>1452</v>
      </c>
      <c r="C488" s="782" t="s">
        <v>132</v>
      </c>
      <c r="D488" s="701"/>
      <c r="E488" s="612"/>
      <c r="F488" s="626"/>
      <c r="G488" s="616" t="s">
        <v>121</v>
      </c>
      <c r="H488" s="782" t="s">
        <v>53</v>
      </c>
      <c r="I488" s="572">
        <f>100000/1000</f>
        <v>100</v>
      </c>
      <c r="J488" s="1482">
        <v>0.25</v>
      </c>
      <c r="K488" s="1478">
        <v>0.25</v>
      </c>
      <c r="L488" s="1478">
        <v>0.25</v>
      </c>
      <c r="M488" s="1478">
        <v>0.25</v>
      </c>
      <c r="N488" s="1472">
        <f>SUM(J488:M488)</f>
        <v>1</v>
      </c>
      <c r="O488" s="622">
        <f>$I488*J488</f>
        <v>25</v>
      </c>
      <c r="P488" s="623">
        <f>$I488*K488</f>
        <v>25</v>
      </c>
      <c r="Q488" s="623">
        <f>$I488*L488</f>
        <v>25</v>
      </c>
      <c r="R488" s="623">
        <f>$I488*M488</f>
        <v>25</v>
      </c>
      <c r="S488" s="1356">
        <f>SUM(O488:R488)</f>
        <v>100</v>
      </c>
      <c r="T488" s="599">
        <f>IFERROR(INDEX('Annex 2_Code'!I$8:I$33,MATCH('Annex 3_MAFF'!$AG488,'Annex 2_Code'!$G$8:$G$33,0)),"")</f>
        <v>1</v>
      </c>
      <c r="U488" s="599">
        <f>IFERROR(INDEX('Annex 2_Code'!J$8:J$33,MATCH('Annex 3_MAFF'!$AG488,'Annex 2_Code'!$G$8:$G$33,0)),"")</f>
        <v>0</v>
      </c>
      <c r="V488" s="599">
        <f>IFERROR(INDEX('Annex 2_Code'!K$8:K$33,MATCH('Annex 3_MAFF'!$AG488,'Annex 2_Code'!$G$8:$G$33,0)),"")</f>
        <v>0</v>
      </c>
      <c r="W488" s="599">
        <f>IFERROR(INDEX('Annex 2_Code'!L$8:L$33,MATCH('Annex 3_MAFF'!$AG488,'Annex 2_Code'!$G$8:$G$33,0)),"")</f>
        <v>0</v>
      </c>
      <c r="X488" s="599">
        <f>IFERROR(INDEX('Annex 2_Code'!M$8:M$33,MATCH('Annex 3_MAFF'!$AG488,'Annex 2_Code'!$G$8:$G$33,0)),"")</f>
        <v>0</v>
      </c>
      <c r="Y488" s="647">
        <f t="shared" si="638"/>
        <v>100</v>
      </c>
      <c r="Z488" s="600">
        <f t="shared" si="639"/>
        <v>0</v>
      </c>
      <c r="AA488" s="600">
        <f t="shared" si="639"/>
        <v>0</v>
      </c>
      <c r="AB488" s="600">
        <f t="shared" si="640"/>
        <v>0</v>
      </c>
      <c r="AC488" s="601">
        <f t="shared" si="641"/>
        <v>0</v>
      </c>
      <c r="AD488" s="602">
        <f t="shared" si="585"/>
        <v>100</v>
      </c>
      <c r="AE488" s="602">
        <f t="shared" si="586"/>
        <v>0</v>
      </c>
      <c r="AF488" s="605" t="s">
        <v>374</v>
      </c>
      <c r="AG488" s="605" t="s">
        <v>213</v>
      </c>
      <c r="AH488" s="605" t="str">
        <f>IFERROR(INDEX('Annex 2_Code'!$J$114:$J$131,MATCH('Annex 3_MAFF'!AF488,'Annex 2_Code'!$G$114:$G$131,0)),"")</f>
        <v>MAFF</v>
      </c>
      <c r="AI488" s="646" t="str">
        <f t="shared" si="643"/>
        <v>MAFF</v>
      </c>
      <c r="AJ488" s="637" t="s">
        <v>449</v>
      </c>
      <c r="AL488" s="781">
        <f>SUM(Y488)</f>
        <v>100</v>
      </c>
      <c r="AM488" s="781" t="s">
        <v>417</v>
      </c>
      <c r="AN488" s="781"/>
      <c r="AO488" s="781"/>
    </row>
    <row r="489" spans="1:41" s="637" customFormat="1" ht="23.25">
      <c r="A489" s="587"/>
      <c r="B489" s="659" t="s">
        <v>54</v>
      </c>
      <c r="C489" s="782"/>
      <c r="D489" s="730"/>
      <c r="E489" s="844"/>
      <c r="F489" s="591" t="s">
        <v>583</v>
      </c>
      <c r="G489" s="734"/>
      <c r="H489" s="805"/>
      <c r="I489" s="723"/>
      <c r="J489" s="1505">
        <f>J488</f>
        <v>0.25</v>
      </c>
      <c r="K489" s="1480">
        <f>K488</f>
        <v>0.25</v>
      </c>
      <c r="L489" s="1480">
        <f>L488</f>
        <v>0.25</v>
      </c>
      <c r="M489" s="1480">
        <f>M488</f>
        <v>0.25</v>
      </c>
      <c r="N489" s="1481">
        <f>N488</f>
        <v>1</v>
      </c>
      <c r="O489" s="597">
        <f>SUM(O488)</f>
        <v>25</v>
      </c>
      <c r="P489" s="598">
        <f>SUM(P488)</f>
        <v>25</v>
      </c>
      <c r="Q489" s="598">
        <f>SUM(Q488)</f>
        <v>25</v>
      </c>
      <c r="R489" s="598">
        <f>SUM(R488)</f>
        <v>25</v>
      </c>
      <c r="S489" s="1409">
        <f>SUM(S488)</f>
        <v>100</v>
      </c>
      <c r="T489" s="599" t="str">
        <f>IFERROR(INDEX('Annex 2_Code'!I$8:I$33,MATCH('Annex 3_MAFF'!$AG489,'Annex 2_Code'!$G$8:$G$33,0)),"")</f>
        <v/>
      </c>
      <c r="U489" s="599" t="str">
        <f>IFERROR(INDEX('Annex 2_Code'!J$8:J$33,MATCH('Annex 3_MAFF'!$AG489,'Annex 2_Code'!$G$8:$G$33,0)),"")</f>
        <v/>
      </c>
      <c r="V489" s="599" t="str">
        <f>IFERROR(INDEX('Annex 2_Code'!K$8:K$33,MATCH('Annex 3_MAFF'!$AG489,'Annex 2_Code'!$G$8:$G$33,0)),"")</f>
        <v/>
      </c>
      <c r="W489" s="599" t="str">
        <f>IFERROR(INDEX('Annex 2_Code'!L$8:L$33,MATCH('Annex 3_MAFF'!$AG489,'Annex 2_Code'!$G$8:$G$33,0)),"")</f>
        <v/>
      </c>
      <c r="X489" s="599" t="str">
        <f>IFERROR(INDEX('Annex 2_Code'!M$8:M$33,MATCH('Annex 3_MAFF'!$AG489,'Annex 2_Code'!$G$8:$G$33,0)),"")</f>
        <v/>
      </c>
      <c r="Y489" s="647" t="str">
        <f t="shared" si="638"/>
        <v/>
      </c>
      <c r="Z489" s="600" t="str">
        <f t="shared" si="639"/>
        <v/>
      </c>
      <c r="AA489" s="600" t="str">
        <f t="shared" si="639"/>
        <v/>
      </c>
      <c r="AB489" s="600" t="str">
        <f t="shared" si="640"/>
        <v/>
      </c>
      <c r="AC489" s="601" t="str">
        <f t="shared" si="641"/>
        <v/>
      </c>
      <c r="AD489" s="602">
        <f t="shared" si="585"/>
        <v>0</v>
      </c>
      <c r="AE489" s="602">
        <f>AD489-S489</f>
        <v>-100</v>
      </c>
      <c r="AF489" s="605"/>
      <c r="AG489" s="605"/>
      <c r="AH489" s="605" t="str">
        <f>IFERROR(INDEX('Annex 2_Code'!$J$114:$J$131,MATCH('Annex 3_MAFF'!AF489,'Annex 2_Code'!$G$114:$G$131,0)),"")</f>
        <v/>
      </c>
      <c r="AI489" s="646" t="str">
        <f t="shared" si="643"/>
        <v/>
      </c>
    </row>
    <row r="490" spans="1:41" s="637" customFormat="1" ht="23.25">
      <c r="A490" s="587"/>
      <c r="B490" s="659" t="s">
        <v>54</v>
      </c>
      <c r="C490" s="782"/>
      <c r="D490" s="701"/>
      <c r="E490" s="307">
        <v>4</v>
      </c>
      <c r="G490" s="612" t="s">
        <v>661</v>
      </c>
      <c r="H490" s="782"/>
      <c r="I490" s="572"/>
      <c r="J490" s="783"/>
      <c r="K490" s="784"/>
      <c r="L490" s="784"/>
      <c r="M490" s="784"/>
      <c r="N490" s="731"/>
      <c r="O490" s="738"/>
      <c r="P490" s="739"/>
      <c r="Q490" s="739"/>
      <c r="R490" s="739"/>
      <c r="S490" s="1428">
        <f>SUM(O489:R489)</f>
        <v>100</v>
      </c>
      <c r="T490" s="599" t="str">
        <f>IFERROR(INDEX('Annex 2_Code'!I$8:I$33,MATCH('Annex 3_MAFF'!$AG490,'Annex 2_Code'!$G$8:$G$33,0)),"")</f>
        <v/>
      </c>
      <c r="U490" s="599" t="str">
        <f>IFERROR(INDEX('Annex 2_Code'!J$8:J$33,MATCH('Annex 3_MAFF'!$AG490,'Annex 2_Code'!$G$8:$G$33,0)),"")</f>
        <v/>
      </c>
      <c r="V490" s="599" t="str">
        <f>IFERROR(INDEX('Annex 2_Code'!K$8:K$33,MATCH('Annex 3_MAFF'!$AG490,'Annex 2_Code'!$G$8:$G$33,0)),"")</f>
        <v/>
      </c>
      <c r="W490" s="599" t="str">
        <f>IFERROR(INDEX('Annex 2_Code'!L$8:L$33,MATCH('Annex 3_MAFF'!$AG490,'Annex 2_Code'!$G$8:$G$33,0)),"")</f>
        <v/>
      </c>
      <c r="X490" s="599" t="str">
        <f>IFERROR(INDEX('Annex 2_Code'!M$8:M$33,MATCH('Annex 3_MAFF'!$AG490,'Annex 2_Code'!$G$8:$G$33,0)),"")</f>
        <v/>
      </c>
      <c r="Y490" s="647" t="str">
        <f t="shared" si="638"/>
        <v/>
      </c>
      <c r="Z490" s="600" t="str">
        <f t="shared" si="639"/>
        <v/>
      </c>
      <c r="AA490" s="600" t="str">
        <f t="shared" si="639"/>
        <v/>
      </c>
      <c r="AB490" s="600" t="str">
        <f t="shared" si="640"/>
        <v/>
      </c>
      <c r="AC490" s="601" t="str">
        <f t="shared" si="641"/>
        <v/>
      </c>
      <c r="AD490" s="602">
        <f t="shared" si="585"/>
        <v>0</v>
      </c>
      <c r="AE490" s="602">
        <f t="shared" si="586"/>
        <v>-100</v>
      </c>
      <c r="AF490" s="605"/>
      <c r="AG490" s="605"/>
      <c r="AH490" s="605" t="str">
        <f>IFERROR(INDEX('Annex 2_Code'!$J$114:$J$131,MATCH('Annex 3_MAFF'!AF490,'Annex 2_Code'!$G$114:$G$131,0)),"")</f>
        <v/>
      </c>
      <c r="AI490" s="646" t="str">
        <f t="shared" si="643"/>
        <v/>
      </c>
    </row>
    <row r="491" spans="1:41" s="637" customFormat="1" ht="16.5">
      <c r="A491" s="587"/>
      <c r="B491" s="659"/>
      <c r="C491" s="782"/>
      <c r="D491" s="701"/>
      <c r="E491" s="587">
        <v>4.0999999999999996</v>
      </c>
      <c r="F491" s="1712"/>
      <c r="G491" s="240" t="s">
        <v>782</v>
      </c>
      <c r="H491" s="1713"/>
      <c r="I491" s="572"/>
      <c r="J491" s="1714"/>
      <c r="K491" s="1715"/>
      <c r="L491" s="1715"/>
      <c r="M491" s="1715"/>
      <c r="N491" s="729"/>
      <c r="O491" s="738"/>
      <c r="P491" s="739"/>
      <c r="Q491" s="739"/>
      <c r="R491" s="739"/>
      <c r="S491" s="1428"/>
      <c r="T491" s="599"/>
      <c r="U491" s="599"/>
      <c r="V491" s="599"/>
      <c r="W491" s="599"/>
      <c r="X491" s="599"/>
      <c r="Y491" s="647"/>
      <c r="Z491" s="600"/>
      <c r="AA491" s="600"/>
      <c r="AB491" s="600"/>
      <c r="AC491" s="601"/>
      <c r="AD491" s="602"/>
      <c r="AE491" s="602"/>
      <c r="AF491" s="605"/>
      <c r="AG491" s="605"/>
      <c r="AH491" s="605"/>
      <c r="AI491" s="646"/>
    </row>
    <row r="492" spans="1:41" s="307" customFormat="1" ht="37.5" outlineLevel="1">
      <c r="A492" s="587"/>
      <c r="B492" s="1391" t="s">
        <v>1452</v>
      </c>
      <c r="C492" s="782" t="s">
        <v>132</v>
      </c>
      <c r="D492" s="701"/>
      <c r="E492" s="897" t="s">
        <v>784</v>
      </c>
      <c r="F492" s="651"/>
      <c r="G492" s="1716" t="s">
        <v>914</v>
      </c>
      <c r="H492" s="1717" t="s">
        <v>594</v>
      </c>
      <c r="I492" s="572">
        <v>2.2216999999999998</v>
      </c>
      <c r="J492" s="1714">
        <v>0</v>
      </c>
      <c r="K492" s="1715">
        <v>1</v>
      </c>
      <c r="L492" s="1715">
        <v>0</v>
      </c>
      <c r="M492" s="1715">
        <v>0</v>
      </c>
      <c r="N492" s="729">
        <f>SUM(J492:M492)</f>
        <v>1</v>
      </c>
      <c r="O492" s="622">
        <f>$I492*J492</f>
        <v>0</v>
      </c>
      <c r="P492" s="623">
        <f>$I492*K492</f>
        <v>2.2216999999999998</v>
      </c>
      <c r="Q492" s="623">
        <f>$I492*L492</f>
        <v>0</v>
      </c>
      <c r="R492" s="623">
        <f>$I492*M492</f>
        <v>0</v>
      </c>
      <c r="S492" s="1356">
        <f t="shared" ref="S492:S498" si="656">SUM(O492:R492)</f>
        <v>2.2216999999999998</v>
      </c>
      <c r="T492" s="599">
        <f>IFERROR(INDEX('Annex 2_Code'!I$8:I$33,MATCH('Annex 3_MAFF'!$AG492,'Annex 2_Code'!$G$8:$G$33,0)),"")</f>
        <v>1</v>
      </c>
      <c r="U492" s="599">
        <f>IFERROR(INDEX('Annex 2_Code'!J$8:J$33,MATCH('Annex 3_MAFF'!$AG492,'Annex 2_Code'!$G$8:$G$33,0)),"")</f>
        <v>0</v>
      </c>
      <c r="V492" s="599">
        <f>IFERROR(INDEX('Annex 2_Code'!K$8:K$33,MATCH('Annex 3_MAFF'!$AG492,'Annex 2_Code'!$G$8:$G$33,0)),"")</f>
        <v>0</v>
      </c>
      <c r="W492" s="599">
        <f>IFERROR(INDEX('Annex 2_Code'!L$8:L$33,MATCH('Annex 3_MAFF'!$AG492,'Annex 2_Code'!$G$8:$G$33,0)),"")</f>
        <v>0</v>
      </c>
      <c r="X492" s="599">
        <f>IFERROR(INDEX('Annex 2_Code'!M$8:M$33,MATCH('Annex 3_MAFF'!$AG492,'Annex 2_Code'!$G$8:$G$33,0)),"")</f>
        <v>0</v>
      </c>
      <c r="Y492" s="647">
        <f t="shared" si="638"/>
        <v>2.2216999999999998</v>
      </c>
      <c r="Z492" s="600">
        <f t="shared" si="639"/>
        <v>0</v>
      </c>
      <c r="AA492" s="600">
        <f t="shared" si="639"/>
        <v>0</v>
      </c>
      <c r="AB492" s="600">
        <f t="shared" si="640"/>
        <v>0</v>
      </c>
      <c r="AC492" s="601">
        <f t="shared" si="641"/>
        <v>0</v>
      </c>
      <c r="AD492" s="602">
        <f>SUM(Y492:AC492)</f>
        <v>2.2216999999999998</v>
      </c>
      <c r="AE492" s="602">
        <f t="shared" si="586"/>
        <v>0</v>
      </c>
      <c r="AF492" s="605" t="s">
        <v>374</v>
      </c>
      <c r="AG492" s="605" t="s">
        <v>213</v>
      </c>
      <c r="AH492" s="605" t="str">
        <f>IFERROR(INDEX('Annex 2_Code'!$J$114:$J$131,MATCH('Annex 3_MAFF'!AF492,'Annex 2_Code'!$G$114:$G$131,0)),"")</f>
        <v>MAFF</v>
      </c>
      <c r="AI492" s="646" t="str">
        <f t="shared" si="643"/>
        <v>MAFF</v>
      </c>
      <c r="AJ492" s="637" t="s">
        <v>449</v>
      </c>
    </row>
    <row r="493" spans="1:41" s="307" customFormat="1" ht="37.5" outlineLevel="1">
      <c r="A493" s="587"/>
      <c r="B493" s="1391" t="s">
        <v>1452</v>
      </c>
      <c r="C493" s="782" t="s">
        <v>132</v>
      </c>
      <c r="D493" s="701"/>
      <c r="E493" s="897" t="s">
        <v>785</v>
      </c>
      <c r="F493" s="651"/>
      <c r="G493" s="785" t="s">
        <v>1054</v>
      </c>
      <c r="H493" s="1717" t="s">
        <v>594</v>
      </c>
      <c r="I493" s="572">
        <v>2.2999999999999998</v>
      </c>
      <c r="J493" s="1714">
        <v>0</v>
      </c>
      <c r="K493" s="1715">
        <v>1</v>
      </c>
      <c r="L493" s="1715">
        <v>1</v>
      </c>
      <c r="M493" s="1715">
        <v>0</v>
      </c>
      <c r="N493" s="729">
        <f>SUM(J493:M493)</f>
        <v>2</v>
      </c>
      <c r="O493" s="622">
        <f t="shared" ref="O493:P496" si="657">$I493*J493</f>
        <v>0</v>
      </c>
      <c r="P493" s="623">
        <f t="shared" si="657"/>
        <v>2.2999999999999998</v>
      </c>
      <c r="Q493" s="623">
        <f t="shared" ref="Q493:R496" si="658">$I493*L493</f>
        <v>2.2999999999999998</v>
      </c>
      <c r="R493" s="623">
        <f t="shared" si="658"/>
        <v>0</v>
      </c>
      <c r="S493" s="1356">
        <f t="shared" si="656"/>
        <v>4.5999999999999996</v>
      </c>
      <c r="T493" s="599">
        <f>IFERROR(INDEX('Annex 2_Code'!I$8:I$33,MATCH('Annex 3_MAFF'!$AG493,'Annex 2_Code'!$G$8:$G$33,0)),"")</f>
        <v>1</v>
      </c>
      <c r="U493" s="599">
        <f>IFERROR(INDEX('Annex 2_Code'!J$8:J$33,MATCH('Annex 3_MAFF'!$AG493,'Annex 2_Code'!$G$8:$G$33,0)),"")</f>
        <v>0</v>
      </c>
      <c r="V493" s="599">
        <f>IFERROR(INDEX('Annex 2_Code'!K$8:K$33,MATCH('Annex 3_MAFF'!$AG493,'Annex 2_Code'!$G$8:$G$33,0)),"")</f>
        <v>0</v>
      </c>
      <c r="W493" s="599">
        <f>IFERROR(INDEX('Annex 2_Code'!L$8:L$33,MATCH('Annex 3_MAFF'!$AG493,'Annex 2_Code'!$G$8:$G$33,0)),"")</f>
        <v>0</v>
      </c>
      <c r="X493" s="599">
        <f>IFERROR(INDEX('Annex 2_Code'!M$8:M$33,MATCH('Annex 3_MAFF'!$AG493,'Annex 2_Code'!$G$8:$G$33,0)),"")</f>
        <v>0</v>
      </c>
      <c r="Y493" s="647">
        <f t="shared" ref="Y493:AC495" si="659">IFERROR($S493*T493,"")</f>
        <v>4.5999999999999996</v>
      </c>
      <c r="Z493" s="600">
        <f t="shared" si="659"/>
        <v>0</v>
      </c>
      <c r="AA493" s="600">
        <f t="shared" si="659"/>
        <v>0</v>
      </c>
      <c r="AB493" s="600">
        <f t="shared" si="659"/>
        <v>0</v>
      </c>
      <c r="AC493" s="601">
        <f t="shared" si="659"/>
        <v>0</v>
      </c>
      <c r="AD493" s="602">
        <f>SUM(Y493:AC493)</f>
        <v>4.5999999999999996</v>
      </c>
      <c r="AE493" s="602">
        <f>AD493-S493</f>
        <v>0</v>
      </c>
      <c r="AF493" s="605" t="s">
        <v>374</v>
      </c>
      <c r="AG493" s="605" t="s">
        <v>213</v>
      </c>
      <c r="AH493" s="605" t="str">
        <f>IFERROR(INDEX('Annex 2_Code'!$J$114:$J$131,MATCH('Annex 3_MAFF'!AF493,'Annex 2_Code'!$G$114:$G$131,0)),"")</f>
        <v>MAFF</v>
      </c>
      <c r="AI493" s="646" t="str">
        <f t="shared" ref="AI493:AI498" si="660">IF(ISNUMBER(FIND("-",AH493,1))=FALSE,LEFT(AH493,LEN(AH493)),LEFT(AH493,(FIND("-",AH493,1))-1))</f>
        <v>MAFF</v>
      </c>
      <c r="AJ493" s="637" t="s">
        <v>449</v>
      </c>
    </row>
    <row r="494" spans="1:41" s="307" customFormat="1" ht="37.5" outlineLevel="1">
      <c r="A494" s="587"/>
      <c r="B494" s="1391" t="s">
        <v>1452</v>
      </c>
      <c r="C494" s="782" t="s">
        <v>132</v>
      </c>
      <c r="D494" s="701"/>
      <c r="E494" s="897" t="s">
        <v>915</v>
      </c>
      <c r="F494" s="651"/>
      <c r="G494" s="785" t="s">
        <v>1055</v>
      </c>
      <c r="H494" s="1717" t="s">
        <v>594</v>
      </c>
      <c r="I494" s="572">
        <v>2.5</v>
      </c>
      <c r="J494" s="1714">
        <v>0</v>
      </c>
      <c r="K494" s="1715">
        <v>1</v>
      </c>
      <c r="L494" s="1715">
        <v>0</v>
      </c>
      <c r="M494" s="1715">
        <v>0</v>
      </c>
      <c r="N494" s="729">
        <f>SUM(J494:M494)</f>
        <v>1</v>
      </c>
      <c r="O494" s="622">
        <f t="shared" si="657"/>
        <v>0</v>
      </c>
      <c r="P494" s="623">
        <f t="shared" si="657"/>
        <v>2.5</v>
      </c>
      <c r="Q494" s="623">
        <f>$I494*L494</f>
        <v>0</v>
      </c>
      <c r="R494" s="623">
        <f t="shared" si="658"/>
        <v>0</v>
      </c>
      <c r="S494" s="1356">
        <f t="shared" si="656"/>
        <v>2.5</v>
      </c>
      <c r="T494" s="599">
        <f>IFERROR(INDEX('Annex 2_Code'!I$8:I$33,MATCH('Annex 3_MAFF'!$AG494,'Annex 2_Code'!$G$8:$G$33,0)),"")</f>
        <v>1</v>
      </c>
      <c r="U494" s="599">
        <f>IFERROR(INDEX('Annex 2_Code'!J$8:J$33,MATCH('Annex 3_MAFF'!$AG494,'Annex 2_Code'!$G$8:$G$33,0)),"")</f>
        <v>0</v>
      </c>
      <c r="V494" s="599">
        <f>IFERROR(INDEX('Annex 2_Code'!K$8:K$33,MATCH('Annex 3_MAFF'!$AG494,'Annex 2_Code'!$G$8:$G$33,0)),"")</f>
        <v>0</v>
      </c>
      <c r="W494" s="599">
        <f>IFERROR(INDEX('Annex 2_Code'!L$8:L$33,MATCH('Annex 3_MAFF'!$AG494,'Annex 2_Code'!$G$8:$G$33,0)),"")</f>
        <v>0</v>
      </c>
      <c r="X494" s="599">
        <f>IFERROR(INDEX('Annex 2_Code'!M$8:M$33,MATCH('Annex 3_MAFF'!$AG494,'Annex 2_Code'!$G$8:$G$33,0)),"")</f>
        <v>0</v>
      </c>
      <c r="Y494" s="647">
        <f t="shared" si="659"/>
        <v>2.5</v>
      </c>
      <c r="Z494" s="600">
        <f t="shared" si="659"/>
        <v>0</v>
      </c>
      <c r="AA494" s="600">
        <f t="shared" si="659"/>
        <v>0</v>
      </c>
      <c r="AB494" s="600">
        <f t="shared" si="659"/>
        <v>0</v>
      </c>
      <c r="AC494" s="601">
        <f t="shared" si="659"/>
        <v>0</v>
      </c>
      <c r="AD494" s="602">
        <f>SUM(Y494:AC494)</f>
        <v>2.5</v>
      </c>
      <c r="AE494" s="602">
        <f>AD494-S494</f>
        <v>0</v>
      </c>
      <c r="AF494" s="605" t="s">
        <v>374</v>
      </c>
      <c r="AG494" s="605" t="s">
        <v>213</v>
      </c>
      <c r="AH494" s="605" t="str">
        <f>IFERROR(INDEX('Annex 2_Code'!$J$114:$J$131,MATCH('Annex 3_MAFF'!AF494,'Annex 2_Code'!$G$114:$G$131,0)),"")</f>
        <v>MAFF</v>
      </c>
      <c r="AI494" s="646" t="str">
        <f t="shared" si="660"/>
        <v>MAFF</v>
      </c>
      <c r="AJ494" s="637" t="s">
        <v>449</v>
      </c>
    </row>
    <row r="495" spans="1:41" s="307" customFormat="1" ht="19.5" customHeight="1" outlineLevel="1">
      <c r="A495" s="587"/>
      <c r="B495" s="1391" t="s">
        <v>1452</v>
      </c>
      <c r="C495" s="782" t="s">
        <v>132</v>
      </c>
      <c r="D495" s="701"/>
      <c r="E495" s="587">
        <v>4.2</v>
      </c>
      <c r="F495" s="651"/>
      <c r="G495" s="1716" t="s">
        <v>783</v>
      </c>
      <c r="H495" s="1732" t="s">
        <v>1143</v>
      </c>
      <c r="I495" s="572"/>
      <c r="J495" s="1714">
        <v>0</v>
      </c>
      <c r="K495" s="1715">
        <v>0</v>
      </c>
      <c r="L495" s="1715">
        <v>0</v>
      </c>
      <c r="M495" s="1715">
        <v>0</v>
      </c>
      <c r="N495" s="729">
        <f>SUM(J495:M495)</f>
        <v>0</v>
      </c>
      <c r="O495" s="622">
        <f t="shared" si="657"/>
        <v>0</v>
      </c>
      <c r="P495" s="623">
        <f t="shared" si="657"/>
        <v>0</v>
      </c>
      <c r="Q495" s="623">
        <f>$I495*L495</f>
        <v>0</v>
      </c>
      <c r="R495" s="623">
        <f t="shared" si="658"/>
        <v>0</v>
      </c>
      <c r="S495" s="1356">
        <f t="shared" si="656"/>
        <v>0</v>
      </c>
      <c r="T495" s="599">
        <f>IFERROR(INDEX('Annex 2_Code'!I$8:I$33,MATCH('Annex 3_MAFF'!$AG495,'Annex 2_Code'!$G$8:$G$33,0)),"")</f>
        <v>1</v>
      </c>
      <c r="U495" s="599">
        <f>IFERROR(INDEX('Annex 2_Code'!J$8:J$33,MATCH('Annex 3_MAFF'!$AG495,'Annex 2_Code'!$G$8:$G$33,0)),"")</f>
        <v>0</v>
      </c>
      <c r="V495" s="599">
        <f>IFERROR(INDEX('Annex 2_Code'!K$8:K$33,MATCH('Annex 3_MAFF'!$AG495,'Annex 2_Code'!$G$8:$G$33,0)),"")</f>
        <v>0</v>
      </c>
      <c r="W495" s="599">
        <f>IFERROR(INDEX('Annex 2_Code'!L$8:L$33,MATCH('Annex 3_MAFF'!$AG495,'Annex 2_Code'!$G$8:$G$33,0)),"")</f>
        <v>0</v>
      </c>
      <c r="X495" s="599">
        <f>IFERROR(INDEX('Annex 2_Code'!M$8:M$33,MATCH('Annex 3_MAFF'!$AG495,'Annex 2_Code'!$G$8:$G$33,0)),"")</f>
        <v>0</v>
      </c>
      <c r="Y495" s="647">
        <f t="shared" si="659"/>
        <v>0</v>
      </c>
      <c r="Z495" s="600">
        <f t="shared" si="659"/>
        <v>0</v>
      </c>
      <c r="AA495" s="600">
        <f t="shared" si="659"/>
        <v>0</v>
      </c>
      <c r="AB495" s="600">
        <f t="shared" si="659"/>
        <v>0</v>
      </c>
      <c r="AC495" s="601">
        <f t="shared" si="659"/>
        <v>0</v>
      </c>
      <c r="AD495" s="602">
        <f>SUM(Y495:AC495)</f>
        <v>0</v>
      </c>
      <c r="AE495" s="602">
        <f>AD495-S495</f>
        <v>0</v>
      </c>
      <c r="AF495" s="605" t="s">
        <v>374</v>
      </c>
      <c r="AG495" s="605" t="s">
        <v>213</v>
      </c>
      <c r="AH495" s="605" t="str">
        <f>IFERROR(INDEX('Annex 2_Code'!$J$114:$J$131,MATCH('Annex 3_MAFF'!AF495,'Annex 2_Code'!$G$114:$G$131,0)),"")</f>
        <v>MAFF</v>
      </c>
      <c r="AI495" s="646" t="str">
        <f t="shared" si="660"/>
        <v>MAFF</v>
      </c>
      <c r="AJ495" s="637" t="s">
        <v>449</v>
      </c>
    </row>
    <row r="496" spans="1:41" s="1930" customFormat="1" ht="139.5" outlineLevel="1">
      <c r="B496" s="1391" t="s">
        <v>1452</v>
      </c>
      <c r="C496" s="782" t="s">
        <v>132</v>
      </c>
      <c r="D496" s="701"/>
      <c r="E496" s="307">
        <v>4.4000000000000004</v>
      </c>
      <c r="F496" s="626"/>
      <c r="G496" s="2336" t="s">
        <v>1436</v>
      </c>
      <c r="H496" s="1719" t="s">
        <v>1437</v>
      </c>
      <c r="I496" s="727">
        <f>(10000/1000)</f>
        <v>10</v>
      </c>
      <c r="J496" s="783">
        <v>1</v>
      </c>
      <c r="K496" s="784">
        <v>0</v>
      </c>
      <c r="L496" s="784">
        <v>0</v>
      </c>
      <c r="M496" s="784">
        <v>0</v>
      </c>
      <c r="N496" s="731">
        <f>SUM(J496:M496)</f>
        <v>1</v>
      </c>
      <c r="O496" s="622">
        <f t="shared" si="657"/>
        <v>10</v>
      </c>
      <c r="P496" s="623">
        <f>$I496*K496</f>
        <v>0</v>
      </c>
      <c r="Q496" s="623">
        <f t="shared" ref="Q496" si="661">$I496*L496</f>
        <v>0</v>
      </c>
      <c r="R496" s="623">
        <f t="shared" si="658"/>
        <v>0</v>
      </c>
      <c r="S496" s="1356">
        <f t="shared" si="656"/>
        <v>10</v>
      </c>
      <c r="T496" s="599">
        <f>IFERROR(INDEX('Annex 2_Code'!I$8:I$33,MATCH('Annex 3_MAFF'!$AG496,'Annex 2_Code'!$G$8:$G$33,0)),"")</f>
        <v>1</v>
      </c>
      <c r="U496" s="599">
        <f>IFERROR(INDEX('Annex 2_Code'!J$8:J$33,MATCH('Annex 3_MAFF'!$AG496,'Annex 2_Code'!$G$8:$G$33,0)),"")</f>
        <v>0</v>
      </c>
      <c r="V496" s="599">
        <f>IFERROR(INDEX('Annex 2_Code'!K$8:K$33,MATCH('Annex 3_MAFF'!$AG496,'Annex 2_Code'!$G$8:$G$33,0)),"")</f>
        <v>0</v>
      </c>
      <c r="W496" s="599">
        <f>IFERROR(INDEX('Annex 2_Code'!L$8:L$33,MATCH('Annex 3_MAFF'!$AG496,'Annex 2_Code'!$G$8:$G$33,0)),"")</f>
        <v>0</v>
      </c>
      <c r="X496" s="599">
        <f>IFERROR(INDEX('Annex 2_Code'!M$8:M$33,MATCH('Annex 3_MAFF'!$AG496,'Annex 2_Code'!$G$8:$G$33,0)),"")</f>
        <v>0</v>
      </c>
      <c r="Y496" s="647">
        <f t="shared" ref="Y496:Y498" si="662">IFERROR($S496*T496,"")</f>
        <v>10</v>
      </c>
      <c r="Z496" s="600">
        <f t="shared" ref="Z496:Z498" si="663">IFERROR($S496*U496,"")</f>
        <v>0</v>
      </c>
      <c r="AA496" s="600">
        <f t="shared" ref="AA496:AA498" si="664">IFERROR($S496*V496,"")</f>
        <v>0</v>
      </c>
      <c r="AB496" s="600">
        <f t="shared" ref="AB496:AB498" si="665">IFERROR($S496*W496,"")</f>
        <v>0</v>
      </c>
      <c r="AC496" s="601">
        <f t="shared" ref="AC496:AC498" si="666">IFERROR($S496*X496,"")</f>
        <v>0</v>
      </c>
      <c r="AD496" s="602">
        <f t="shared" ref="AD496:AD497" si="667">SUM(Y496:AC496)</f>
        <v>10</v>
      </c>
      <c r="AE496" s="602">
        <f t="shared" ref="AE496:AE497" si="668">AD496-S496</f>
        <v>0</v>
      </c>
      <c r="AF496" s="1937" t="s">
        <v>374</v>
      </c>
      <c r="AG496" s="605" t="s">
        <v>213</v>
      </c>
      <c r="AH496" s="605" t="str">
        <f>IFERROR(INDEX('Annex 2_Code'!$J$114:$J$131,MATCH('Annex 3_MAFF'!AF496,'Annex 2_Code'!$G$114:$G$131,0)),"")</f>
        <v>MAFF</v>
      </c>
      <c r="AI496" s="646" t="str">
        <f t="shared" si="660"/>
        <v>MAFF</v>
      </c>
      <c r="AJ496" s="1950"/>
    </row>
    <row r="497" spans="1:41" s="1930" customFormat="1" ht="139.5" outlineLevel="1">
      <c r="B497" s="1391" t="s">
        <v>1452</v>
      </c>
      <c r="C497" s="782" t="s">
        <v>132</v>
      </c>
      <c r="D497" s="701"/>
      <c r="E497" s="307">
        <v>4.5</v>
      </c>
      <c r="F497" s="626"/>
      <c r="G497" s="2336" t="s">
        <v>1438</v>
      </c>
      <c r="H497" s="1719" t="s">
        <v>844</v>
      </c>
      <c r="I497" s="727">
        <f>(9000/1000)</f>
        <v>9</v>
      </c>
      <c r="J497" s="783">
        <v>0</v>
      </c>
      <c r="K497" s="784">
        <v>1</v>
      </c>
      <c r="L497" s="784">
        <v>0</v>
      </c>
      <c r="M497" s="784">
        <v>0</v>
      </c>
      <c r="N497" s="731">
        <v>0</v>
      </c>
      <c r="O497" s="622">
        <f t="shared" ref="O497:P498" si="669">$I497*J497</f>
        <v>0</v>
      </c>
      <c r="P497" s="623">
        <f>$I497*K497</f>
        <v>9</v>
      </c>
      <c r="Q497" s="623">
        <f>$I497*L497</f>
        <v>0</v>
      </c>
      <c r="R497" s="623">
        <f t="shared" ref="R497:R498" si="670">$I497*M497</f>
        <v>0</v>
      </c>
      <c r="S497" s="1356">
        <f t="shared" si="656"/>
        <v>9</v>
      </c>
      <c r="T497" s="599">
        <f>IFERROR(INDEX('Annex 2_Code'!I$8:I$33,MATCH('Annex 3_MAFF'!$AG497,'Annex 2_Code'!$G$8:$G$33,0)),"")</f>
        <v>1</v>
      </c>
      <c r="U497" s="599">
        <f>IFERROR(INDEX('Annex 2_Code'!J$8:J$33,MATCH('Annex 3_MAFF'!$AG497,'Annex 2_Code'!$G$8:$G$33,0)),"")</f>
        <v>0</v>
      </c>
      <c r="V497" s="599">
        <f>IFERROR(INDEX('Annex 2_Code'!K$8:K$33,MATCH('Annex 3_MAFF'!$AG497,'Annex 2_Code'!$G$8:$G$33,0)),"")</f>
        <v>0</v>
      </c>
      <c r="W497" s="599">
        <f>IFERROR(INDEX('Annex 2_Code'!L$8:L$33,MATCH('Annex 3_MAFF'!$AG497,'Annex 2_Code'!$G$8:$G$33,0)),"")</f>
        <v>0</v>
      </c>
      <c r="X497" s="599">
        <f>IFERROR(INDEX('Annex 2_Code'!M$8:M$33,MATCH('Annex 3_MAFF'!$AG497,'Annex 2_Code'!$G$8:$G$33,0)),"")</f>
        <v>0</v>
      </c>
      <c r="Y497" s="647">
        <f t="shared" si="662"/>
        <v>9</v>
      </c>
      <c r="Z497" s="600">
        <f t="shared" si="663"/>
        <v>0</v>
      </c>
      <c r="AA497" s="600">
        <f t="shared" si="664"/>
        <v>0</v>
      </c>
      <c r="AB497" s="600">
        <f t="shared" si="665"/>
        <v>0</v>
      </c>
      <c r="AC497" s="601">
        <f t="shared" si="666"/>
        <v>0</v>
      </c>
      <c r="AD497" s="602">
        <f t="shared" si="667"/>
        <v>9</v>
      </c>
      <c r="AE497" s="602">
        <f t="shared" si="668"/>
        <v>0</v>
      </c>
      <c r="AF497" s="1937" t="s">
        <v>374</v>
      </c>
      <c r="AG497" s="605" t="s">
        <v>213</v>
      </c>
      <c r="AH497" s="605" t="str">
        <f>IFERROR(INDEX('Annex 2_Code'!$J$114:$J$131,MATCH('Annex 3_MAFF'!AF497,'Annex 2_Code'!$G$114:$G$131,0)),"")</f>
        <v>MAFF</v>
      </c>
      <c r="AI497" s="646" t="str">
        <f t="shared" si="660"/>
        <v>MAFF</v>
      </c>
      <c r="AJ497" s="1950"/>
    </row>
    <row r="498" spans="1:41" s="1930" customFormat="1" ht="116.25" outlineLevel="1">
      <c r="B498" s="1391" t="s">
        <v>1452</v>
      </c>
      <c r="C498" s="782" t="s">
        <v>132</v>
      </c>
      <c r="D498" s="701"/>
      <c r="E498" s="307">
        <v>4.5999999999999996</v>
      </c>
      <c r="F498" s="626"/>
      <c r="G498" s="2336" t="s">
        <v>1439</v>
      </c>
      <c r="H498" s="1719" t="s">
        <v>832</v>
      </c>
      <c r="I498" s="727">
        <f>(8000/1000)</f>
        <v>8</v>
      </c>
      <c r="J498" s="783">
        <v>0</v>
      </c>
      <c r="K498" s="784">
        <v>0</v>
      </c>
      <c r="L498" s="784">
        <v>1</v>
      </c>
      <c r="M498" s="784">
        <v>0</v>
      </c>
      <c r="N498" s="731">
        <v>0</v>
      </c>
      <c r="O498" s="622">
        <f t="shared" si="669"/>
        <v>0</v>
      </c>
      <c r="P498" s="623">
        <f t="shared" si="669"/>
        <v>0</v>
      </c>
      <c r="Q498" s="623">
        <f>$I498*L498</f>
        <v>8</v>
      </c>
      <c r="R498" s="623">
        <f t="shared" si="670"/>
        <v>0</v>
      </c>
      <c r="S498" s="1356">
        <f t="shared" si="656"/>
        <v>8</v>
      </c>
      <c r="T498" s="599">
        <f>IFERROR(INDEX('Annex 2_Code'!I$8:I$33,MATCH('Annex 3_MAFF'!$AG498,'Annex 2_Code'!$G$8:$G$33,0)),"")</f>
        <v>1</v>
      </c>
      <c r="U498" s="599">
        <f>IFERROR(INDEX('Annex 2_Code'!J$8:J$33,MATCH('Annex 3_MAFF'!$AG498,'Annex 2_Code'!$G$8:$G$33,0)),"")</f>
        <v>0</v>
      </c>
      <c r="V498" s="599">
        <f>IFERROR(INDEX('Annex 2_Code'!K$8:K$33,MATCH('Annex 3_MAFF'!$AG498,'Annex 2_Code'!$G$8:$G$33,0)),"")</f>
        <v>0</v>
      </c>
      <c r="W498" s="599">
        <f>IFERROR(INDEX('Annex 2_Code'!L$8:L$33,MATCH('Annex 3_MAFF'!$AG498,'Annex 2_Code'!$G$8:$G$33,0)),"")</f>
        <v>0</v>
      </c>
      <c r="X498" s="599">
        <f>IFERROR(INDEX('Annex 2_Code'!M$8:M$33,MATCH('Annex 3_MAFF'!$AG498,'Annex 2_Code'!$G$8:$G$33,0)),"")</f>
        <v>0</v>
      </c>
      <c r="Y498" s="647">
        <f t="shared" si="662"/>
        <v>8</v>
      </c>
      <c r="Z498" s="600">
        <f t="shared" si="663"/>
        <v>0</v>
      </c>
      <c r="AA498" s="600">
        <f t="shared" si="664"/>
        <v>0</v>
      </c>
      <c r="AB498" s="600">
        <f t="shared" si="665"/>
        <v>0</v>
      </c>
      <c r="AC498" s="601">
        <f t="shared" si="666"/>
        <v>0</v>
      </c>
      <c r="AD498" s="602">
        <f t="shared" ref="AD498" si="671">SUM(Y498:AC498)</f>
        <v>8</v>
      </c>
      <c r="AE498" s="602">
        <f t="shared" ref="AE498" si="672">AD498-S498</f>
        <v>0</v>
      </c>
      <c r="AF498" s="1937" t="s">
        <v>374</v>
      </c>
      <c r="AG498" s="605" t="s">
        <v>209</v>
      </c>
      <c r="AH498" s="605" t="str">
        <f>IFERROR(INDEX('Annex 2_Code'!$J$114:$J$131,MATCH('Annex 3_MAFF'!AF498,'Annex 2_Code'!$G$114:$G$131,0)),"")</f>
        <v>MAFF</v>
      </c>
      <c r="AI498" s="646" t="str">
        <f t="shared" si="660"/>
        <v>MAFF</v>
      </c>
      <c r="AJ498" s="1950"/>
    </row>
    <row r="499" spans="1:41" s="637" customFormat="1" ht="23.25">
      <c r="A499" s="587"/>
      <c r="B499" s="659" t="s">
        <v>54</v>
      </c>
      <c r="C499" s="782"/>
      <c r="D499" s="730"/>
      <c r="E499" s="844"/>
      <c r="F499" s="591" t="s">
        <v>583</v>
      </c>
      <c r="G499" s="734"/>
      <c r="H499" s="805"/>
      <c r="I499" s="717"/>
      <c r="J499" s="1339">
        <f>SUM(J493:J498)</f>
        <v>1</v>
      </c>
      <c r="K499" s="1479">
        <f t="shared" ref="K499:S499" si="673">SUM(K492:K498)</f>
        <v>4</v>
      </c>
      <c r="L499" s="1479">
        <f t="shared" si="673"/>
        <v>2</v>
      </c>
      <c r="M499" s="1479">
        <f t="shared" si="673"/>
        <v>0</v>
      </c>
      <c r="N499" s="1493">
        <f t="shared" si="673"/>
        <v>5</v>
      </c>
      <c r="O499" s="664">
        <f t="shared" si="673"/>
        <v>10</v>
      </c>
      <c r="P499" s="665">
        <f t="shared" si="673"/>
        <v>16.021699999999999</v>
      </c>
      <c r="Q499" s="665">
        <f t="shared" si="673"/>
        <v>10.3</v>
      </c>
      <c r="R499" s="665">
        <f t="shared" si="673"/>
        <v>0</v>
      </c>
      <c r="S499" s="2470">
        <f t="shared" si="673"/>
        <v>36.3217</v>
      </c>
      <c r="T499" s="599" t="str">
        <f>IFERROR(INDEX('Annex 2_Code'!I$8:I$33,MATCH('Annex 3_MAFF'!$AG499,'Annex 2_Code'!$G$8:$G$33,0)),"")</f>
        <v/>
      </c>
      <c r="U499" s="599" t="str">
        <f>IFERROR(INDEX('Annex 2_Code'!J$8:J$33,MATCH('Annex 3_MAFF'!$AG499,'Annex 2_Code'!$G$8:$G$33,0)),"")</f>
        <v/>
      </c>
      <c r="V499" s="599" t="str">
        <f>IFERROR(INDEX('Annex 2_Code'!K$8:K$33,MATCH('Annex 3_MAFF'!$AG499,'Annex 2_Code'!$G$8:$G$33,0)),"")</f>
        <v/>
      </c>
      <c r="W499" s="599" t="str">
        <f>IFERROR(INDEX('Annex 2_Code'!L$8:L$33,MATCH('Annex 3_MAFF'!$AG499,'Annex 2_Code'!$G$8:$G$33,0)),"")</f>
        <v/>
      </c>
      <c r="X499" s="599" t="str">
        <f>IFERROR(INDEX('Annex 2_Code'!M$8:M$33,MATCH('Annex 3_MAFF'!$AG499,'Annex 2_Code'!$G$8:$G$33,0)),"")</f>
        <v/>
      </c>
      <c r="Y499" s="647" t="str">
        <f t="shared" si="638"/>
        <v/>
      </c>
      <c r="Z499" s="600" t="str">
        <f t="shared" si="639"/>
        <v/>
      </c>
      <c r="AA499" s="600" t="str">
        <f t="shared" si="639"/>
        <v/>
      </c>
      <c r="AB499" s="600" t="str">
        <f t="shared" si="640"/>
        <v/>
      </c>
      <c r="AC499" s="601" t="str">
        <f t="shared" si="641"/>
        <v/>
      </c>
      <c r="AD499" s="602">
        <f t="shared" ref="AD499:AD557" si="674">SUM(Y499:AC499)</f>
        <v>0</v>
      </c>
      <c r="AE499" s="602">
        <f t="shared" ref="AE499:AE557" si="675">AD499-S499</f>
        <v>-36.3217</v>
      </c>
      <c r="AF499" s="605"/>
      <c r="AG499" s="605"/>
      <c r="AH499" s="605" t="str">
        <f>IFERROR(INDEX('Annex 2_Code'!$J$114:$J$131,MATCH('Annex 3_MAFF'!AF499,'Annex 2_Code'!$G$114:$G$131,0)),"")</f>
        <v/>
      </c>
      <c r="AI499" s="646" t="str">
        <f t="shared" si="643"/>
        <v/>
      </c>
      <c r="AL499" s="826">
        <f>SUM(Y493:Y498)</f>
        <v>34.1</v>
      </c>
      <c r="AM499" s="607" t="s">
        <v>415</v>
      </c>
      <c r="AN499" s="625"/>
      <c r="AO499" s="625"/>
    </row>
    <row r="500" spans="1:41" s="637" customFormat="1" ht="23.25">
      <c r="A500" s="587"/>
      <c r="B500" s="659" t="s">
        <v>54</v>
      </c>
      <c r="C500" s="782"/>
      <c r="D500" s="701"/>
      <c r="E500" s="612"/>
      <c r="F500" s="612" t="s">
        <v>662</v>
      </c>
      <c r="G500" s="616"/>
      <c r="H500" s="782"/>
      <c r="I500" s="727"/>
      <c r="J500" s="783"/>
      <c r="K500" s="784"/>
      <c r="L500" s="784"/>
      <c r="M500" s="784"/>
      <c r="N500" s="731"/>
      <c r="O500" s="686"/>
      <c r="P500" s="686"/>
      <c r="Q500" s="686"/>
      <c r="R500" s="686"/>
      <c r="S500" s="2494">
        <f>SUM(O499:R499)</f>
        <v>36.3217</v>
      </c>
      <c r="T500" s="599"/>
      <c r="U500" s="599"/>
      <c r="V500" s="599"/>
      <c r="W500" s="599"/>
      <c r="X500" s="599"/>
      <c r="Y500" s="647"/>
      <c r="Z500" s="600"/>
      <c r="AA500" s="600">
        <f t="shared" si="639"/>
        <v>0</v>
      </c>
      <c r="AB500" s="600"/>
      <c r="AC500" s="601"/>
      <c r="AD500" s="602">
        <f t="shared" si="674"/>
        <v>0</v>
      </c>
      <c r="AE500" s="602"/>
      <c r="AF500" s="605"/>
      <c r="AG500" s="605"/>
      <c r="AH500" s="605"/>
      <c r="AI500" s="646"/>
    </row>
    <row r="501" spans="1:41" s="637" customFormat="1" ht="23.25" outlineLevel="1">
      <c r="A501" s="587"/>
      <c r="B501" s="1391" t="s">
        <v>1452</v>
      </c>
      <c r="C501" s="782" t="s">
        <v>132</v>
      </c>
      <c r="D501" s="701"/>
      <c r="E501" s="612"/>
      <c r="F501" s="626"/>
      <c r="G501" s="616" t="s">
        <v>1056</v>
      </c>
      <c r="H501" s="811" t="s">
        <v>591</v>
      </c>
      <c r="I501" s="727">
        <v>15.59</v>
      </c>
      <c r="J501" s="672">
        <v>0</v>
      </c>
      <c r="K501" s="673">
        <v>0</v>
      </c>
      <c r="L501" s="673">
        <v>0</v>
      </c>
      <c r="M501" s="673">
        <v>0</v>
      </c>
      <c r="N501" s="1718">
        <f>SUM(J501:M501)</f>
        <v>0</v>
      </c>
      <c r="O501" s="622">
        <f t="shared" ref="O501:P503" si="676">$I501*J501</f>
        <v>0</v>
      </c>
      <c r="P501" s="623">
        <f t="shared" si="676"/>
        <v>0</v>
      </c>
      <c r="Q501" s="623">
        <f t="shared" ref="Q501:R503" si="677">$I501*L501</f>
        <v>0</v>
      </c>
      <c r="R501" s="623">
        <f t="shared" si="677"/>
        <v>0</v>
      </c>
      <c r="S501" s="1356">
        <f>SUM(O501:R501)</f>
        <v>0</v>
      </c>
      <c r="T501" s="599">
        <f>IFERROR(INDEX('Annex 2_Code'!I$8:I$33,MATCH('Annex 3_MAFF'!$AG501,'Annex 2_Code'!$G$8:$G$33,0)),"")</f>
        <v>1</v>
      </c>
      <c r="U501" s="599">
        <f>IFERROR(INDEX('Annex 2_Code'!J$8:J$33,MATCH('Annex 3_MAFF'!$AG501,'Annex 2_Code'!$G$8:$G$33,0)),"")</f>
        <v>0</v>
      </c>
      <c r="V501" s="599">
        <f>IFERROR(INDEX('Annex 2_Code'!K$8:K$33,MATCH('Annex 3_MAFF'!$AG501,'Annex 2_Code'!$G$8:$G$33,0)),"")</f>
        <v>0</v>
      </c>
      <c r="W501" s="599">
        <f>IFERROR(INDEX('Annex 2_Code'!L$8:L$33,MATCH('Annex 3_MAFF'!$AG501,'Annex 2_Code'!$G$8:$G$33,0)),"")</f>
        <v>0</v>
      </c>
      <c r="X501" s="599">
        <f>IFERROR(INDEX('Annex 2_Code'!M$8:M$33,MATCH('Annex 3_MAFF'!$AG501,'Annex 2_Code'!$G$8:$G$33,0)),"")</f>
        <v>0</v>
      </c>
      <c r="Y501" s="647">
        <f t="shared" ref="Y501:Z503" si="678">IFERROR($S501*T501,"")</f>
        <v>0</v>
      </c>
      <c r="Z501" s="600">
        <f t="shared" si="678"/>
        <v>0</v>
      </c>
      <c r="AA501" s="600">
        <f t="shared" si="639"/>
        <v>0</v>
      </c>
      <c r="AB501" s="600">
        <f t="shared" ref="AB501:AC503" si="679">IFERROR($S501*W501,"")</f>
        <v>0</v>
      </c>
      <c r="AC501" s="601">
        <f t="shared" si="679"/>
        <v>0</v>
      </c>
      <c r="AD501" s="602">
        <f t="shared" si="674"/>
        <v>0</v>
      </c>
      <c r="AE501" s="602">
        <f>AD501-S501</f>
        <v>0</v>
      </c>
      <c r="AF501" s="605" t="s">
        <v>374</v>
      </c>
      <c r="AG501" s="605" t="s">
        <v>213</v>
      </c>
      <c r="AH501" s="605" t="str">
        <f>IFERROR(INDEX('Annex 2_Code'!$J$114:$J$131,MATCH('Annex 3_MAFF'!AF501,'Annex 2_Code'!$G$114:$G$131,0)),"")</f>
        <v>MAFF</v>
      </c>
      <c r="AI501" s="646" t="str">
        <f>IF(ISNUMBER(FIND("-",AH501,1))=FALSE,LEFT(AH501,LEN(AH501)),LEFT(AH501,(FIND("-",AH501,1))-1))</f>
        <v>MAFF</v>
      </c>
      <c r="AJ501" s="637" t="s">
        <v>449</v>
      </c>
    </row>
    <row r="502" spans="1:41" s="637" customFormat="1" ht="36" customHeight="1" outlineLevel="1">
      <c r="A502" s="587"/>
      <c r="B502" s="1391" t="s">
        <v>1452</v>
      </c>
      <c r="C502" s="782" t="s">
        <v>132</v>
      </c>
      <c r="D502" s="701"/>
      <c r="E502" s="612"/>
      <c r="F502" s="626"/>
      <c r="G502" s="616" t="s">
        <v>1427</v>
      </c>
      <c r="H502" s="811" t="s">
        <v>591</v>
      </c>
      <c r="I502" s="727">
        <f>25000/1000</f>
        <v>25</v>
      </c>
      <c r="J502" s="1714">
        <v>0</v>
      </c>
      <c r="K502" s="1715">
        <v>0</v>
      </c>
      <c r="L502" s="1715">
        <v>1</v>
      </c>
      <c r="M502" s="1715">
        <v>0</v>
      </c>
      <c r="N502" s="729">
        <f>SUM(J502:M502)</f>
        <v>1</v>
      </c>
      <c r="O502" s="622">
        <f t="shared" si="676"/>
        <v>0</v>
      </c>
      <c r="P502" s="623">
        <f t="shared" si="676"/>
        <v>0</v>
      </c>
      <c r="Q502" s="623">
        <f t="shared" si="677"/>
        <v>25</v>
      </c>
      <c r="R502" s="623">
        <f t="shared" si="677"/>
        <v>0</v>
      </c>
      <c r="S502" s="1356">
        <f>SUM(O502:R502)</f>
        <v>25</v>
      </c>
      <c r="T502" s="599">
        <f>IFERROR(INDEX('Annex 2_Code'!I$8:I$33,MATCH('Annex 3_MAFF'!$AG502,'Annex 2_Code'!$G$8:$G$33,0)),"")</f>
        <v>1</v>
      </c>
      <c r="U502" s="599">
        <f>IFERROR(INDEX('Annex 2_Code'!J$8:J$33,MATCH('Annex 3_MAFF'!$AG502,'Annex 2_Code'!$G$8:$G$33,0)),"")</f>
        <v>0</v>
      </c>
      <c r="V502" s="599">
        <f>IFERROR(INDEX('Annex 2_Code'!K$8:K$33,MATCH('Annex 3_MAFF'!$AG502,'Annex 2_Code'!$G$8:$G$33,0)),"")</f>
        <v>0</v>
      </c>
      <c r="W502" s="599">
        <f>IFERROR(INDEX('Annex 2_Code'!L$8:L$33,MATCH('Annex 3_MAFF'!$AG502,'Annex 2_Code'!$G$8:$G$33,0)),"")</f>
        <v>0</v>
      </c>
      <c r="X502" s="599">
        <f>IFERROR(INDEX('Annex 2_Code'!M$8:M$33,MATCH('Annex 3_MAFF'!$AG502,'Annex 2_Code'!$G$8:$G$33,0)),"")</f>
        <v>0</v>
      </c>
      <c r="Y502" s="647">
        <f t="shared" si="678"/>
        <v>25</v>
      </c>
      <c r="Z502" s="600">
        <f t="shared" si="678"/>
        <v>0</v>
      </c>
      <c r="AA502" s="600">
        <f t="shared" si="639"/>
        <v>0</v>
      </c>
      <c r="AB502" s="600">
        <f t="shared" si="679"/>
        <v>0</v>
      </c>
      <c r="AC502" s="601">
        <f t="shared" si="679"/>
        <v>0</v>
      </c>
      <c r="AD502" s="602">
        <f t="shared" si="674"/>
        <v>25</v>
      </c>
      <c r="AE502" s="602">
        <f>AD502-S502</f>
        <v>0</v>
      </c>
      <c r="AF502" s="605" t="s">
        <v>374</v>
      </c>
      <c r="AG502" s="605" t="s">
        <v>213</v>
      </c>
      <c r="AH502" s="605" t="str">
        <f>IFERROR(INDEX('Annex 2_Code'!$J$114:$J$131,MATCH('Annex 3_MAFF'!AF502,'Annex 2_Code'!$G$114:$G$131,0)),"")</f>
        <v>MAFF</v>
      </c>
      <c r="AI502" s="646" t="str">
        <f>IF(ISNUMBER(FIND("-",AH502,1))=FALSE,LEFT(AH502,LEN(AH502)),LEFT(AH502,(FIND("-",AH502,1))-1))</f>
        <v>MAFF</v>
      </c>
      <c r="AJ502" s="637" t="s">
        <v>449</v>
      </c>
    </row>
    <row r="503" spans="1:41" s="637" customFormat="1" ht="33.75" customHeight="1" outlineLevel="1">
      <c r="A503" s="587"/>
      <c r="B503" s="1391" t="s">
        <v>1452</v>
      </c>
      <c r="C503" s="782" t="s">
        <v>132</v>
      </c>
      <c r="D503" s="701"/>
      <c r="E503" s="612"/>
      <c r="F503" s="626"/>
      <c r="G503" s="616" t="s">
        <v>1428</v>
      </c>
      <c r="H503" s="811" t="s">
        <v>591</v>
      </c>
      <c r="I503" s="727">
        <v>1.2</v>
      </c>
      <c r="J503" s="1714">
        <v>3</v>
      </c>
      <c r="K503" s="1715">
        <v>3</v>
      </c>
      <c r="L503" s="1715">
        <v>3</v>
      </c>
      <c r="M503" s="1715">
        <v>3</v>
      </c>
      <c r="N503" s="729">
        <f>SUM(J503:M503)</f>
        <v>12</v>
      </c>
      <c r="O503" s="622">
        <f t="shared" si="676"/>
        <v>3.5999999999999996</v>
      </c>
      <c r="P503" s="623">
        <f t="shared" si="676"/>
        <v>3.5999999999999996</v>
      </c>
      <c r="Q503" s="623">
        <f t="shared" si="677"/>
        <v>3.5999999999999996</v>
      </c>
      <c r="R503" s="623">
        <f>$I503*M503</f>
        <v>3.5999999999999996</v>
      </c>
      <c r="S503" s="1356">
        <f>SUM(O503:R503)</f>
        <v>14.399999999999999</v>
      </c>
      <c r="T503" s="599">
        <f>IFERROR(INDEX('Annex 2_Code'!I$8:I$33,MATCH('Annex 3_MAFF'!$AG503,'Annex 2_Code'!$G$8:$G$33,0)),"")</f>
        <v>1</v>
      </c>
      <c r="U503" s="599">
        <f>IFERROR(INDEX('Annex 2_Code'!J$8:J$33,MATCH('Annex 3_MAFF'!$AG503,'Annex 2_Code'!$G$8:$G$33,0)),"")</f>
        <v>0</v>
      </c>
      <c r="V503" s="599">
        <f>IFERROR(INDEX('Annex 2_Code'!K$8:K$33,MATCH('Annex 3_MAFF'!$AG503,'Annex 2_Code'!$G$8:$G$33,0)),"")</f>
        <v>0</v>
      </c>
      <c r="W503" s="599">
        <f>IFERROR(INDEX('Annex 2_Code'!L$8:L$33,MATCH('Annex 3_MAFF'!$AG503,'Annex 2_Code'!$G$8:$G$33,0)),"")</f>
        <v>0</v>
      </c>
      <c r="X503" s="599">
        <f>IFERROR(INDEX('Annex 2_Code'!M$8:M$33,MATCH('Annex 3_MAFF'!$AG503,'Annex 2_Code'!$G$8:$G$33,0)),"")</f>
        <v>0</v>
      </c>
      <c r="Y503" s="647">
        <f t="shared" si="678"/>
        <v>14.399999999999999</v>
      </c>
      <c r="Z503" s="600">
        <f t="shared" si="678"/>
        <v>0</v>
      </c>
      <c r="AA503" s="600">
        <f t="shared" si="639"/>
        <v>0</v>
      </c>
      <c r="AB503" s="600">
        <f t="shared" si="679"/>
        <v>0</v>
      </c>
      <c r="AC503" s="601">
        <f t="shared" si="679"/>
        <v>0</v>
      </c>
      <c r="AD503" s="602">
        <f t="shared" si="674"/>
        <v>14.399999999999999</v>
      </c>
      <c r="AE503" s="602">
        <f>AD503-S503</f>
        <v>0</v>
      </c>
      <c r="AF503" s="605" t="s">
        <v>374</v>
      </c>
      <c r="AG503" s="605" t="s">
        <v>213</v>
      </c>
      <c r="AH503" s="605" t="str">
        <f>IFERROR(INDEX('Annex 2_Code'!$J$114:$J$131,MATCH('Annex 3_MAFF'!AF503,'Annex 2_Code'!$G$114:$G$131,0)),"")</f>
        <v>MAFF</v>
      </c>
      <c r="AI503" s="646" t="str">
        <f>IF(ISNUMBER(FIND("-",AH503,1))=FALSE,LEFT(AH503,LEN(AH503)),LEFT(AH503,(FIND("-",AH503,1))-1))</f>
        <v>MAFF</v>
      </c>
      <c r="AJ503" s="637" t="s">
        <v>449</v>
      </c>
      <c r="AL503" s="781">
        <f>SUM(Y501:Y503)</f>
        <v>39.4</v>
      </c>
      <c r="AM503" s="781" t="s">
        <v>416</v>
      </c>
      <c r="AN503" s="781"/>
      <c r="AO503" s="781"/>
    </row>
    <row r="504" spans="1:41" s="637" customFormat="1" ht="23.25">
      <c r="A504" s="587"/>
      <c r="B504" s="659" t="s">
        <v>54</v>
      </c>
      <c r="C504" s="782"/>
      <c r="D504" s="730"/>
      <c r="E504" s="591"/>
      <c r="F504" s="591" t="s">
        <v>583</v>
      </c>
      <c r="G504" s="577"/>
      <c r="H504" s="805"/>
      <c r="I504" s="723"/>
      <c r="J504" s="841">
        <f t="shared" ref="J504:S504" si="680">SUM(J501:J503)</f>
        <v>3</v>
      </c>
      <c r="K504" s="838">
        <f t="shared" si="680"/>
        <v>3</v>
      </c>
      <c r="L504" s="838">
        <f t="shared" si="680"/>
        <v>4</v>
      </c>
      <c r="M504" s="838">
        <f t="shared" si="680"/>
        <v>3</v>
      </c>
      <c r="N504" s="839">
        <f t="shared" si="680"/>
        <v>13</v>
      </c>
      <c r="O504" s="597">
        <f t="shared" si="680"/>
        <v>3.5999999999999996</v>
      </c>
      <c r="P504" s="598">
        <f t="shared" si="680"/>
        <v>3.5999999999999996</v>
      </c>
      <c r="Q504" s="598">
        <f t="shared" si="680"/>
        <v>28.6</v>
      </c>
      <c r="R504" s="598">
        <f t="shared" si="680"/>
        <v>3.5999999999999996</v>
      </c>
      <c r="S504" s="1408">
        <f t="shared" si="680"/>
        <v>39.4</v>
      </c>
      <c r="T504" s="599"/>
      <c r="U504" s="599"/>
      <c r="V504" s="599"/>
      <c r="W504" s="599"/>
      <c r="X504" s="599"/>
      <c r="Y504" s="647"/>
      <c r="Z504" s="600"/>
      <c r="AA504" s="600">
        <f t="shared" si="639"/>
        <v>0</v>
      </c>
      <c r="AB504" s="600"/>
      <c r="AC504" s="601"/>
      <c r="AD504" s="602"/>
      <c r="AE504" s="602"/>
      <c r="AF504" s="605"/>
      <c r="AG504" s="605"/>
      <c r="AH504" s="605"/>
      <c r="AI504" s="646"/>
    </row>
    <row r="505" spans="1:41" s="637" customFormat="1" ht="23.25">
      <c r="A505" s="587"/>
      <c r="B505" s="659" t="s">
        <v>54</v>
      </c>
      <c r="C505" s="782"/>
      <c r="D505" s="590"/>
      <c r="E505" s="591" t="s">
        <v>711</v>
      </c>
      <c r="F505" s="592"/>
      <c r="G505" s="577"/>
      <c r="H505" s="663" t="s">
        <v>12</v>
      </c>
      <c r="I505" s="661" t="s">
        <v>12</v>
      </c>
      <c r="J505" s="774"/>
      <c r="K505" s="775"/>
      <c r="L505" s="775"/>
      <c r="M505" s="775"/>
      <c r="N505" s="776"/>
      <c r="O505" s="777">
        <f>O489+O499+O504</f>
        <v>38.6</v>
      </c>
      <c r="P505" s="778">
        <f>P489+P499+P504</f>
        <v>44.621699999999997</v>
      </c>
      <c r="Q505" s="778">
        <f>Q489+Q499+Q504</f>
        <v>63.9</v>
      </c>
      <c r="R505" s="778">
        <f>R489+R499+R504</f>
        <v>28.6</v>
      </c>
      <c r="S505" s="2491">
        <f>S489+S499+S504</f>
        <v>175.7217</v>
      </c>
      <c r="T505" s="599" t="str">
        <f>IFERROR(INDEX('Annex 2_Code'!I$8:I$33,MATCH('Annex 3_MAFF'!$AG505,'Annex 2_Code'!$G$8:$G$33,0)),"")</f>
        <v/>
      </c>
      <c r="U505" s="599" t="str">
        <f>IFERROR(INDEX('Annex 2_Code'!J$8:J$33,MATCH('Annex 3_MAFF'!$AG505,'Annex 2_Code'!$G$8:$G$33,0)),"")</f>
        <v/>
      </c>
      <c r="V505" s="599" t="str">
        <f>IFERROR(INDEX('Annex 2_Code'!K$8:K$33,MATCH('Annex 3_MAFF'!$AG505,'Annex 2_Code'!$G$8:$G$33,0)),"")</f>
        <v/>
      </c>
      <c r="W505" s="599" t="str">
        <f>IFERROR(INDEX('Annex 2_Code'!L$8:L$33,MATCH('Annex 3_MAFF'!$AG505,'Annex 2_Code'!$G$8:$G$33,0)),"")</f>
        <v/>
      </c>
      <c r="X505" s="599" t="str">
        <f>IFERROR(INDEX('Annex 2_Code'!M$8:M$33,MATCH('Annex 3_MAFF'!$AG505,'Annex 2_Code'!$G$8:$G$33,0)),"")</f>
        <v/>
      </c>
      <c r="Y505" s="1756"/>
      <c r="Z505" s="1704"/>
      <c r="AA505" s="1704"/>
      <c r="AB505" s="1704"/>
      <c r="AC505" s="1757"/>
      <c r="AD505" s="634">
        <f>SUM(AD488:AD504)</f>
        <v>175.7217</v>
      </c>
      <c r="AE505" s="602">
        <f t="shared" si="675"/>
        <v>0</v>
      </c>
      <c r="AF505" s="605"/>
      <c r="AG505" s="605"/>
      <c r="AH505" s="605" t="str">
        <f>IFERROR(INDEX('Annex 2_Code'!$J$114:$J$131,MATCH('Annex 3_MAFF'!AF505,'Annex 2_Code'!$G$114:$G$131,0)),"")</f>
        <v/>
      </c>
      <c r="AI505" s="646" t="str">
        <f t="shared" si="643"/>
        <v/>
      </c>
      <c r="AK505" s="740">
        <f>SUM(S463:S470)+SUM(S473:S482)+SUM(S493:S498)+SUM(S501:S503)+S488</f>
        <v>782.51132000000018</v>
      </c>
      <c r="AL505" s="742" t="s">
        <v>132</v>
      </c>
    </row>
    <row r="506" spans="1:41" s="637" customFormat="1" ht="23.25" customHeight="1">
      <c r="A506" s="587"/>
      <c r="B506" s="659"/>
      <c r="C506" s="782"/>
      <c r="D506" s="999"/>
      <c r="E506" s="982" t="s">
        <v>708</v>
      </c>
      <c r="F506" s="1000"/>
      <c r="G506" s="1001"/>
      <c r="H506" s="1002"/>
      <c r="I506" s="1003"/>
      <c r="J506" s="1004"/>
      <c r="K506" s="1005"/>
      <c r="L506" s="1005"/>
      <c r="M506" s="1005"/>
      <c r="N506" s="1006"/>
      <c r="O506" s="990">
        <f>SUM(O505,O486)</f>
        <v>202.31868</v>
      </c>
      <c r="P506" s="991">
        <f>SUM(P505,P486)</f>
        <v>208.34038000000001</v>
      </c>
      <c r="Q506" s="991">
        <f>SUM(Q505,Q486)</f>
        <v>227.61868000000001</v>
      </c>
      <c r="R506" s="991">
        <f>SUM(R505,R486)</f>
        <v>183.53528</v>
      </c>
      <c r="S506" s="2495">
        <f>SUM(S505,S486)</f>
        <v>821.81302000000005</v>
      </c>
      <c r="T506" s="599"/>
      <c r="U506" s="599"/>
      <c r="V506" s="599"/>
      <c r="W506" s="599"/>
      <c r="X506" s="599"/>
      <c r="Y506" s="1746"/>
      <c r="Z506" s="1747"/>
      <c r="AA506" s="1747"/>
      <c r="AB506" s="1747"/>
      <c r="AC506" s="1748"/>
      <c r="AD506" s="634"/>
      <c r="AE506" s="602"/>
      <c r="AF506" s="605"/>
      <c r="AG506" s="605"/>
      <c r="AH506" s="605"/>
      <c r="AI506" s="646"/>
      <c r="AK506" s="740"/>
      <c r="AL506" s="742"/>
    </row>
    <row r="507" spans="1:41" s="637" customFormat="1" ht="35.25" customHeight="1">
      <c r="A507" s="587"/>
      <c r="B507" s="659" t="s">
        <v>54</v>
      </c>
      <c r="C507" s="782"/>
      <c r="D507" s="701"/>
      <c r="E507" s="2627" t="s">
        <v>663</v>
      </c>
      <c r="F507" s="2627"/>
      <c r="G507" s="2627"/>
      <c r="H507" s="782"/>
      <c r="I507" s="845"/>
      <c r="J507" s="846"/>
      <c r="K507" s="847"/>
      <c r="L507" s="784"/>
      <c r="M507" s="784"/>
      <c r="N507" s="731"/>
      <c r="O507" s="848"/>
      <c r="P507" s="849"/>
      <c r="Q507" s="849"/>
      <c r="R507" s="850" t="s">
        <v>565</v>
      </c>
      <c r="S507" s="2496">
        <f>SUM(O506:R506)</f>
        <v>821.81302000000005</v>
      </c>
      <c r="T507" s="599"/>
      <c r="U507" s="599"/>
      <c r="V507" s="599"/>
      <c r="W507" s="599"/>
      <c r="X507" s="599"/>
      <c r="Y507" s="647"/>
      <c r="Z507" s="600"/>
      <c r="AA507" s="600">
        <f t="shared" si="639"/>
        <v>0</v>
      </c>
      <c r="AB507" s="600"/>
      <c r="AC507" s="601"/>
      <c r="AD507" s="602">
        <f t="shared" si="674"/>
        <v>0</v>
      </c>
      <c r="AE507" s="602">
        <f t="shared" si="675"/>
        <v>-821.81302000000005</v>
      </c>
      <c r="AF507" s="605"/>
      <c r="AG507" s="605"/>
      <c r="AH507" s="605"/>
      <c r="AI507" s="646"/>
      <c r="AL507" s="625"/>
    </row>
    <row r="508" spans="1:41" s="637" customFormat="1" ht="40.5" customHeight="1" outlineLevel="1">
      <c r="A508" s="587"/>
      <c r="B508" s="659" t="s">
        <v>1463</v>
      </c>
      <c r="C508" s="782" t="s">
        <v>133</v>
      </c>
      <c r="D508" s="701"/>
      <c r="E508" s="307"/>
      <c r="F508" s="2628" t="s">
        <v>906</v>
      </c>
      <c r="G508" s="2628"/>
      <c r="H508" s="811" t="s">
        <v>591</v>
      </c>
      <c r="I508" s="572">
        <f>8330/1000</f>
        <v>8.33</v>
      </c>
      <c r="J508" s="1482">
        <v>1</v>
      </c>
      <c r="K508" s="1478">
        <v>1</v>
      </c>
      <c r="L508" s="1478">
        <v>1</v>
      </c>
      <c r="M508" s="1478">
        <v>1</v>
      </c>
      <c r="N508" s="1472">
        <f>SUM(J505:M508)</f>
        <v>4</v>
      </c>
      <c r="O508" s="622">
        <f>$I508*J508</f>
        <v>8.33</v>
      </c>
      <c r="P508" s="623">
        <f>$I508*K508</f>
        <v>8.33</v>
      </c>
      <c r="Q508" s="623">
        <f>$I508*L508</f>
        <v>8.33</v>
      </c>
      <c r="R508" s="623">
        <f>$I508*M508</f>
        <v>8.33</v>
      </c>
      <c r="S508" s="1356">
        <f>SUM(O508:R508)</f>
        <v>33.32</v>
      </c>
      <c r="T508" s="599">
        <f>IFERROR(INDEX('Annex 2_Code'!I$8:I$33,MATCH('Annex 3_MAFF'!$AG508,'Annex 2_Code'!$G$8:$G$33,0)),"")</f>
        <v>0</v>
      </c>
      <c r="U508" s="599">
        <f>IFERROR(INDEX('Annex 2_Code'!J$8:J$33,MATCH('Annex 3_MAFF'!$AG508,'Annex 2_Code'!$G$8:$G$33,0)),"")</f>
        <v>0</v>
      </c>
      <c r="V508" s="599">
        <f>IFERROR(INDEX('Annex 2_Code'!K$8:K$33,MATCH('Annex 3_MAFF'!$AG508,'Annex 2_Code'!$G$8:$G$33,0)),"")</f>
        <v>1</v>
      </c>
      <c r="W508" s="599">
        <f>IFERROR(INDEX('Annex 2_Code'!L$8:L$33,MATCH('Annex 3_MAFF'!$AG508,'Annex 2_Code'!$G$8:$G$33,0)),"")</f>
        <v>0</v>
      </c>
      <c r="X508" s="599">
        <f>IFERROR(INDEX('Annex 2_Code'!M$8:M$33,MATCH('Annex 3_MAFF'!$AG508,'Annex 2_Code'!$G$8:$G$33,0)),"")</f>
        <v>0</v>
      </c>
      <c r="Y508" s="647">
        <f t="shared" si="638"/>
        <v>0</v>
      </c>
      <c r="Z508" s="600">
        <f t="shared" si="639"/>
        <v>0</v>
      </c>
      <c r="AA508" s="600">
        <f t="shared" si="639"/>
        <v>33.32</v>
      </c>
      <c r="AB508" s="600">
        <f t="shared" si="640"/>
        <v>0</v>
      </c>
      <c r="AC508" s="601">
        <f t="shared" si="641"/>
        <v>0</v>
      </c>
      <c r="AD508" s="602">
        <f t="shared" si="674"/>
        <v>33.32</v>
      </c>
      <c r="AE508" s="602">
        <f t="shared" si="675"/>
        <v>0</v>
      </c>
      <c r="AF508" s="605" t="s">
        <v>374</v>
      </c>
      <c r="AG508" s="605" t="s">
        <v>205</v>
      </c>
      <c r="AH508" s="605" t="str">
        <f>IFERROR(INDEX('Annex 2_Code'!$J$114:$J$131,MATCH('Annex 3_MAFF'!AF508,'Annex 2_Code'!$G$114:$G$131,0)),"")</f>
        <v>MAFF</v>
      </c>
      <c r="AI508" s="646" t="str">
        <f t="shared" si="643"/>
        <v>MAFF</v>
      </c>
      <c r="AJ508" s="637" t="s">
        <v>450</v>
      </c>
      <c r="AL508" s="625"/>
    </row>
    <row r="509" spans="1:41" s="637" customFormat="1" ht="23.25">
      <c r="A509" s="587"/>
      <c r="B509" s="659" t="s">
        <v>54</v>
      </c>
      <c r="C509" s="782"/>
      <c r="D509" s="992"/>
      <c r="E509" s="982" t="s">
        <v>707</v>
      </c>
      <c r="F509" s="993"/>
      <c r="G509" s="994"/>
      <c r="H509" s="995" t="s">
        <v>12</v>
      </c>
      <c r="I509" s="996"/>
      <c r="J509" s="1490">
        <f>J508</f>
        <v>1</v>
      </c>
      <c r="K509" s="1491">
        <f>K508</f>
        <v>1</v>
      </c>
      <c r="L509" s="1491">
        <f>L508</f>
        <v>1</v>
      </c>
      <c r="M509" s="1491">
        <f>M508</f>
        <v>1</v>
      </c>
      <c r="N509" s="1492">
        <f>N508</f>
        <v>4</v>
      </c>
      <c r="O509" s="997">
        <f>SUM(O508)</f>
        <v>8.33</v>
      </c>
      <c r="P509" s="998">
        <f>SUM(P508)</f>
        <v>8.33</v>
      </c>
      <c r="Q509" s="998">
        <f>SUM(Q508)</f>
        <v>8.33</v>
      </c>
      <c r="R509" s="998">
        <f>SUM(R508)</f>
        <v>8.33</v>
      </c>
      <c r="S509" s="1431">
        <f>SUM(S508)</f>
        <v>33.32</v>
      </c>
      <c r="T509" s="599" t="str">
        <f>IFERROR(INDEX('Annex 2_Code'!I$8:I$33,MATCH('Annex 3_MAFF'!$AG509,'Annex 2_Code'!$G$8:$G$33,0)),"")</f>
        <v/>
      </c>
      <c r="U509" s="599" t="str">
        <f>IFERROR(INDEX('Annex 2_Code'!J$8:J$33,MATCH('Annex 3_MAFF'!$AG509,'Annex 2_Code'!$G$8:$G$33,0)),"")</f>
        <v/>
      </c>
      <c r="V509" s="599" t="str">
        <f>IFERROR(INDEX('Annex 2_Code'!K$8:K$33,MATCH('Annex 3_MAFF'!$AG509,'Annex 2_Code'!$G$8:$G$33,0)),"")</f>
        <v/>
      </c>
      <c r="W509" s="599" t="str">
        <f>IFERROR(INDEX('Annex 2_Code'!L$8:L$33,MATCH('Annex 3_MAFF'!$AG509,'Annex 2_Code'!$G$8:$G$33,0)),"")</f>
        <v/>
      </c>
      <c r="X509" s="599" t="str">
        <f>IFERROR(INDEX('Annex 2_Code'!M$8:M$33,MATCH('Annex 3_MAFF'!$AG509,'Annex 2_Code'!$G$8:$G$33,0)),"")</f>
        <v/>
      </c>
      <c r="Y509" s="647" t="str">
        <f t="shared" si="638"/>
        <v/>
      </c>
      <c r="Z509" s="600" t="str">
        <f t="shared" si="639"/>
        <v/>
      </c>
      <c r="AA509" s="600" t="str">
        <f t="shared" si="639"/>
        <v/>
      </c>
      <c r="AB509" s="600" t="str">
        <f t="shared" si="640"/>
        <v/>
      </c>
      <c r="AC509" s="601" t="str">
        <f t="shared" si="641"/>
        <v/>
      </c>
      <c r="AD509" s="602">
        <f t="shared" si="674"/>
        <v>0</v>
      </c>
      <c r="AE509" s="602">
        <f t="shared" si="675"/>
        <v>-33.32</v>
      </c>
      <c r="AF509" s="605"/>
      <c r="AG509" s="605"/>
      <c r="AH509" s="605" t="str">
        <f>IFERROR(INDEX('Annex 2_Code'!$J$114:$J$131,MATCH('Annex 3_MAFF'!AF509,'Annex 2_Code'!$G$114:$G$131,0)),"")</f>
        <v/>
      </c>
      <c r="AI509" s="646" t="str">
        <f t="shared" si="643"/>
        <v/>
      </c>
      <c r="AK509" s="740">
        <f>SUM(S508)</f>
        <v>33.32</v>
      </c>
      <c r="AL509" s="781" t="s">
        <v>133</v>
      </c>
    </row>
    <row r="510" spans="1:41" s="637" customFormat="1" ht="45" customHeight="1">
      <c r="A510" s="587"/>
      <c r="B510" s="659" t="s">
        <v>54</v>
      </c>
      <c r="C510" s="782"/>
      <c r="D510" s="701"/>
      <c r="E510" s="2629" t="s">
        <v>664</v>
      </c>
      <c r="F510" s="2629"/>
      <c r="G510" s="2629"/>
      <c r="H510" s="782" t="s">
        <v>12</v>
      </c>
      <c r="I510" s="572"/>
      <c r="J510" s="783"/>
      <c r="K510" s="784"/>
      <c r="L510" s="784"/>
      <c r="M510" s="784"/>
      <c r="N510" s="731"/>
      <c r="O510" s="622"/>
      <c r="P510" s="623"/>
      <c r="Q510" s="623"/>
      <c r="R510" s="739" t="s">
        <v>1023</v>
      </c>
      <c r="S510" s="1366">
        <f>SUM(O509:R509)</f>
        <v>33.32</v>
      </c>
      <c r="T510" s="599" t="str">
        <f>IFERROR(INDEX('Annex 2_Code'!I$8:I$33,MATCH('Annex 3_MAFF'!$AG510,'Annex 2_Code'!$G$8:$G$33,0)),"")</f>
        <v/>
      </c>
      <c r="U510" s="599" t="str">
        <f>IFERROR(INDEX('Annex 2_Code'!J$8:J$33,MATCH('Annex 3_MAFF'!$AG510,'Annex 2_Code'!$G$8:$G$33,0)),"")</f>
        <v/>
      </c>
      <c r="V510" s="599" t="str">
        <f>IFERROR(INDEX('Annex 2_Code'!K$8:K$33,MATCH('Annex 3_MAFF'!$AG510,'Annex 2_Code'!$G$8:$G$33,0)),"")</f>
        <v/>
      </c>
      <c r="W510" s="599" t="str">
        <f>IFERROR(INDEX('Annex 2_Code'!L$8:L$33,MATCH('Annex 3_MAFF'!$AG510,'Annex 2_Code'!$G$8:$G$33,0)),"")</f>
        <v/>
      </c>
      <c r="X510" s="599" t="str">
        <f>IFERROR(INDEX('Annex 2_Code'!M$8:M$33,MATCH('Annex 3_MAFF'!$AG510,'Annex 2_Code'!$G$8:$G$33,0)),"")</f>
        <v/>
      </c>
      <c r="Y510" s="647" t="str">
        <f t="shared" si="638"/>
        <v/>
      </c>
      <c r="Z510" s="600" t="str">
        <f t="shared" si="639"/>
        <v/>
      </c>
      <c r="AA510" s="600" t="str">
        <f t="shared" si="639"/>
        <v/>
      </c>
      <c r="AB510" s="600" t="str">
        <f t="shared" si="640"/>
        <v/>
      </c>
      <c r="AC510" s="601" t="str">
        <f t="shared" si="641"/>
        <v/>
      </c>
      <c r="AD510" s="602">
        <f t="shared" si="674"/>
        <v>0</v>
      </c>
      <c r="AE510" s="602">
        <f t="shared" si="675"/>
        <v>-33.32</v>
      </c>
      <c r="AF510" s="605"/>
      <c r="AG510" s="605"/>
      <c r="AH510" s="605" t="str">
        <f>IFERROR(INDEX('Annex 2_Code'!$J$114:$J$131,MATCH('Annex 3_MAFF'!AF510,'Annex 2_Code'!$G$114:$G$131,0)),"")</f>
        <v/>
      </c>
      <c r="AI510" s="646" t="str">
        <f t="shared" si="643"/>
        <v/>
      </c>
    </row>
    <row r="511" spans="1:41" s="637" customFormat="1" ht="23.25">
      <c r="A511" s="587"/>
      <c r="B511" s="659" t="s">
        <v>54</v>
      </c>
      <c r="C511" s="782"/>
      <c r="D511" s="701"/>
      <c r="E511" s="240" t="s">
        <v>665</v>
      </c>
      <c r="F511" s="626"/>
      <c r="G511" s="616"/>
      <c r="H511" s="782"/>
      <c r="I511" s="572"/>
      <c r="J511" s="783"/>
      <c r="K511" s="784"/>
      <c r="L511" s="784"/>
      <c r="M511" s="784"/>
      <c r="N511" s="731"/>
      <c r="O511" s="622"/>
      <c r="P511" s="623"/>
      <c r="Q511" s="623"/>
      <c r="R511" s="623"/>
      <c r="S511" s="1356"/>
      <c r="T511" s="599"/>
      <c r="U511" s="599"/>
      <c r="V511" s="599"/>
      <c r="W511" s="599"/>
      <c r="X511" s="599"/>
      <c r="Y511" s="647"/>
      <c r="Z511" s="600"/>
      <c r="AA511" s="600">
        <f t="shared" si="639"/>
        <v>0</v>
      </c>
      <c r="AB511" s="600"/>
      <c r="AC511" s="601"/>
      <c r="AD511" s="602"/>
      <c r="AE511" s="602"/>
      <c r="AF511" s="605"/>
      <c r="AG511" s="605"/>
      <c r="AH511" s="605"/>
      <c r="AI511" s="646"/>
    </row>
    <row r="512" spans="1:41" s="1950" customFormat="1" ht="23.25" outlineLevel="1">
      <c r="A512" s="1940"/>
      <c r="B512" s="1391" t="s">
        <v>1452</v>
      </c>
      <c r="C512" s="2141" t="s">
        <v>125</v>
      </c>
      <c r="D512" s="1931"/>
      <c r="E512" s="1930"/>
      <c r="F512" s="1942" t="s">
        <v>1444</v>
      </c>
      <c r="G512" s="2173"/>
      <c r="H512" s="1944" t="s">
        <v>1407</v>
      </c>
      <c r="I512" s="1914">
        <f>3300/1000</f>
        <v>3.3</v>
      </c>
      <c r="J512" s="2142">
        <v>1.5</v>
      </c>
      <c r="K512" s="2143">
        <v>1.5</v>
      </c>
      <c r="L512" s="2143">
        <v>1.5</v>
      </c>
      <c r="M512" s="2143">
        <v>1.5</v>
      </c>
      <c r="N512" s="2144">
        <f t="shared" ref="N512:N517" si="681">SUM(J512:M512)</f>
        <v>6</v>
      </c>
      <c r="O512" s="2145">
        <f>($I512*J512)</f>
        <v>4.9499999999999993</v>
      </c>
      <c r="P512" s="2146">
        <f t="shared" ref="P512:R517" si="682">($I512*K512)</f>
        <v>4.9499999999999993</v>
      </c>
      <c r="Q512" s="2146">
        <f t="shared" si="682"/>
        <v>4.9499999999999993</v>
      </c>
      <c r="R512" s="2146">
        <f t="shared" si="682"/>
        <v>4.9499999999999993</v>
      </c>
      <c r="S512" s="1356">
        <f t="shared" ref="S512:S517" si="683">SUM(O512:R512)</f>
        <v>19.799999999999997</v>
      </c>
      <c r="T512" s="1949">
        <f>IFERROR(INDEX('Annex 2_Code'!I$8:I$33,MATCH('Annex 3_MAFF'!$AG512,'Annex 2_Code'!$G$8:$G$33,0)),"")</f>
        <v>1</v>
      </c>
      <c r="U512" s="1949">
        <f>IFERROR(INDEX('Annex 2_Code'!J$8:J$33,MATCH('Annex 3_MAFF'!$AG512,'Annex 2_Code'!$G$8:$G$33,0)),"")</f>
        <v>0</v>
      </c>
      <c r="V512" s="1949">
        <f>IFERROR(INDEX('Annex 2_Code'!K$8:K$33,MATCH('Annex 3_MAFF'!$AG512,'Annex 2_Code'!$G$8:$G$33,0)),"")</f>
        <v>0</v>
      </c>
      <c r="W512" s="1949">
        <f>IFERROR(INDEX('Annex 2_Code'!L$8:L$33,MATCH('Annex 3_MAFF'!$AG512,'Annex 2_Code'!$G$8:$G$33,0)),"")</f>
        <v>0</v>
      </c>
      <c r="X512" s="1949">
        <f>IFERROR(INDEX('Annex 2_Code'!M$8:M$33,MATCH('Annex 3_MAFF'!$AG512,'Annex 2_Code'!$G$8:$G$33,0)),"")</f>
        <v>0</v>
      </c>
      <c r="Y512" s="1933">
        <f t="shared" si="638"/>
        <v>19.799999999999997</v>
      </c>
      <c r="Z512" s="1934">
        <f t="shared" si="639"/>
        <v>0</v>
      </c>
      <c r="AA512" s="1934">
        <f t="shared" si="639"/>
        <v>0</v>
      </c>
      <c r="AB512" s="1934">
        <f t="shared" si="640"/>
        <v>0</v>
      </c>
      <c r="AC512" s="1935">
        <f t="shared" si="641"/>
        <v>0</v>
      </c>
      <c r="AD512" s="1936">
        <f t="shared" si="674"/>
        <v>19.799999999999997</v>
      </c>
      <c r="AE512" s="1936">
        <f t="shared" si="675"/>
        <v>0</v>
      </c>
      <c r="AF512" s="1937" t="s">
        <v>374</v>
      </c>
      <c r="AG512" s="605" t="s">
        <v>209</v>
      </c>
      <c r="AH512" s="1937" t="str">
        <f>IFERROR(INDEX('Annex 2_Code'!$J$114:$J$131,MATCH('Annex 3_MAFF'!AF512,'Annex 2_Code'!$G$114:$G$131,0)),"")</f>
        <v>MAFF</v>
      </c>
      <c r="AI512" s="646" t="str">
        <f t="shared" si="643"/>
        <v>MAFF</v>
      </c>
      <c r="AJ512" s="1950" t="s">
        <v>449</v>
      </c>
    </row>
    <row r="513" spans="1:36" s="1950" customFormat="1" ht="42.75" customHeight="1" outlineLevel="1">
      <c r="A513" s="1940"/>
      <c r="B513" s="1391" t="s">
        <v>1452</v>
      </c>
      <c r="C513" s="2141" t="s">
        <v>125</v>
      </c>
      <c r="D513" s="1931"/>
      <c r="E513" s="1930"/>
      <c r="F513" s="2623" t="s">
        <v>1441</v>
      </c>
      <c r="G513" s="2623"/>
      <c r="H513" s="1944" t="s">
        <v>1407</v>
      </c>
      <c r="I513" s="1914">
        <f>3300/1000</f>
        <v>3.3</v>
      </c>
      <c r="J513" s="2142">
        <v>1.5</v>
      </c>
      <c r="K513" s="2143">
        <v>1.33</v>
      </c>
      <c r="L513" s="2143">
        <v>1.2</v>
      </c>
      <c r="M513" s="2143">
        <v>1.2</v>
      </c>
      <c r="N513" s="2144">
        <f t="shared" si="681"/>
        <v>5.23</v>
      </c>
      <c r="O513" s="2145">
        <f t="shared" ref="O513:O546" si="684">($I513*J513)</f>
        <v>4.9499999999999993</v>
      </c>
      <c r="P513" s="2146">
        <f t="shared" si="682"/>
        <v>4.3890000000000002</v>
      </c>
      <c r="Q513" s="2146">
        <f t="shared" si="682"/>
        <v>3.9599999999999995</v>
      </c>
      <c r="R513" s="2146">
        <f t="shared" si="682"/>
        <v>3.9599999999999995</v>
      </c>
      <c r="S513" s="1356">
        <f t="shared" si="683"/>
        <v>17.258999999999997</v>
      </c>
      <c r="T513" s="1949">
        <f>IFERROR(INDEX('Annex 2_Code'!I$8:I$33,MATCH('Annex 3_MAFF'!$AG513,'Annex 2_Code'!$G$8:$G$33,0)),"")</f>
        <v>1</v>
      </c>
      <c r="U513" s="1949">
        <f>IFERROR(INDEX('Annex 2_Code'!J$8:J$33,MATCH('Annex 3_MAFF'!$AG513,'Annex 2_Code'!$G$8:$G$33,0)),"")</f>
        <v>0</v>
      </c>
      <c r="V513" s="1949">
        <f>IFERROR(INDEX('Annex 2_Code'!K$8:K$33,MATCH('Annex 3_MAFF'!$AG513,'Annex 2_Code'!$G$8:$G$33,0)),"")</f>
        <v>0</v>
      </c>
      <c r="W513" s="1949">
        <f>IFERROR(INDEX('Annex 2_Code'!L$8:L$33,MATCH('Annex 3_MAFF'!$AG513,'Annex 2_Code'!$G$8:$G$33,0)),"")</f>
        <v>0</v>
      </c>
      <c r="X513" s="1949">
        <f>IFERROR(INDEX('Annex 2_Code'!M$8:M$33,MATCH('Annex 3_MAFF'!$AG513,'Annex 2_Code'!$G$8:$G$33,0)),"")</f>
        <v>0</v>
      </c>
      <c r="Y513" s="1933">
        <f t="shared" si="638"/>
        <v>17.258999999999997</v>
      </c>
      <c r="Z513" s="1934">
        <f t="shared" si="639"/>
        <v>0</v>
      </c>
      <c r="AA513" s="1934">
        <f t="shared" si="639"/>
        <v>0</v>
      </c>
      <c r="AB513" s="1934">
        <f t="shared" si="640"/>
        <v>0</v>
      </c>
      <c r="AC513" s="1935">
        <f t="shared" si="641"/>
        <v>0</v>
      </c>
      <c r="AD513" s="1936">
        <f t="shared" si="674"/>
        <v>17.258999999999997</v>
      </c>
      <c r="AE513" s="1936">
        <f t="shared" si="675"/>
        <v>0</v>
      </c>
      <c r="AF513" s="1937" t="s">
        <v>374</v>
      </c>
      <c r="AG513" s="605" t="s">
        <v>209</v>
      </c>
      <c r="AH513" s="1937" t="str">
        <f>IFERROR(INDEX('Annex 2_Code'!$J$114:$J$131,MATCH('Annex 3_MAFF'!AF513,'Annex 2_Code'!$G$114:$G$131,0)),"")</f>
        <v>MAFF</v>
      </c>
      <c r="AI513" s="646" t="str">
        <f t="shared" si="643"/>
        <v>MAFF</v>
      </c>
      <c r="AJ513" s="1950" t="s">
        <v>449</v>
      </c>
    </row>
    <row r="514" spans="1:36" s="1950" customFormat="1" ht="23.25" outlineLevel="1">
      <c r="A514" s="1940"/>
      <c r="B514" s="1391" t="s">
        <v>1452</v>
      </c>
      <c r="C514" s="2141" t="s">
        <v>125</v>
      </c>
      <c r="D514" s="1931"/>
      <c r="E514" s="1930"/>
      <c r="F514" s="1942" t="s">
        <v>1442</v>
      </c>
      <c r="G514" s="2173"/>
      <c r="H514" s="1944" t="s">
        <v>1407</v>
      </c>
      <c r="I514" s="1914">
        <f>3500/1000</f>
        <v>3.5</v>
      </c>
      <c r="J514" s="2142">
        <v>1.5</v>
      </c>
      <c r="K514" s="2143">
        <v>1.5</v>
      </c>
      <c r="L514" s="2143">
        <v>1.42</v>
      </c>
      <c r="M514" s="2143">
        <v>1.2</v>
      </c>
      <c r="N514" s="2144">
        <f t="shared" si="681"/>
        <v>5.62</v>
      </c>
      <c r="O514" s="2145">
        <f t="shared" si="684"/>
        <v>5.25</v>
      </c>
      <c r="P514" s="2146">
        <f t="shared" si="682"/>
        <v>5.25</v>
      </c>
      <c r="Q514" s="2146">
        <f t="shared" si="682"/>
        <v>4.97</v>
      </c>
      <c r="R514" s="2146">
        <f t="shared" si="682"/>
        <v>4.2</v>
      </c>
      <c r="S514" s="1356">
        <f t="shared" si="683"/>
        <v>19.669999999999998</v>
      </c>
      <c r="T514" s="1949">
        <f>IFERROR(INDEX('Annex 2_Code'!I$8:I$33,MATCH('Annex 3_MAFF'!$AG514,'Annex 2_Code'!$G$8:$G$33,0)),"")</f>
        <v>1</v>
      </c>
      <c r="U514" s="1949">
        <f>IFERROR(INDEX('Annex 2_Code'!J$8:J$33,MATCH('Annex 3_MAFF'!$AG514,'Annex 2_Code'!$G$8:$G$33,0)),"")</f>
        <v>0</v>
      </c>
      <c r="V514" s="1949">
        <f>IFERROR(INDEX('Annex 2_Code'!K$8:K$33,MATCH('Annex 3_MAFF'!$AG514,'Annex 2_Code'!$G$8:$G$33,0)),"")</f>
        <v>0</v>
      </c>
      <c r="W514" s="1949">
        <f>IFERROR(INDEX('Annex 2_Code'!L$8:L$33,MATCH('Annex 3_MAFF'!$AG514,'Annex 2_Code'!$G$8:$G$33,0)),"")</f>
        <v>0</v>
      </c>
      <c r="X514" s="1949">
        <f>IFERROR(INDEX('Annex 2_Code'!M$8:M$33,MATCH('Annex 3_MAFF'!$AG514,'Annex 2_Code'!$G$8:$G$33,0)),"")</f>
        <v>0</v>
      </c>
      <c r="Y514" s="1933">
        <f t="shared" si="638"/>
        <v>19.669999999999998</v>
      </c>
      <c r="Z514" s="1934">
        <f t="shared" si="639"/>
        <v>0</v>
      </c>
      <c r="AA514" s="1934">
        <f t="shared" si="639"/>
        <v>0</v>
      </c>
      <c r="AB514" s="1934">
        <f t="shared" si="640"/>
        <v>0</v>
      </c>
      <c r="AC514" s="1935">
        <f t="shared" si="641"/>
        <v>0</v>
      </c>
      <c r="AD514" s="1936">
        <f t="shared" si="674"/>
        <v>19.669999999999998</v>
      </c>
      <c r="AE514" s="1936">
        <f t="shared" si="675"/>
        <v>0</v>
      </c>
      <c r="AF514" s="1937" t="s">
        <v>374</v>
      </c>
      <c r="AG514" s="605" t="s">
        <v>209</v>
      </c>
      <c r="AH514" s="1937" t="str">
        <f>IFERROR(INDEX('Annex 2_Code'!$J$114:$J$131,MATCH('Annex 3_MAFF'!AF514,'Annex 2_Code'!$G$114:$G$131,0)),"")</f>
        <v>MAFF</v>
      </c>
      <c r="AI514" s="646" t="str">
        <f t="shared" si="643"/>
        <v>MAFF</v>
      </c>
      <c r="AJ514" s="1950" t="s">
        <v>449</v>
      </c>
    </row>
    <row r="515" spans="1:36" s="1950" customFormat="1" ht="39" customHeight="1" outlineLevel="1">
      <c r="A515" s="1940"/>
      <c r="B515" s="1391" t="s">
        <v>1452</v>
      </c>
      <c r="C515" s="2141" t="s">
        <v>125</v>
      </c>
      <c r="D515" s="1931"/>
      <c r="E515" s="1930"/>
      <c r="F515" s="2623" t="s">
        <v>1443</v>
      </c>
      <c r="G515" s="2623"/>
      <c r="H515" s="1944" t="s">
        <v>1407</v>
      </c>
      <c r="I515" s="1914">
        <f>3500/1000</f>
        <v>3.5</v>
      </c>
      <c r="J515" s="2142">
        <v>1.5</v>
      </c>
      <c r="K515" s="2143">
        <v>1.5</v>
      </c>
      <c r="L515" s="2143">
        <v>1.2</v>
      </c>
      <c r="M515" s="2143">
        <v>1.2</v>
      </c>
      <c r="N515" s="2144">
        <f t="shared" si="681"/>
        <v>5.4</v>
      </c>
      <c r="O515" s="2145">
        <f t="shared" si="684"/>
        <v>5.25</v>
      </c>
      <c r="P515" s="2146">
        <f t="shared" si="682"/>
        <v>5.25</v>
      </c>
      <c r="Q515" s="2146">
        <f t="shared" si="682"/>
        <v>4.2</v>
      </c>
      <c r="R515" s="2146">
        <f t="shared" si="682"/>
        <v>4.2</v>
      </c>
      <c r="S515" s="1356">
        <f t="shared" si="683"/>
        <v>18.899999999999999</v>
      </c>
      <c r="T515" s="1949">
        <f>IFERROR(INDEX('Annex 2_Code'!I$8:I$33,MATCH('Annex 3_MAFF'!$AG515,'Annex 2_Code'!$G$8:$G$33,0)),"")</f>
        <v>1</v>
      </c>
      <c r="U515" s="1949">
        <f>IFERROR(INDEX('Annex 2_Code'!J$8:J$33,MATCH('Annex 3_MAFF'!$AG515,'Annex 2_Code'!$G$8:$G$33,0)),"")</f>
        <v>0</v>
      </c>
      <c r="V515" s="1949">
        <f>IFERROR(INDEX('Annex 2_Code'!K$8:K$33,MATCH('Annex 3_MAFF'!$AG515,'Annex 2_Code'!$G$8:$G$33,0)),"")</f>
        <v>0</v>
      </c>
      <c r="W515" s="1949">
        <f>IFERROR(INDEX('Annex 2_Code'!L$8:L$33,MATCH('Annex 3_MAFF'!$AG515,'Annex 2_Code'!$G$8:$G$33,0)),"")</f>
        <v>0</v>
      </c>
      <c r="X515" s="1949">
        <f>IFERROR(INDEX('Annex 2_Code'!M$8:M$33,MATCH('Annex 3_MAFF'!$AG515,'Annex 2_Code'!$G$8:$G$33,0)),"")</f>
        <v>0</v>
      </c>
      <c r="Y515" s="1933">
        <f t="shared" si="638"/>
        <v>18.899999999999999</v>
      </c>
      <c r="Z515" s="1934">
        <f t="shared" si="639"/>
        <v>0</v>
      </c>
      <c r="AA515" s="1934">
        <f t="shared" si="639"/>
        <v>0</v>
      </c>
      <c r="AB515" s="1934">
        <f t="shared" si="640"/>
        <v>0</v>
      </c>
      <c r="AC515" s="1935">
        <f t="shared" si="641"/>
        <v>0</v>
      </c>
      <c r="AD515" s="1936">
        <f t="shared" si="674"/>
        <v>18.899999999999999</v>
      </c>
      <c r="AE515" s="1936">
        <f t="shared" si="675"/>
        <v>0</v>
      </c>
      <c r="AF515" s="1937" t="s">
        <v>374</v>
      </c>
      <c r="AG515" s="605" t="s">
        <v>209</v>
      </c>
      <c r="AH515" s="1937" t="str">
        <f>IFERROR(INDEX('Annex 2_Code'!$J$114:$J$131,MATCH('Annex 3_MAFF'!AF515,'Annex 2_Code'!$G$114:$G$131,0)),"")</f>
        <v>MAFF</v>
      </c>
      <c r="AI515" s="646" t="str">
        <f t="shared" si="643"/>
        <v>MAFF</v>
      </c>
      <c r="AJ515" s="1950" t="s">
        <v>449</v>
      </c>
    </row>
    <row r="516" spans="1:36" s="1950" customFormat="1" ht="37.5" customHeight="1" outlineLevel="1">
      <c r="A516" s="1940"/>
      <c r="B516" s="1391" t="s">
        <v>1452</v>
      </c>
      <c r="C516" s="2141" t="s">
        <v>125</v>
      </c>
      <c r="D516" s="1931"/>
      <c r="E516" s="1930"/>
      <c r="F516" s="2623" t="s">
        <v>1445</v>
      </c>
      <c r="G516" s="2623"/>
      <c r="H516" s="1944" t="s">
        <v>1407</v>
      </c>
      <c r="I516" s="1914">
        <f>3500/1000</f>
        <v>3.5</v>
      </c>
      <c r="J516" s="2142">
        <v>1.5</v>
      </c>
      <c r="K516" s="2143">
        <v>1.5</v>
      </c>
      <c r="L516" s="2143">
        <v>1.5</v>
      </c>
      <c r="M516" s="2143">
        <v>1.5</v>
      </c>
      <c r="N516" s="2144">
        <f t="shared" si="681"/>
        <v>6</v>
      </c>
      <c r="O516" s="2145">
        <f t="shared" si="684"/>
        <v>5.25</v>
      </c>
      <c r="P516" s="2146">
        <f t="shared" si="682"/>
        <v>5.25</v>
      </c>
      <c r="Q516" s="2146">
        <f t="shared" si="682"/>
        <v>5.25</v>
      </c>
      <c r="R516" s="2146">
        <f t="shared" si="682"/>
        <v>5.25</v>
      </c>
      <c r="S516" s="1356">
        <f t="shared" si="683"/>
        <v>21</v>
      </c>
      <c r="T516" s="1949">
        <f>IFERROR(INDEX('Annex 2_Code'!I$8:I$33,MATCH('Annex 3_MAFF'!$AG516,'Annex 2_Code'!$G$8:$G$33,0)),"")</f>
        <v>1</v>
      </c>
      <c r="U516" s="1949">
        <f>IFERROR(INDEX('Annex 2_Code'!J$8:J$33,MATCH('Annex 3_MAFF'!$AG516,'Annex 2_Code'!$G$8:$G$33,0)),"")</f>
        <v>0</v>
      </c>
      <c r="V516" s="1949">
        <f>IFERROR(INDEX('Annex 2_Code'!K$8:K$33,MATCH('Annex 3_MAFF'!$AG516,'Annex 2_Code'!$G$8:$G$33,0)),"")</f>
        <v>0</v>
      </c>
      <c r="W516" s="1949">
        <f>IFERROR(INDEX('Annex 2_Code'!L$8:L$33,MATCH('Annex 3_MAFF'!$AG516,'Annex 2_Code'!$G$8:$G$33,0)),"")</f>
        <v>0</v>
      </c>
      <c r="X516" s="1949">
        <f>IFERROR(INDEX('Annex 2_Code'!M$8:M$33,MATCH('Annex 3_MAFF'!$AG516,'Annex 2_Code'!$G$8:$G$33,0)),"")</f>
        <v>0</v>
      </c>
      <c r="Y516" s="1933">
        <f t="shared" si="638"/>
        <v>21</v>
      </c>
      <c r="Z516" s="1934">
        <f t="shared" si="639"/>
        <v>0</v>
      </c>
      <c r="AA516" s="1934">
        <f t="shared" si="639"/>
        <v>0</v>
      </c>
      <c r="AB516" s="1934">
        <f t="shared" si="640"/>
        <v>0</v>
      </c>
      <c r="AC516" s="1935">
        <f t="shared" si="641"/>
        <v>0</v>
      </c>
      <c r="AD516" s="1936">
        <f t="shared" si="674"/>
        <v>21</v>
      </c>
      <c r="AE516" s="1936">
        <f t="shared" si="675"/>
        <v>0</v>
      </c>
      <c r="AF516" s="1937" t="s">
        <v>374</v>
      </c>
      <c r="AG516" s="605" t="s">
        <v>209</v>
      </c>
      <c r="AH516" s="1937" t="str">
        <f>IFERROR(INDEX('Annex 2_Code'!$J$114:$J$131,MATCH('Annex 3_MAFF'!AF516,'Annex 2_Code'!$G$114:$G$131,0)),"")</f>
        <v>MAFF</v>
      </c>
      <c r="AI516" s="646" t="str">
        <f t="shared" si="643"/>
        <v>MAFF</v>
      </c>
      <c r="AJ516" s="1950" t="s">
        <v>449</v>
      </c>
    </row>
    <row r="517" spans="1:36" s="1950" customFormat="1" ht="23.25" outlineLevel="1">
      <c r="A517" s="1940"/>
      <c r="B517" s="1391" t="s">
        <v>1452</v>
      </c>
      <c r="C517" s="2141" t="s">
        <v>125</v>
      </c>
      <c r="D517" s="1931"/>
      <c r="E517" s="1930"/>
      <c r="F517" s="1942" t="s">
        <v>1446</v>
      </c>
      <c r="G517" s="2173"/>
      <c r="H517" s="1944" t="s">
        <v>1407</v>
      </c>
      <c r="I517" s="1914">
        <f>3300/1000</f>
        <v>3.3</v>
      </c>
      <c r="J517" s="2142">
        <v>2.7</v>
      </c>
      <c r="K517" s="2143">
        <v>2.7</v>
      </c>
      <c r="L517" s="2143">
        <v>2.7</v>
      </c>
      <c r="M517" s="2143">
        <v>2.5499999999999998</v>
      </c>
      <c r="N517" s="2144">
        <f t="shared" si="681"/>
        <v>10.650000000000002</v>
      </c>
      <c r="O517" s="2145">
        <f t="shared" si="684"/>
        <v>8.91</v>
      </c>
      <c r="P517" s="2146">
        <f t="shared" si="682"/>
        <v>8.91</v>
      </c>
      <c r="Q517" s="2146">
        <f t="shared" si="682"/>
        <v>8.91</v>
      </c>
      <c r="R517" s="2146">
        <f t="shared" si="682"/>
        <v>8.4149999999999991</v>
      </c>
      <c r="S517" s="1356">
        <f t="shared" si="683"/>
        <v>35.144999999999996</v>
      </c>
      <c r="T517" s="1949">
        <f>IFERROR(INDEX('Annex 2_Code'!I$8:I$33,MATCH('Annex 3_MAFF'!$AG517,'Annex 2_Code'!$G$8:$G$33,0)),"")</f>
        <v>1</v>
      </c>
      <c r="U517" s="1949">
        <f>IFERROR(INDEX('Annex 2_Code'!J$8:J$33,MATCH('Annex 3_MAFF'!$AG517,'Annex 2_Code'!$G$8:$G$33,0)),"")</f>
        <v>0</v>
      </c>
      <c r="V517" s="1949">
        <f>IFERROR(INDEX('Annex 2_Code'!K$8:K$33,MATCH('Annex 3_MAFF'!$AG517,'Annex 2_Code'!$G$8:$G$33,0)),"")</f>
        <v>0</v>
      </c>
      <c r="W517" s="1949">
        <f>IFERROR(INDEX('Annex 2_Code'!L$8:L$33,MATCH('Annex 3_MAFF'!$AG517,'Annex 2_Code'!$G$8:$G$33,0)),"")</f>
        <v>0</v>
      </c>
      <c r="X517" s="1949">
        <f>IFERROR(INDEX('Annex 2_Code'!M$8:M$33,MATCH('Annex 3_MAFF'!$AG517,'Annex 2_Code'!$G$8:$G$33,0)),"")</f>
        <v>0</v>
      </c>
      <c r="Y517" s="1933">
        <f t="shared" si="638"/>
        <v>35.144999999999996</v>
      </c>
      <c r="Z517" s="1934">
        <f t="shared" si="639"/>
        <v>0</v>
      </c>
      <c r="AA517" s="1934">
        <f t="shared" si="639"/>
        <v>0</v>
      </c>
      <c r="AB517" s="1934">
        <f t="shared" si="640"/>
        <v>0</v>
      </c>
      <c r="AC517" s="1935">
        <f t="shared" si="641"/>
        <v>0</v>
      </c>
      <c r="AD517" s="1936">
        <f t="shared" si="674"/>
        <v>35.144999999999996</v>
      </c>
      <c r="AE517" s="1936">
        <f t="shared" si="675"/>
        <v>0</v>
      </c>
      <c r="AF517" s="1937" t="s">
        <v>374</v>
      </c>
      <c r="AG517" s="605" t="s">
        <v>209</v>
      </c>
      <c r="AH517" s="1937" t="str">
        <f>IFERROR(INDEX('Annex 2_Code'!$J$114:$J$131,MATCH('Annex 3_MAFF'!AF517,'Annex 2_Code'!$G$114:$G$131,0)),"")</f>
        <v>MAFF</v>
      </c>
      <c r="AI517" s="646" t="str">
        <f t="shared" si="643"/>
        <v>MAFF</v>
      </c>
      <c r="AJ517" s="1950" t="s">
        <v>449</v>
      </c>
    </row>
    <row r="518" spans="1:36" s="902" customFormat="1" ht="23.25">
      <c r="A518" s="1357"/>
      <c r="B518" s="1391" t="s">
        <v>54</v>
      </c>
      <c r="C518" s="617"/>
      <c r="D518" s="1358"/>
      <c r="E518" s="1363" t="s">
        <v>434</v>
      </c>
      <c r="F518" s="1464"/>
      <c r="G518" s="1384"/>
      <c r="H518" s="823" t="s">
        <v>648</v>
      </c>
      <c r="I518" s="618"/>
      <c r="J518" s="1467"/>
      <c r="K518" s="1468"/>
      <c r="L518" s="1468"/>
      <c r="M518" s="1468"/>
      <c r="N518" s="1469">
        <v>0</v>
      </c>
      <c r="O518" s="1465"/>
      <c r="P518" s="1466"/>
      <c r="Q518" s="1466"/>
      <c r="R518" s="1466"/>
      <c r="S518" s="1356"/>
      <c r="T518" s="1379"/>
      <c r="U518" s="1379"/>
      <c r="V518" s="1379"/>
      <c r="W518" s="1379"/>
      <c r="X518" s="1379"/>
      <c r="Y518" s="1392"/>
      <c r="Z518" s="1359"/>
      <c r="AA518" s="1359">
        <f t="shared" si="639"/>
        <v>0</v>
      </c>
      <c r="AB518" s="1359"/>
      <c r="AC518" s="1360"/>
      <c r="AD518" s="1361"/>
      <c r="AE518" s="1361"/>
      <c r="AF518" s="1362"/>
      <c r="AG518" s="605"/>
      <c r="AH518" s="1362"/>
      <c r="AI518" s="646"/>
    </row>
    <row r="519" spans="1:36" s="902" customFormat="1" ht="23.25" outlineLevel="1">
      <c r="A519" s="1357"/>
      <c r="B519" s="1391" t="s">
        <v>54</v>
      </c>
      <c r="C519" s="617"/>
      <c r="D519" s="1358"/>
      <c r="E519" s="901"/>
      <c r="F519" s="1464" t="s">
        <v>907</v>
      </c>
      <c r="G519" s="1384"/>
      <c r="H519" s="823" t="s">
        <v>648</v>
      </c>
      <c r="I519" s="618"/>
      <c r="J519" s="1473"/>
      <c r="K519" s="1474"/>
      <c r="L519" s="1475"/>
      <c r="M519" s="1475"/>
      <c r="N519" s="1469">
        <v>0</v>
      </c>
      <c r="O519" s="1465"/>
      <c r="P519" s="1466"/>
      <c r="Q519" s="1466"/>
      <c r="R519" s="1466"/>
      <c r="S519" s="1356"/>
      <c r="T519" s="1379" t="str">
        <f>IFERROR(INDEX('Annex 2_Code'!I$8:I$33,MATCH('Annex 3_MAFF'!$AG519,'Annex 2_Code'!$G$8:$G$33,0)),"")</f>
        <v/>
      </c>
      <c r="U519" s="1379" t="str">
        <f>IFERROR(INDEX('Annex 2_Code'!J$8:J$33,MATCH('Annex 3_MAFF'!$AG519,'Annex 2_Code'!$G$8:$G$33,0)),"")</f>
        <v/>
      </c>
      <c r="V519" s="1379" t="str">
        <f>IFERROR(INDEX('Annex 2_Code'!K$8:K$33,MATCH('Annex 3_MAFF'!$AG519,'Annex 2_Code'!$G$8:$G$33,0)),"")</f>
        <v/>
      </c>
      <c r="W519" s="1379" t="str">
        <f>IFERROR(INDEX('Annex 2_Code'!L$8:L$33,MATCH('Annex 3_MAFF'!$AG519,'Annex 2_Code'!$G$8:$G$33,0)),"")</f>
        <v/>
      </c>
      <c r="X519" s="1379" t="str">
        <f>IFERROR(INDEX('Annex 2_Code'!M$8:M$33,MATCH('Annex 3_MAFF'!$AG519,'Annex 2_Code'!$G$8:$G$33,0)),"")</f>
        <v/>
      </c>
      <c r="Y519" s="1392" t="str">
        <f t="shared" si="638"/>
        <v/>
      </c>
      <c r="Z519" s="1359" t="str">
        <f t="shared" si="639"/>
        <v/>
      </c>
      <c r="AA519" s="1359" t="str">
        <f t="shared" si="639"/>
        <v/>
      </c>
      <c r="AB519" s="1359" t="str">
        <f t="shared" si="640"/>
        <v/>
      </c>
      <c r="AC519" s="1360" t="str">
        <f t="shared" si="641"/>
        <v/>
      </c>
      <c r="AD519" s="1361">
        <f t="shared" si="674"/>
        <v>0</v>
      </c>
      <c r="AE519" s="1361">
        <f t="shared" si="675"/>
        <v>0</v>
      </c>
      <c r="AF519" s="1362"/>
      <c r="AG519" s="605"/>
      <c r="AH519" s="1362" t="str">
        <f>IFERROR(INDEX('Annex 2_Code'!$J$114:$J$131,MATCH('Annex 3_MAFF'!AF519,'Annex 2_Code'!$G$114:$G$131,0)),"")</f>
        <v/>
      </c>
      <c r="AI519" s="646" t="str">
        <f t="shared" si="643"/>
        <v/>
      </c>
    </row>
    <row r="520" spans="1:36" s="1950" customFormat="1" ht="27.75" customHeight="1" outlineLevel="1">
      <c r="A520" s="1940"/>
      <c r="B520" s="1391" t="s">
        <v>1452</v>
      </c>
      <c r="C520" s="2141" t="s">
        <v>125</v>
      </c>
      <c r="D520" s="1931"/>
      <c r="E520" s="1930"/>
      <c r="F520" s="1942"/>
      <c r="G520" s="2173" t="s">
        <v>1418</v>
      </c>
      <c r="H520" s="1944" t="s">
        <v>1407</v>
      </c>
      <c r="I520" s="1914">
        <f>14000/1000</f>
        <v>14</v>
      </c>
      <c r="J520" s="2149">
        <v>0.5</v>
      </c>
      <c r="K520" s="2143">
        <v>1</v>
      </c>
      <c r="L520" s="2143">
        <v>0.5</v>
      </c>
      <c r="M520" s="2143">
        <v>1</v>
      </c>
      <c r="N520" s="2144">
        <f>SUM(J520:M520)</f>
        <v>3</v>
      </c>
      <c r="O520" s="2145">
        <f t="shared" si="684"/>
        <v>7</v>
      </c>
      <c r="P520" s="2146">
        <f t="shared" ref="P520:R523" si="685">($I520*K520)</f>
        <v>14</v>
      </c>
      <c r="Q520" s="2146">
        <f t="shared" si="685"/>
        <v>7</v>
      </c>
      <c r="R520" s="2146">
        <f t="shared" si="685"/>
        <v>14</v>
      </c>
      <c r="S520" s="1356">
        <f>SUM(O520:R520)</f>
        <v>42</v>
      </c>
      <c r="T520" s="1949">
        <f>IFERROR(INDEX('Annex 2_Code'!I$8:I$33,MATCH('Annex 3_MAFF'!$AG520,'Annex 2_Code'!$G$8:$G$33,0)),"")</f>
        <v>1</v>
      </c>
      <c r="U520" s="1949">
        <f>IFERROR(INDEX('Annex 2_Code'!J$8:J$33,MATCH('Annex 3_MAFF'!$AG520,'Annex 2_Code'!$G$8:$G$33,0)),"")</f>
        <v>0</v>
      </c>
      <c r="V520" s="1949">
        <f>IFERROR(INDEX('Annex 2_Code'!K$8:K$33,MATCH('Annex 3_MAFF'!$AG520,'Annex 2_Code'!$G$8:$G$33,0)),"")</f>
        <v>0</v>
      </c>
      <c r="W520" s="1949">
        <f>IFERROR(INDEX('Annex 2_Code'!L$8:L$33,MATCH('Annex 3_MAFF'!$AG520,'Annex 2_Code'!$G$8:$G$33,0)),"")</f>
        <v>0</v>
      </c>
      <c r="X520" s="1949">
        <f>IFERROR(INDEX('Annex 2_Code'!M$8:M$33,MATCH('Annex 3_MAFF'!$AG520,'Annex 2_Code'!$G$8:$G$33,0)),"")</f>
        <v>0</v>
      </c>
      <c r="Y520" s="1933">
        <f t="shared" si="638"/>
        <v>42</v>
      </c>
      <c r="Z520" s="1934">
        <f t="shared" si="639"/>
        <v>0</v>
      </c>
      <c r="AA520" s="1934">
        <f t="shared" si="639"/>
        <v>0</v>
      </c>
      <c r="AB520" s="1934">
        <f t="shared" si="640"/>
        <v>0</v>
      </c>
      <c r="AC520" s="1935">
        <f t="shared" si="641"/>
        <v>0</v>
      </c>
      <c r="AD520" s="1936">
        <f t="shared" si="674"/>
        <v>42</v>
      </c>
      <c r="AE520" s="1936">
        <f t="shared" si="675"/>
        <v>0</v>
      </c>
      <c r="AF520" s="1937" t="s">
        <v>374</v>
      </c>
      <c r="AG520" s="605" t="s">
        <v>209</v>
      </c>
      <c r="AH520" s="1937" t="str">
        <f>IFERROR(INDEX('Annex 2_Code'!$J$114:$J$131,MATCH('Annex 3_MAFF'!AF520,'Annex 2_Code'!$G$114:$G$131,0)),"")</f>
        <v>MAFF</v>
      </c>
      <c r="AI520" s="646" t="str">
        <f t="shared" si="643"/>
        <v>MAFF</v>
      </c>
      <c r="AJ520" s="1950" t="s">
        <v>449</v>
      </c>
    </row>
    <row r="521" spans="1:36" s="1950" customFormat="1" ht="23.25" outlineLevel="1">
      <c r="A521" s="1940"/>
      <c r="B521" s="1391" t="s">
        <v>1452</v>
      </c>
      <c r="C521" s="2141" t="s">
        <v>125</v>
      </c>
      <c r="D521" s="1931"/>
      <c r="E521" s="1930"/>
      <c r="F521" s="1942"/>
      <c r="G521" s="2173" t="s">
        <v>1419</v>
      </c>
      <c r="H521" s="1944" t="s">
        <v>1407</v>
      </c>
      <c r="I521" s="1914">
        <f>14000/1000</f>
        <v>14</v>
      </c>
      <c r="J521" s="2142">
        <v>1</v>
      </c>
      <c r="K521" s="2143">
        <v>0.5</v>
      </c>
      <c r="L521" s="2143">
        <v>0.94</v>
      </c>
      <c r="M521" s="2143">
        <v>0.25</v>
      </c>
      <c r="N521" s="2144">
        <f>SUM(J521:M521)</f>
        <v>2.69</v>
      </c>
      <c r="O521" s="2145">
        <f t="shared" si="684"/>
        <v>14</v>
      </c>
      <c r="P521" s="2146">
        <f t="shared" si="685"/>
        <v>7</v>
      </c>
      <c r="Q521" s="2146">
        <f t="shared" si="685"/>
        <v>13.16</v>
      </c>
      <c r="R521" s="2146">
        <f t="shared" si="685"/>
        <v>3.5</v>
      </c>
      <c r="S521" s="1356">
        <f>SUM(O521:R521)</f>
        <v>37.659999999999997</v>
      </c>
      <c r="T521" s="1949">
        <f>IFERROR(INDEX('Annex 2_Code'!I$8:I$33,MATCH('Annex 3_MAFF'!$AG521,'Annex 2_Code'!$G$8:$G$33,0)),"")</f>
        <v>1</v>
      </c>
      <c r="U521" s="1949">
        <f>IFERROR(INDEX('Annex 2_Code'!J$8:J$33,MATCH('Annex 3_MAFF'!$AG521,'Annex 2_Code'!$G$8:$G$33,0)),"")</f>
        <v>0</v>
      </c>
      <c r="V521" s="1949">
        <f>IFERROR(INDEX('Annex 2_Code'!K$8:K$33,MATCH('Annex 3_MAFF'!$AG521,'Annex 2_Code'!$G$8:$G$33,0)),"")</f>
        <v>0</v>
      </c>
      <c r="W521" s="1949">
        <f>IFERROR(INDEX('Annex 2_Code'!L$8:L$33,MATCH('Annex 3_MAFF'!$AG521,'Annex 2_Code'!$G$8:$G$33,0)),"")</f>
        <v>0</v>
      </c>
      <c r="X521" s="1949">
        <f>IFERROR(INDEX('Annex 2_Code'!M$8:M$33,MATCH('Annex 3_MAFF'!$AG521,'Annex 2_Code'!$G$8:$G$33,0)),"")</f>
        <v>0</v>
      </c>
      <c r="Y521" s="1933">
        <f t="shared" si="638"/>
        <v>37.659999999999997</v>
      </c>
      <c r="Z521" s="1934">
        <f t="shared" si="639"/>
        <v>0</v>
      </c>
      <c r="AA521" s="1934">
        <f t="shared" si="639"/>
        <v>0</v>
      </c>
      <c r="AB521" s="1934">
        <f t="shared" si="640"/>
        <v>0</v>
      </c>
      <c r="AC521" s="1935">
        <f t="shared" si="641"/>
        <v>0</v>
      </c>
      <c r="AD521" s="1936">
        <f t="shared" si="674"/>
        <v>37.659999999999997</v>
      </c>
      <c r="AE521" s="1936">
        <f t="shared" si="675"/>
        <v>0</v>
      </c>
      <c r="AF521" s="1937" t="s">
        <v>374</v>
      </c>
      <c r="AG521" s="605" t="s">
        <v>209</v>
      </c>
      <c r="AH521" s="1937" t="str">
        <f>IFERROR(INDEX('Annex 2_Code'!$J$114:$J$131,MATCH('Annex 3_MAFF'!AF521,'Annex 2_Code'!$G$114:$G$131,0)),"")</f>
        <v>MAFF</v>
      </c>
      <c r="AI521" s="646" t="str">
        <f t="shared" si="643"/>
        <v>MAFF</v>
      </c>
      <c r="AJ521" s="1950" t="s">
        <v>449</v>
      </c>
    </row>
    <row r="522" spans="1:36" s="1950" customFormat="1" ht="23.25" outlineLevel="1">
      <c r="A522" s="1940"/>
      <c r="B522" s="1391" t="s">
        <v>1452</v>
      </c>
      <c r="C522" s="2141" t="s">
        <v>125</v>
      </c>
      <c r="D522" s="1931"/>
      <c r="E522" s="1930"/>
      <c r="F522" s="1942"/>
      <c r="G522" s="2173" t="s">
        <v>1420</v>
      </c>
      <c r="H522" s="1944" t="s">
        <v>1407</v>
      </c>
      <c r="I522" s="1914">
        <f>14000/1000</f>
        <v>14</v>
      </c>
      <c r="J522" s="2142">
        <v>0.76</v>
      </c>
      <c r="K522" s="2143">
        <v>0</v>
      </c>
      <c r="L522" s="2143">
        <v>0</v>
      </c>
      <c r="M522" s="2143">
        <v>1</v>
      </c>
      <c r="N522" s="2144">
        <f>SUM(J522:M522)</f>
        <v>1.76</v>
      </c>
      <c r="O522" s="2145">
        <f t="shared" si="684"/>
        <v>10.64</v>
      </c>
      <c r="P522" s="2146">
        <f t="shared" si="685"/>
        <v>0</v>
      </c>
      <c r="Q522" s="2146">
        <f t="shared" si="685"/>
        <v>0</v>
      </c>
      <c r="R522" s="2146">
        <f t="shared" si="685"/>
        <v>14</v>
      </c>
      <c r="S522" s="1356">
        <f>SUM(O522:R522)</f>
        <v>24.64</v>
      </c>
      <c r="T522" s="1949">
        <f>IFERROR(INDEX('Annex 2_Code'!I$8:I$33,MATCH('Annex 3_MAFF'!$AG522,'Annex 2_Code'!$G$8:$G$33,0)),"")</f>
        <v>1</v>
      </c>
      <c r="U522" s="1949">
        <f>IFERROR(INDEX('Annex 2_Code'!J$8:J$33,MATCH('Annex 3_MAFF'!$AG522,'Annex 2_Code'!$G$8:$G$33,0)),"")</f>
        <v>0</v>
      </c>
      <c r="V522" s="1949">
        <f>IFERROR(INDEX('Annex 2_Code'!K$8:K$33,MATCH('Annex 3_MAFF'!$AG522,'Annex 2_Code'!$G$8:$G$33,0)),"")</f>
        <v>0</v>
      </c>
      <c r="W522" s="1949">
        <f>IFERROR(INDEX('Annex 2_Code'!L$8:L$33,MATCH('Annex 3_MAFF'!$AG522,'Annex 2_Code'!$G$8:$G$33,0)),"")</f>
        <v>0</v>
      </c>
      <c r="X522" s="1949">
        <f>IFERROR(INDEX('Annex 2_Code'!M$8:M$33,MATCH('Annex 3_MAFF'!$AG522,'Annex 2_Code'!$G$8:$G$33,0)),"")</f>
        <v>0</v>
      </c>
      <c r="Y522" s="1933">
        <f t="shared" si="638"/>
        <v>24.64</v>
      </c>
      <c r="Z522" s="1934">
        <f t="shared" si="639"/>
        <v>0</v>
      </c>
      <c r="AA522" s="1934">
        <f t="shared" si="639"/>
        <v>0</v>
      </c>
      <c r="AB522" s="1934">
        <f t="shared" si="640"/>
        <v>0</v>
      </c>
      <c r="AC522" s="1935">
        <f t="shared" si="641"/>
        <v>0</v>
      </c>
      <c r="AD522" s="1936">
        <f t="shared" si="674"/>
        <v>24.64</v>
      </c>
      <c r="AE522" s="1936">
        <f t="shared" si="675"/>
        <v>0</v>
      </c>
      <c r="AF522" s="1937" t="s">
        <v>374</v>
      </c>
      <c r="AG522" s="605" t="s">
        <v>209</v>
      </c>
      <c r="AH522" s="1937" t="str">
        <f>IFERROR(INDEX('Annex 2_Code'!$J$114:$J$131,MATCH('Annex 3_MAFF'!AF522,'Annex 2_Code'!$G$114:$G$131,0)),"")</f>
        <v>MAFF</v>
      </c>
      <c r="AI522" s="646" t="str">
        <f t="shared" si="643"/>
        <v>MAFF</v>
      </c>
      <c r="AJ522" s="1950" t="s">
        <v>449</v>
      </c>
    </row>
    <row r="523" spans="1:36" s="1950" customFormat="1" ht="42.6" customHeight="1" outlineLevel="1">
      <c r="A523" s="1930"/>
      <c r="B523" s="1391" t="s">
        <v>1452</v>
      </c>
      <c r="C523" s="2141" t="s">
        <v>125</v>
      </c>
      <c r="D523" s="1931"/>
      <c r="E523" s="1930"/>
      <c r="F523" s="1942"/>
      <c r="G523" s="1943" t="s">
        <v>1406</v>
      </c>
      <c r="H523" s="1944" t="s">
        <v>1407</v>
      </c>
      <c r="I523" s="1945">
        <v>18</v>
      </c>
      <c r="J523" s="1946">
        <v>0</v>
      </c>
      <c r="K523" s="1932">
        <v>1</v>
      </c>
      <c r="L523" s="1932">
        <v>1</v>
      </c>
      <c r="M523" s="1932">
        <v>1</v>
      </c>
      <c r="N523" s="2144">
        <f>SUM(J523:M523)</f>
        <v>3</v>
      </c>
      <c r="O523" s="1947">
        <f t="shared" si="684"/>
        <v>0</v>
      </c>
      <c r="P523" s="1948">
        <f t="shared" si="685"/>
        <v>18</v>
      </c>
      <c r="Q523" s="1948">
        <f t="shared" si="685"/>
        <v>18</v>
      </c>
      <c r="R523" s="1948">
        <f t="shared" si="685"/>
        <v>18</v>
      </c>
      <c r="S523" s="1356">
        <f>SUM(O523:R523)</f>
        <v>54</v>
      </c>
      <c r="T523" s="1949">
        <f>IFERROR(INDEX('Annex 2_Code'!I$8:I$33,MATCH('Annex 3_MAFF'!$AG523,'Annex 2_Code'!$G$8:$G$33,0)),"")</f>
        <v>1</v>
      </c>
      <c r="U523" s="1949">
        <f>IFERROR(INDEX('Annex 2_Code'!J$8:J$33,MATCH('Annex 3_MAFF'!$AG523,'Annex 2_Code'!$G$8:$G$33,0)),"")</f>
        <v>0</v>
      </c>
      <c r="V523" s="1949">
        <f>IFERROR(INDEX('Annex 2_Code'!K$8:K$33,MATCH('Annex 3_MAFF'!$AG523,'Annex 2_Code'!$G$8:$G$33,0)),"")</f>
        <v>0</v>
      </c>
      <c r="W523" s="1949">
        <f>IFERROR(INDEX('Annex 2_Code'!L$8:L$33,MATCH('Annex 3_MAFF'!$AG523,'Annex 2_Code'!$G$8:$G$33,0)),"")</f>
        <v>0</v>
      </c>
      <c r="X523" s="1949">
        <f>IFERROR(INDEX('Annex 2_Code'!M$8:M$33,MATCH('Annex 3_MAFF'!$AG523,'Annex 2_Code'!$G$8:$G$33,0)),"")</f>
        <v>0</v>
      </c>
      <c r="Y523" s="1933">
        <f t="shared" ref="Y523" si="686">IFERROR($S523*T523,"")</f>
        <v>54</v>
      </c>
      <c r="Z523" s="1934">
        <f t="shared" ref="Z523" si="687">IFERROR($S523*U523,"")</f>
        <v>0</v>
      </c>
      <c r="AA523" s="1934">
        <f t="shared" ref="AA523" si="688">IFERROR($S523*V523,"")</f>
        <v>0</v>
      </c>
      <c r="AB523" s="1934">
        <f t="shared" ref="AB523" si="689">IFERROR($S523*W523,"")</f>
        <v>0</v>
      </c>
      <c r="AC523" s="1935">
        <f t="shared" ref="AC523" si="690">IFERROR($S523*X523,"")</f>
        <v>0</v>
      </c>
      <c r="AD523" s="1936">
        <f t="shared" ref="AD523" si="691">SUM(Y523:AC523)</f>
        <v>54</v>
      </c>
      <c r="AE523" s="1936">
        <f t="shared" ref="AE523" si="692">AD523-S523</f>
        <v>0</v>
      </c>
      <c r="AF523" s="1937" t="s">
        <v>374</v>
      </c>
      <c r="AG523" s="605" t="s">
        <v>209</v>
      </c>
      <c r="AH523" s="1937" t="str">
        <f>IFERROR(INDEX('Annex 2_Code'!$J$114:$J$131,MATCH('Annex 3_MAFF'!AF523,'Annex 2_Code'!$G$114:$G$131,0)),"")</f>
        <v>MAFF</v>
      </c>
      <c r="AI523" s="646" t="str">
        <f t="shared" ref="AI523" si="693">IF(ISNUMBER(FIND("-",AH523,1))=FALSE,LEFT(AH523,LEN(AH523)),LEFT(AH523,(FIND("-",AH523,1))-1))</f>
        <v>MAFF</v>
      </c>
      <c r="AJ523" s="1950" t="s">
        <v>449</v>
      </c>
    </row>
    <row r="524" spans="1:36" s="637" customFormat="1" ht="23.25" outlineLevel="1">
      <c r="A524" s="587"/>
      <c r="B524" s="1391" t="s">
        <v>1452</v>
      </c>
      <c r="C524" s="782"/>
      <c r="D524" s="701"/>
      <c r="E524" s="307"/>
      <c r="F524" s="626" t="s">
        <v>667</v>
      </c>
      <c r="G524" s="616"/>
      <c r="H524" s="811" t="s">
        <v>652</v>
      </c>
      <c r="I524" s="572"/>
      <c r="J524" s="1509"/>
      <c r="K524" s="1510"/>
      <c r="L524" s="1478"/>
      <c r="M524" s="1478"/>
      <c r="N524" s="1472">
        <v>0</v>
      </c>
      <c r="O524" s="657"/>
      <c r="P524" s="658"/>
      <c r="Q524" s="658"/>
      <c r="R524" s="658"/>
      <c r="S524" s="1356"/>
      <c r="T524" s="763" t="str">
        <f>IFERROR(INDEX('Annex 2_Code'!I$8:I$33,MATCH('Annex 3_MAFF'!$AG524,'Annex 2_Code'!$G$8:$G$33,0)),"")</f>
        <v/>
      </c>
      <c r="U524" s="763" t="str">
        <f>IFERROR(INDEX('Annex 2_Code'!J$8:J$33,MATCH('Annex 3_MAFF'!$AG524,'Annex 2_Code'!$G$8:$G$33,0)),"")</f>
        <v/>
      </c>
      <c r="V524" s="763" t="str">
        <f>IFERROR(INDEX('Annex 2_Code'!K$8:K$33,MATCH('Annex 3_MAFF'!$AG524,'Annex 2_Code'!$G$8:$G$33,0)),"")</f>
        <v/>
      </c>
      <c r="W524" s="763" t="str">
        <f>IFERROR(INDEX('Annex 2_Code'!L$8:L$33,MATCH('Annex 3_MAFF'!$AG524,'Annex 2_Code'!$G$8:$G$33,0)),"")</f>
        <v/>
      </c>
      <c r="X524" s="763" t="str">
        <f>IFERROR(INDEX('Annex 2_Code'!M$8:M$33,MATCH('Annex 3_MAFF'!$AG524,'Annex 2_Code'!$G$8:$G$33,0)),"")</f>
        <v/>
      </c>
      <c r="Y524" s="1745" t="str">
        <f t="shared" si="638"/>
        <v/>
      </c>
      <c r="Z524" s="807" t="str">
        <f t="shared" si="639"/>
        <v/>
      </c>
      <c r="AA524" s="807" t="str">
        <f t="shared" si="639"/>
        <v/>
      </c>
      <c r="AB524" s="807" t="str">
        <f t="shared" si="640"/>
        <v/>
      </c>
      <c r="AC524" s="808" t="str">
        <f t="shared" si="641"/>
        <v/>
      </c>
      <c r="AD524" s="764">
        <f t="shared" si="674"/>
        <v>0</v>
      </c>
      <c r="AE524" s="764">
        <f t="shared" si="675"/>
        <v>0</v>
      </c>
      <c r="AF524" s="605"/>
      <c r="AG524" s="605"/>
      <c r="AH524" s="605" t="str">
        <f>IFERROR(INDEX('Annex 2_Code'!$J$114:$J$131,MATCH('Annex 3_MAFF'!AF524,'Annex 2_Code'!$G$114:$G$131,0)),"")</f>
        <v/>
      </c>
      <c r="AI524" s="646" t="str">
        <f t="shared" si="643"/>
        <v/>
      </c>
    </row>
    <row r="525" spans="1:36" s="1950" customFormat="1" ht="23.25" outlineLevel="1">
      <c r="A525" s="1940"/>
      <c r="B525" s="1391" t="s">
        <v>1452</v>
      </c>
      <c r="C525" s="2141" t="s">
        <v>125</v>
      </c>
      <c r="D525" s="1931"/>
      <c r="E525" s="1930"/>
      <c r="F525" s="1942"/>
      <c r="G525" s="2173" t="s">
        <v>1440</v>
      </c>
      <c r="H525" s="1944" t="s">
        <v>1407</v>
      </c>
      <c r="I525" s="1914">
        <f>3300/1000</f>
        <v>3.3</v>
      </c>
      <c r="J525" s="2142">
        <v>1.5</v>
      </c>
      <c r="K525" s="2143">
        <v>1.5</v>
      </c>
      <c r="L525" s="2143">
        <v>1.5</v>
      </c>
      <c r="M525" s="2143">
        <v>1.5</v>
      </c>
      <c r="N525" s="2144">
        <f t="shared" ref="N525:N531" si="694">SUM(J525:M525)</f>
        <v>6</v>
      </c>
      <c r="O525" s="2145">
        <f t="shared" si="684"/>
        <v>4.9499999999999993</v>
      </c>
      <c r="P525" s="2146">
        <f t="shared" ref="P525:R526" si="695">($I525*K525)</f>
        <v>4.9499999999999993</v>
      </c>
      <c r="Q525" s="2146">
        <f t="shared" si="695"/>
        <v>4.9499999999999993</v>
      </c>
      <c r="R525" s="2146">
        <f t="shared" si="695"/>
        <v>4.9499999999999993</v>
      </c>
      <c r="S525" s="1356">
        <f>SUM(O525:R525)</f>
        <v>19.799999999999997</v>
      </c>
      <c r="T525" s="1949">
        <f>IFERROR(INDEX('Annex 2_Code'!I$8:I$33,MATCH('Annex 3_MAFF'!$AG525,'Annex 2_Code'!$G$8:$G$33,0)),"")</f>
        <v>1</v>
      </c>
      <c r="U525" s="1949">
        <f>IFERROR(INDEX('Annex 2_Code'!J$8:J$33,MATCH('Annex 3_MAFF'!$AG525,'Annex 2_Code'!$G$8:$G$33,0)),"")</f>
        <v>0</v>
      </c>
      <c r="V525" s="1949">
        <f>IFERROR(INDEX('Annex 2_Code'!K$8:K$33,MATCH('Annex 3_MAFF'!$AG525,'Annex 2_Code'!$G$8:$G$33,0)),"")</f>
        <v>0</v>
      </c>
      <c r="W525" s="1949">
        <f>IFERROR(INDEX('Annex 2_Code'!L$8:L$33,MATCH('Annex 3_MAFF'!$AG525,'Annex 2_Code'!$G$8:$G$33,0)),"")</f>
        <v>0</v>
      </c>
      <c r="X525" s="1949">
        <f>IFERROR(INDEX('Annex 2_Code'!M$8:M$33,MATCH('Annex 3_MAFF'!$AG525,'Annex 2_Code'!$G$8:$G$33,0)),"")</f>
        <v>0</v>
      </c>
      <c r="Y525" s="1933">
        <f t="shared" si="638"/>
        <v>19.799999999999997</v>
      </c>
      <c r="Z525" s="1934">
        <f t="shared" si="639"/>
        <v>0</v>
      </c>
      <c r="AA525" s="1934">
        <f t="shared" si="639"/>
        <v>0</v>
      </c>
      <c r="AB525" s="1934">
        <f t="shared" si="640"/>
        <v>0</v>
      </c>
      <c r="AC525" s="1935">
        <f t="shared" si="641"/>
        <v>0</v>
      </c>
      <c r="AD525" s="1936">
        <f t="shared" si="674"/>
        <v>19.799999999999997</v>
      </c>
      <c r="AE525" s="1936">
        <f t="shared" si="675"/>
        <v>0</v>
      </c>
      <c r="AF525" s="1937" t="s">
        <v>374</v>
      </c>
      <c r="AG525" s="605" t="s">
        <v>211</v>
      </c>
      <c r="AH525" s="1937" t="str">
        <f>IFERROR(INDEX('Annex 2_Code'!$J$114:$J$131,MATCH('Annex 3_MAFF'!AF525,'Annex 2_Code'!$G$114:$G$131,0)),"")</f>
        <v>MAFF</v>
      </c>
      <c r="AI525" s="646" t="str">
        <f t="shared" si="643"/>
        <v>MAFF</v>
      </c>
      <c r="AJ525" s="1950" t="s">
        <v>449</v>
      </c>
    </row>
    <row r="526" spans="1:36" s="1950" customFormat="1" ht="23.25" outlineLevel="1">
      <c r="A526" s="1940"/>
      <c r="B526" s="1391" t="s">
        <v>1452</v>
      </c>
      <c r="C526" s="2141" t="s">
        <v>125</v>
      </c>
      <c r="D526" s="2174"/>
      <c r="E526" s="1940"/>
      <c r="F526" s="2175"/>
      <c r="G526" s="2176" t="s">
        <v>1447</v>
      </c>
      <c r="H526" s="1944" t="s">
        <v>1407</v>
      </c>
      <c r="I526" s="1914">
        <f>4100/1000</f>
        <v>4.0999999999999996</v>
      </c>
      <c r="J526" s="2149">
        <v>2.85</v>
      </c>
      <c r="K526" s="2177">
        <v>2.85</v>
      </c>
      <c r="L526" s="2177">
        <v>2.85</v>
      </c>
      <c r="M526" s="2177">
        <v>2.85</v>
      </c>
      <c r="N526" s="2178">
        <f t="shared" si="694"/>
        <v>11.4</v>
      </c>
      <c r="O526" s="2145">
        <f t="shared" si="684"/>
        <v>11.684999999999999</v>
      </c>
      <c r="P526" s="2146">
        <f t="shared" si="695"/>
        <v>11.684999999999999</v>
      </c>
      <c r="Q526" s="2146">
        <f t="shared" si="695"/>
        <v>11.684999999999999</v>
      </c>
      <c r="R526" s="2146">
        <f t="shared" si="695"/>
        <v>11.684999999999999</v>
      </c>
      <c r="S526" s="1356">
        <f>SUM(O526:R526)</f>
        <v>46.739999999999995</v>
      </c>
      <c r="T526" s="1949">
        <f>IFERROR(INDEX('Annex 2_Code'!I$8:I$33,MATCH('Annex 3_MAFF'!$AG526,'Annex 2_Code'!$G$8:$G$33,0)),"")</f>
        <v>1</v>
      </c>
      <c r="U526" s="1949">
        <f>IFERROR(INDEX('Annex 2_Code'!J$8:J$33,MATCH('Annex 3_MAFF'!$AG526,'Annex 2_Code'!$G$8:$G$33,0)),"")</f>
        <v>0</v>
      </c>
      <c r="V526" s="1949">
        <f>IFERROR(INDEX('Annex 2_Code'!K$8:K$33,MATCH('Annex 3_MAFF'!$AG526,'Annex 2_Code'!$G$8:$G$33,0)),"")</f>
        <v>0</v>
      </c>
      <c r="W526" s="1949">
        <f>IFERROR(INDEX('Annex 2_Code'!L$8:L$33,MATCH('Annex 3_MAFF'!$AG526,'Annex 2_Code'!$G$8:$G$33,0)),"")</f>
        <v>0</v>
      </c>
      <c r="X526" s="1949">
        <f>IFERROR(INDEX('Annex 2_Code'!M$8:M$33,MATCH('Annex 3_MAFF'!$AG526,'Annex 2_Code'!$G$8:$G$33,0)),"")</f>
        <v>0</v>
      </c>
      <c r="Y526" s="1933">
        <f t="shared" si="638"/>
        <v>46.739999999999995</v>
      </c>
      <c r="Z526" s="1934">
        <f t="shared" si="639"/>
        <v>0</v>
      </c>
      <c r="AA526" s="1934">
        <f t="shared" si="639"/>
        <v>0</v>
      </c>
      <c r="AB526" s="1934">
        <f t="shared" si="640"/>
        <v>0</v>
      </c>
      <c r="AC526" s="1935">
        <f t="shared" si="641"/>
        <v>0</v>
      </c>
      <c r="AD526" s="1936">
        <f t="shared" si="674"/>
        <v>46.739999999999995</v>
      </c>
      <c r="AE526" s="1936">
        <f t="shared" si="675"/>
        <v>0</v>
      </c>
      <c r="AF526" s="1937" t="s">
        <v>374</v>
      </c>
      <c r="AG526" s="605" t="s">
        <v>211</v>
      </c>
      <c r="AH526" s="1937" t="str">
        <f>IFERROR(INDEX('Annex 2_Code'!$J$114:$J$131,MATCH('Annex 3_MAFF'!AF526,'Annex 2_Code'!$G$114:$G$131,0)),"")</f>
        <v>MAFF</v>
      </c>
      <c r="AI526" s="646" t="str">
        <f t="shared" si="643"/>
        <v>MAFF</v>
      </c>
      <c r="AJ526" s="1950" t="s">
        <v>449</v>
      </c>
    </row>
    <row r="527" spans="1:36" s="637" customFormat="1" ht="23.25">
      <c r="A527" s="587"/>
      <c r="B527" s="659" t="s">
        <v>54</v>
      </c>
      <c r="C527" s="782"/>
      <c r="D527" s="701"/>
      <c r="E527" s="612" t="s">
        <v>668</v>
      </c>
      <c r="F527" s="626"/>
      <c r="G527" s="616"/>
      <c r="H527" s="726"/>
      <c r="I527" s="572"/>
      <c r="J527" s="1470"/>
      <c r="K527" s="1471"/>
      <c r="L527" s="1471"/>
      <c r="M527" s="1471"/>
      <c r="N527" s="1469">
        <f t="shared" si="694"/>
        <v>0</v>
      </c>
      <c r="O527" s="657"/>
      <c r="P527" s="658"/>
      <c r="Q527" s="658"/>
      <c r="R527" s="658"/>
      <c r="S527" s="1356"/>
      <c r="T527" s="599"/>
      <c r="U527" s="599"/>
      <c r="V527" s="599"/>
      <c r="W527" s="599"/>
      <c r="X527" s="599"/>
      <c r="Y527" s="647"/>
      <c r="Z527" s="600"/>
      <c r="AA527" s="600">
        <f t="shared" si="639"/>
        <v>0</v>
      </c>
      <c r="AB527" s="600"/>
      <c r="AC527" s="601"/>
      <c r="AD527" s="602"/>
      <c r="AE527" s="602"/>
      <c r="AF527" s="605"/>
      <c r="AG527" s="605"/>
      <c r="AH527" s="605"/>
      <c r="AI527" s="646"/>
    </row>
    <row r="528" spans="1:36" s="637" customFormat="1" ht="23.25" outlineLevel="1">
      <c r="A528" s="587"/>
      <c r="B528" s="659" t="s">
        <v>54</v>
      </c>
      <c r="C528" s="782"/>
      <c r="D528" s="701"/>
      <c r="E528" s="307"/>
      <c r="F528" s="626" t="s">
        <v>666</v>
      </c>
      <c r="G528" s="616"/>
      <c r="H528" s="782" t="s">
        <v>12</v>
      </c>
      <c r="I528" s="572"/>
      <c r="J528" s="1476"/>
      <c r="K528" s="1477"/>
      <c r="L528" s="1478"/>
      <c r="M528" s="1478"/>
      <c r="N528" s="1472">
        <f t="shared" si="694"/>
        <v>0</v>
      </c>
      <c r="O528" s="657"/>
      <c r="P528" s="658"/>
      <c r="Q528" s="658"/>
      <c r="R528" s="658"/>
      <c r="S528" s="1356"/>
      <c r="T528" s="599" t="str">
        <f>IFERROR(INDEX('Annex 2_Code'!I$8:I$33,MATCH('Annex 3_MAFF'!$AG528,'Annex 2_Code'!$G$8:$G$33,0)),"")</f>
        <v/>
      </c>
      <c r="U528" s="599" t="str">
        <f>IFERROR(INDEX('Annex 2_Code'!J$8:J$33,MATCH('Annex 3_MAFF'!$AG528,'Annex 2_Code'!$G$8:$G$33,0)),"")</f>
        <v/>
      </c>
      <c r="V528" s="599" t="str">
        <f>IFERROR(INDEX('Annex 2_Code'!K$8:K$33,MATCH('Annex 3_MAFF'!$AG528,'Annex 2_Code'!$G$8:$G$33,0)),"")</f>
        <v/>
      </c>
      <c r="W528" s="599" t="str">
        <f>IFERROR(INDEX('Annex 2_Code'!L$8:L$33,MATCH('Annex 3_MAFF'!$AG528,'Annex 2_Code'!$G$8:$G$33,0)),"")</f>
        <v/>
      </c>
      <c r="X528" s="599" t="str">
        <f>IFERROR(INDEX('Annex 2_Code'!M$8:M$33,MATCH('Annex 3_MAFF'!$AG528,'Annex 2_Code'!$G$8:$G$33,0)),"")</f>
        <v/>
      </c>
      <c r="Y528" s="647" t="str">
        <f t="shared" si="638"/>
        <v/>
      </c>
      <c r="Z528" s="600" t="str">
        <f t="shared" si="639"/>
        <v/>
      </c>
      <c r="AA528" s="600" t="str">
        <f t="shared" si="639"/>
        <v/>
      </c>
      <c r="AB528" s="600" t="str">
        <f t="shared" si="640"/>
        <v/>
      </c>
      <c r="AC528" s="601" t="str">
        <f t="shared" si="641"/>
        <v/>
      </c>
      <c r="AD528" s="602">
        <f t="shared" si="674"/>
        <v>0</v>
      </c>
      <c r="AE528" s="602">
        <f t="shared" si="675"/>
        <v>0</v>
      </c>
      <c r="AF528" s="605"/>
      <c r="AG528" s="605"/>
      <c r="AH528" s="605" t="str">
        <f>IFERROR(INDEX('Annex 2_Code'!$J$114:$J$131,MATCH('Annex 3_MAFF'!AF528,'Annex 2_Code'!$G$114:$G$131,0)),"")</f>
        <v/>
      </c>
      <c r="AI528" s="646" t="str">
        <f t="shared" si="643"/>
        <v/>
      </c>
    </row>
    <row r="529" spans="1:36" s="1950" customFormat="1" ht="60.75" outlineLevel="1">
      <c r="A529" s="1940"/>
      <c r="B529" s="1391" t="s">
        <v>1452</v>
      </c>
      <c r="C529" s="2141" t="s">
        <v>125</v>
      </c>
      <c r="D529" s="1931"/>
      <c r="E529" s="1930"/>
      <c r="F529" s="1942"/>
      <c r="G529" s="2173" t="s">
        <v>1408</v>
      </c>
      <c r="H529" s="1944" t="s">
        <v>1407</v>
      </c>
      <c r="I529" s="1914">
        <f>17000/1000</f>
        <v>17</v>
      </c>
      <c r="J529" s="2142">
        <v>0.5</v>
      </c>
      <c r="K529" s="2143">
        <v>1</v>
      </c>
      <c r="L529" s="2143">
        <v>0.5</v>
      </c>
      <c r="M529" s="2143">
        <v>1</v>
      </c>
      <c r="N529" s="2144">
        <f t="shared" si="694"/>
        <v>3</v>
      </c>
      <c r="O529" s="2145">
        <f t="shared" si="684"/>
        <v>8.5</v>
      </c>
      <c r="P529" s="2146">
        <f t="shared" ref="P529:R530" si="696">($I529*K529)</f>
        <v>17</v>
      </c>
      <c r="Q529" s="2146">
        <f t="shared" si="696"/>
        <v>8.5</v>
      </c>
      <c r="R529" s="2146">
        <f t="shared" si="696"/>
        <v>17</v>
      </c>
      <c r="S529" s="1356">
        <f>SUM(O529:R529)</f>
        <v>51</v>
      </c>
      <c r="T529" s="1949">
        <f>IFERROR(INDEX('Annex 2_Code'!I$8:I$33,MATCH('Annex 3_MAFF'!$AG529,'Annex 2_Code'!$G$8:$G$33,0)),"")</f>
        <v>1</v>
      </c>
      <c r="U529" s="1949">
        <f>IFERROR(INDEX('Annex 2_Code'!J$8:J$33,MATCH('Annex 3_MAFF'!$AG529,'Annex 2_Code'!$G$8:$G$33,0)),"")</f>
        <v>0</v>
      </c>
      <c r="V529" s="1949">
        <f>IFERROR(INDEX('Annex 2_Code'!K$8:K$33,MATCH('Annex 3_MAFF'!$AG529,'Annex 2_Code'!$G$8:$G$33,0)),"")</f>
        <v>0</v>
      </c>
      <c r="W529" s="1949">
        <f>IFERROR(INDEX('Annex 2_Code'!L$8:L$33,MATCH('Annex 3_MAFF'!$AG529,'Annex 2_Code'!$G$8:$G$33,0)),"")</f>
        <v>0</v>
      </c>
      <c r="X529" s="1949">
        <f>IFERROR(INDEX('Annex 2_Code'!M$8:M$33,MATCH('Annex 3_MAFF'!$AG529,'Annex 2_Code'!$G$8:$G$33,0)),"")</f>
        <v>0</v>
      </c>
      <c r="Y529" s="1933">
        <f t="shared" si="638"/>
        <v>51</v>
      </c>
      <c r="Z529" s="1934">
        <f t="shared" si="639"/>
        <v>0</v>
      </c>
      <c r="AA529" s="1934">
        <f t="shared" si="639"/>
        <v>0</v>
      </c>
      <c r="AB529" s="1934">
        <f t="shared" si="640"/>
        <v>0</v>
      </c>
      <c r="AC529" s="1935">
        <f t="shared" si="641"/>
        <v>0</v>
      </c>
      <c r="AD529" s="1936">
        <f t="shared" si="674"/>
        <v>51</v>
      </c>
      <c r="AE529" s="1936">
        <f t="shared" si="675"/>
        <v>0</v>
      </c>
      <c r="AF529" s="1937" t="s">
        <v>374</v>
      </c>
      <c r="AG529" s="605" t="s">
        <v>209</v>
      </c>
      <c r="AH529" s="1937" t="str">
        <f>IFERROR(INDEX('Annex 2_Code'!$J$114:$J$131,MATCH('Annex 3_MAFF'!AF529,'Annex 2_Code'!$G$114:$G$131,0)),"")</f>
        <v>MAFF</v>
      </c>
      <c r="AI529" s="646" t="str">
        <f t="shared" si="643"/>
        <v>MAFF</v>
      </c>
      <c r="AJ529" s="1950" t="s">
        <v>449</v>
      </c>
    </row>
    <row r="530" spans="1:36" s="1950" customFormat="1" ht="37.5" outlineLevel="1">
      <c r="A530" s="1940"/>
      <c r="B530" s="1391" t="s">
        <v>1452</v>
      </c>
      <c r="C530" s="2141" t="s">
        <v>125</v>
      </c>
      <c r="D530" s="1931"/>
      <c r="E530" s="1930"/>
      <c r="F530" s="1942"/>
      <c r="G530" s="2173" t="s">
        <v>1409</v>
      </c>
      <c r="H530" s="1944" t="s">
        <v>1407</v>
      </c>
      <c r="I530" s="1914">
        <f>15000/1000</f>
        <v>15</v>
      </c>
      <c r="J530" s="2142">
        <v>1</v>
      </c>
      <c r="K530" s="2143">
        <v>1.5</v>
      </c>
      <c r="L530" s="2143">
        <v>0.75</v>
      </c>
      <c r="M530" s="2143">
        <v>0.75</v>
      </c>
      <c r="N530" s="2144">
        <f t="shared" si="694"/>
        <v>4</v>
      </c>
      <c r="O530" s="2145">
        <f t="shared" si="684"/>
        <v>15</v>
      </c>
      <c r="P530" s="2146">
        <f t="shared" si="696"/>
        <v>22.5</v>
      </c>
      <c r="Q530" s="2146">
        <f t="shared" si="696"/>
        <v>11.25</v>
      </c>
      <c r="R530" s="2146">
        <f t="shared" si="696"/>
        <v>11.25</v>
      </c>
      <c r="S530" s="1356">
        <f>SUM(O530:R530)</f>
        <v>60</v>
      </c>
      <c r="T530" s="1949">
        <f>IFERROR(INDEX('Annex 2_Code'!I$8:I$33,MATCH('Annex 3_MAFF'!$AG530,'Annex 2_Code'!$G$8:$G$33,0)),"")</f>
        <v>1</v>
      </c>
      <c r="U530" s="1949">
        <f>IFERROR(INDEX('Annex 2_Code'!J$8:J$33,MATCH('Annex 3_MAFF'!$AG530,'Annex 2_Code'!$G$8:$G$33,0)),"")</f>
        <v>0</v>
      </c>
      <c r="V530" s="1949">
        <f>IFERROR(INDEX('Annex 2_Code'!K$8:K$33,MATCH('Annex 3_MAFF'!$AG530,'Annex 2_Code'!$G$8:$G$33,0)),"")</f>
        <v>0</v>
      </c>
      <c r="W530" s="1949">
        <f>IFERROR(INDEX('Annex 2_Code'!L$8:L$33,MATCH('Annex 3_MAFF'!$AG530,'Annex 2_Code'!$G$8:$G$33,0)),"")</f>
        <v>0</v>
      </c>
      <c r="X530" s="1949">
        <f>IFERROR(INDEX('Annex 2_Code'!M$8:M$33,MATCH('Annex 3_MAFF'!$AG530,'Annex 2_Code'!$G$8:$G$33,0)),"")</f>
        <v>0</v>
      </c>
      <c r="Y530" s="1933">
        <f t="shared" si="638"/>
        <v>60</v>
      </c>
      <c r="Z530" s="1934">
        <f t="shared" si="639"/>
        <v>0</v>
      </c>
      <c r="AA530" s="1934">
        <f t="shared" si="639"/>
        <v>0</v>
      </c>
      <c r="AB530" s="1934">
        <f t="shared" si="640"/>
        <v>0</v>
      </c>
      <c r="AC530" s="1935">
        <f t="shared" si="641"/>
        <v>0</v>
      </c>
      <c r="AD530" s="1936">
        <f t="shared" si="674"/>
        <v>60</v>
      </c>
      <c r="AE530" s="1936">
        <f t="shared" si="675"/>
        <v>0</v>
      </c>
      <c r="AF530" s="1937" t="s">
        <v>374</v>
      </c>
      <c r="AG530" s="605" t="s">
        <v>209</v>
      </c>
      <c r="AH530" s="1937" t="str">
        <f>IFERROR(INDEX('Annex 2_Code'!$J$114:$J$131,MATCH('Annex 3_MAFF'!AF530,'Annex 2_Code'!$G$114:$G$131,0)),"")</f>
        <v>MAFF</v>
      </c>
      <c r="AI530" s="646" t="str">
        <f t="shared" si="643"/>
        <v>MAFF</v>
      </c>
      <c r="AJ530" s="1950" t="s">
        <v>449</v>
      </c>
    </row>
    <row r="531" spans="1:36" s="637" customFormat="1" ht="23.25" outlineLevel="1">
      <c r="A531" s="587"/>
      <c r="B531" s="669" t="s">
        <v>54</v>
      </c>
      <c r="C531" s="782"/>
      <c r="D531" s="701"/>
      <c r="E531" s="307"/>
      <c r="F531" s="626" t="s">
        <v>667</v>
      </c>
      <c r="G531" s="616"/>
      <c r="H531" s="811" t="s">
        <v>652</v>
      </c>
      <c r="I531" s="572"/>
      <c r="J531" s="1509"/>
      <c r="K531" s="1510"/>
      <c r="L531" s="1478"/>
      <c r="M531" s="1478"/>
      <c r="N531" s="1472">
        <f t="shared" si="694"/>
        <v>0</v>
      </c>
      <c r="O531" s="657"/>
      <c r="P531" s="658"/>
      <c r="Q531" s="658"/>
      <c r="R531" s="658"/>
      <c r="S531" s="1356"/>
      <c r="T531" s="763" t="str">
        <f>IFERROR(INDEX('Annex 2_Code'!I$8:I$33,MATCH('Annex 3_MAFF'!$AG531,'Annex 2_Code'!$G$8:$G$33,0)),"")</f>
        <v/>
      </c>
      <c r="U531" s="763" t="str">
        <f>IFERROR(INDEX('Annex 2_Code'!J$8:J$33,MATCH('Annex 3_MAFF'!$AG531,'Annex 2_Code'!$G$8:$G$33,0)),"")</f>
        <v/>
      </c>
      <c r="V531" s="763" t="str">
        <f>IFERROR(INDEX('Annex 2_Code'!K$8:K$33,MATCH('Annex 3_MAFF'!$AG531,'Annex 2_Code'!$G$8:$G$33,0)),"")</f>
        <v/>
      </c>
      <c r="W531" s="763" t="str">
        <f>IFERROR(INDEX('Annex 2_Code'!L$8:L$33,MATCH('Annex 3_MAFF'!$AG531,'Annex 2_Code'!$G$8:$G$33,0)),"")</f>
        <v/>
      </c>
      <c r="X531" s="763" t="str">
        <f>IFERROR(INDEX('Annex 2_Code'!M$8:M$33,MATCH('Annex 3_MAFF'!$AG531,'Annex 2_Code'!$G$8:$G$33,0)),"")</f>
        <v/>
      </c>
      <c r="Y531" s="1745" t="str">
        <f t="shared" si="638"/>
        <v/>
      </c>
      <c r="Z531" s="807" t="str">
        <f t="shared" si="639"/>
        <v/>
      </c>
      <c r="AA531" s="807" t="str">
        <f t="shared" si="639"/>
        <v/>
      </c>
      <c r="AB531" s="807" t="str">
        <f t="shared" si="640"/>
        <v/>
      </c>
      <c r="AC531" s="808" t="str">
        <f t="shared" si="641"/>
        <v/>
      </c>
      <c r="AD531" s="764">
        <f t="shared" si="674"/>
        <v>0</v>
      </c>
      <c r="AE531" s="764">
        <f t="shared" si="675"/>
        <v>0</v>
      </c>
      <c r="AF531" s="605"/>
      <c r="AG531" s="605"/>
      <c r="AH531" s="605" t="str">
        <f>IFERROR(INDEX('Annex 2_Code'!$J$114:$J$131,MATCH('Annex 3_MAFF'!AF531,'Annex 2_Code'!$G$114:$G$131,0)),"")</f>
        <v/>
      </c>
      <c r="AI531" s="646" t="str">
        <f t="shared" si="643"/>
        <v/>
      </c>
    </row>
    <row r="532" spans="1:36" s="1950" customFormat="1" ht="37.5" outlineLevel="1">
      <c r="A532" s="1940"/>
      <c r="B532" s="1391" t="s">
        <v>1452</v>
      </c>
      <c r="C532" s="2141" t="s">
        <v>125</v>
      </c>
      <c r="D532" s="1931"/>
      <c r="E532" s="1930"/>
      <c r="F532" s="1942"/>
      <c r="G532" s="2173" t="s">
        <v>1448</v>
      </c>
      <c r="H532" s="1944" t="s">
        <v>1407</v>
      </c>
      <c r="I532" s="1914">
        <f>3900/1000</f>
        <v>3.9</v>
      </c>
      <c r="J532" s="2142">
        <v>2.7</v>
      </c>
      <c r="K532" s="2143">
        <v>2.7</v>
      </c>
      <c r="L532" s="2143">
        <v>2.7</v>
      </c>
      <c r="M532" s="2143">
        <v>2.7</v>
      </c>
      <c r="N532" s="2144">
        <f t="shared" ref="N532:N539" si="697">SUM(J532:M532)</f>
        <v>10.8</v>
      </c>
      <c r="O532" s="2145">
        <f t="shared" si="684"/>
        <v>10.530000000000001</v>
      </c>
      <c r="P532" s="2146">
        <f t="shared" ref="P532:P537" si="698">($I532*K532)</f>
        <v>10.530000000000001</v>
      </c>
      <c r="Q532" s="2146">
        <f t="shared" ref="Q532:Q537" si="699">($I532*L532)</f>
        <v>10.530000000000001</v>
      </c>
      <c r="R532" s="2146">
        <f t="shared" ref="R532:R537" si="700">($I532*M532)</f>
        <v>10.530000000000001</v>
      </c>
      <c r="S532" s="1356">
        <f t="shared" ref="S532:S537" si="701">SUM(O532:R532)</f>
        <v>42.120000000000005</v>
      </c>
      <c r="T532" s="1949">
        <f>IFERROR(INDEX('Annex 2_Code'!I$8:I$33,MATCH('Annex 3_MAFF'!$AG532,'Annex 2_Code'!$G$8:$G$33,0)),"")</f>
        <v>1</v>
      </c>
      <c r="U532" s="1949">
        <f>IFERROR(INDEX('Annex 2_Code'!J$8:J$33,MATCH('Annex 3_MAFF'!$AG532,'Annex 2_Code'!$G$8:$G$33,0)),"")</f>
        <v>0</v>
      </c>
      <c r="V532" s="1949">
        <f>IFERROR(INDEX('Annex 2_Code'!K$8:K$33,MATCH('Annex 3_MAFF'!$AG532,'Annex 2_Code'!$G$8:$G$33,0)),"")</f>
        <v>0</v>
      </c>
      <c r="W532" s="1949">
        <f>IFERROR(INDEX('Annex 2_Code'!L$8:L$33,MATCH('Annex 3_MAFF'!$AG532,'Annex 2_Code'!$G$8:$G$33,0)),"")</f>
        <v>0</v>
      </c>
      <c r="X532" s="1949">
        <f>IFERROR(INDEX('Annex 2_Code'!M$8:M$33,MATCH('Annex 3_MAFF'!$AG532,'Annex 2_Code'!$G$8:$G$33,0)),"")</f>
        <v>0</v>
      </c>
      <c r="Y532" s="1933">
        <f t="shared" si="638"/>
        <v>42.120000000000005</v>
      </c>
      <c r="Z532" s="1934">
        <f t="shared" si="639"/>
        <v>0</v>
      </c>
      <c r="AA532" s="1934">
        <f t="shared" si="639"/>
        <v>0</v>
      </c>
      <c r="AB532" s="1934">
        <f t="shared" si="640"/>
        <v>0</v>
      </c>
      <c r="AC532" s="1935">
        <f t="shared" si="641"/>
        <v>0</v>
      </c>
      <c r="AD532" s="1936">
        <f t="shared" si="674"/>
        <v>42.120000000000005</v>
      </c>
      <c r="AE532" s="1936">
        <f t="shared" si="675"/>
        <v>0</v>
      </c>
      <c r="AF532" s="1937" t="s">
        <v>374</v>
      </c>
      <c r="AG532" s="605" t="s">
        <v>211</v>
      </c>
      <c r="AH532" s="1937" t="str">
        <f>IFERROR(INDEX('Annex 2_Code'!$J$114:$J$131,MATCH('Annex 3_MAFF'!AF532,'Annex 2_Code'!$G$114:$G$131,0)),"")</f>
        <v>MAFF</v>
      </c>
      <c r="AI532" s="646" t="str">
        <f t="shared" si="643"/>
        <v>MAFF</v>
      </c>
      <c r="AJ532" s="1950" t="s">
        <v>449</v>
      </c>
    </row>
    <row r="533" spans="1:36" s="1950" customFormat="1" ht="44.25" customHeight="1" outlineLevel="1">
      <c r="A533" s="1940"/>
      <c r="B533" s="1391" t="s">
        <v>1452</v>
      </c>
      <c r="C533" s="2141" t="s">
        <v>125</v>
      </c>
      <c r="D533" s="1931"/>
      <c r="E533" s="1930"/>
      <c r="F533" s="1942"/>
      <c r="G533" s="2173" t="s">
        <v>1449</v>
      </c>
      <c r="H533" s="1944" t="s">
        <v>1407</v>
      </c>
      <c r="I533" s="1914">
        <f>3900/1000</f>
        <v>3.9</v>
      </c>
      <c r="J533" s="2142">
        <v>2.7</v>
      </c>
      <c r="K533" s="2143">
        <v>2.7</v>
      </c>
      <c r="L533" s="2143">
        <v>2.7</v>
      </c>
      <c r="M533" s="2143">
        <v>2.7</v>
      </c>
      <c r="N533" s="2144">
        <f t="shared" si="697"/>
        <v>10.8</v>
      </c>
      <c r="O533" s="2145">
        <f t="shared" si="684"/>
        <v>10.530000000000001</v>
      </c>
      <c r="P533" s="2146">
        <f t="shared" si="698"/>
        <v>10.530000000000001</v>
      </c>
      <c r="Q533" s="2146">
        <f t="shared" si="699"/>
        <v>10.530000000000001</v>
      </c>
      <c r="R533" s="2146">
        <f t="shared" si="700"/>
        <v>10.530000000000001</v>
      </c>
      <c r="S533" s="1356">
        <f t="shared" si="701"/>
        <v>42.120000000000005</v>
      </c>
      <c r="T533" s="1949">
        <f>IFERROR(INDEX('Annex 2_Code'!I$8:I$33,MATCH('Annex 3_MAFF'!$AG533,'Annex 2_Code'!$G$8:$G$33,0)),"")</f>
        <v>1</v>
      </c>
      <c r="U533" s="1949">
        <f>IFERROR(INDEX('Annex 2_Code'!J$8:J$33,MATCH('Annex 3_MAFF'!$AG533,'Annex 2_Code'!$G$8:$G$33,0)),"")</f>
        <v>0</v>
      </c>
      <c r="V533" s="1949">
        <f>IFERROR(INDEX('Annex 2_Code'!K$8:K$33,MATCH('Annex 3_MAFF'!$AG533,'Annex 2_Code'!$G$8:$G$33,0)),"")</f>
        <v>0</v>
      </c>
      <c r="W533" s="1949">
        <f>IFERROR(INDEX('Annex 2_Code'!L$8:L$33,MATCH('Annex 3_MAFF'!$AG533,'Annex 2_Code'!$G$8:$G$33,0)),"")</f>
        <v>0</v>
      </c>
      <c r="X533" s="1949">
        <f>IFERROR(INDEX('Annex 2_Code'!M$8:M$33,MATCH('Annex 3_MAFF'!$AG533,'Annex 2_Code'!$G$8:$G$33,0)),"")</f>
        <v>0</v>
      </c>
      <c r="Y533" s="1933">
        <f t="shared" si="638"/>
        <v>42.120000000000005</v>
      </c>
      <c r="Z533" s="1934">
        <f t="shared" si="639"/>
        <v>0</v>
      </c>
      <c r="AA533" s="1934">
        <f t="shared" si="639"/>
        <v>0</v>
      </c>
      <c r="AB533" s="1934">
        <f t="shared" si="640"/>
        <v>0</v>
      </c>
      <c r="AC533" s="1935">
        <f t="shared" si="641"/>
        <v>0</v>
      </c>
      <c r="AD533" s="1936">
        <f t="shared" si="674"/>
        <v>42.120000000000005</v>
      </c>
      <c r="AE533" s="1936">
        <f t="shared" si="675"/>
        <v>0</v>
      </c>
      <c r="AF533" s="1937" t="s">
        <v>374</v>
      </c>
      <c r="AG533" s="605" t="s">
        <v>211</v>
      </c>
      <c r="AH533" s="1937" t="str">
        <f>IFERROR(INDEX('Annex 2_Code'!$J$114:$J$131,MATCH('Annex 3_MAFF'!AF533,'Annex 2_Code'!$G$114:$G$131,0)),"")</f>
        <v>MAFF</v>
      </c>
      <c r="AI533" s="646" t="str">
        <f t="shared" si="643"/>
        <v>MAFF</v>
      </c>
      <c r="AJ533" s="1950" t="s">
        <v>449</v>
      </c>
    </row>
    <row r="534" spans="1:36" s="1950" customFormat="1" ht="46.5" outlineLevel="1">
      <c r="A534" s="1940"/>
      <c r="B534" s="1391" t="s">
        <v>1452</v>
      </c>
      <c r="C534" s="2141" t="s">
        <v>125</v>
      </c>
      <c r="D534" s="1931"/>
      <c r="E534" s="1930"/>
      <c r="F534" s="1942"/>
      <c r="G534" s="2173" t="s">
        <v>1410</v>
      </c>
      <c r="H534" s="1944" t="s">
        <v>1407</v>
      </c>
      <c r="I534" s="1914">
        <f>3300/1000</f>
        <v>3.3</v>
      </c>
      <c r="J534" s="2142">
        <v>2.7</v>
      </c>
      <c r="K534" s="2143">
        <v>2.7</v>
      </c>
      <c r="L534" s="2143">
        <v>2.7</v>
      </c>
      <c r="M534" s="2143">
        <v>2.7</v>
      </c>
      <c r="N534" s="2144">
        <f t="shared" si="697"/>
        <v>10.8</v>
      </c>
      <c r="O534" s="2145">
        <f t="shared" si="684"/>
        <v>8.91</v>
      </c>
      <c r="P534" s="2146">
        <f t="shared" si="698"/>
        <v>8.91</v>
      </c>
      <c r="Q534" s="2146">
        <f t="shared" si="699"/>
        <v>8.91</v>
      </c>
      <c r="R534" s="2146">
        <f t="shared" si="700"/>
        <v>8.91</v>
      </c>
      <c r="S534" s="1356">
        <f t="shared" si="701"/>
        <v>35.64</v>
      </c>
      <c r="T534" s="1949">
        <f>IFERROR(INDEX('Annex 2_Code'!I$8:I$33,MATCH('Annex 3_MAFF'!$AG534,'Annex 2_Code'!$G$8:$G$33,0)),"")</f>
        <v>1</v>
      </c>
      <c r="U534" s="1949">
        <f>IFERROR(INDEX('Annex 2_Code'!J$8:J$33,MATCH('Annex 3_MAFF'!$AG534,'Annex 2_Code'!$G$8:$G$33,0)),"")</f>
        <v>0</v>
      </c>
      <c r="V534" s="1949">
        <f>IFERROR(INDEX('Annex 2_Code'!K$8:K$33,MATCH('Annex 3_MAFF'!$AG534,'Annex 2_Code'!$G$8:$G$33,0)),"")</f>
        <v>0</v>
      </c>
      <c r="W534" s="1949">
        <f>IFERROR(INDEX('Annex 2_Code'!L$8:L$33,MATCH('Annex 3_MAFF'!$AG534,'Annex 2_Code'!$G$8:$G$33,0)),"")</f>
        <v>0</v>
      </c>
      <c r="X534" s="1949">
        <f>IFERROR(INDEX('Annex 2_Code'!M$8:M$33,MATCH('Annex 3_MAFF'!$AG534,'Annex 2_Code'!$G$8:$G$33,0)),"")</f>
        <v>0</v>
      </c>
      <c r="Y534" s="1933">
        <f t="shared" si="638"/>
        <v>35.64</v>
      </c>
      <c r="Z534" s="1934">
        <f t="shared" si="639"/>
        <v>0</v>
      </c>
      <c r="AA534" s="1934">
        <f t="shared" si="639"/>
        <v>0</v>
      </c>
      <c r="AB534" s="1934">
        <f t="shared" si="640"/>
        <v>0</v>
      </c>
      <c r="AC534" s="1935">
        <f t="shared" si="641"/>
        <v>0</v>
      </c>
      <c r="AD534" s="1936">
        <f t="shared" si="674"/>
        <v>35.64</v>
      </c>
      <c r="AE534" s="1936">
        <f t="shared" si="675"/>
        <v>0</v>
      </c>
      <c r="AF534" s="1937" t="s">
        <v>374</v>
      </c>
      <c r="AG534" s="605" t="s">
        <v>211</v>
      </c>
      <c r="AH534" s="1937" t="str">
        <f>IFERROR(INDEX('Annex 2_Code'!$J$114:$J$131,MATCH('Annex 3_MAFF'!AF534,'Annex 2_Code'!$G$114:$G$131,0)),"")</f>
        <v>MAFF</v>
      </c>
      <c r="AI534" s="646" t="str">
        <f t="shared" si="643"/>
        <v>MAFF</v>
      </c>
      <c r="AJ534" s="1950" t="s">
        <v>449</v>
      </c>
    </row>
    <row r="535" spans="1:36" s="1950" customFormat="1" ht="49.5" customHeight="1" outlineLevel="1">
      <c r="A535" s="1940"/>
      <c r="B535" s="1391" t="s">
        <v>1452</v>
      </c>
      <c r="C535" s="2141" t="s">
        <v>125</v>
      </c>
      <c r="D535" s="1931"/>
      <c r="E535" s="1930"/>
      <c r="F535" s="1942"/>
      <c r="G535" s="2173" t="s">
        <v>1417</v>
      </c>
      <c r="H535" s="1944" t="s">
        <v>1407</v>
      </c>
      <c r="I535" s="1914">
        <f>3300/1000</f>
        <v>3.3</v>
      </c>
      <c r="J535" s="2142">
        <v>2.4</v>
      </c>
      <c r="K535" s="2143">
        <v>2.4</v>
      </c>
      <c r="L535" s="2143">
        <v>2.35</v>
      </c>
      <c r="M535" s="2143">
        <v>2.25</v>
      </c>
      <c r="N535" s="2144">
        <f t="shared" si="697"/>
        <v>9.4</v>
      </c>
      <c r="O535" s="2145">
        <f t="shared" si="684"/>
        <v>7.919999999999999</v>
      </c>
      <c r="P535" s="2146">
        <f t="shared" si="698"/>
        <v>7.919999999999999</v>
      </c>
      <c r="Q535" s="2146">
        <f t="shared" si="699"/>
        <v>7.7549999999999999</v>
      </c>
      <c r="R535" s="2146">
        <f t="shared" si="700"/>
        <v>7.4249999999999998</v>
      </c>
      <c r="S535" s="1356">
        <f t="shared" si="701"/>
        <v>31.02</v>
      </c>
      <c r="T535" s="1949">
        <f>IFERROR(INDEX('Annex 2_Code'!I$8:I$33,MATCH('Annex 3_MAFF'!$AG535,'Annex 2_Code'!$G$8:$G$33,0)),"")</f>
        <v>1</v>
      </c>
      <c r="U535" s="1949">
        <f>IFERROR(INDEX('Annex 2_Code'!J$8:J$33,MATCH('Annex 3_MAFF'!$AG535,'Annex 2_Code'!$G$8:$G$33,0)),"")</f>
        <v>0</v>
      </c>
      <c r="V535" s="1949">
        <f>IFERROR(INDEX('Annex 2_Code'!K$8:K$33,MATCH('Annex 3_MAFF'!$AG535,'Annex 2_Code'!$G$8:$G$33,0)),"")</f>
        <v>0</v>
      </c>
      <c r="W535" s="1949">
        <f>IFERROR(INDEX('Annex 2_Code'!L$8:L$33,MATCH('Annex 3_MAFF'!$AG535,'Annex 2_Code'!$G$8:$G$33,0)),"")</f>
        <v>0</v>
      </c>
      <c r="X535" s="1949">
        <f>IFERROR(INDEX('Annex 2_Code'!M$8:M$33,MATCH('Annex 3_MAFF'!$AG535,'Annex 2_Code'!$G$8:$G$33,0)),"")</f>
        <v>0</v>
      </c>
      <c r="Y535" s="1933">
        <f t="shared" si="638"/>
        <v>31.02</v>
      </c>
      <c r="Z535" s="1934">
        <f t="shared" si="639"/>
        <v>0</v>
      </c>
      <c r="AA535" s="1934">
        <f t="shared" si="639"/>
        <v>0</v>
      </c>
      <c r="AB535" s="1934">
        <f t="shared" si="640"/>
        <v>0</v>
      </c>
      <c r="AC535" s="1935">
        <f t="shared" si="641"/>
        <v>0</v>
      </c>
      <c r="AD535" s="1936">
        <f t="shared" si="674"/>
        <v>31.02</v>
      </c>
      <c r="AE535" s="1936">
        <f t="shared" si="675"/>
        <v>0</v>
      </c>
      <c r="AF535" s="1937" t="s">
        <v>374</v>
      </c>
      <c r="AG535" s="605" t="s">
        <v>211</v>
      </c>
      <c r="AH535" s="1937" t="str">
        <f>IFERROR(INDEX('Annex 2_Code'!$J$114:$J$131,MATCH('Annex 3_MAFF'!AF535,'Annex 2_Code'!$G$114:$G$131,0)),"")</f>
        <v>MAFF</v>
      </c>
      <c r="AI535" s="646" t="str">
        <f t="shared" si="643"/>
        <v>MAFF</v>
      </c>
      <c r="AJ535" s="1950" t="s">
        <v>449</v>
      </c>
    </row>
    <row r="536" spans="1:36" s="1950" customFormat="1" ht="51" customHeight="1" outlineLevel="1">
      <c r="A536" s="1940"/>
      <c r="B536" s="1391" t="s">
        <v>1452</v>
      </c>
      <c r="C536" s="2141" t="s">
        <v>125</v>
      </c>
      <c r="D536" s="1931"/>
      <c r="E536" s="1930"/>
      <c r="F536" s="1942"/>
      <c r="G536" s="2173" t="s">
        <v>1416</v>
      </c>
      <c r="H536" s="1944" t="s">
        <v>1407</v>
      </c>
      <c r="I536" s="1914">
        <f>3500/1000</f>
        <v>3.5</v>
      </c>
      <c r="J536" s="2142">
        <v>2.7</v>
      </c>
      <c r="K536" s="2143">
        <v>2.7</v>
      </c>
      <c r="L536" s="2143">
        <v>2.7</v>
      </c>
      <c r="M536" s="2143">
        <v>2.5499999999999998</v>
      </c>
      <c r="N536" s="2144">
        <f t="shared" si="697"/>
        <v>10.650000000000002</v>
      </c>
      <c r="O536" s="2145">
        <f t="shared" si="684"/>
        <v>9.4500000000000011</v>
      </c>
      <c r="P536" s="2146">
        <f t="shared" si="698"/>
        <v>9.4500000000000011</v>
      </c>
      <c r="Q536" s="2146">
        <f t="shared" si="699"/>
        <v>9.4500000000000011</v>
      </c>
      <c r="R536" s="2146">
        <f t="shared" si="700"/>
        <v>8.9249999999999989</v>
      </c>
      <c r="S536" s="1356">
        <f t="shared" si="701"/>
        <v>37.274999999999999</v>
      </c>
      <c r="T536" s="1949">
        <f>IFERROR(INDEX('Annex 2_Code'!I$8:I$33,MATCH('Annex 3_MAFF'!$AG536,'Annex 2_Code'!$G$8:$G$33,0)),"")</f>
        <v>1</v>
      </c>
      <c r="U536" s="1949">
        <f>IFERROR(INDEX('Annex 2_Code'!J$8:J$33,MATCH('Annex 3_MAFF'!$AG536,'Annex 2_Code'!$G$8:$G$33,0)),"")</f>
        <v>0</v>
      </c>
      <c r="V536" s="1949">
        <f>IFERROR(INDEX('Annex 2_Code'!K$8:K$33,MATCH('Annex 3_MAFF'!$AG536,'Annex 2_Code'!$G$8:$G$33,0)),"")</f>
        <v>0</v>
      </c>
      <c r="W536" s="1949">
        <f>IFERROR(INDEX('Annex 2_Code'!L$8:L$33,MATCH('Annex 3_MAFF'!$AG536,'Annex 2_Code'!$G$8:$G$33,0)),"")</f>
        <v>0</v>
      </c>
      <c r="X536" s="1949">
        <f>IFERROR(INDEX('Annex 2_Code'!M$8:M$33,MATCH('Annex 3_MAFF'!$AG536,'Annex 2_Code'!$G$8:$G$33,0)),"")</f>
        <v>0</v>
      </c>
      <c r="Y536" s="1933">
        <f t="shared" si="638"/>
        <v>37.274999999999999</v>
      </c>
      <c r="Z536" s="1934">
        <f t="shared" si="639"/>
        <v>0</v>
      </c>
      <c r="AA536" s="1934">
        <f t="shared" si="639"/>
        <v>0</v>
      </c>
      <c r="AB536" s="1934">
        <f t="shared" si="640"/>
        <v>0</v>
      </c>
      <c r="AC536" s="1935">
        <f t="shared" si="641"/>
        <v>0</v>
      </c>
      <c r="AD536" s="1936">
        <f t="shared" si="674"/>
        <v>37.274999999999999</v>
      </c>
      <c r="AE536" s="1936">
        <f t="shared" si="675"/>
        <v>0</v>
      </c>
      <c r="AF536" s="1937" t="s">
        <v>374</v>
      </c>
      <c r="AG536" s="605" t="s">
        <v>211</v>
      </c>
      <c r="AH536" s="1937" t="str">
        <f>IFERROR(INDEX('Annex 2_Code'!$J$114:$J$131,MATCH('Annex 3_MAFF'!AF536,'Annex 2_Code'!$G$114:$G$131,0)),"")</f>
        <v>MAFF</v>
      </c>
      <c r="AI536" s="646" t="str">
        <f t="shared" si="643"/>
        <v>MAFF</v>
      </c>
      <c r="AJ536" s="1950" t="s">
        <v>449</v>
      </c>
    </row>
    <row r="537" spans="1:36" s="1950" customFormat="1" ht="41.25" customHeight="1" outlineLevel="1">
      <c r="A537" s="1940"/>
      <c r="B537" s="1391" t="s">
        <v>1452</v>
      </c>
      <c r="C537" s="2141" t="s">
        <v>125</v>
      </c>
      <c r="D537" s="1931"/>
      <c r="E537" s="1930"/>
      <c r="F537" s="1942"/>
      <c r="G537" s="2173" t="s">
        <v>1450</v>
      </c>
      <c r="H537" s="1944" t="s">
        <v>1407</v>
      </c>
      <c r="I537" s="1914">
        <f>4600/1000</f>
        <v>4.5999999999999996</v>
      </c>
      <c r="J537" s="2142">
        <v>2.7</v>
      </c>
      <c r="K537" s="2143">
        <v>2.7</v>
      </c>
      <c r="L537" s="2143">
        <v>2.7</v>
      </c>
      <c r="M537" s="2143">
        <v>2.7</v>
      </c>
      <c r="N537" s="2144">
        <f t="shared" si="697"/>
        <v>10.8</v>
      </c>
      <c r="O537" s="2145">
        <f t="shared" si="684"/>
        <v>12.42</v>
      </c>
      <c r="P537" s="2146">
        <f t="shared" si="698"/>
        <v>12.42</v>
      </c>
      <c r="Q537" s="2146">
        <f t="shared" si="699"/>
        <v>12.42</v>
      </c>
      <c r="R537" s="2146">
        <f t="shared" si="700"/>
        <v>12.42</v>
      </c>
      <c r="S537" s="1356">
        <f t="shared" si="701"/>
        <v>49.68</v>
      </c>
      <c r="T537" s="1949">
        <f>IFERROR(INDEX('Annex 2_Code'!I$8:I$33,MATCH('Annex 3_MAFF'!$AG537,'Annex 2_Code'!$G$8:$G$33,0)),"")</f>
        <v>1</v>
      </c>
      <c r="U537" s="1949">
        <f>IFERROR(INDEX('Annex 2_Code'!J$8:J$33,MATCH('Annex 3_MAFF'!$AG537,'Annex 2_Code'!$G$8:$G$33,0)),"")</f>
        <v>0</v>
      </c>
      <c r="V537" s="1949">
        <f>IFERROR(INDEX('Annex 2_Code'!K$8:K$33,MATCH('Annex 3_MAFF'!$AG537,'Annex 2_Code'!$G$8:$G$33,0)),"")</f>
        <v>0</v>
      </c>
      <c r="W537" s="1949">
        <f>IFERROR(INDEX('Annex 2_Code'!L$8:L$33,MATCH('Annex 3_MAFF'!$AG537,'Annex 2_Code'!$G$8:$G$33,0)),"")</f>
        <v>0</v>
      </c>
      <c r="X537" s="1949">
        <f>IFERROR(INDEX('Annex 2_Code'!M$8:M$33,MATCH('Annex 3_MAFF'!$AG537,'Annex 2_Code'!$G$8:$G$33,0)),"")</f>
        <v>0</v>
      </c>
      <c r="Y537" s="1933">
        <f t="shared" si="638"/>
        <v>49.68</v>
      </c>
      <c r="Z537" s="1934">
        <f t="shared" si="639"/>
        <v>0</v>
      </c>
      <c r="AA537" s="1934">
        <f t="shared" si="639"/>
        <v>0</v>
      </c>
      <c r="AB537" s="1934">
        <f t="shared" si="640"/>
        <v>0</v>
      </c>
      <c r="AC537" s="1935">
        <f t="shared" si="641"/>
        <v>0</v>
      </c>
      <c r="AD537" s="1936">
        <f t="shared" si="674"/>
        <v>49.68</v>
      </c>
      <c r="AE537" s="1936">
        <f t="shared" si="675"/>
        <v>0</v>
      </c>
      <c r="AF537" s="1937" t="s">
        <v>374</v>
      </c>
      <c r="AG537" s="605" t="s">
        <v>211</v>
      </c>
      <c r="AH537" s="1937" t="str">
        <f>IFERROR(INDEX('Annex 2_Code'!$J$114:$J$131,MATCH('Annex 3_MAFF'!AF537,'Annex 2_Code'!$G$114:$G$131,0)),"")</f>
        <v>MAFF</v>
      </c>
      <c r="AI537" s="646" t="str">
        <f t="shared" si="643"/>
        <v>MAFF</v>
      </c>
      <c r="AJ537" s="1950" t="s">
        <v>449</v>
      </c>
    </row>
    <row r="538" spans="1:36" s="637" customFormat="1" ht="23.25">
      <c r="A538" s="587"/>
      <c r="B538" s="659" t="s">
        <v>54</v>
      </c>
      <c r="C538" s="782"/>
      <c r="D538" s="701"/>
      <c r="E538" s="612" t="s">
        <v>669</v>
      </c>
      <c r="F538" s="626"/>
      <c r="G538" s="616"/>
      <c r="H538" s="811" t="s">
        <v>652</v>
      </c>
      <c r="I538" s="572"/>
      <c r="J538" s="1476"/>
      <c r="K538" s="1477"/>
      <c r="L538" s="1478"/>
      <c r="M538" s="1478"/>
      <c r="N538" s="1472">
        <f t="shared" si="697"/>
        <v>0</v>
      </c>
      <c r="O538" s="657"/>
      <c r="P538" s="658"/>
      <c r="Q538" s="658"/>
      <c r="R538" s="658"/>
      <c r="S538" s="1356"/>
      <c r="T538" s="599" t="str">
        <f>IFERROR(INDEX('Annex 2_Code'!I$8:I$33,MATCH('Annex 3_MAFF'!$AG538,'Annex 2_Code'!$G$8:$G$33,0)),"")</f>
        <v/>
      </c>
      <c r="U538" s="599" t="str">
        <f>IFERROR(INDEX('Annex 2_Code'!J$8:J$33,MATCH('Annex 3_MAFF'!$AG538,'Annex 2_Code'!$G$8:$G$33,0)),"")</f>
        <v/>
      </c>
      <c r="V538" s="599" t="str">
        <f>IFERROR(INDEX('Annex 2_Code'!K$8:K$33,MATCH('Annex 3_MAFF'!$AG538,'Annex 2_Code'!$G$8:$G$33,0)),"")</f>
        <v/>
      </c>
      <c r="W538" s="599" t="str">
        <f>IFERROR(INDEX('Annex 2_Code'!L$8:L$33,MATCH('Annex 3_MAFF'!$AG538,'Annex 2_Code'!$G$8:$G$33,0)),"")</f>
        <v/>
      </c>
      <c r="X538" s="599" t="str">
        <f>IFERROR(INDEX('Annex 2_Code'!M$8:M$33,MATCH('Annex 3_MAFF'!$AG538,'Annex 2_Code'!$G$8:$G$33,0)),"")</f>
        <v/>
      </c>
      <c r="Y538" s="647" t="str">
        <f t="shared" si="638"/>
        <v/>
      </c>
      <c r="Z538" s="600" t="str">
        <f t="shared" si="639"/>
        <v/>
      </c>
      <c r="AA538" s="600" t="str">
        <f t="shared" si="639"/>
        <v/>
      </c>
      <c r="AB538" s="600" t="str">
        <f t="shared" si="640"/>
        <v/>
      </c>
      <c r="AC538" s="601" t="str">
        <f t="shared" si="641"/>
        <v/>
      </c>
      <c r="AD538" s="602">
        <f t="shared" si="674"/>
        <v>0</v>
      </c>
      <c r="AE538" s="602">
        <f t="shared" si="675"/>
        <v>0</v>
      </c>
      <c r="AF538" s="605"/>
      <c r="AG538" s="605"/>
      <c r="AH538" s="605" t="str">
        <f>IFERROR(INDEX('Annex 2_Code'!$J$114:$J$131,MATCH('Annex 3_MAFF'!AF538,'Annex 2_Code'!$G$114:$G$131,0)),"")</f>
        <v/>
      </c>
      <c r="AI538" s="646" t="str">
        <f t="shared" si="643"/>
        <v/>
      </c>
    </row>
    <row r="539" spans="1:36" s="637" customFormat="1" ht="23.25" outlineLevel="1">
      <c r="A539" s="587"/>
      <c r="B539" s="669" t="s">
        <v>54</v>
      </c>
      <c r="C539" s="782"/>
      <c r="D539" s="701"/>
      <c r="E539" s="307"/>
      <c r="F539" s="626" t="s">
        <v>670</v>
      </c>
      <c r="G539" s="616"/>
      <c r="H539" s="811" t="s">
        <v>652</v>
      </c>
      <c r="I539" s="572"/>
      <c r="J539" s="1509"/>
      <c r="K539" s="1510"/>
      <c r="L539" s="1478"/>
      <c r="M539" s="1478"/>
      <c r="N539" s="1472">
        <f t="shared" si="697"/>
        <v>0</v>
      </c>
      <c r="O539" s="657"/>
      <c r="P539" s="658"/>
      <c r="Q539" s="658"/>
      <c r="R539" s="658"/>
      <c r="S539" s="1356"/>
      <c r="T539" s="763" t="str">
        <f>IFERROR(INDEX('Annex 2_Code'!I$8:I$33,MATCH('Annex 3_MAFF'!$AG539,'Annex 2_Code'!$G$8:$G$33,0)),"")</f>
        <v/>
      </c>
      <c r="U539" s="763" t="str">
        <f>IFERROR(INDEX('Annex 2_Code'!J$8:J$33,MATCH('Annex 3_MAFF'!$AG539,'Annex 2_Code'!$G$8:$G$33,0)),"")</f>
        <v/>
      </c>
      <c r="V539" s="763" t="str">
        <f>IFERROR(INDEX('Annex 2_Code'!K$8:K$33,MATCH('Annex 3_MAFF'!$AG539,'Annex 2_Code'!$G$8:$G$33,0)),"")</f>
        <v/>
      </c>
      <c r="W539" s="763" t="str">
        <f>IFERROR(INDEX('Annex 2_Code'!L$8:L$33,MATCH('Annex 3_MAFF'!$AG539,'Annex 2_Code'!$G$8:$G$33,0)),"")</f>
        <v/>
      </c>
      <c r="X539" s="763" t="str">
        <f>IFERROR(INDEX('Annex 2_Code'!M$8:M$33,MATCH('Annex 3_MAFF'!$AG539,'Annex 2_Code'!$G$8:$G$33,0)),"")</f>
        <v/>
      </c>
      <c r="Y539" s="1745" t="str">
        <f t="shared" si="638"/>
        <v/>
      </c>
      <c r="Z539" s="807" t="str">
        <f t="shared" si="639"/>
        <v/>
      </c>
      <c r="AA539" s="807" t="str">
        <f t="shared" si="639"/>
        <v/>
      </c>
      <c r="AB539" s="807" t="str">
        <f t="shared" si="640"/>
        <v/>
      </c>
      <c r="AC539" s="808" t="str">
        <f t="shared" si="641"/>
        <v/>
      </c>
      <c r="AD539" s="764">
        <f t="shared" si="674"/>
        <v>0</v>
      </c>
      <c r="AE539" s="764">
        <f t="shared" si="675"/>
        <v>0</v>
      </c>
      <c r="AF539" s="605"/>
      <c r="AG539" s="605"/>
      <c r="AH539" s="605" t="str">
        <f>IFERROR(INDEX('Annex 2_Code'!$J$114:$J$131,MATCH('Annex 3_MAFF'!AF539,'Annex 2_Code'!$G$114:$G$131,0)),"")</f>
        <v/>
      </c>
      <c r="AI539" s="646" t="str">
        <f t="shared" si="643"/>
        <v/>
      </c>
    </row>
    <row r="540" spans="1:36" s="1950" customFormat="1" ht="20.25" customHeight="1" outlineLevel="1">
      <c r="A540" s="1940"/>
      <c r="B540" s="1391" t="s">
        <v>1452</v>
      </c>
      <c r="C540" s="2141" t="s">
        <v>125</v>
      </c>
      <c r="D540" s="1931"/>
      <c r="E540" s="1930"/>
      <c r="F540" s="1942"/>
      <c r="G540" s="2173" t="s">
        <v>1414</v>
      </c>
      <c r="H540" s="1944" t="s">
        <v>1407</v>
      </c>
      <c r="I540" s="1914">
        <f>18000/1000</f>
        <v>18</v>
      </c>
      <c r="J540" s="2142">
        <v>1</v>
      </c>
      <c r="K540" s="2143">
        <v>1.1599999999999999</v>
      </c>
      <c r="L540" s="2143">
        <v>1</v>
      </c>
      <c r="M540" s="2143">
        <v>1.5</v>
      </c>
      <c r="N540" s="2144">
        <f t="shared" ref="N540:N546" si="702">SUM(J540:M540)</f>
        <v>4.66</v>
      </c>
      <c r="O540" s="2145">
        <f t="shared" si="684"/>
        <v>18</v>
      </c>
      <c r="P540" s="2146">
        <f t="shared" ref="P540:R541" si="703">($I540*K540)</f>
        <v>20.88</v>
      </c>
      <c r="Q540" s="2146">
        <f t="shared" si="703"/>
        <v>18</v>
      </c>
      <c r="R540" s="2146">
        <f t="shared" si="703"/>
        <v>27</v>
      </c>
      <c r="S540" s="1356">
        <f>SUM(O540:R540)</f>
        <v>83.88</v>
      </c>
      <c r="T540" s="1949">
        <f>IFERROR(INDEX('Annex 2_Code'!I$8:I$33,MATCH('Annex 3_MAFF'!$AG540,'Annex 2_Code'!$G$8:$G$33,0)),"")</f>
        <v>1</v>
      </c>
      <c r="U540" s="1949">
        <f>IFERROR(INDEX('Annex 2_Code'!J$8:J$33,MATCH('Annex 3_MAFF'!$AG540,'Annex 2_Code'!$G$8:$G$33,0)),"")</f>
        <v>0</v>
      </c>
      <c r="V540" s="1949">
        <f>IFERROR(INDEX('Annex 2_Code'!K$8:K$33,MATCH('Annex 3_MAFF'!$AG540,'Annex 2_Code'!$G$8:$G$33,0)),"")</f>
        <v>0</v>
      </c>
      <c r="W540" s="1949">
        <f>IFERROR(INDEX('Annex 2_Code'!L$8:L$33,MATCH('Annex 3_MAFF'!$AG540,'Annex 2_Code'!$G$8:$G$33,0)),"")</f>
        <v>0</v>
      </c>
      <c r="X540" s="1949">
        <f>IFERROR(INDEX('Annex 2_Code'!M$8:M$33,MATCH('Annex 3_MAFF'!$AG540,'Annex 2_Code'!$G$8:$G$33,0)),"")</f>
        <v>0</v>
      </c>
      <c r="Y540" s="1933">
        <f t="shared" si="638"/>
        <v>83.88</v>
      </c>
      <c r="Z540" s="1934">
        <f t="shared" si="639"/>
        <v>0</v>
      </c>
      <c r="AA540" s="1934">
        <f t="shared" si="639"/>
        <v>0</v>
      </c>
      <c r="AB540" s="1934">
        <f t="shared" si="640"/>
        <v>0</v>
      </c>
      <c r="AC540" s="1935">
        <f t="shared" si="641"/>
        <v>0</v>
      </c>
      <c r="AD540" s="1936">
        <f t="shared" si="674"/>
        <v>83.88</v>
      </c>
      <c r="AE540" s="1936">
        <f t="shared" si="675"/>
        <v>0</v>
      </c>
      <c r="AF540" s="1937" t="s">
        <v>374</v>
      </c>
      <c r="AG540" s="605" t="s">
        <v>209</v>
      </c>
      <c r="AH540" s="1937" t="str">
        <f>IFERROR(INDEX('Annex 2_Code'!$J$114:$J$131,MATCH('Annex 3_MAFF'!AF540,'Annex 2_Code'!$G$114:$G$131,0)),"")</f>
        <v>MAFF</v>
      </c>
      <c r="AI540" s="646" t="str">
        <f t="shared" si="643"/>
        <v>MAFF</v>
      </c>
      <c r="AJ540" s="1950" t="s">
        <v>449</v>
      </c>
    </row>
    <row r="541" spans="1:36" s="1950" customFormat="1" ht="40.5" customHeight="1" outlineLevel="1">
      <c r="A541" s="1940"/>
      <c r="B541" s="1391" t="s">
        <v>1452</v>
      </c>
      <c r="C541" s="2141" t="s">
        <v>125</v>
      </c>
      <c r="D541" s="1931"/>
      <c r="E541" s="1930"/>
      <c r="F541" s="1942"/>
      <c r="G541" s="2173" t="s">
        <v>1415</v>
      </c>
      <c r="H541" s="1944" t="s">
        <v>1407</v>
      </c>
      <c r="I541" s="1914">
        <f>1600/1000</f>
        <v>1.6</v>
      </c>
      <c r="J541" s="2142">
        <v>1.25</v>
      </c>
      <c r="K541" s="2143">
        <v>0.75</v>
      </c>
      <c r="L541" s="2143">
        <v>1.32</v>
      </c>
      <c r="M541" s="2143">
        <v>0.25</v>
      </c>
      <c r="N541" s="2144">
        <f t="shared" si="702"/>
        <v>3.5700000000000003</v>
      </c>
      <c r="O541" s="2145">
        <f t="shared" si="684"/>
        <v>2</v>
      </c>
      <c r="P541" s="2146">
        <f t="shared" si="703"/>
        <v>1.2000000000000002</v>
      </c>
      <c r="Q541" s="2146">
        <f t="shared" si="703"/>
        <v>2.1120000000000001</v>
      </c>
      <c r="R541" s="2146">
        <f t="shared" si="703"/>
        <v>0.4</v>
      </c>
      <c r="S541" s="1356">
        <f>SUM(O541:R541)</f>
        <v>5.7120000000000006</v>
      </c>
      <c r="T541" s="1949">
        <f>IFERROR(INDEX('Annex 2_Code'!I$8:I$33,MATCH('Annex 3_MAFF'!$AG541,'Annex 2_Code'!$G$8:$G$33,0)),"")</f>
        <v>1</v>
      </c>
      <c r="U541" s="1949">
        <f>IFERROR(INDEX('Annex 2_Code'!J$8:J$33,MATCH('Annex 3_MAFF'!$AG541,'Annex 2_Code'!$G$8:$G$33,0)),"")</f>
        <v>0</v>
      </c>
      <c r="V541" s="1949">
        <f>IFERROR(INDEX('Annex 2_Code'!K$8:K$33,MATCH('Annex 3_MAFF'!$AG541,'Annex 2_Code'!$G$8:$G$33,0)),"")</f>
        <v>0</v>
      </c>
      <c r="W541" s="1949">
        <f>IFERROR(INDEX('Annex 2_Code'!L$8:L$33,MATCH('Annex 3_MAFF'!$AG541,'Annex 2_Code'!$G$8:$G$33,0)),"")</f>
        <v>0</v>
      </c>
      <c r="X541" s="1949">
        <f>IFERROR(INDEX('Annex 2_Code'!M$8:M$33,MATCH('Annex 3_MAFF'!$AG541,'Annex 2_Code'!$G$8:$G$33,0)),"")</f>
        <v>0</v>
      </c>
      <c r="Y541" s="1933">
        <f t="shared" si="638"/>
        <v>5.7120000000000006</v>
      </c>
      <c r="Z541" s="1934">
        <f t="shared" si="639"/>
        <v>0</v>
      </c>
      <c r="AA541" s="1934">
        <f t="shared" si="639"/>
        <v>0</v>
      </c>
      <c r="AB541" s="1934">
        <f t="shared" si="640"/>
        <v>0</v>
      </c>
      <c r="AC541" s="1935">
        <f t="shared" si="641"/>
        <v>0</v>
      </c>
      <c r="AD541" s="1936">
        <f t="shared" si="674"/>
        <v>5.7120000000000006</v>
      </c>
      <c r="AE541" s="1936">
        <f t="shared" si="675"/>
        <v>0</v>
      </c>
      <c r="AF541" s="1937" t="s">
        <v>374</v>
      </c>
      <c r="AG541" s="605" t="s">
        <v>209</v>
      </c>
      <c r="AH541" s="1937" t="str">
        <f>IFERROR(INDEX('Annex 2_Code'!$J$114:$J$131,MATCH('Annex 3_MAFF'!AF541,'Annex 2_Code'!$G$114:$G$131,0)),"")</f>
        <v>MAFF</v>
      </c>
      <c r="AI541" s="646" t="str">
        <f t="shared" si="643"/>
        <v>MAFF</v>
      </c>
      <c r="AJ541" s="1950" t="s">
        <v>449</v>
      </c>
    </row>
    <row r="542" spans="1:36" s="637" customFormat="1" ht="23.25" outlineLevel="1">
      <c r="A542" s="587"/>
      <c r="B542" s="669" t="s">
        <v>54</v>
      </c>
      <c r="C542" s="782"/>
      <c r="D542" s="701"/>
      <c r="E542" s="307"/>
      <c r="F542" s="626" t="s">
        <v>671</v>
      </c>
      <c r="G542" s="616"/>
      <c r="H542" s="811" t="s">
        <v>652</v>
      </c>
      <c r="I542" s="572"/>
      <c r="J542" s="1509"/>
      <c r="K542" s="1510"/>
      <c r="L542" s="1478"/>
      <c r="M542" s="1478"/>
      <c r="N542" s="1472">
        <f t="shared" si="702"/>
        <v>0</v>
      </c>
      <c r="O542" s="657"/>
      <c r="P542" s="658"/>
      <c r="Q542" s="658"/>
      <c r="R542" s="658"/>
      <c r="S542" s="1356"/>
      <c r="T542" s="763" t="str">
        <f>IFERROR(INDEX('Annex 2_Code'!I$8:I$33,MATCH('Annex 3_MAFF'!$AG542,'Annex 2_Code'!$G$8:$G$33,0)),"")</f>
        <v/>
      </c>
      <c r="U542" s="763" t="str">
        <f>IFERROR(INDEX('Annex 2_Code'!J$8:J$33,MATCH('Annex 3_MAFF'!$AG542,'Annex 2_Code'!$G$8:$G$33,0)),"")</f>
        <v/>
      </c>
      <c r="V542" s="763" t="str">
        <f>IFERROR(INDEX('Annex 2_Code'!K$8:K$33,MATCH('Annex 3_MAFF'!$AG542,'Annex 2_Code'!$G$8:$G$33,0)),"")</f>
        <v/>
      </c>
      <c r="W542" s="763" t="str">
        <f>IFERROR(INDEX('Annex 2_Code'!L$8:L$33,MATCH('Annex 3_MAFF'!$AG542,'Annex 2_Code'!$G$8:$G$33,0)),"")</f>
        <v/>
      </c>
      <c r="X542" s="763" t="str">
        <f>IFERROR(INDEX('Annex 2_Code'!M$8:M$33,MATCH('Annex 3_MAFF'!$AG542,'Annex 2_Code'!$G$8:$G$33,0)),"")</f>
        <v/>
      </c>
      <c r="Y542" s="1745" t="str">
        <f t="shared" si="638"/>
        <v/>
      </c>
      <c r="Z542" s="807" t="str">
        <f t="shared" si="639"/>
        <v/>
      </c>
      <c r="AA542" s="807" t="str">
        <f t="shared" si="639"/>
        <v/>
      </c>
      <c r="AB542" s="807" t="str">
        <f t="shared" si="640"/>
        <v/>
      </c>
      <c r="AC542" s="808" t="str">
        <f t="shared" si="641"/>
        <v/>
      </c>
      <c r="AD542" s="764">
        <f t="shared" si="674"/>
        <v>0</v>
      </c>
      <c r="AE542" s="764">
        <f t="shared" si="675"/>
        <v>0</v>
      </c>
      <c r="AF542" s="605"/>
      <c r="AG542" s="605"/>
      <c r="AH542" s="605" t="str">
        <f>IFERROR(INDEX('Annex 2_Code'!$J$114:$J$131,MATCH('Annex 3_MAFF'!AF542,'Annex 2_Code'!$G$114:$G$131,0)),"")</f>
        <v/>
      </c>
      <c r="AI542" s="646" t="str">
        <f t="shared" si="643"/>
        <v/>
      </c>
    </row>
    <row r="543" spans="1:36" s="1950" customFormat="1" ht="37.5" outlineLevel="1">
      <c r="A543" s="1930"/>
      <c r="B543" s="1391" t="s">
        <v>1452</v>
      </c>
      <c r="C543" s="2141" t="s">
        <v>125</v>
      </c>
      <c r="D543" s="1931"/>
      <c r="E543" s="1930"/>
      <c r="F543" s="1942"/>
      <c r="G543" s="2173" t="s">
        <v>1411</v>
      </c>
      <c r="H543" s="1944" t="s">
        <v>1407</v>
      </c>
      <c r="I543" s="1945">
        <f>4800/1000</f>
        <v>4.8</v>
      </c>
      <c r="J543" s="2142">
        <v>3</v>
      </c>
      <c r="K543" s="2143">
        <v>3</v>
      </c>
      <c r="L543" s="2143">
        <v>3</v>
      </c>
      <c r="M543" s="2143">
        <v>3</v>
      </c>
      <c r="N543" s="2144">
        <f t="shared" si="702"/>
        <v>12</v>
      </c>
      <c r="O543" s="1947">
        <f t="shared" si="684"/>
        <v>14.399999999999999</v>
      </c>
      <c r="P543" s="1948">
        <f>($I543*K543)</f>
        <v>14.399999999999999</v>
      </c>
      <c r="Q543" s="1948">
        <f>($I543*L543)</f>
        <v>14.399999999999999</v>
      </c>
      <c r="R543" s="1948">
        <f>($I543*M543)</f>
        <v>14.399999999999999</v>
      </c>
      <c r="S543" s="1356">
        <f>SUM(O543:R543)</f>
        <v>57.599999999999994</v>
      </c>
      <c r="T543" s="1949">
        <f>IFERROR(INDEX('Annex 2_Code'!I$8:I$33,MATCH('Annex 3_MAFF'!$AG543,'Annex 2_Code'!$G$8:$G$33,0)),"")</f>
        <v>1</v>
      </c>
      <c r="U543" s="1949">
        <f>IFERROR(INDEX('Annex 2_Code'!J$8:J$33,MATCH('Annex 3_MAFF'!$AG543,'Annex 2_Code'!$G$8:$G$33,0)),"")</f>
        <v>0</v>
      </c>
      <c r="V543" s="1949">
        <f>IFERROR(INDEX('Annex 2_Code'!K$8:K$33,MATCH('Annex 3_MAFF'!$AG543,'Annex 2_Code'!$G$8:$G$33,0)),"")</f>
        <v>0</v>
      </c>
      <c r="W543" s="1949">
        <f>IFERROR(INDEX('Annex 2_Code'!L$8:L$33,MATCH('Annex 3_MAFF'!$AG543,'Annex 2_Code'!$G$8:$G$33,0)),"")</f>
        <v>0</v>
      </c>
      <c r="X543" s="1949">
        <f>IFERROR(INDEX('Annex 2_Code'!M$8:M$33,MATCH('Annex 3_MAFF'!$AG543,'Annex 2_Code'!$G$8:$G$33,0)),"")</f>
        <v>0</v>
      </c>
      <c r="Y543" s="1933">
        <f t="shared" si="638"/>
        <v>57.599999999999994</v>
      </c>
      <c r="Z543" s="1934">
        <f t="shared" si="639"/>
        <v>0</v>
      </c>
      <c r="AA543" s="1934">
        <f t="shared" si="639"/>
        <v>0</v>
      </c>
      <c r="AB543" s="1934">
        <f t="shared" si="640"/>
        <v>0</v>
      </c>
      <c r="AC543" s="1935">
        <f t="shared" si="641"/>
        <v>0</v>
      </c>
      <c r="AD543" s="1936">
        <f t="shared" si="674"/>
        <v>57.599999999999994</v>
      </c>
      <c r="AE543" s="1936">
        <f t="shared" si="675"/>
        <v>0</v>
      </c>
      <c r="AF543" s="1937" t="s">
        <v>374</v>
      </c>
      <c r="AG543" s="605" t="s">
        <v>211</v>
      </c>
      <c r="AH543" s="1937" t="str">
        <f>IFERROR(INDEX('Annex 2_Code'!$J$114:$J$131,MATCH('Annex 3_MAFF'!AF543,'Annex 2_Code'!$G$114:$G$131,0)),"")</f>
        <v>MAFF</v>
      </c>
      <c r="AI543" s="646" t="str">
        <f t="shared" si="643"/>
        <v>MAFF</v>
      </c>
      <c r="AJ543" s="1950" t="s">
        <v>449</v>
      </c>
    </row>
    <row r="544" spans="1:36" s="637" customFormat="1" ht="23.25" outlineLevel="1">
      <c r="A544" s="587"/>
      <c r="B544" s="659" t="s">
        <v>54</v>
      </c>
      <c r="C544" s="782"/>
      <c r="D544" s="701"/>
      <c r="E544" s="612" t="s">
        <v>672</v>
      </c>
      <c r="F544" s="626"/>
      <c r="G544" s="616"/>
      <c r="H544" s="811" t="s">
        <v>652</v>
      </c>
      <c r="I544" s="572"/>
      <c r="J544" s="1476"/>
      <c r="K544" s="1477"/>
      <c r="L544" s="1478"/>
      <c r="M544" s="1478"/>
      <c r="N544" s="1472">
        <f t="shared" si="702"/>
        <v>0</v>
      </c>
      <c r="O544" s="657"/>
      <c r="P544" s="658"/>
      <c r="Q544" s="658"/>
      <c r="R544" s="658"/>
      <c r="S544" s="1356"/>
      <c r="T544" s="599" t="str">
        <f>IFERROR(INDEX('Annex 2_Code'!I$8:I$33,MATCH('Annex 3_MAFF'!$AG544,'Annex 2_Code'!$G$8:$G$33,0)),"")</f>
        <v/>
      </c>
      <c r="U544" s="599" t="str">
        <f>IFERROR(INDEX('Annex 2_Code'!J$8:J$33,MATCH('Annex 3_MAFF'!$AG544,'Annex 2_Code'!$G$8:$G$33,0)),"")</f>
        <v/>
      </c>
      <c r="V544" s="599" t="str">
        <f>IFERROR(INDEX('Annex 2_Code'!K$8:K$33,MATCH('Annex 3_MAFF'!$AG544,'Annex 2_Code'!$G$8:$G$33,0)),"")</f>
        <v/>
      </c>
      <c r="W544" s="599" t="str">
        <f>IFERROR(INDEX('Annex 2_Code'!L$8:L$33,MATCH('Annex 3_MAFF'!$AG544,'Annex 2_Code'!$G$8:$G$33,0)),"")</f>
        <v/>
      </c>
      <c r="X544" s="599" t="str">
        <f>IFERROR(INDEX('Annex 2_Code'!M$8:M$33,MATCH('Annex 3_MAFF'!$AG544,'Annex 2_Code'!$G$8:$G$33,0)),"")</f>
        <v/>
      </c>
      <c r="Y544" s="647" t="str">
        <f t="shared" si="638"/>
        <v/>
      </c>
      <c r="Z544" s="600" t="str">
        <f t="shared" si="639"/>
        <v/>
      </c>
      <c r="AA544" s="600" t="str">
        <f t="shared" si="639"/>
        <v/>
      </c>
      <c r="AB544" s="600" t="str">
        <f t="shared" si="640"/>
        <v/>
      </c>
      <c r="AC544" s="601" t="str">
        <f t="shared" si="641"/>
        <v/>
      </c>
      <c r="AD544" s="602">
        <f t="shared" si="674"/>
        <v>0</v>
      </c>
      <c r="AE544" s="602">
        <f t="shared" si="675"/>
        <v>0</v>
      </c>
      <c r="AF544" s="605"/>
      <c r="AG544" s="605"/>
      <c r="AH544" s="605" t="str">
        <f>IFERROR(INDEX('Annex 2_Code'!$J$114:$J$131,MATCH('Annex 3_MAFF'!AF544,'Annex 2_Code'!$G$114:$G$131,0)),"")</f>
        <v/>
      </c>
      <c r="AI544" s="646" t="str">
        <f t="shared" si="643"/>
        <v/>
      </c>
    </row>
    <row r="545" spans="1:39" s="1950" customFormat="1" ht="45" customHeight="1" outlineLevel="1">
      <c r="A545" s="1930"/>
      <c r="B545" s="1391" t="s">
        <v>1452</v>
      </c>
      <c r="C545" s="2141" t="s">
        <v>125</v>
      </c>
      <c r="D545" s="1931"/>
      <c r="E545" s="1930"/>
      <c r="F545" s="2623" t="s">
        <v>1412</v>
      </c>
      <c r="G545" s="2623"/>
      <c r="H545" s="1944" t="s">
        <v>1407</v>
      </c>
      <c r="I545" s="1945">
        <f>20000/1000</f>
        <v>20</v>
      </c>
      <c r="J545" s="2142">
        <v>0.8</v>
      </c>
      <c r="K545" s="2143">
        <v>0.96</v>
      </c>
      <c r="L545" s="2143">
        <v>0</v>
      </c>
      <c r="M545" s="2143">
        <v>0</v>
      </c>
      <c r="N545" s="2144">
        <f t="shared" si="702"/>
        <v>1.76</v>
      </c>
      <c r="O545" s="1947">
        <f t="shared" si="684"/>
        <v>16</v>
      </c>
      <c r="P545" s="1948">
        <f t="shared" ref="P545:R546" si="704">($I545*K545)</f>
        <v>19.2</v>
      </c>
      <c r="Q545" s="1948">
        <f t="shared" si="704"/>
        <v>0</v>
      </c>
      <c r="R545" s="1948">
        <f t="shared" si="704"/>
        <v>0</v>
      </c>
      <c r="S545" s="1356">
        <f>SUM(O545:R545)</f>
        <v>35.200000000000003</v>
      </c>
      <c r="T545" s="1949">
        <f>IFERROR(INDEX('Annex 2_Code'!I$8:I$33,MATCH('Annex 3_MAFF'!$AG545,'Annex 2_Code'!$G$8:$G$33,0)),"")</f>
        <v>1</v>
      </c>
      <c r="U545" s="1949">
        <f>IFERROR(INDEX('Annex 2_Code'!J$8:J$33,MATCH('Annex 3_MAFF'!$AG545,'Annex 2_Code'!$G$8:$G$33,0)),"")</f>
        <v>0</v>
      </c>
      <c r="V545" s="1949">
        <f>IFERROR(INDEX('Annex 2_Code'!K$8:K$33,MATCH('Annex 3_MAFF'!$AG545,'Annex 2_Code'!$G$8:$G$33,0)),"")</f>
        <v>0</v>
      </c>
      <c r="W545" s="1949">
        <f>IFERROR(INDEX('Annex 2_Code'!L$8:L$33,MATCH('Annex 3_MAFF'!$AG545,'Annex 2_Code'!$G$8:$G$33,0)),"")</f>
        <v>0</v>
      </c>
      <c r="X545" s="1949">
        <f>IFERROR(INDEX('Annex 2_Code'!M$8:M$33,MATCH('Annex 3_MAFF'!$AG545,'Annex 2_Code'!$G$8:$G$33,0)),"")</f>
        <v>0</v>
      </c>
      <c r="Y545" s="1933">
        <f t="shared" si="638"/>
        <v>35.200000000000003</v>
      </c>
      <c r="Z545" s="1934">
        <f t="shared" si="639"/>
        <v>0</v>
      </c>
      <c r="AA545" s="1934">
        <f t="shared" si="639"/>
        <v>0</v>
      </c>
      <c r="AB545" s="1934">
        <f t="shared" si="640"/>
        <v>0</v>
      </c>
      <c r="AC545" s="1935">
        <f t="shared" si="641"/>
        <v>0</v>
      </c>
      <c r="AD545" s="1936">
        <f t="shared" si="674"/>
        <v>35.200000000000003</v>
      </c>
      <c r="AE545" s="1936">
        <f t="shared" si="675"/>
        <v>0</v>
      </c>
      <c r="AF545" s="1937" t="s">
        <v>374</v>
      </c>
      <c r="AG545" s="605" t="s">
        <v>209</v>
      </c>
      <c r="AH545" s="1937" t="str">
        <f>IFERROR(INDEX('Annex 2_Code'!$J$114:$J$131,MATCH('Annex 3_MAFF'!AF545,'Annex 2_Code'!$G$114:$G$131,0)),"")</f>
        <v>MAFF</v>
      </c>
      <c r="AI545" s="646" t="str">
        <f t="shared" si="643"/>
        <v>MAFF</v>
      </c>
      <c r="AJ545" s="1950" t="s">
        <v>449</v>
      </c>
    </row>
    <row r="546" spans="1:39" s="1950" customFormat="1" ht="40.5" customHeight="1" outlineLevel="1">
      <c r="A546" s="1930"/>
      <c r="B546" s="1391" t="s">
        <v>1452</v>
      </c>
      <c r="C546" s="2141" t="s">
        <v>125</v>
      </c>
      <c r="D546" s="1931"/>
      <c r="E546" s="1930"/>
      <c r="F546" s="2610" t="s">
        <v>1413</v>
      </c>
      <c r="G546" s="2610"/>
      <c r="H546" s="1944" t="s">
        <v>1407</v>
      </c>
      <c r="I546" s="1945">
        <f>3300/1000</f>
        <v>3.3</v>
      </c>
      <c r="J546" s="2142">
        <v>2.7</v>
      </c>
      <c r="K546" s="2143">
        <v>2.7</v>
      </c>
      <c r="L546" s="2143">
        <v>2.7</v>
      </c>
      <c r="M546" s="2143">
        <v>2.5499999999999998</v>
      </c>
      <c r="N546" s="2144">
        <f t="shared" si="702"/>
        <v>10.650000000000002</v>
      </c>
      <c r="O546" s="2147">
        <f t="shared" si="684"/>
        <v>8.91</v>
      </c>
      <c r="P546" s="2148">
        <f t="shared" si="704"/>
        <v>8.91</v>
      </c>
      <c r="Q546" s="2148">
        <f t="shared" si="704"/>
        <v>8.91</v>
      </c>
      <c r="R546" s="2148">
        <f t="shared" si="704"/>
        <v>8.4149999999999991</v>
      </c>
      <c r="S546" s="1356">
        <f>SUM(O546:R546)</f>
        <v>35.144999999999996</v>
      </c>
      <c r="T546" s="1949">
        <f>IFERROR(INDEX('Annex 2_Code'!I$8:I$33,MATCH('Annex 3_MAFF'!$AG546,'Annex 2_Code'!$G$8:$G$33,0)),"")</f>
        <v>1</v>
      </c>
      <c r="U546" s="1949">
        <f>IFERROR(INDEX('Annex 2_Code'!J$8:J$33,MATCH('Annex 3_MAFF'!$AG546,'Annex 2_Code'!$G$8:$G$33,0)),"")</f>
        <v>0</v>
      </c>
      <c r="V546" s="1949">
        <f>IFERROR(INDEX('Annex 2_Code'!K$8:K$33,MATCH('Annex 3_MAFF'!$AG546,'Annex 2_Code'!$G$8:$G$33,0)),"")</f>
        <v>0</v>
      </c>
      <c r="W546" s="1949">
        <f>IFERROR(INDEX('Annex 2_Code'!L$8:L$33,MATCH('Annex 3_MAFF'!$AG546,'Annex 2_Code'!$G$8:$G$33,0)),"")</f>
        <v>0</v>
      </c>
      <c r="X546" s="1949">
        <f>IFERROR(INDEX('Annex 2_Code'!M$8:M$33,MATCH('Annex 3_MAFF'!$AG546,'Annex 2_Code'!$G$8:$G$33,0)),"")</f>
        <v>0</v>
      </c>
      <c r="Y546" s="1933">
        <f t="shared" ref="Y546:Y601" si="705">IFERROR($S546*T546,"")</f>
        <v>35.144999999999996</v>
      </c>
      <c r="Z546" s="1934">
        <f t="shared" ref="Z546:AA601" si="706">IFERROR($S546*U546,"")</f>
        <v>0</v>
      </c>
      <c r="AA546" s="1934">
        <f t="shared" si="706"/>
        <v>0</v>
      </c>
      <c r="AB546" s="1934">
        <f t="shared" ref="AB546:AB601" si="707">IFERROR($S546*W546,"")</f>
        <v>0</v>
      </c>
      <c r="AC546" s="1935">
        <f t="shared" ref="AC546:AC601" si="708">IFERROR($S546*X546,"")</f>
        <v>0</v>
      </c>
      <c r="AD546" s="1936">
        <f t="shared" si="674"/>
        <v>35.144999999999996</v>
      </c>
      <c r="AE546" s="1936">
        <f t="shared" si="675"/>
        <v>0</v>
      </c>
      <c r="AF546" s="1937" t="s">
        <v>374</v>
      </c>
      <c r="AG546" s="605" t="s">
        <v>211</v>
      </c>
      <c r="AH546" s="1937" t="str">
        <f>IFERROR(INDEX('Annex 2_Code'!$J$114:$J$131,MATCH('Annex 3_MAFF'!AF546,'Annex 2_Code'!$G$114:$G$131,0)),"")</f>
        <v>MAFF</v>
      </c>
      <c r="AI546" s="646" t="str">
        <f t="shared" si="643"/>
        <v>MAFF</v>
      </c>
      <c r="AJ546" s="1950" t="s">
        <v>449</v>
      </c>
    </row>
    <row r="547" spans="1:39" s="637" customFormat="1" ht="23.25">
      <c r="A547" s="587"/>
      <c r="B547" s="659" t="s">
        <v>54</v>
      </c>
      <c r="C547" s="782"/>
      <c r="D547" s="730"/>
      <c r="E547" s="591" t="s">
        <v>583</v>
      </c>
      <c r="F547" s="851"/>
      <c r="G547" s="734"/>
      <c r="H547" s="805" t="s">
        <v>12</v>
      </c>
      <c r="I547" s="723"/>
      <c r="J547" s="1339">
        <f t="shared" ref="J547:S547" si="709">SUM(J512:J546)</f>
        <v>42.959999999999994</v>
      </c>
      <c r="K547" s="1479">
        <f t="shared" si="709"/>
        <v>43.85</v>
      </c>
      <c r="L547" s="1480">
        <f t="shared" si="709"/>
        <v>41.43</v>
      </c>
      <c r="M547" s="1480">
        <f t="shared" si="709"/>
        <v>41.4</v>
      </c>
      <c r="N547" s="1481">
        <f t="shared" si="709"/>
        <v>169.64</v>
      </c>
      <c r="O547" s="597">
        <f t="shared" si="709"/>
        <v>225.40499999999997</v>
      </c>
      <c r="P547" s="598">
        <f t="shared" si="709"/>
        <v>253.48399999999995</v>
      </c>
      <c r="Q547" s="598">
        <f t="shared" si="709"/>
        <v>209.80199999999996</v>
      </c>
      <c r="R547" s="598">
        <f t="shared" si="709"/>
        <v>234.315</v>
      </c>
      <c r="S547" s="2418">
        <f t="shared" si="709"/>
        <v>923.00599999999997</v>
      </c>
      <c r="T547" s="599" t="str">
        <f>IFERROR(INDEX('Annex 2_Code'!I$8:I$33,MATCH('Annex 3_MAFF'!$AG547,'Annex 2_Code'!$G$8:$G$33,0)),"")</f>
        <v/>
      </c>
      <c r="U547" s="599" t="str">
        <f>IFERROR(INDEX('Annex 2_Code'!J$8:J$33,MATCH('Annex 3_MAFF'!$AG547,'Annex 2_Code'!$G$8:$G$33,0)),"")</f>
        <v/>
      </c>
      <c r="V547" s="599" t="str">
        <f>IFERROR(INDEX('Annex 2_Code'!K$8:K$33,MATCH('Annex 3_MAFF'!$AG547,'Annex 2_Code'!$G$8:$G$33,0)),"")</f>
        <v/>
      </c>
      <c r="W547" s="599" t="str">
        <f>IFERROR(INDEX('Annex 2_Code'!L$8:L$33,MATCH('Annex 3_MAFF'!$AG547,'Annex 2_Code'!$G$8:$G$33,0)),"")</f>
        <v/>
      </c>
      <c r="X547" s="599" t="str">
        <f>IFERROR(INDEX('Annex 2_Code'!M$8:M$33,MATCH('Annex 3_MAFF'!$AG547,'Annex 2_Code'!$G$8:$G$33,0)),"")</f>
        <v/>
      </c>
      <c r="Y547" s="647" t="str">
        <f t="shared" si="705"/>
        <v/>
      </c>
      <c r="Z547" s="600" t="str">
        <f t="shared" si="706"/>
        <v/>
      </c>
      <c r="AA547" s="600" t="str">
        <f t="shared" si="706"/>
        <v/>
      </c>
      <c r="AB547" s="600" t="str">
        <f t="shared" si="707"/>
        <v/>
      </c>
      <c r="AC547" s="601" t="str">
        <f t="shared" si="708"/>
        <v/>
      </c>
      <c r="AD547" s="602">
        <f t="shared" si="674"/>
        <v>0</v>
      </c>
      <c r="AE547" s="602">
        <f t="shared" si="675"/>
        <v>-923.00599999999997</v>
      </c>
      <c r="AF547" s="605"/>
      <c r="AG547" s="605"/>
      <c r="AH547" s="605" t="str">
        <f>IFERROR(INDEX('Annex 2_Code'!$J$114:$J$131,MATCH('Annex 3_MAFF'!AF547,'Annex 2_Code'!$G$114:$G$131,0)),"")</f>
        <v/>
      </c>
      <c r="AI547" s="646" t="str">
        <f t="shared" si="643"/>
        <v/>
      </c>
      <c r="AL547" s="740">
        <f>SUM(Y512:Y547)</f>
        <v>923.00599999999997</v>
      </c>
      <c r="AM547" s="741" t="s">
        <v>427</v>
      </c>
    </row>
    <row r="548" spans="1:39" s="637" customFormat="1" ht="40.5" customHeight="1">
      <c r="A548" s="587"/>
      <c r="B548" s="659" t="s">
        <v>54</v>
      </c>
      <c r="C548" s="782"/>
      <c r="D548" s="701"/>
      <c r="E548" s="2611" t="s">
        <v>673</v>
      </c>
      <c r="F548" s="2611"/>
      <c r="G548" s="2611"/>
      <c r="H548" s="782"/>
      <c r="I548" s="572"/>
      <c r="J548" s="1482"/>
      <c r="K548" s="1478"/>
      <c r="L548" s="1478"/>
      <c r="M548" s="1478"/>
      <c r="N548" s="1472"/>
      <c r="O548" s="622"/>
      <c r="P548" s="623"/>
      <c r="Q548" s="623"/>
      <c r="R548" s="1697" t="s">
        <v>1023</v>
      </c>
      <c r="S548" s="2421">
        <f>SUM(O547:R547)</f>
        <v>923.00599999999986</v>
      </c>
      <c r="T548" s="599" t="str">
        <f>IFERROR(INDEX('Annex 2_Code'!I$8:I$33,MATCH('Annex 3_MAFF'!$AG548,'Annex 2_Code'!$G$8:$G$33,0)),"")</f>
        <v/>
      </c>
      <c r="U548" s="599" t="str">
        <f>IFERROR(INDEX('Annex 2_Code'!J$8:J$33,MATCH('Annex 3_MAFF'!$AG548,'Annex 2_Code'!$G$8:$G$33,0)),"")</f>
        <v/>
      </c>
      <c r="V548" s="599" t="str">
        <f>IFERROR(INDEX('Annex 2_Code'!K$8:K$33,MATCH('Annex 3_MAFF'!$AG548,'Annex 2_Code'!$G$8:$G$33,0)),"")</f>
        <v/>
      </c>
      <c r="W548" s="599" t="str">
        <f>IFERROR(INDEX('Annex 2_Code'!L$8:L$33,MATCH('Annex 3_MAFF'!$AG548,'Annex 2_Code'!$G$8:$G$33,0)),"")</f>
        <v/>
      </c>
      <c r="X548" s="599" t="str">
        <f>IFERROR(INDEX('Annex 2_Code'!M$8:M$33,MATCH('Annex 3_MAFF'!$AG548,'Annex 2_Code'!$G$8:$G$33,0)),"")</f>
        <v/>
      </c>
      <c r="Y548" s="647" t="str">
        <f t="shared" ref="Y548:Y554" si="710">IFERROR($S548*T548,"")</f>
        <v/>
      </c>
      <c r="Z548" s="600" t="str">
        <f t="shared" ref="Z548:Z554" si="711">IFERROR($S548*U548,"")</f>
        <v/>
      </c>
      <c r="AA548" s="600" t="str">
        <f t="shared" si="706"/>
        <v/>
      </c>
      <c r="AB548" s="600" t="str">
        <f t="shared" ref="AB548:AB554" si="712">IFERROR($S548*W548,"")</f>
        <v/>
      </c>
      <c r="AC548" s="601" t="str">
        <f t="shared" ref="AC548:AC554" si="713">IFERROR($S548*X548,"")</f>
        <v/>
      </c>
      <c r="AD548" s="602">
        <f t="shared" si="674"/>
        <v>0</v>
      </c>
      <c r="AE548" s="602">
        <f t="shared" si="675"/>
        <v>-923.00599999999986</v>
      </c>
      <c r="AF548" s="605"/>
      <c r="AG548" s="605"/>
      <c r="AH548" s="605" t="str">
        <f>IFERROR(INDEX('Annex 2_Code'!$J$114:$J$131,MATCH('Annex 3_MAFF'!AF548,'Annex 2_Code'!$G$114:$G$131,0)),"")</f>
        <v/>
      </c>
      <c r="AI548" s="646" t="str">
        <f t="shared" ref="AI548:AI568" si="714">IF(ISNUMBER(FIND("-",AH548,1))=FALSE,LEFT(AH548,LEN(AH548)),LEFT(AH548,(FIND("-",AH548,1))-1))</f>
        <v/>
      </c>
    </row>
    <row r="549" spans="1:39" s="637" customFormat="1" ht="41.25" customHeight="1" outlineLevel="1">
      <c r="A549" s="307"/>
      <c r="B549" s="659" t="s">
        <v>1452</v>
      </c>
      <c r="C549" s="782" t="s">
        <v>125</v>
      </c>
      <c r="D549" s="701"/>
      <c r="E549" s="612"/>
      <c r="F549" s="2609" t="s">
        <v>1049</v>
      </c>
      <c r="G549" s="2609"/>
      <c r="H549" s="811" t="s">
        <v>591</v>
      </c>
      <c r="I549" s="727">
        <f>33000/1000</f>
        <v>33</v>
      </c>
      <c r="J549" s="1482">
        <v>1</v>
      </c>
      <c r="K549" s="1478">
        <v>1</v>
      </c>
      <c r="L549" s="1478">
        <v>1</v>
      </c>
      <c r="M549" s="1478">
        <v>1</v>
      </c>
      <c r="N549" s="1472">
        <f>SUM(J549:M549)</f>
        <v>4</v>
      </c>
      <c r="O549" s="622">
        <f>$I549*J549</f>
        <v>33</v>
      </c>
      <c r="P549" s="623">
        <f>$I549*K549</f>
        <v>33</v>
      </c>
      <c r="Q549" s="623">
        <f>$I549*L549</f>
        <v>33</v>
      </c>
      <c r="R549" s="623">
        <f>$I549*M549</f>
        <v>33</v>
      </c>
      <c r="S549" s="1356">
        <f>SUM(O549:R549)</f>
        <v>132</v>
      </c>
      <c r="T549" s="599">
        <f>IFERROR(INDEX('Annex 2_Code'!I$8:I$33,MATCH('Annex 3_MAFF'!$AG549,'Annex 2_Code'!$G$8:$G$33,0)),"")</f>
        <v>1</v>
      </c>
      <c r="U549" s="599">
        <f>IFERROR(INDEX('Annex 2_Code'!J$8:J$33,MATCH('Annex 3_MAFF'!$AG549,'Annex 2_Code'!$G$8:$G$33,0)),"")</f>
        <v>0</v>
      </c>
      <c r="V549" s="599">
        <f>IFERROR(INDEX('Annex 2_Code'!K$8:K$33,MATCH('Annex 3_MAFF'!$AG549,'Annex 2_Code'!$G$8:$G$33,0)),"")</f>
        <v>0</v>
      </c>
      <c r="W549" s="599">
        <f>IFERROR(INDEX('Annex 2_Code'!L$8:L$33,MATCH('Annex 3_MAFF'!$AG549,'Annex 2_Code'!$G$8:$G$33,0)),"")</f>
        <v>0</v>
      </c>
      <c r="X549" s="599">
        <f>IFERROR(INDEX('Annex 2_Code'!M$8:M$33,MATCH('Annex 3_MAFF'!$AG549,'Annex 2_Code'!$G$8:$G$33,0)),"")</f>
        <v>0</v>
      </c>
      <c r="Y549" s="647">
        <f t="shared" si="710"/>
        <v>132</v>
      </c>
      <c r="Z549" s="600">
        <f t="shared" si="711"/>
        <v>0</v>
      </c>
      <c r="AA549" s="600">
        <f t="shared" si="706"/>
        <v>0</v>
      </c>
      <c r="AB549" s="600">
        <f t="shared" si="712"/>
        <v>0</v>
      </c>
      <c r="AC549" s="601">
        <f t="shared" si="713"/>
        <v>0</v>
      </c>
      <c r="AD549" s="602">
        <f t="shared" si="674"/>
        <v>132</v>
      </c>
      <c r="AE549" s="602">
        <f t="shared" si="675"/>
        <v>0</v>
      </c>
      <c r="AF549" s="605" t="s">
        <v>374</v>
      </c>
      <c r="AG549" s="605" t="s">
        <v>211</v>
      </c>
      <c r="AH549" s="605" t="str">
        <f>IFERROR(INDEX('Annex 2_Code'!$J$114:$J$131,MATCH('Annex 3_MAFF'!AF549,'Annex 2_Code'!$G$114:$G$131,0)),"")</f>
        <v>MAFF</v>
      </c>
      <c r="AI549" s="646" t="str">
        <f t="shared" si="714"/>
        <v>MAFF</v>
      </c>
      <c r="AJ549" s="637" t="s">
        <v>449</v>
      </c>
      <c r="AL549" s="824">
        <f>+Y549</f>
        <v>132</v>
      </c>
      <c r="AM549" s="683" t="s">
        <v>428</v>
      </c>
    </row>
    <row r="550" spans="1:39" s="902" customFormat="1" ht="23.25" outlineLevel="1">
      <c r="A550" s="1357"/>
      <c r="B550" s="1391" t="s">
        <v>54</v>
      </c>
      <c r="C550" s="617"/>
      <c r="D550" s="1358"/>
      <c r="E550" s="1363" t="s">
        <v>908</v>
      </c>
      <c r="F550" s="1464"/>
      <c r="G550" s="1384"/>
      <c r="H550" s="823" t="s">
        <v>650</v>
      </c>
      <c r="I550" s="618"/>
      <c r="J550" s="1511"/>
      <c r="K550" s="1475"/>
      <c r="L550" s="1475"/>
      <c r="M550" s="1475"/>
      <c r="N550" s="1469"/>
      <c r="O550" s="1513"/>
      <c r="P550" s="1514"/>
      <c r="Q550" s="1514"/>
      <c r="R550" s="1514"/>
      <c r="S550" s="1415"/>
      <c r="T550" s="1379" t="str">
        <f>IFERROR(INDEX('Annex 2_Code'!I$8:I$33,MATCH('Annex 3_MAFF'!$AG550,'Annex 2_Code'!$G$8:$G$33,0)),"")</f>
        <v/>
      </c>
      <c r="U550" s="1379" t="str">
        <f>IFERROR(INDEX('Annex 2_Code'!J$8:J$33,MATCH('Annex 3_MAFF'!$AG550,'Annex 2_Code'!$G$8:$G$33,0)),"")</f>
        <v/>
      </c>
      <c r="V550" s="1379" t="str">
        <f>IFERROR(INDEX('Annex 2_Code'!K$8:K$33,MATCH('Annex 3_MAFF'!$AG550,'Annex 2_Code'!$G$8:$G$33,0)),"")</f>
        <v/>
      </c>
      <c r="W550" s="1379" t="str">
        <f>IFERROR(INDEX('Annex 2_Code'!L$8:L$33,MATCH('Annex 3_MAFF'!$AG550,'Annex 2_Code'!$G$8:$G$33,0)),"")</f>
        <v/>
      </c>
      <c r="X550" s="1379" t="str">
        <f>IFERROR(INDEX('Annex 2_Code'!M$8:M$33,MATCH('Annex 3_MAFF'!$AG550,'Annex 2_Code'!$G$8:$G$33,0)),"")</f>
        <v/>
      </c>
      <c r="Y550" s="1392" t="str">
        <f t="shared" si="710"/>
        <v/>
      </c>
      <c r="Z550" s="1359" t="str">
        <f t="shared" si="711"/>
        <v/>
      </c>
      <c r="AA550" s="1359" t="str">
        <f t="shared" si="706"/>
        <v/>
      </c>
      <c r="AB550" s="1359" t="str">
        <f t="shared" si="712"/>
        <v/>
      </c>
      <c r="AC550" s="1360" t="str">
        <f t="shared" si="713"/>
        <v/>
      </c>
      <c r="AD550" s="1361">
        <f t="shared" si="674"/>
        <v>0</v>
      </c>
      <c r="AE550" s="1361">
        <f t="shared" si="675"/>
        <v>0</v>
      </c>
      <c r="AF550" s="1362"/>
      <c r="AG550" s="605"/>
      <c r="AH550" s="1362" t="str">
        <f>IFERROR(INDEX('Annex 2_Code'!$J$114:$J$131,MATCH('Annex 3_MAFF'!AF550,'Annex 2_Code'!$G$114:$G$131,0)),"")</f>
        <v/>
      </c>
      <c r="AI550" s="646" t="str">
        <f t="shared" si="714"/>
        <v/>
      </c>
    </row>
    <row r="551" spans="1:39" s="637" customFormat="1" ht="23.25" outlineLevel="1">
      <c r="A551" s="587"/>
      <c r="B551" s="669" t="s">
        <v>1452</v>
      </c>
      <c r="C551" s="782" t="s">
        <v>125</v>
      </c>
      <c r="D551" s="701"/>
      <c r="E551" s="612"/>
      <c r="F551" s="2609" t="s">
        <v>674</v>
      </c>
      <c r="G551" s="2609"/>
      <c r="H551" s="811" t="s">
        <v>591</v>
      </c>
      <c r="I551" s="572">
        <v>5</v>
      </c>
      <c r="J551" s="1482">
        <v>0</v>
      </c>
      <c r="K551" s="1478">
        <v>0</v>
      </c>
      <c r="L551" s="1478">
        <v>0</v>
      </c>
      <c r="M551" s="1478">
        <v>1</v>
      </c>
      <c r="N551" s="1472">
        <f>SUM(J551:M551)</f>
        <v>1</v>
      </c>
      <c r="O551" s="657">
        <f>$I551*J551</f>
        <v>0</v>
      </c>
      <c r="P551" s="658">
        <f t="shared" ref="P551:R553" si="715">$I551*K551</f>
        <v>0</v>
      </c>
      <c r="Q551" s="658">
        <f t="shared" si="715"/>
        <v>0</v>
      </c>
      <c r="R551" s="658">
        <f t="shared" si="715"/>
        <v>5</v>
      </c>
      <c r="S551" s="1413">
        <f>SUM(O551:R551)</f>
        <v>5</v>
      </c>
      <c r="T551" s="599">
        <f>IFERROR(INDEX('Annex 2_Code'!I$8:I$33,MATCH('Annex 3_MAFF'!$AG551,'Annex 2_Code'!$G$8:$G$33,0)),"")</f>
        <v>1</v>
      </c>
      <c r="U551" s="599">
        <f>IFERROR(INDEX('Annex 2_Code'!J$8:J$33,MATCH('Annex 3_MAFF'!$AG551,'Annex 2_Code'!$G$8:$G$33,0)),"")</f>
        <v>0</v>
      </c>
      <c r="V551" s="599">
        <f>IFERROR(INDEX('Annex 2_Code'!K$8:K$33,MATCH('Annex 3_MAFF'!$AG551,'Annex 2_Code'!$G$8:$G$33,0)),"")</f>
        <v>0</v>
      </c>
      <c r="W551" s="599">
        <f>IFERROR(INDEX('Annex 2_Code'!L$8:L$33,MATCH('Annex 3_MAFF'!$AG551,'Annex 2_Code'!$G$8:$G$33,0)),"")</f>
        <v>0</v>
      </c>
      <c r="X551" s="599">
        <f>IFERROR(INDEX('Annex 2_Code'!M$8:M$33,MATCH('Annex 3_MAFF'!$AG551,'Annex 2_Code'!$G$8:$G$33,0)),"")</f>
        <v>0</v>
      </c>
      <c r="Y551" s="1745">
        <f t="shared" si="710"/>
        <v>5</v>
      </c>
      <c r="Z551" s="807">
        <f t="shared" si="711"/>
        <v>0</v>
      </c>
      <c r="AA551" s="807">
        <f t="shared" si="706"/>
        <v>0</v>
      </c>
      <c r="AB551" s="807">
        <f t="shared" si="712"/>
        <v>0</v>
      </c>
      <c r="AC551" s="808">
        <f t="shared" si="713"/>
        <v>0</v>
      </c>
      <c r="AD551" s="764">
        <f t="shared" si="674"/>
        <v>5</v>
      </c>
      <c r="AE551" s="764">
        <f t="shared" si="675"/>
        <v>0</v>
      </c>
      <c r="AF551" s="605" t="s">
        <v>374</v>
      </c>
      <c r="AG551" s="605" t="s">
        <v>211</v>
      </c>
      <c r="AH551" s="605" t="str">
        <f>IFERROR(INDEX('Annex 2_Code'!$J$114:$J$131,MATCH('Annex 3_MAFF'!AF551,'Annex 2_Code'!$G$114:$G$131,0)),"")</f>
        <v>MAFF</v>
      </c>
      <c r="AI551" s="646" t="str">
        <f t="shared" si="714"/>
        <v>MAFF</v>
      </c>
      <c r="AJ551" s="637" t="s">
        <v>449</v>
      </c>
    </row>
    <row r="552" spans="1:39" s="637" customFormat="1" ht="23.25" outlineLevel="1">
      <c r="A552" s="587"/>
      <c r="B552" s="669" t="s">
        <v>1452</v>
      </c>
      <c r="C552" s="782" t="s">
        <v>125</v>
      </c>
      <c r="D552" s="701"/>
      <c r="E552" s="612"/>
      <c r="F552" s="2609" t="s">
        <v>675</v>
      </c>
      <c r="G552" s="2609"/>
      <c r="H552" s="811" t="s">
        <v>591</v>
      </c>
      <c r="I552" s="572">
        <v>4</v>
      </c>
      <c r="J552" s="1573">
        <v>0</v>
      </c>
      <c r="K552" s="1478">
        <v>1</v>
      </c>
      <c r="L552" s="1478">
        <v>0</v>
      </c>
      <c r="M552" s="1478">
        <v>0</v>
      </c>
      <c r="N552" s="1472">
        <f>SUM(J552:M552)</f>
        <v>1</v>
      </c>
      <c r="O552" s="657">
        <f>$I552*J552</f>
        <v>0</v>
      </c>
      <c r="P552" s="658">
        <f t="shared" si="715"/>
        <v>4</v>
      </c>
      <c r="Q552" s="658">
        <f t="shared" si="715"/>
        <v>0</v>
      </c>
      <c r="R552" s="658">
        <f t="shared" si="715"/>
        <v>0</v>
      </c>
      <c r="S552" s="1413">
        <f>SUM(O552:R552)</f>
        <v>4</v>
      </c>
      <c r="T552" s="599">
        <f>IFERROR(INDEX('Annex 2_Code'!I$8:I$33,MATCH('Annex 3_MAFF'!$AG552,'Annex 2_Code'!$G$8:$G$33,0)),"")</f>
        <v>1</v>
      </c>
      <c r="U552" s="599">
        <f>IFERROR(INDEX('Annex 2_Code'!J$8:J$33,MATCH('Annex 3_MAFF'!$AG552,'Annex 2_Code'!$G$8:$G$33,0)),"")</f>
        <v>0</v>
      </c>
      <c r="V552" s="599">
        <f>IFERROR(INDEX('Annex 2_Code'!K$8:K$33,MATCH('Annex 3_MAFF'!$AG552,'Annex 2_Code'!$G$8:$G$33,0)),"")</f>
        <v>0</v>
      </c>
      <c r="W552" s="599">
        <f>IFERROR(INDEX('Annex 2_Code'!L$8:L$33,MATCH('Annex 3_MAFF'!$AG552,'Annex 2_Code'!$G$8:$G$33,0)),"")</f>
        <v>0</v>
      </c>
      <c r="X552" s="599">
        <f>IFERROR(INDEX('Annex 2_Code'!M$8:M$33,MATCH('Annex 3_MAFF'!$AG552,'Annex 2_Code'!$G$8:$G$33,0)),"")</f>
        <v>0</v>
      </c>
      <c r="Y552" s="1745">
        <f>IFERROR($S552*T552,"")</f>
        <v>4</v>
      </c>
      <c r="Z552" s="807">
        <f>IFERROR($S552*U552,"")</f>
        <v>0</v>
      </c>
      <c r="AA552" s="807">
        <f>IFERROR($S552*V552,"")</f>
        <v>0</v>
      </c>
      <c r="AB552" s="807">
        <f>IFERROR($S552*W552,"")</f>
        <v>0</v>
      </c>
      <c r="AC552" s="808">
        <f>IFERROR($S552*X552,"")</f>
        <v>0</v>
      </c>
      <c r="AD552" s="764">
        <f>SUM(Y552:AC552)</f>
        <v>4</v>
      </c>
      <c r="AE552" s="764">
        <f>AD552-S552</f>
        <v>0</v>
      </c>
      <c r="AF552" s="605" t="s">
        <v>374</v>
      </c>
      <c r="AG552" s="605" t="s">
        <v>211</v>
      </c>
      <c r="AH552" s="605" t="str">
        <f>IFERROR(INDEX('Annex 2_Code'!$J$114:$J$131,MATCH('Annex 3_MAFF'!AF552,'Annex 2_Code'!$G$114:$G$131,0)),"")</f>
        <v>MAFF</v>
      </c>
      <c r="AI552" s="646" t="str">
        <f t="shared" si="714"/>
        <v>MAFF</v>
      </c>
    </row>
    <row r="553" spans="1:39" s="637" customFormat="1" ht="19.5" customHeight="1" outlineLevel="1">
      <c r="A553" s="587"/>
      <c r="B553" s="669" t="s">
        <v>1452</v>
      </c>
      <c r="C553" s="782" t="s">
        <v>125</v>
      </c>
      <c r="D553" s="701"/>
      <c r="E553" s="612"/>
      <c r="F553" s="852" t="s">
        <v>676</v>
      </c>
      <c r="G553" s="616"/>
      <c r="H553" s="811" t="s">
        <v>591</v>
      </c>
      <c r="I553" s="572">
        <v>2.2000000000000002</v>
      </c>
      <c r="J553" s="1573">
        <v>1</v>
      </c>
      <c r="K553" s="1478">
        <v>0</v>
      </c>
      <c r="L553" s="1478">
        <v>0</v>
      </c>
      <c r="M553" s="1478">
        <v>0</v>
      </c>
      <c r="N553" s="1472">
        <f>SUM(J553:M553)</f>
        <v>1</v>
      </c>
      <c r="O553" s="657">
        <f>$I553*J553</f>
        <v>2.2000000000000002</v>
      </c>
      <c r="P553" s="658">
        <f t="shared" si="715"/>
        <v>0</v>
      </c>
      <c r="Q553" s="658">
        <f t="shared" si="715"/>
        <v>0</v>
      </c>
      <c r="R553" s="658">
        <f t="shared" si="715"/>
        <v>0</v>
      </c>
      <c r="S553" s="1413">
        <f>SUM(O553:R553)</f>
        <v>2.2000000000000002</v>
      </c>
      <c r="T553" s="599">
        <f>IFERROR(INDEX('Annex 2_Code'!I$8:I$33,MATCH('Annex 3_MAFF'!$AG553,'Annex 2_Code'!$G$8:$G$33,0)),"")</f>
        <v>1</v>
      </c>
      <c r="U553" s="599">
        <f>IFERROR(INDEX('Annex 2_Code'!J$8:J$33,MATCH('Annex 3_MAFF'!$AG553,'Annex 2_Code'!$G$8:$G$33,0)),"")</f>
        <v>0</v>
      </c>
      <c r="V553" s="599">
        <f>IFERROR(INDEX('Annex 2_Code'!K$8:K$33,MATCH('Annex 3_MAFF'!$AG553,'Annex 2_Code'!$G$8:$G$33,0)),"")</f>
        <v>0</v>
      </c>
      <c r="W553" s="599">
        <f>IFERROR(INDEX('Annex 2_Code'!L$8:L$33,MATCH('Annex 3_MAFF'!$AG553,'Annex 2_Code'!$G$8:$G$33,0)),"")</f>
        <v>0</v>
      </c>
      <c r="X553" s="599">
        <f>IFERROR(INDEX('Annex 2_Code'!M$8:M$33,MATCH('Annex 3_MAFF'!$AG553,'Annex 2_Code'!$G$8:$G$33,0)),"")</f>
        <v>0</v>
      </c>
      <c r="Y553" s="1745">
        <f t="shared" si="710"/>
        <v>2.2000000000000002</v>
      </c>
      <c r="Z553" s="807">
        <f t="shared" si="711"/>
        <v>0</v>
      </c>
      <c r="AA553" s="807">
        <f t="shared" si="706"/>
        <v>0</v>
      </c>
      <c r="AB553" s="807">
        <f t="shared" si="712"/>
        <v>0</v>
      </c>
      <c r="AC553" s="808">
        <f t="shared" si="713"/>
        <v>0</v>
      </c>
      <c r="AD553" s="764">
        <f t="shared" si="674"/>
        <v>2.2000000000000002</v>
      </c>
      <c r="AE553" s="764">
        <f t="shared" si="675"/>
        <v>0</v>
      </c>
      <c r="AF553" s="605" t="s">
        <v>374</v>
      </c>
      <c r="AG553" s="605" t="s">
        <v>211</v>
      </c>
      <c r="AH553" s="605" t="str">
        <f>IFERROR(INDEX('Annex 2_Code'!$J$114:$J$131,MATCH('Annex 3_MAFF'!AF553,'Annex 2_Code'!$G$114:$G$131,0)),"")</f>
        <v>MAFF</v>
      </c>
      <c r="AI553" s="646" t="str">
        <f t="shared" si="714"/>
        <v>MAFF</v>
      </c>
      <c r="AJ553" s="637" t="s">
        <v>449</v>
      </c>
    </row>
    <row r="554" spans="1:39" s="637" customFormat="1" ht="23.25">
      <c r="A554" s="587"/>
      <c r="B554" s="659" t="s">
        <v>54</v>
      </c>
      <c r="C554" s="782"/>
      <c r="D554" s="730"/>
      <c r="E554" s="591" t="s">
        <v>583</v>
      </c>
      <c r="F554" s="851"/>
      <c r="G554" s="734"/>
      <c r="H554" s="805"/>
      <c r="I554" s="717"/>
      <c r="J554" s="1483"/>
      <c r="K554" s="1484"/>
      <c r="L554" s="1480"/>
      <c r="M554" s="1480"/>
      <c r="N554" s="1480"/>
      <c r="O554" s="664">
        <f>SUM(O549:O553)</f>
        <v>35.200000000000003</v>
      </c>
      <c r="P554" s="665">
        <f>SUM(P549:P553)</f>
        <v>37</v>
      </c>
      <c r="Q554" s="665">
        <f>SUM(Q549:Q553)</f>
        <v>33</v>
      </c>
      <c r="R554" s="665">
        <f>SUM(R549:R553)</f>
        <v>38</v>
      </c>
      <c r="S554" s="2470">
        <f>SUM(S549:S553)</f>
        <v>143.19999999999999</v>
      </c>
      <c r="T554" s="739"/>
      <c r="U554" s="739"/>
      <c r="V554" s="739"/>
      <c r="W554" s="739"/>
      <c r="X554" s="739"/>
      <c r="Y554" s="647">
        <f t="shared" si="710"/>
        <v>0</v>
      </c>
      <c r="Z554" s="600">
        <f t="shared" si="711"/>
        <v>0</v>
      </c>
      <c r="AA554" s="600">
        <f t="shared" si="706"/>
        <v>0</v>
      </c>
      <c r="AB554" s="600">
        <f t="shared" si="712"/>
        <v>0</v>
      </c>
      <c r="AC554" s="601">
        <f t="shared" si="713"/>
        <v>0</v>
      </c>
      <c r="AD554" s="602">
        <f>SUM(Y554:AC554)</f>
        <v>0</v>
      </c>
      <c r="AE554" s="602">
        <f>AD554-S554</f>
        <v>-143.19999999999999</v>
      </c>
      <c r="AF554" s="605"/>
      <c r="AG554" s="605"/>
      <c r="AH554" s="605" t="str">
        <f>IFERROR(INDEX('Annex 2_Code'!$J$114:$J$131,MATCH('Annex 3_MAFF'!AF554,'Annex 2_Code'!$G$114:$G$131,0)),"")</f>
        <v/>
      </c>
      <c r="AI554" s="646" t="str">
        <f>IF(ISNUMBER(FIND("-",AH554,1))=FALSE,LEFT(AH554,LEN(AH554)),LEFT(AH554,(FIND("-",AH554,1))-1))</f>
        <v/>
      </c>
      <c r="AK554" s="740">
        <f>SUM(S512:S546)+SUM(S548:S553)</f>
        <v>1989.212</v>
      </c>
      <c r="AL554" s="781" t="s">
        <v>125</v>
      </c>
    </row>
    <row r="555" spans="1:39" s="637" customFormat="1" ht="23.25">
      <c r="A555" s="587"/>
      <c r="B555" s="659" t="s">
        <v>54</v>
      </c>
      <c r="C555" s="782"/>
      <c r="D555" s="981"/>
      <c r="E555" s="982" t="s">
        <v>710</v>
      </c>
      <c r="F555" s="983"/>
      <c r="G555" s="984"/>
      <c r="H555" s="985"/>
      <c r="I555" s="986"/>
      <c r="J555" s="1485"/>
      <c r="K555" s="1486"/>
      <c r="L555" s="1486"/>
      <c r="M555" s="1486"/>
      <c r="N555" s="1487"/>
      <c r="O555" s="990">
        <f>O547+O554</f>
        <v>260.60499999999996</v>
      </c>
      <c r="P555" s="991">
        <f>P547+P554</f>
        <v>290.48399999999992</v>
      </c>
      <c r="Q555" s="991">
        <f>Q547+Q554</f>
        <v>242.80199999999996</v>
      </c>
      <c r="R555" s="991">
        <f>R547+R554</f>
        <v>272.315</v>
      </c>
      <c r="S555" s="2497">
        <f>S547+S554</f>
        <v>1066.2059999999999</v>
      </c>
      <c r="T555" s="599"/>
      <c r="U555" s="599"/>
      <c r="V555" s="599"/>
      <c r="W555" s="599"/>
      <c r="X555" s="599"/>
      <c r="Y555" s="1756"/>
      <c r="Z555" s="1704"/>
      <c r="AA555" s="1704"/>
      <c r="AB555" s="1704"/>
      <c r="AC555" s="1757"/>
      <c r="AD555" s="634">
        <f>SUM(AD509:AD554)</f>
        <v>1066.2059999999999</v>
      </c>
      <c r="AE555" s="602">
        <f>AD555-S555</f>
        <v>0</v>
      </c>
      <c r="AF555" s="605"/>
      <c r="AG555" s="605"/>
      <c r="AH555" s="605"/>
      <c r="AI555" s="646"/>
      <c r="AL555" s="740">
        <f>SUM(Y551:Y553)</f>
        <v>11.2</v>
      </c>
      <c r="AM555" s="740" t="s">
        <v>429</v>
      </c>
    </row>
    <row r="556" spans="1:39" s="637" customFormat="1" ht="43.5" customHeight="1">
      <c r="A556" s="587"/>
      <c r="B556" s="659" t="s">
        <v>54</v>
      </c>
      <c r="C556" s="782"/>
      <c r="D556" s="701"/>
      <c r="E556" s="2612" t="s">
        <v>677</v>
      </c>
      <c r="F556" s="2612"/>
      <c r="G556" s="2612"/>
      <c r="H556" s="782"/>
      <c r="I556" s="572"/>
      <c r="J556" s="1476"/>
      <c r="K556" s="1477"/>
      <c r="L556" s="1478"/>
      <c r="M556" s="1478"/>
      <c r="N556" s="1472"/>
      <c r="O556" s="738"/>
      <c r="P556" s="739"/>
      <c r="Q556" s="739"/>
      <c r="R556" s="853" t="s">
        <v>565</v>
      </c>
      <c r="S556" s="2498">
        <f>SUM(O555:R555)</f>
        <v>1066.2059999999999</v>
      </c>
      <c r="T556" s="599" t="str">
        <f>IFERROR(INDEX('Annex 2_Code'!I$8:I$33,MATCH('Annex 3_MAFF'!$AG556,'Annex 2_Code'!$G$8:$G$33,0)),"")</f>
        <v/>
      </c>
      <c r="U556" s="599" t="str">
        <f>IFERROR(INDEX('Annex 2_Code'!J$8:J$33,MATCH('Annex 3_MAFF'!$AG556,'Annex 2_Code'!$G$8:$G$33,0)),"")</f>
        <v/>
      </c>
      <c r="V556" s="599" t="str">
        <f>IFERROR(INDEX('Annex 2_Code'!K$8:K$33,MATCH('Annex 3_MAFF'!$AG556,'Annex 2_Code'!$G$8:$G$33,0)),"")</f>
        <v/>
      </c>
      <c r="W556" s="599" t="str">
        <f>IFERROR(INDEX('Annex 2_Code'!L$8:L$33,MATCH('Annex 3_MAFF'!$AG556,'Annex 2_Code'!$G$8:$G$33,0)),"")</f>
        <v/>
      </c>
      <c r="X556" s="599" t="str">
        <f>IFERROR(INDEX('Annex 2_Code'!M$8:M$33,MATCH('Annex 3_MAFF'!$AG556,'Annex 2_Code'!$G$8:$G$33,0)),"")</f>
        <v/>
      </c>
      <c r="Y556" s="647" t="str">
        <f t="shared" si="705"/>
        <v/>
      </c>
      <c r="Z556" s="600" t="str">
        <f t="shared" si="706"/>
        <v/>
      </c>
      <c r="AA556" s="600" t="str">
        <f t="shared" si="706"/>
        <v/>
      </c>
      <c r="AB556" s="600" t="str">
        <f t="shared" si="707"/>
        <v/>
      </c>
      <c r="AC556" s="601" t="str">
        <f t="shared" si="708"/>
        <v/>
      </c>
      <c r="AD556" s="602">
        <f>SUM(Y556:AC556)</f>
        <v>0</v>
      </c>
      <c r="AE556" s="602">
        <f>AD556-S556</f>
        <v>-1066.2059999999999</v>
      </c>
      <c r="AF556" s="605"/>
      <c r="AG556" s="605"/>
      <c r="AH556" s="605" t="str">
        <f>IFERROR(INDEX('Annex 2_Code'!$J$114:$J$131,MATCH('Annex 3_MAFF'!AF556,'Annex 2_Code'!$G$114:$G$131,0)),"")</f>
        <v/>
      </c>
      <c r="AI556" s="646" t="str">
        <f t="shared" si="714"/>
        <v/>
      </c>
    </row>
    <row r="557" spans="1:39" s="637" customFormat="1" ht="23.25" outlineLevel="1">
      <c r="A557" s="587"/>
      <c r="B557" s="659" t="s">
        <v>54</v>
      </c>
      <c r="C557" s="782"/>
      <c r="D557" s="701"/>
      <c r="E557" s="612" t="s">
        <v>678</v>
      </c>
      <c r="F557" s="626"/>
      <c r="G557" s="616"/>
      <c r="H557" s="782"/>
      <c r="I557" s="572"/>
      <c r="J557" s="1476"/>
      <c r="K557" s="1477"/>
      <c r="L557" s="1478"/>
      <c r="M557" s="1478"/>
      <c r="N557" s="1472"/>
      <c r="O557" s="738"/>
      <c r="P557" s="739"/>
      <c r="Q557" s="739"/>
      <c r="R557" s="739"/>
      <c r="S557" s="1428"/>
      <c r="T557" s="599" t="str">
        <f>IFERROR(INDEX('Annex 2_Code'!I$8:I$33,MATCH('Annex 3_MAFF'!$AG557,'Annex 2_Code'!$G$8:$G$33,0)),"")</f>
        <v/>
      </c>
      <c r="U557" s="599" t="str">
        <f>IFERROR(INDEX('Annex 2_Code'!J$8:J$33,MATCH('Annex 3_MAFF'!$AG557,'Annex 2_Code'!$G$8:$G$33,0)),"")</f>
        <v/>
      </c>
      <c r="V557" s="599" t="str">
        <f>IFERROR(INDEX('Annex 2_Code'!K$8:K$33,MATCH('Annex 3_MAFF'!$AG557,'Annex 2_Code'!$G$8:$G$33,0)),"")</f>
        <v/>
      </c>
      <c r="W557" s="599" t="str">
        <f>IFERROR(INDEX('Annex 2_Code'!L$8:L$33,MATCH('Annex 3_MAFF'!$AG557,'Annex 2_Code'!$G$8:$G$33,0)),"")</f>
        <v/>
      </c>
      <c r="X557" s="599" t="str">
        <f>IFERROR(INDEX('Annex 2_Code'!M$8:M$33,MATCH('Annex 3_MAFF'!$AG557,'Annex 2_Code'!$G$8:$G$33,0)),"")</f>
        <v/>
      </c>
      <c r="Y557" s="647" t="str">
        <f t="shared" si="705"/>
        <v/>
      </c>
      <c r="Z557" s="600" t="str">
        <f t="shared" si="706"/>
        <v/>
      </c>
      <c r="AA557" s="600" t="str">
        <f t="shared" si="706"/>
        <v/>
      </c>
      <c r="AB557" s="600" t="str">
        <f t="shared" si="707"/>
        <v/>
      </c>
      <c r="AC557" s="601" t="str">
        <f t="shared" si="708"/>
        <v/>
      </c>
      <c r="AD557" s="602">
        <f t="shared" si="674"/>
        <v>0</v>
      </c>
      <c r="AE557" s="602">
        <f t="shared" si="675"/>
        <v>0</v>
      </c>
      <c r="AF557" s="605"/>
      <c r="AG557" s="605"/>
      <c r="AH557" s="605" t="str">
        <f>IFERROR(INDEX('Annex 2_Code'!$J$114:$J$131,MATCH('Annex 3_MAFF'!AF557,'Annex 2_Code'!$G$114:$G$131,0)),"")</f>
        <v/>
      </c>
      <c r="AI557" s="646" t="str">
        <f t="shared" si="714"/>
        <v/>
      </c>
    </row>
    <row r="558" spans="1:39" s="637" customFormat="1" ht="23.25" outlineLevel="1">
      <c r="A558" s="307"/>
      <c r="B558" s="659" t="s">
        <v>54</v>
      </c>
      <c r="C558" s="782"/>
      <c r="D558" s="701"/>
      <c r="E558" s="612"/>
      <c r="F558" s="626" t="s">
        <v>1025</v>
      </c>
      <c r="G558" s="616"/>
      <c r="H558" s="782"/>
      <c r="I558" s="727"/>
      <c r="J558" s="1705"/>
      <c r="K558" s="754"/>
      <c r="L558" s="784"/>
      <c r="M558" s="784"/>
      <c r="N558" s="731"/>
      <c r="O558" s="738"/>
      <c r="P558" s="739"/>
      <c r="Q558" s="739"/>
      <c r="R558" s="739"/>
      <c r="S558" s="1428"/>
      <c r="T558" s="599" t="str">
        <f>IFERROR(INDEX('Annex 2_Code'!I$8:I$33,MATCH('Annex 3_MAFF'!$AG558,'Annex 2_Code'!$G$8:$G$33,0)),"")</f>
        <v/>
      </c>
      <c r="U558" s="599" t="str">
        <f>IFERROR(INDEX('Annex 2_Code'!J$8:J$33,MATCH('Annex 3_MAFF'!$AG558,'Annex 2_Code'!$G$8:$G$33,0)),"")</f>
        <v/>
      </c>
      <c r="V558" s="599" t="str">
        <f>IFERROR(INDEX('Annex 2_Code'!K$8:K$33,MATCH('Annex 3_MAFF'!$AG558,'Annex 2_Code'!$G$8:$G$33,0)),"")</f>
        <v/>
      </c>
      <c r="W558" s="599" t="str">
        <f>IFERROR(INDEX('Annex 2_Code'!L$8:L$33,MATCH('Annex 3_MAFF'!$AG558,'Annex 2_Code'!$G$8:$G$33,0)),"")</f>
        <v/>
      </c>
      <c r="X558" s="599" t="str">
        <f>IFERROR(INDEX('Annex 2_Code'!M$8:M$33,MATCH('Annex 3_MAFF'!$AG558,'Annex 2_Code'!$G$8:$G$33,0)),"")</f>
        <v/>
      </c>
      <c r="Y558" s="647" t="str">
        <f t="shared" si="705"/>
        <v/>
      </c>
      <c r="Z558" s="600" t="str">
        <f t="shared" si="706"/>
        <v/>
      </c>
      <c r="AA558" s="600" t="str">
        <f t="shared" si="706"/>
        <v/>
      </c>
      <c r="AB558" s="600" t="str">
        <f t="shared" si="707"/>
        <v/>
      </c>
      <c r="AC558" s="601" t="str">
        <f t="shared" si="708"/>
        <v/>
      </c>
      <c r="AD558" s="602">
        <f t="shared" ref="AD558:AD596" si="716">SUM(Y558:AC558)</f>
        <v>0</v>
      </c>
      <c r="AE558" s="602">
        <f t="shared" ref="AE558:AE596" si="717">AD558-S558</f>
        <v>0</v>
      </c>
      <c r="AF558" s="605"/>
      <c r="AG558" s="605"/>
      <c r="AH558" s="605" t="str">
        <f>IFERROR(INDEX('Annex 2_Code'!$J$114:$J$131,MATCH('Annex 3_MAFF'!AF558,'Annex 2_Code'!$G$114:$G$131,0)),"")</f>
        <v/>
      </c>
      <c r="AI558" s="646" t="str">
        <f t="shared" si="714"/>
        <v/>
      </c>
    </row>
    <row r="559" spans="1:39" s="637" customFormat="1" ht="37.5" outlineLevel="1">
      <c r="A559" s="307"/>
      <c r="B559" s="669" t="s">
        <v>1452</v>
      </c>
      <c r="C559" s="782" t="s">
        <v>120</v>
      </c>
      <c r="D559" s="701"/>
      <c r="E559" s="612"/>
      <c r="F559" s="626"/>
      <c r="G559" s="1706" t="s">
        <v>1026</v>
      </c>
      <c r="H559" s="811" t="s">
        <v>652</v>
      </c>
      <c r="I559" s="1707">
        <f>17000/1000</f>
        <v>17</v>
      </c>
      <c r="J559" s="825">
        <v>1</v>
      </c>
      <c r="K559" s="825">
        <v>1</v>
      </c>
      <c r="L559" s="825">
        <v>0.5</v>
      </c>
      <c r="M559" s="825"/>
      <c r="N559" s="1708">
        <f t="shared" ref="N559:N564" si="718">SUM(J559:M559)</f>
        <v>2.5</v>
      </c>
      <c r="O559" s="1526">
        <f t="shared" ref="O559:R560" si="719">($I559*J559)</f>
        <v>17</v>
      </c>
      <c r="P559" s="1527">
        <f t="shared" si="719"/>
        <v>17</v>
      </c>
      <c r="Q559" s="1527">
        <f t="shared" si="719"/>
        <v>8.5</v>
      </c>
      <c r="R559" s="1527">
        <f t="shared" si="719"/>
        <v>0</v>
      </c>
      <c r="S559" s="1528">
        <f>SUM(O559:R559)</f>
        <v>42.5</v>
      </c>
      <c r="T559" s="599">
        <f>IFERROR(INDEX('Annex 2_Code'!I$8:I$33,MATCH('Annex 3_MAFF'!$AG559,'Annex 2_Code'!$G$8:$G$33,0)),"")</f>
        <v>1</v>
      </c>
      <c r="U559" s="599">
        <f>IFERROR(INDEX('Annex 2_Code'!J$8:J$33,MATCH('Annex 3_MAFF'!$AG559,'Annex 2_Code'!$G$8:$G$33,0)),"")</f>
        <v>0</v>
      </c>
      <c r="V559" s="599">
        <f>IFERROR(INDEX('Annex 2_Code'!K$8:K$33,MATCH('Annex 3_MAFF'!$AG559,'Annex 2_Code'!$G$8:$G$33,0)),"")</f>
        <v>0</v>
      </c>
      <c r="W559" s="599">
        <f>IFERROR(INDEX('Annex 2_Code'!L$8:L$33,MATCH('Annex 3_MAFF'!$AG559,'Annex 2_Code'!$G$8:$G$33,0)),"")</f>
        <v>0</v>
      </c>
      <c r="X559" s="599">
        <f>IFERROR(INDEX('Annex 2_Code'!M$8:M$33,MATCH('Annex 3_MAFF'!$AG559,'Annex 2_Code'!$G$8:$G$33,0)),"")</f>
        <v>0</v>
      </c>
      <c r="Y559" s="647">
        <f t="shared" si="705"/>
        <v>42.5</v>
      </c>
      <c r="Z559" s="600">
        <f t="shared" si="706"/>
        <v>0</v>
      </c>
      <c r="AA559" s="600">
        <f t="shared" si="706"/>
        <v>0</v>
      </c>
      <c r="AB559" s="600">
        <f t="shared" si="707"/>
        <v>0</v>
      </c>
      <c r="AC559" s="601">
        <f t="shared" si="708"/>
        <v>0</v>
      </c>
      <c r="AD559" s="602">
        <f t="shared" si="716"/>
        <v>42.5</v>
      </c>
      <c r="AE559" s="602">
        <f t="shared" si="717"/>
        <v>0</v>
      </c>
      <c r="AF559" s="605" t="s">
        <v>374</v>
      </c>
      <c r="AG559" s="605" t="s">
        <v>209</v>
      </c>
      <c r="AH559" s="605" t="str">
        <f>IFERROR(INDEX('Annex 2_Code'!$J$114:$J$131,MATCH('Annex 3_MAFF'!AF559,'Annex 2_Code'!$G$114:$G$131,0)),"")</f>
        <v>MAFF</v>
      </c>
      <c r="AI559" s="646" t="str">
        <f t="shared" si="714"/>
        <v>MAFF</v>
      </c>
      <c r="AJ559" s="637" t="s">
        <v>449</v>
      </c>
    </row>
    <row r="560" spans="1:39" s="637" customFormat="1" ht="37.5" outlineLevel="1">
      <c r="A560" s="307"/>
      <c r="B560" s="669" t="s">
        <v>1452</v>
      </c>
      <c r="C560" s="782" t="s">
        <v>120</v>
      </c>
      <c r="D560" s="701"/>
      <c r="E560" s="612"/>
      <c r="F560" s="626"/>
      <c r="G560" s="1706" t="s">
        <v>1027</v>
      </c>
      <c r="H560" s="811" t="s">
        <v>652</v>
      </c>
      <c r="I560" s="1707">
        <f>18900/1000</f>
        <v>18.899999999999999</v>
      </c>
      <c r="J560" s="825">
        <v>0.7</v>
      </c>
      <c r="K560" s="825">
        <v>0.7</v>
      </c>
      <c r="L560" s="825">
        <v>0.7</v>
      </c>
      <c r="M560" s="825">
        <v>0.7</v>
      </c>
      <c r="N560" s="1708">
        <f t="shared" si="718"/>
        <v>2.8</v>
      </c>
      <c r="O560" s="1526">
        <f t="shared" si="719"/>
        <v>13.229999999999999</v>
      </c>
      <c r="P560" s="1527">
        <f t="shared" si="719"/>
        <v>13.229999999999999</v>
      </c>
      <c r="Q560" s="1527">
        <f t="shared" si="719"/>
        <v>13.229999999999999</v>
      </c>
      <c r="R560" s="1527">
        <f t="shared" si="719"/>
        <v>13.229999999999999</v>
      </c>
      <c r="S560" s="1528">
        <f>SUM(O560:R560)</f>
        <v>52.919999999999995</v>
      </c>
      <c r="T560" s="599">
        <f>IFERROR(INDEX('Annex 2_Code'!I$8:I$33,MATCH('Annex 3_MAFF'!$AG560,'Annex 2_Code'!$G$8:$G$33,0)),"")</f>
        <v>1</v>
      </c>
      <c r="U560" s="599">
        <f>IFERROR(INDEX('Annex 2_Code'!J$8:J$33,MATCH('Annex 3_MAFF'!$AG560,'Annex 2_Code'!$G$8:$G$33,0)),"")</f>
        <v>0</v>
      </c>
      <c r="V560" s="599">
        <f>IFERROR(INDEX('Annex 2_Code'!K$8:K$33,MATCH('Annex 3_MAFF'!$AG560,'Annex 2_Code'!$G$8:$G$33,0)),"")</f>
        <v>0</v>
      </c>
      <c r="W560" s="599">
        <f>IFERROR(INDEX('Annex 2_Code'!L$8:L$33,MATCH('Annex 3_MAFF'!$AG560,'Annex 2_Code'!$G$8:$G$33,0)),"")</f>
        <v>0</v>
      </c>
      <c r="X560" s="599">
        <f>IFERROR(INDEX('Annex 2_Code'!M$8:M$33,MATCH('Annex 3_MAFF'!$AG560,'Annex 2_Code'!$G$8:$G$33,0)),"")</f>
        <v>0</v>
      </c>
      <c r="Y560" s="647">
        <f t="shared" si="705"/>
        <v>52.919999999999995</v>
      </c>
      <c r="Z560" s="600">
        <f t="shared" si="706"/>
        <v>0</v>
      </c>
      <c r="AA560" s="600">
        <f t="shared" si="706"/>
        <v>0</v>
      </c>
      <c r="AB560" s="600">
        <f t="shared" si="707"/>
        <v>0</v>
      </c>
      <c r="AC560" s="601">
        <f t="shared" si="708"/>
        <v>0</v>
      </c>
      <c r="AD560" s="602">
        <f t="shared" si="716"/>
        <v>52.919999999999995</v>
      </c>
      <c r="AE560" s="602">
        <f t="shared" si="717"/>
        <v>0</v>
      </c>
      <c r="AF560" s="605" t="s">
        <v>374</v>
      </c>
      <c r="AG560" s="605" t="s">
        <v>209</v>
      </c>
      <c r="AH560" s="605" t="str">
        <f>IFERROR(INDEX('Annex 2_Code'!$J$114:$J$131,MATCH('Annex 3_MAFF'!AF560,'Annex 2_Code'!$G$114:$G$131,0)),"")</f>
        <v>MAFF</v>
      </c>
      <c r="AI560" s="646" t="str">
        <f t="shared" si="714"/>
        <v>MAFF</v>
      </c>
      <c r="AJ560" s="637" t="s">
        <v>449</v>
      </c>
    </row>
    <row r="561" spans="1:36" s="637" customFormat="1" ht="23.25" outlineLevel="1">
      <c r="A561" s="307"/>
      <c r="B561" s="659" t="s">
        <v>54</v>
      </c>
      <c r="C561" s="782"/>
      <c r="D561" s="701"/>
      <c r="E561" s="612"/>
      <c r="F561" s="626" t="s">
        <v>1028</v>
      </c>
      <c r="G561" s="616"/>
      <c r="H561" s="811" t="s">
        <v>652</v>
      </c>
      <c r="I561" s="727"/>
      <c r="J561" s="825"/>
      <c r="K561" s="825"/>
      <c r="L561" s="825"/>
      <c r="M561" s="825"/>
      <c r="N561" s="731"/>
      <c r="O561" s="622"/>
      <c r="P561" s="623"/>
      <c r="Q561" s="623"/>
      <c r="R561" s="623"/>
      <c r="S561" s="1356"/>
      <c r="T561" s="599" t="str">
        <f>IFERROR(INDEX('Annex 2_Code'!I$8:I$33,MATCH('Annex 3_MAFF'!$AG561,'Annex 2_Code'!$G$8:$G$33,0)),"")</f>
        <v/>
      </c>
      <c r="U561" s="599" t="str">
        <f>IFERROR(INDEX('Annex 2_Code'!J$8:J$33,MATCH('Annex 3_MAFF'!$AG561,'Annex 2_Code'!$G$8:$G$33,0)),"")</f>
        <v/>
      </c>
      <c r="V561" s="599" t="str">
        <f>IFERROR(INDEX('Annex 2_Code'!K$8:K$33,MATCH('Annex 3_MAFF'!$AG561,'Annex 2_Code'!$G$8:$G$33,0)),"")</f>
        <v/>
      </c>
      <c r="W561" s="599" t="str">
        <f>IFERROR(INDEX('Annex 2_Code'!L$8:L$33,MATCH('Annex 3_MAFF'!$AG561,'Annex 2_Code'!$G$8:$G$33,0)),"")</f>
        <v/>
      </c>
      <c r="X561" s="599" t="str">
        <f>IFERROR(INDEX('Annex 2_Code'!M$8:M$33,MATCH('Annex 3_MAFF'!$AG561,'Annex 2_Code'!$G$8:$G$33,0)),"")</f>
        <v/>
      </c>
      <c r="Y561" s="647" t="str">
        <f t="shared" si="705"/>
        <v/>
      </c>
      <c r="Z561" s="600" t="str">
        <f t="shared" si="706"/>
        <v/>
      </c>
      <c r="AA561" s="600" t="str">
        <f t="shared" si="706"/>
        <v/>
      </c>
      <c r="AB561" s="600" t="str">
        <f t="shared" si="707"/>
        <v/>
      </c>
      <c r="AC561" s="601" t="str">
        <f t="shared" si="708"/>
        <v/>
      </c>
      <c r="AD561" s="602">
        <f t="shared" si="716"/>
        <v>0</v>
      </c>
      <c r="AE561" s="602">
        <f t="shared" si="717"/>
        <v>0</v>
      </c>
      <c r="AF561" s="605"/>
      <c r="AG561" s="605"/>
      <c r="AH561" s="605" t="str">
        <f>IFERROR(INDEX('Annex 2_Code'!$J$114:$J$131,MATCH('Annex 3_MAFF'!AF561,'Annex 2_Code'!$G$114:$G$131,0)),"")</f>
        <v/>
      </c>
      <c r="AI561" s="646" t="str">
        <f t="shared" si="714"/>
        <v/>
      </c>
    </row>
    <row r="562" spans="1:36" s="637" customFormat="1" ht="37.5" outlineLevel="1">
      <c r="A562" s="307"/>
      <c r="B562" s="669" t="s">
        <v>1452</v>
      </c>
      <c r="C562" s="782" t="s">
        <v>120</v>
      </c>
      <c r="D562" s="701"/>
      <c r="E562" s="612"/>
      <c r="F562" s="626"/>
      <c r="G562" s="1706" t="s">
        <v>1029</v>
      </c>
      <c r="H562" s="811" t="s">
        <v>652</v>
      </c>
      <c r="I562" s="727">
        <f>13500/1000</f>
        <v>13.5</v>
      </c>
      <c r="J562" s="307">
        <v>0</v>
      </c>
      <c r="K562" s="307">
        <v>0</v>
      </c>
      <c r="L562" s="307">
        <v>0</v>
      </c>
      <c r="M562" s="307">
        <v>0</v>
      </c>
      <c r="N562" s="731">
        <f t="shared" si="718"/>
        <v>0</v>
      </c>
      <c r="O562" s="622">
        <f t="shared" ref="O562:R564" si="720">($I562*J562)</f>
        <v>0</v>
      </c>
      <c r="P562" s="623">
        <f t="shared" si="720"/>
        <v>0</v>
      </c>
      <c r="Q562" s="623">
        <f t="shared" si="720"/>
        <v>0</v>
      </c>
      <c r="R562" s="623">
        <f t="shared" si="720"/>
        <v>0</v>
      </c>
      <c r="S562" s="1356">
        <f>SUM(O562:R562)</f>
        <v>0</v>
      </c>
      <c r="T562" s="599">
        <f>IFERROR(INDEX('Annex 2_Code'!I$8:I$33,MATCH('Annex 3_MAFF'!$AG562,'Annex 2_Code'!$G$8:$G$33,0)),"")</f>
        <v>1</v>
      </c>
      <c r="U562" s="599">
        <f>IFERROR(INDEX('Annex 2_Code'!J$8:J$33,MATCH('Annex 3_MAFF'!$AG562,'Annex 2_Code'!$G$8:$G$33,0)),"")</f>
        <v>0</v>
      </c>
      <c r="V562" s="599">
        <f>IFERROR(INDEX('Annex 2_Code'!K$8:K$33,MATCH('Annex 3_MAFF'!$AG562,'Annex 2_Code'!$G$8:$G$33,0)),"")</f>
        <v>0</v>
      </c>
      <c r="W562" s="599">
        <f>IFERROR(INDEX('Annex 2_Code'!L$8:L$33,MATCH('Annex 3_MAFF'!$AG562,'Annex 2_Code'!$G$8:$G$33,0)),"")</f>
        <v>0</v>
      </c>
      <c r="X562" s="599">
        <f>IFERROR(INDEX('Annex 2_Code'!M$8:M$33,MATCH('Annex 3_MAFF'!$AG562,'Annex 2_Code'!$G$8:$G$33,0)),"")</f>
        <v>0</v>
      </c>
      <c r="Y562" s="647">
        <f t="shared" si="705"/>
        <v>0</v>
      </c>
      <c r="Z562" s="600">
        <f t="shared" si="706"/>
        <v>0</v>
      </c>
      <c r="AA562" s="600">
        <f t="shared" si="706"/>
        <v>0</v>
      </c>
      <c r="AB562" s="600">
        <f t="shared" si="707"/>
        <v>0</v>
      </c>
      <c r="AC562" s="601">
        <f t="shared" si="708"/>
        <v>0</v>
      </c>
      <c r="AD562" s="602">
        <f t="shared" si="716"/>
        <v>0</v>
      </c>
      <c r="AE562" s="602">
        <f t="shared" si="717"/>
        <v>0</v>
      </c>
      <c r="AF562" s="605" t="s">
        <v>374</v>
      </c>
      <c r="AG562" s="605" t="s">
        <v>209</v>
      </c>
      <c r="AH562" s="605" t="str">
        <f>IFERROR(INDEX('Annex 2_Code'!$J$114:$J$131,MATCH('Annex 3_MAFF'!AF562,'Annex 2_Code'!$G$114:$G$131,0)),"")</f>
        <v>MAFF</v>
      </c>
      <c r="AI562" s="646" t="str">
        <f t="shared" si="714"/>
        <v>MAFF</v>
      </c>
      <c r="AJ562" s="637" t="s">
        <v>449</v>
      </c>
    </row>
    <row r="563" spans="1:36" s="637" customFormat="1" ht="37.5" outlineLevel="1">
      <c r="A563" s="307"/>
      <c r="B563" s="669" t="s">
        <v>1452</v>
      </c>
      <c r="C563" s="782" t="s">
        <v>120</v>
      </c>
      <c r="D563" s="701"/>
      <c r="E563" s="612"/>
      <c r="F563" s="626"/>
      <c r="G563" s="1706" t="s">
        <v>1030</v>
      </c>
      <c r="H563" s="811" t="s">
        <v>652</v>
      </c>
      <c r="I563" s="727">
        <f>13500/1000</f>
        <v>13.5</v>
      </c>
      <c r="J563" s="307">
        <v>2</v>
      </c>
      <c r="K563" s="307">
        <v>1.27</v>
      </c>
      <c r="L563" s="307">
        <v>0</v>
      </c>
      <c r="M563" s="307">
        <v>0</v>
      </c>
      <c r="N563" s="731">
        <f t="shared" si="718"/>
        <v>3.27</v>
      </c>
      <c r="O563" s="622">
        <f t="shared" si="720"/>
        <v>27</v>
      </c>
      <c r="P563" s="623">
        <f t="shared" si="720"/>
        <v>17.145</v>
      </c>
      <c r="Q563" s="623">
        <f t="shared" si="720"/>
        <v>0</v>
      </c>
      <c r="R563" s="623">
        <f t="shared" si="720"/>
        <v>0</v>
      </c>
      <c r="S563" s="1356">
        <f>SUM(O563:R563)</f>
        <v>44.144999999999996</v>
      </c>
      <c r="T563" s="599">
        <f>IFERROR(INDEX('Annex 2_Code'!I$8:I$33,MATCH('Annex 3_MAFF'!$AG563,'Annex 2_Code'!$G$8:$G$33,0)),"")</f>
        <v>1</v>
      </c>
      <c r="U563" s="599">
        <f>IFERROR(INDEX('Annex 2_Code'!J$8:J$33,MATCH('Annex 3_MAFF'!$AG563,'Annex 2_Code'!$G$8:$G$33,0)),"")</f>
        <v>0</v>
      </c>
      <c r="V563" s="599">
        <f>IFERROR(INDEX('Annex 2_Code'!K$8:K$33,MATCH('Annex 3_MAFF'!$AG563,'Annex 2_Code'!$G$8:$G$33,0)),"")</f>
        <v>0</v>
      </c>
      <c r="W563" s="599">
        <f>IFERROR(INDEX('Annex 2_Code'!L$8:L$33,MATCH('Annex 3_MAFF'!$AG563,'Annex 2_Code'!$G$8:$G$33,0)),"")</f>
        <v>0</v>
      </c>
      <c r="X563" s="599">
        <f>IFERROR(INDEX('Annex 2_Code'!M$8:M$33,MATCH('Annex 3_MAFF'!$AG563,'Annex 2_Code'!$G$8:$G$33,0)),"")</f>
        <v>0</v>
      </c>
      <c r="Y563" s="647">
        <f t="shared" si="705"/>
        <v>44.144999999999996</v>
      </c>
      <c r="Z563" s="600">
        <f t="shared" si="706"/>
        <v>0</v>
      </c>
      <c r="AA563" s="600">
        <f t="shared" si="706"/>
        <v>0</v>
      </c>
      <c r="AB563" s="600">
        <f t="shared" si="707"/>
        <v>0</v>
      </c>
      <c r="AC563" s="601">
        <f t="shared" si="708"/>
        <v>0</v>
      </c>
      <c r="AD563" s="602">
        <f t="shared" si="716"/>
        <v>44.144999999999996</v>
      </c>
      <c r="AE563" s="602">
        <f t="shared" si="717"/>
        <v>0</v>
      </c>
      <c r="AF563" s="605" t="s">
        <v>374</v>
      </c>
      <c r="AG563" s="605" t="s">
        <v>209</v>
      </c>
      <c r="AH563" s="605" t="str">
        <f>IFERROR(INDEX('Annex 2_Code'!$J$114:$J$131,MATCH('Annex 3_MAFF'!AF563,'Annex 2_Code'!$G$114:$G$131,0)),"")</f>
        <v>MAFF</v>
      </c>
      <c r="AI563" s="646" t="str">
        <f t="shared" si="714"/>
        <v>MAFF</v>
      </c>
      <c r="AJ563" s="637" t="s">
        <v>449</v>
      </c>
    </row>
    <row r="564" spans="1:36" s="637" customFormat="1" ht="37.5" outlineLevel="1">
      <c r="A564" s="307"/>
      <c r="B564" s="669" t="s">
        <v>1452</v>
      </c>
      <c r="C564" s="782" t="s">
        <v>120</v>
      </c>
      <c r="D564" s="701"/>
      <c r="E564" s="612"/>
      <c r="F564" s="626"/>
      <c r="G564" s="1706" t="s">
        <v>1031</v>
      </c>
      <c r="H564" s="811" t="s">
        <v>652</v>
      </c>
      <c r="I564" s="727">
        <f>13500/1000</f>
        <v>13.5</v>
      </c>
      <c r="J564" s="307">
        <v>1.32</v>
      </c>
      <c r="K564" s="307">
        <v>0.7</v>
      </c>
      <c r="L564" s="307">
        <v>0</v>
      </c>
      <c r="M564" s="307">
        <v>0</v>
      </c>
      <c r="N564" s="731">
        <f t="shared" si="718"/>
        <v>2.02</v>
      </c>
      <c r="O564" s="622">
        <f t="shared" si="720"/>
        <v>17.82</v>
      </c>
      <c r="P564" s="623">
        <f t="shared" si="720"/>
        <v>9.4499999999999993</v>
      </c>
      <c r="Q564" s="623">
        <f t="shared" si="720"/>
        <v>0</v>
      </c>
      <c r="R564" s="623">
        <f t="shared" si="720"/>
        <v>0</v>
      </c>
      <c r="S564" s="1356">
        <f>SUM(O564:R564)</f>
        <v>27.27</v>
      </c>
      <c r="T564" s="599">
        <f>IFERROR(INDEX('Annex 2_Code'!I$8:I$33,MATCH('Annex 3_MAFF'!$AG564,'Annex 2_Code'!$G$8:$G$33,0)),"")</f>
        <v>1</v>
      </c>
      <c r="U564" s="599">
        <f>IFERROR(INDEX('Annex 2_Code'!J$8:J$33,MATCH('Annex 3_MAFF'!$AG564,'Annex 2_Code'!$G$8:$G$33,0)),"")</f>
        <v>0</v>
      </c>
      <c r="V564" s="599">
        <f>IFERROR(INDEX('Annex 2_Code'!K$8:K$33,MATCH('Annex 3_MAFF'!$AG564,'Annex 2_Code'!$G$8:$G$33,0)),"")</f>
        <v>0</v>
      </c>
      <c r="W564" s="599">
        <f>IFERROR(INDEX('Annex 2_Code'!L$8:L$33,MATCH('Annex 3_MAFF'!$AG564,'Annex 2_Code'!$G$8:$G$33,0)),"")</f>
        <v>0</v>
      </c>
      <c r="X564" s="599">
        <f>IFERROR(INDEX('Annex 2_Code'!M$8:M$33,MATCH('Annex 3_MAFF'!$AG564,'Annex 2_Code'!$G$8:$G$33,0)),"")</f>
        <v>0</v>
      </c>
      <c r="Y564" s="647">
        <f t="shared" si="705"/>
        <v>27.27</v>
      </c>
      <c r="Z564" s="600">
        <f t="shared" si="706"/>
        <v>0</v>
      </c>
      <c r="AA564" s="600">
        <f t="shared" si="706"/>
        <v>0</v>
      </c>
      <c r="AB564" s="600">
        <f t="shared" si="707"/>
        <v>0</v>
      </c>
      <c r="AC564" s="601">
        <f t="shared" si="708"/>
        <v>0</v>
      </c>
      <c r="AD564" s="602">
        <f t="shared" si="716"/>
        <v>27.27</v>
      </c>
      <c r="AE564" s="602">
        <f t="shared" si="717"/>
        <v>0</v>
      </c>
      <c r="AF564" s="605" t="s">
        <v>374</v>
      </c>
      <c r="AG564" s="605" t="s">
        <v>209</v>
      </c>
      <c r="AH564" s="605" t="str">
        <f>IFERROR(INDEX('Annex 2_Code'!$J$114:$J$131,MATCH('Annex 3_MAFF'!AF564,'Annex 2_Code'!$G$114:$G$131,0)),"")</f>
        <v>MAFF</v>
      </c>
      <c r="AI564" s="646" t="str">
        <f t="shared" si="714"/>
        <v>MAFF</v>
      </c>
      <c r="AJ564" s="637" t="s">
        <v>449</v>
      </c>
    </row>
    <row r="565" spans="1:36" s="637" customFormat="1" ht="23.25" outlineLevel="1">
      <c r="A565" s="307"/>
      <c r="B565" s="659" t="s">
        <v>54</v>
      </c>
      <c r="C565" s="782"/>
      <c r="D565" s="701"/>
      <c r="E565" s="612"/>
      <c r="F565" s="626" t="s">
        <v>1032</v>
      </c>
      <c r="G565" s="616"/>
      <c r="H565" s="811" t="s">
        <v>652</v>
      </c>
      <c r="I565" s="727"/>
      <c r="J565" s="307"/>
      <c r="K565" s="307"/>
      <c r="L565" s="307"/>
      <c r="M565" s="307"/>
      <c r="N565" s="731"/>
      <c r="O565" s="622"/>
      <c r="P565" s="623"/>
      <c r="Q565" s="623"/>
      <c r="R565" s="623"/>
      <c r="S565" s="1356"/>
      <c r="T565" s="599" t="str">
        <f>IFERROR(INDEX('Annex 2_Code'!I$8:I$33,MATCH('Annex 3_MAFF'!$AG565,'Annex 2_Code'!$G$8:$G$33,0)),"")</f>
        <v/>
      </c>
      <c r="U565" s="599" t="str">
        <f>IFERROR(INDEX('Annex 2_Code'!J$8:J$33,MATCH('Annex 3_MAFF'!$AG565,'Annex 2_Code'!$G$8:$G$33,0)),"")</f>
        <v/>
      </c>
      <c r="V565" s="599" t="str">
        <f>IFERROR(INDEX('Annex 2_Code'!K$8:K$33,MATCH('Annex 3_MAFF'!$AG565,'Annex 2_Code'!$G$8:$G$33,0)),"")</f>
        <v/>
      </c>
      <c r="W565" s="599" t="str">
        <f>IFERROR(INDEX('Annex 2_Code'!L$8:L$33,MATCH('Annex 3_MAFF'!$AG565,'Annex 2_Code'!$G$8:$G$33,0)),"")</f>
        <v/>
      </c>
      <c r="X565" s="599" t="str">
        <f>IFERROR(INDEX('Annex 2_Code'!M$8:M$33,MATCH('Annex 3_MAFF'!$AG565,'Annex 2_Code'!$G$8:$G$33,0)),"")</f>
        <v/>
      </c>
      <c r="Y565" s="647" t="str">
        <f t="shared" si="705"/>
        <v/>
      </c>
      <c r="Z565" s="600" t="str">
        <f t="shared" si="706"/>
        <v/>
      </c>
      <c r="AA565" s="600" t="str">
        <f t="shared" si="706"/>
        <v/>
      </c>
      <c r="AB565" s="600" t="str">
        <f t="shared" si="707"/>
        <v/>
      </c>
      <c r="AC565" s="601" t="str">
        <f t="shared" si="708"/>
        <v/>
      </c>
      <c r="AD565" s="602">
        <f t="shared" si="716"/>
        <v>0</v>
      </c>
      <c r="AE565" s="602">
        <f t="shared" si="717"/>
        <v>0</v>
      </c>
      <c r="AF565" s="605"/>
      <c r="AG565" s="605"/>
      <c r="AH565" s="605" t="str">
        <f>IFERROR(INDEX('Annex 2_Code'!$J$114:$J$131,MATCH('Annex 3_MAFF'!AF565,'Annex 2_Code'!$G$114:$G$131,0)),"")</f>
        <v/>
      </c>
      <c r="AI565" s="646" t="str">
        <f t="shared" si="714"/>
        <v/>
      </c>
    </row>
    <row r="566" spans="1:36" s="637" customFormat="1" ht="37.5" outlineLevel="1">
      <c r="A566" s="307"/>
      <c r="B566" s="669" t="s">
        <v>1452</v>
      </c>
      <c r="C566" s="782" t="s">
        <v>120</v>
      </c>
      <c r="D566" s="701"/>
      <c r="E566" s="612"/>
      <c r="F566" s="626"/>
      <c r="G566" s="1706" t="s">
        <v>1033</v>
      </c>
      <c r="H566" s="811" t="s">
        <v>652</v>
      </c>
      <c r="I566" s="727">
        <f>3880/1000</f>
        <v>3.88</v>
      </c>
      <c r="J566" s="307">
        <v>0</v>
      </c>
      <c r="K566" s="307">
        <v>0</v>
      </c>
      <c r="L566" s="307">
        <v>0</v>
      </c>
      <c r="M566" s="307">
        <v>0</v>
      </c>
      <c r="N566" s="731">
        <f t="shared" ref="N566:N591" si="721">SUM(J566:M566)</f>
        <v>0</v>
      </c>
      <c r="O566" s="622">
        <f t="shared" ref="O566:R568" si="722">($I566*J566)</f>
        <v>0</v>
      </c>
      <c r="P566" s="623">
        <f t="shared" si="722"/>
        <v>0</v>
      </c>
      <c r="Q566" s="623">
        <f t="shared" si="722"/>
        <v>0</v>
      </c>
      <c r="R566" s="623">
        <f t="shared" si="722"/>
        <v>0</v>
      </c>
      <c r="S566" s="1356">
        <f>SUM(O566:R566)</f>
        <v>0</v>
      </c>
      <c r="T566" s="599">
        <f>IFERROR(INDEX('Annex 2_Code'!I$8:I$33,MATCH('Annex 3_MAFF'!$AG566,'Annex 2_Code'!$G$8:$G$33,0)),"")</f>
        <v>1</v>
      </c>
      <c r="U566" s="599">
        <f>IFERROR(INDEX('Annex 2_Code'!J$8:J$33,MATCH('Annex 3_MAFF'!$AG566,'Annex 2_Code'!$G$8:$G$33,0)),"")</f>
        <v>0</v>
      </c>
      <c r="V566" s="599">
        <f>IFERROR(INDEX('Annex 2_Code'!K$8:K$33,MATCH('Annex 3_MAFF'!$AG566,'Annex 2_Code'!$G$8:$G$33,0)),"")</f>
        <v>0</v>
      </c>
      <c r="W566" s="599">
        <f>IFERROR(INDEX('Annex 2_Code'!L$8:L$33,MATCH('Annex 3_MAFF'!$AG566,'Annex 2_Code'!$G$8:$G$33,0)),"")</f>
        <v>0</v>
      </c>
      <c r="X566" s="599">
        <f>IFERROR(INDEX('Annex 2_Code'!M$8:M$33,MATCH('Annex 3_MAFF'!$AG566,'Annex 2_Code'!$G$8:$G$33,0)),"")</f>
        <v>0</v>
      </c>
      <c r="Y566" s="647">
        <f t="shared" si="705"/>
        <v>0</v>
      </c>
      <c r="Z566" s="600">
        <f t="shared" si="706"/>
        <v>0</v>
      </c>
      <c r="AA566" s="600">
        <f t="shared" si="706"/>
        <v>0</v>
      </c>
      <c r="AB566" s="600">
        <f t="shared" si="707"/>
        <v>0</v>
      </c>
      <c r="AC566" s="601">
        <f t="shared" si="708"/>
        <v>0</v>
      </c>
      <c r="AD566" s="602">
        <f t="shared" si="716"/>
        <v>0</v>
      </c>
      <c r="AE566" s="602">
        <f t="shared" si="717"/>
        <v>0</v>
      </c>
      <c r="AF566" s="605" t="s">
        <v>374</v>
      </c>
      <c r="AG566" s="605" t="s">
        <v>211</v>
      </c>
      <c r="AH566" s="605" t="str">
        <f>IFERROR(INDEX('Annex 2_Code'!$J$114:$J$131,MATCH('Annex 3_MAFF'!AF566,'Annex 2_Code'!$G$114:$G$131,0)),"")</f>
        <v>MAFF</v>
      </c>
      <c r="AI566" s="646" t="str">
        <f t="shared" si="714"/>
        <v>MAFF</v>
      </c>
      <c r="AJ566" s="637" t="s">
        <v>449</v>
      </c>
    </row>
    <row r="567" spans="1:36" s="637" customFormat="1" ht="28.5" outlineLevel="1">
      <c r="A567" s="307"/>
      <c r="B567" s="669" t="s">
        <v>1452</v>
      </c>
      <c r="C567" s="782" t="s">
        <v>120</v>
      </c>
      <c r="D567" s="701"/>
      <c r="E567" s="612"/>
      <c r="F567" s="626"/>
      <c r="G567" s="1706" t="s">
        <v>576</v>
      </c>
      <c r="H567" s="811" t="s">
        <v>652</v>
      </c>
      <c r="I567" s="727">
        <v>3.78</v>
      </c>
      <c r="J567" s="307">
        <v>0</v>
      </c>
      <c r="K567" s="307"/>
      <c r="L567" s="307"/>
      <c r="M567" s="307">
        <v>0</v>
      </c>
      <c r="N567" s="731">
        <f t="shared" si="721"/>
        <v>0</v>
      </c>
      <c r="O567" s="622">
        <f t="shared" si="722"/>
        <v>0</v>
      </c>
      <c r="P567" s="623">
        <f t="shared" si="722"/>
        <v>0</v>
      </c>
      <c r="Q567" s="623">
        <f t="shared" si="722"/>
        <v>0</v>
      </c>
      <c r="R567" s="623">
        <f t="shared" si="722"/>
        <v>0</v>
      </c>
      <c r="S567" s="1356">
        <f>SUM(O567:R567)</f>
        <v>0</v>
      </c>
      <c r="T567" s="599">
        <f>IFERROR(INDEX('Annex 2_Code'!I$8:I$33,MATCH('Annex 3_MAFF'!$AG567,'Annex 2_Code'!$G$8:$G$33,0)),"")</f>
        <v>1</v>
      </c>
      <c r="U567" s="599">
        <f>IFERROR(INDEX('Annex 2_Code'!J$8:J$33,MATCH('Annex 3_MAFF'!$AG567,'Annex 2_Code'!$G$8:$G$33,0)),"")</f>
        <v>0</v>
      </c>
      <c r="V567" s="599">
        <f>IFERROR(INDEX('Annex 2_Code'!K$8:K$33,MATCH('Annex 3_MAFF'!$AG567,'Annex 2_Code'!$G$8:$G$33,0)),"")</f>
        <v>0</v>
      </c>
      <c r="W567" s="599">
        <f>IFERROR(INDEX('Annex 2_Code'!L$8:L$33,MATCH('Annex 3_MAFF'!$AG567,'Annex 2_Code'!$G$8:$G$33,0)),"")</f>
        <v>0</v>
      </c>
      <c r="X567" s="599">
        <f>IFERROR(INDEX('Annex 2_Code'!M$8:M$33,MATCH('Annex 3_MAFF'!$AG567,'Annex 2_Code'!$G$8:$G$33,0)),"")</f>
        <v>0</v>
      </c>
      <c r="Y567" s="647">
        <f t="shared" si="705"/>
        <v>0</v>
      </c>
      <c r="Z567" s="600">
        <f t="shared" si="706"/>
        <v>0</v>
      </c>
      <c r="AA567" s="600">
        <f t="shared" si="706"/>
        <v>0</v>
      </c>
      <c r="AB567" s="600">
        <f t="shared" si="707"/>
        <v>0</v>
      </c>
      <c r="AC567" s="601">
        <f t="shared" si="708"/>
        <v>0</v>
      </c>
      <c r="AD567" s="602">
        <f t="shared" si="716"/>
        <v>0</v>
      </c>
      <c r="AE567" s="602">
        <f t="shared" si="717"/>
        <v>0</v>
      </c>
      <c r="AF567" s="605" t="s">
        <v>374</v>
      </c>
      <c r="AG567" s="605" t="s">
        <v>211</v>
      </c>
      <c r="AH567" s="605" t="str">
        <f>IFERROR(INDEX('Annex 2_Code'!$J$114:$J$131,MATCH('Annex 3_MAFF'!AF567,'Annex 2_Code'!$G$114:$G$131,0)),"")</f>
        <v>MAFF</v>
      </c>
      <c r="AI567" s="646" t="str">
        <f t="shared" si="714"/>
        <v>MAFF</v>
      </c>
      <c r="AJ567" s="637" t="s">
        <v>449</v>
      </c>
    </row>
    <row r="568" spans="1:36" s="637" customFormat="1" ht="37.5" outlineLevel="1">
      <c r="A568" s="307"/>
      <c r="B568" s="669" t="s">
        <v>1452</v>
      </c>
      <c r="C568" s="782" t="s">
        <v>120</v>
      </c>
      <c r="D568" s="701"/>
      <c r="E568" s="612"/>
      <c r="F568" s="626"/>
      <c r="G568" s="1706" t="s">
        <v>1034</v>
      </c>
      <c r="H568" s="811" t="s">
        <v>652</v>
      </c>
      <c r="I568" s="727">
        <f>2910/1000</f>
        <v>2.91</v>
      </c>
      <c r="J568" s="307">
        <v>0</v>
      </c>
      <c r="K568" s="307"/>
      <c r="L568" s="307"/>
      <c r="M568" s="307"/>
      <c r="N568" s="731">
        <f t="shared" si="721"/>
        <v>0</v>
      </c>
      <c r="O568" s="622">
        <f t="shared" si="722"/>
        <v>0</v>
      </c>
      <c r="P568" s="623">
        <f t="shared" si="722"/>
        <v>0</v>
      </c>
      <c r="Q568" s="623">
        <f t="shared" si="722"/>
        <v>0</v>
      </c>
      <c r="R568" s="623">
        <f t="shared" si="722"/>
        <v>0</v>
      </c>
      <c r="S568" s="1356">
        <f>SUM(O568:R568)</f>
        <v>0</v>
      </c>
      <c r="T568" s="599">
        <f>IFERROR(INDEX('Annex 2_Code'!I$8:I$33,MATCH('Annex 3_MAFF'!$AG568,'Annex 2_Code'!$G$8:$G$33,0)),"")</f>
        <v>1</v>
      </c>
      <c r="U568" s="599">
        <f>IFERROR(INDEX('Annex 2_Code'!J$8:J$33,MATCH('Annex 3_MAFF'!$AG568,'Annex 2_Code'!$G$8:$G$33,0)),"")</f>
        <v>0</v>
      </c>
      <c r="V568" s="599">
        <f>IFERROR(INDEX('Annex 2_Code'!K$8:K$33,MATCH('Annex 3_MAFF'!$AG568,'Annex 2_Code'!$G$8:$G$33,0)),"")</f>
        <v>0</v>
      </c>
      <c r="W568" s="599">
        <f>IFERROR(INDEX('Annex 2_Code'!L$8:L$33,MATCH('Annex 3_MAFF'!$AG568,'Annex 2_Code'!$G$8:$G$33,0)),"")</f>
        <v>0</v>
      </c>
      <c r="X568" s="599">
        <f>IFERROR(INDEX('Annex 2_Code'!M$8:M$33,MATCH('Annex 3_MAFF'!$AG568,'Annex 2_Code'!$G$8:$G$33,0)),"")</f>
        <v>0</v>
      </c>
      <c r="Y568" s="647">
        <f t="shared" si="705"/>
        <v>0</v>
      </c>
      <c r="Z568" s="600">
        <f t="shared" si="706"/>
        <v>0</v>
      </c>
      <c r="AA568" s="600">
        <f t="shared" si="706"/>
        <v>0</v>
      </c>
      <c r="AB568" s="600">
        <f t="shared" si="707"/>
        <v>0</v>
      </c>
      <c r="AC568" s="601">
        <f t="shared" si="708"/>
        <v>0</v>
      </c>
      <c r="AD568" s="602">
        <f t="shared" si="716"/>
        <v>0</v>
      </c>
      <c r="AE568" s="602">
        <f t="shared" si="717"/>
        <v>0</v>
      </c>
      <c r="AF568" s="605" t="s">
        <v>374</v>
      </c>
      <c r="AG568" s="605" t="s">
        <v>211</v>
      </c>
      <c r="AH568" s="605" t="str">
        <f>IFERROR(INDEX('Annex 2_Code'!$J$114:$J$131,MATCH('Annex 3_MAFF'!AF568,'Annex 2_Code'!$G$114:$G$131,0)),"")</f>
        <v>MAFF</v>
      </c>
      <c r="AI568" s="646" t="str">
        <f t="shared" si="714"/>
        <v>MAFF</v>
      </c>
      <c r="AJ568" s="637" t="s">
        <v>449</v>
      </c>
    </row>
    <row r="569" spans="1:36" s="637" customFormat="1" ht="37.5" outlineLevel="1">
      <c r="A569" s="307"/>
      <c r="B569" s="669" t="s">
        <v>1452</v>
      </c>
      <c r="C569" s="782" t="s">
        <v>120</v>
      </c>
      <c r="D569" s="701"/>
      <c r="E569" s="612"/>
      <c r="F569" s="626"/>
      <c r="G569" s="1706" t="s">
        <v>1035</v>
      </c>
      <c r="H569" s="811" t="s">
        <v>652</v>
      </c>
      <c r="I569" s="727">
        <f>3390/1000</f>
        <v>3.39</v>
      </c>
      <c r="J569" s="307">
        <v>2</v>
      </c>
      <c r="K569" s="307">
        <v>1</v>
      </c>
      <c r="L569" s="307"/>
      <c r="M569" s="307"/>
      <c r="N569" s="731">
        <f t="shared" si="721"/>
        <v>3</v>
      </c>
      <c r="O569" s="622">
        <f t="shared" ref="O569:O581" si="723">($I569*J569)</f>
        <v>6.78</v>
      </c>
      <c r="P569" s="623">
        <f t="shared" ref="P569:R570" si="724">($I569*K569)</f>
        <v>3.39</v>
      </c>
      <c r="Q569" s="623">
        <f t="shared" si="724"/>
        <v>0</v>
      </c>
      <c r="R569" s="623">
        <f t="shared" si="724"/>
        <v>0</v>
      </c>
      <c r="S569" s="1356">
        <f>SUM(O569:R569)</f>
        <v>10.17</v>
      </c>
      <c r="T569" s="599">
        <f>IFERROR(INDEX('Annex 2_Code'!I$8:I$33,MATCH('Annex 3_MAFF'!$AG569,'Annex 2_Code'!$G$8:$G$33,0)),"")</f>
        <v>1</v>
      </c>
      <c r="U569" s="599">
        <f>IFERROR(INDEX('Annex 2_Code'!J$8:J$33,MATCH('Annex 3_MAFF'!$AG569,'Annex 2_Code'!$G$8:$G$33,0)),"")</f>
        <v>0</v>
      </c>
      <c r="V569" s="599">
        <f>IFERROR(INDEX('Annex 2_Code'!K$8:K$33,MATCH('Annex 3_MAFF'!$AG569,'Annex 2_Code'!$G$8:$G$33,0)),"")</f>
        <v>0</v>
      </c>
      <c r="W569" s="599">
        <f>IFERROR(INDEX('Annex 2_Code'!L$8:L$33,MATCH('Annex 3_MAFF'!$AG569,'Annex 2_Code'!$G$8:$G$33,0)),"")</f>
        <v>0</v>
      </c>
      <c r="X569" s="599">
        <f>IFERROR(INDEX('Annex 2_Code'!M$8:M$33,MATCH('Annex 3_MAFF'!$AG569,'Annex 2_Code'!$G$8:$G$33,0)),"")</f>
        <v>0</v>
      </c>
      <c r="Y569" s="647">
        <f t="shared" si="705"/>
        <v>10.17</v>
      </c>
      <c r="Z569" s="600">
        <f t="shared" si="706"/>
        <v>0</v>
      </c>
      <c r="AA569" s="600">
        <f t="shared" si="706"/>
        <v>0</v>
      </c>
      <c r="AB569" s="600">
        <f t="shared" si="707"/>
        <v>0</v>
      </c>
      <c r="AC569" s="601">
        <f t="shared" si="708"/>
        <v>0</v>
      </c>
      <c r="AD569" s="602">
        <f t="shared" si="716"/>
        <v>10.17</v>
      </c>
      <c r="AE569" s="602">
        <f t="shared" si="717"/>
        <v>0</v>
      </c>
      <c r="AF569" s="605" t="s">
        <v>374</v>
      </c>
      <c r="AG569" s="605" t="s">
        <v>211</v>
      </c>
      <c r="AH569" s="605" t="str">
        <f>IFERROR(INDEX('Annex 2_Code'!$J$114:$J$131,MATCH('Annex 3_MAFF'!AF569,'Annex 2_Code'!$G$114:$G$131,0)),"")</f>
        <v>MAFF</v>
      </c>
      <c r="AI569" s="646" t="str">
        <f>IF(ISNUMBER(FIND("-",AH569,1))=FALSE,LEFT(AH569,LEN(AH569)),LEFT(AH569,(FIND("-",AH569,1))-1))</f>
        <v>MAFF</v>
      </c>
      <c r="AJ569" s="637" t="s">
        <v>449</v>
      </c>
    </row>
    <row r="570" spans="1:36" s="637" customFormat="1" ht="37.5" outlineLevel="1">
      <c r="A570" s="307"/>
      <c r="B570" s="669" t="s">
        <v>1452</v>
      </c>
      <c r="C570" s="782" t="s">
        <v>120</v>
      </c>
      <c r="D570" s="701"/>
      <c r="E570" s="612"/>
      <c r="F570" s="626"/>
      <c r="G570" s="1706" t="s">
        <v>1036</v>
      </c>
      <c r="H570" s="811" t="s">
        <v>652</v>
      </c>
      <c r="I570" s="727">
        <v>3.78</v>
      </c>
      <c r="J570" s="307">
        <v>3</v>
      </c>
      <c r="K570" s="307">
        <v>3</v>
      </c>
      <c r="L570" s="307">
        <v>1</v>
      </c>
      <c r="M570" s="307">
        <v>0</v>
      </c>
      <c r="N570" s="731">
        <f t="shared" si="721"/>
        <v>7</v>
      </c>
      <c r="O570" s="622">
        <f t="shared" si="723"/>
        <v>11.34</v>
      </c>
      <c r="P570" s="623">
        <f t="shared" si="724"/>
        <v>11.34</v>
      </c>
      <c r="Q570" s="623">
        <f t="shared" si="724"/>
        <v>3.78</v>
      </c>
      <c r="R570" s="623">
        <f t="shared" si="724"/>
        <v>0</v>
      </c>
      <c r="S570" s="1356">
        <f>SUM(O570:R570)</f>
        <v>26.46</v>
      </c>
      <c r="T570" s="599">
        <f>IFERROR(INDEX('Annex 2_Code'!I$8:I$33,MATCH('Annex 3_MAFF'!$AG570,'Annex 2_Code'!$G$8:$G$33,0)),"")</f>
        <v>1</v>
      </c>
      <c r="U570" s="599">
        <f>IFERROR(INDEX('Annex 2_Code'!J$8:J$33,MATCH('Annex 3_MAFF'!$AG570,'Annex 2_Code'!$G$8:$G$33,0)),"")</f>
        <v>0</v>
      </c>
      <c r="V570" s="599">
        <f>IFERROR(INDEX('Annex 2_Code'!K$8:K$33,MATCH('Annex 3_MAFF'!$AG570,'Annex 2_Code'!$G$8:$G$33,0)),"")</f>
        <v>0</v>
      </c>
      <c r="W570" s="599">
        <f>IFERROR(INDEX('Annex 2_Code'!L$8:L$33,MATCH('Annex 3_MAFF'!$AG570,'Annex 2_Code'!$G$8:$G$33,0)),"")</f>
        <v>0</v>
      </c>
      <c r="X570" s="599">
        <f>IFERROR(INDEX('Annex 2_Code'!M$8:M$33,MATCH('Annex 3_MAFF'!$AG570,'Annex 2_Code'!$G$8:$G$33,0)),"")</f>
        <v>0</v>
      </c>
      <c r="Y570" s="647">
        <f t="shared" si="705"/>
        <v>26.46</v>
      </c>
      <c r="Z570" s="600">
        <f t="shared" si="706"/>
        <v>0</v>
      </c>
      <c r="AA570" s="600">
        <f t="shared" si="706"/>
        <v>0</v>
      </c>
      <c r="AB570" s="600">
        <f t="shared" si="707"/>
        <v>0</v>
      </c>
      <c r="AC570" s="601">
        <f t="shared" si="708"/>
        <v>0</v>
      </c>
      <c r="AD570" s="602">
        <f t="shared" si="716"/>
        <v>26.46</v>
      </c>
      <c r="AE570" s="602">
        <f t="shared" si="717"/>
        <v>0</v>
      </c>
      <c r="AF570" s="605" t="s">
        <v>374</v>
      </c>
      <c r="AG570" s="605" t="s">
        <v>211</v>
      </c>
      <c r="AH570" s="605" t="str">
        <f>IFERROR(INDEX('Annex 2_Code'!$J$114:$J$131,MATCH('Annex 3_MAFF'!AF570,'Annex 2_Code'!$G$114:$G$131,0)),"")</f>
        <v>MAFF</v>
      </c>
      <c r="AI570" s="646" t="str">
        <f>IF(ISNUMBER(FIND("-",AH570,1))=FALSE,LEFT(AH570,LEN(AH570)),LEFT(AH570,(FIND("-",AH570,1))-1))</f>
        <v>MAFF</v>
      </c>
      <c r="AJ570" s="637" t="s">
        <v>449</v>
      </c>
    </row>
    <row r="571" spans="1:36" s="637" customFormat="1" ht="23.25" outlineLevel="1">
      <c r="A571" s="307"/>
      <c r="B571" s="669" t="s">
        <v>1452</v>
      </c>
      <c r="C571" s="782" t="s">
        <v>120</v>
      </c>
      <c r="D571" s="701"/>
      <c r="E571" s="612"/>
      <c r="F571" s="626"/>
      <c r="G571" s="1706" t="s">
        <v>577</v>
      </c>
      <c r="H571" s="811" t="s">
        <v>652</v>
      </c>
      <c r="I571" s="727">
        <v>2.4249999999999998</v>
      </c>
      <c r="J571" s="307">
        <v>2</v>
      </c>
      <c r="K571" s="307">
        <v>1</v>
      </c>
      <c r="L571" s="307"/>
      <c r="M571" s="307"/>
      <c r="N571" s="731">
        <f t="shared" si="721"/>
        <v>3</v>
      </c>
      <c r="O571" s="622">
        <f t="shared" si="723"/>
        <v>4.8499999999999996</v>
      </c>
      <c r="P571" s="623">
        <f t="shared" ref="P571:P585" si="725">($I571*K571)</f>
        <v>2.4249999999999998</v>
      </c>
      <c r="Q571" s="623">
        <f t="shared" ref="Q571:Q585" si="726">($I571*L571)</f>
        <v>0</v>
      </c>
      <c r="R571" s="623">
        <f t="shared" ref="R571:R585" si="727">($I571*M571)</f>
        <v>0</v>
      </c>
      <c r="S571" s="1356">
        <f t="shared" ref="S571:S585" si="728">SUM(O571:R571)</f>
        <v>7.2749999999999995</v>
      </c>
      <c r="T571" s="599">
        <f>IFERROR(INDEX('Annex 2_Code'!I$8:I$33,MATCH('Annex 3_MAFF'!$AG571,'Annex 2_Code'!$G$8:$G$33,0)),"")</f>
        <v>1</v>
      </c>
      <c r="U571" s="599">
        <f>IFERROR(INDEX('Annex 2_Code'!J$8:J$33,MATCH('Annex 3_MAFF'!$AG571,'Annex 2_Code'!$G$8:$G$33,0)),"")</f>
        <v>0</v>
      </c>
      <c r="V571" s="599">
        <f>IFERROR(INDEX('Annex 2_Code'!K$8:K$33,MATCH('Annex 3_MAFF'!$AG571,'Annex 2_Code'!$G$8:$G$33,0)),"")</f>
        <v>0</v>
      </c>
      <c r="W571" s="599">
        <f>IFERROR(INDEX('Annex 2_Code'!L$8:L$33,MATCH('Annex 3_MAFF'!$AG571,'Annex 2_Code'!$G$8:$G$33,0)),"")</f>
        <v>0</v>
      </c>
      <c r="X571" s="599">
        <f>IFERROR(INDEX('Annex 2_Code'!M$8:M$33,MATCH('Annex 3_MAFF'!$AG571,'Annex 2_Code'!$G$8:$G$33,0)),"")</f>
        <v>0</v>
      </c>
      <c r="Y571" s="647">
        <f t="shared" ref="Y571:Y585" si="729">IFERROR($S571*T571,"")</f>
        <v>7.2749999999999995</v>
      </c>
      <c r="Z571" s="600">
        <f t="shared" ref="Z571:Z585" si="730">IFERROR($S571*U571,"")</f>
        <v>0</v>
      </c>
      <c r="AA571" s="600">
        <f t="shared" ref="AA571:AA585" si="731">IFERROR($S571*V571,"")</f>
        <v>0</v>
      </c>
      <c r="AB571" s="600">
        <f t="shared" ref="AB571:AB585" si="732">IFERROR($S571*W571,"")</f>
        <v>0</v>
      </c>
      <c r="AC571" s="601">
        <f t="shared" ref="AC571:AC585" si="733">IFERROR($S571*X571,"")</f>
        <v>0</v>
      </c>
      <c r="AD571" s="602">
        <f t="shared" ref="AD571:AD585" si="734">SUM(Y571:AC571)</f>
        <v>7.2749999999999995</v>
      </c>
      <c r="AE571" s="602">
        <f t="shared" ref="AE571:AE585" si="735">AD571-S571</f>
        <v>0</v>
      </c>
      <c r="AF571" s="605" t="s">
        <v>374</v>
      </c>
      <c r="AG571" s="605" t="s">
        <v>211</v>
      </c>
      <c r="AH571" s="605" t="str">
        <f>IFERROR(INDEX('Annex 2_Code'!$J$114:$J$131,MATCH('Annex 3_MAFF'!AF571,'Annex 2_Code'!$G$114:$G$131,0)),"")</f>
        <v>MAFF</v>
      </c>
      <c r="AI571" s="646" t="str">
        <f t="shared" ref="AI571:AI585" si="736">IF(ISNUMBER(FIND("-",AH571,1))=FALSE,LEFT(AH571,LEN(AH571)),LEFT(AH571,(FIND("-",AH571,1))-1))</f>
        <v>MAFF</v>
      </c>
      <c r="AJ571" s="637" t="s">
        <v>449</v>
      </c>
    </row>
    <row r="572" spans="1:36" s="637" customFormat="1" ht="23.25" outlineLevel="1">
      <c r="A572" s="307"/>
      <c r="B572" s="669" t="s">
        <v>1452</v>
      </c>
      <c r="C572" s="782" t="s">
        <v>120</v>
      </c>
      <c r="D572" s="701"/>
      <c r="E572" s="612"/>
      <c r="F572" s="626"/>
      <c r="G572" s="1706" t="s">
        <v>578</v>
      </c>
      <c r="H572" s="811" t="s">
        <v>652</v>
      </c>
      <c r="I572" s="727">
        <v>2.4249999999999998</v>
      </c>
      <c r="J572" s="307"/>
      <c r="K572" s="307"/>
      <c r="L572" s="307"/>
      <c r="M572" s="307"/>
      <c r="N572" s="731">
        <f t="shared" si="721"/>
        <v>0</v>
      </c>
      <c r="O572" s="622">
        <f t="shared" si="723"/>
        <v>0</v>
      </c>
      <c r="P572" s="623">
        <f t="shared" si="725"/>
        <v>0</v>
      </c>
      <c r="Q572" s="623">
        <f t="shared" si="726"/>
        <v>0</v>
      </c>
      <c r="R572" s="623">
        <f t="shared" si="727"/>
        <v>0</v>
      </c>
      <c r="S572" s="1356">
        <f t="shared" si="728"/>
        <v>0</v>
      </c>
      <c r="T572" s="599">
        <f>IFERROR(INDEX('Annex 2_Code'!I$8:I$33,MATCH('Annex 3_MAFF'!$AG572,'Annex 2_Code'!$G$8:$G$33,0)),"")</f>
        <v>1</v>
      </c>
      <c r="U572" s="599">
        <f>IFERROR(INDEX('Annex 2_Code'!J$8:J$33,MATCH('Annex 3_MAFF'!$AG572,'Annex 2_Code'!$G$8:$G$33,0)),"")</f>
        <v>0</v>
      </c>
      <c r="V572" s="599">
        <f>IFERROR(INDEX('Annex 2_Code'!K$8:K$33,MATCH('Annex 3_MAFF'!$AG572,'Annex 2_Code'!$G$8:$G$33,0)),"")</f>
        <v>0</v>
      </c>
      <c r="W572" s="599">
        <f>IFERROR(INDEX('Annex 2_Code'!L$8:L$33,MATCH('Annex 3_MAFF'!$AG572,'Annex 2_Code'!$G$8:$G$33,0)),"")</f>
        <v>0</v>
      </c>
      <c r="X572" s="599">
        <f>IFERROR(INDEX('Annex 2_Code'!M$8:M$33,MATCH('Annex 3_MAFF'!$AG572,'Annex 2_Code'!$G$8:$G$33,0)),"")</f>
        <v>0</v>
      </c>
      <c r="Y572" s="647">
        <f t="shared" si="729"/>
        <v>0</v>
      </c>
      <c r="Z572" s="600">
        <f t="shared" si="730"/>
        <v>0</v>
      </c>
      <c r="AA572" s="600">
        <f t="shared" si="731"/>
        <v>0</v>
      </c>
      <c r="AB572" s="600">
        <f t="shared" si="732"/>
        <v>0</v>
      </c>
      <c r="AC572" s="601">
        <f t="shared" si="733"/>
        <v>0</v>
      </c>
      <c r="AD572" s="602">
        <f t="shared" si="734"/>
        <v>0</v>
      </c>
      <c r="AE572" s="602">
        <f t="shared" si="735"/>
        <v>0</v>
      </c>
      <c r="AF572" s="605" t="s">
        <v>374</v>
      </c>
      <c r="AG572" s="605" t="s">
        <v>211</v>
      </c>
      <c r="AH572" s="605" t="str">
        <f>IFERROR(INDEX('Annex 2_Code'!$J$114:$J$131,MATCH('Annex 3_MAFF'!AF572,'Annex 2_Code'!$G$114:$G$131,0)),"")</f>
        <v>MAFF</v>
      </c>
      <c r="AI572" s="646" t="str">
        <f t="shared" si="736"/>
        <v>MAFF</v>
      </c>
      <c r="AJ572" s="637" t="s">
        <v>449</v>
      </c>
    </row>
    <row r="573" spans="1:36" s="637" customFormat="1" ht="23.25" outlineLevel="1">
      <c r="A573" s="307"/>
      <c r="B573" s="669" t="s">
        <v>1452</v>
      </c>
      <c r="C573" s="782" t="s">
        <v>120</v>
      </c>
      <c r="D573" s="701"/>
      <c r="E573" s="612"/>
      <c r="F573" s="626"/>
      <c r="G573" s="1706" t="s">
        <v>579</v>
      </c>
      <c r="H573" s="811" t="s">
        <v>652</v>
      </c>
      <c r="I573" s="727">
        <v>2.4249999999999998</v>
      </c>
      <c r="J573" s="307"/>
      <c r="K573" s="307"/>
      <c r="L573" s="307"/>
      <c r="M573" s="307"/>
      <c r="N573" s="731">
        <f t="shared" si="721"/>
        <v>0</v>
      </c>
      <c r="O573" s="622">
        <f t="shared" si="723"/>
        <v>0</v>
      </c>
      <c r="P573" s="623">
        <f t="shared" si="725"/>
        <v>0</v>
      </c>
      <c r="Q573" s="623">
        <f t="shared" si="726"/>
        <v>0</v>
      </c>
      <c r="R573" s="623">
        <f t="shared" si="727"/>
        <v>0</v>
      </c>
      <c r="S573" s="1356">
        <f t="shared" si="728"/>
        <v>0</v>
      </c>
      <c r="T573" s="599">
        <f>IFERROR(INDEX('Annex 2_Code'!I$8:I$33,MATCH('Annex 3_MAFF'!$AG573,'Annex 2_Code'!$G$8:$G$33,0)),"")</f>
        <v>1</v>
      </c>
      <c r="U573" s="599">
        <f>IFERROR(INDEX('Annex 2_Code'!J$8:J$33,MATCH('Annex 3_MAFF'!$AG573,'Annex 2_Code'!$G$8:$G$33,0)),"")</f>
        <v>0</v>
      </c>
      <c r="V573" s="599">
        <f>IFERROR(INDEX('Annex 2_Code'!K$8:K$33,MATCH('Annex 3_MAFF'!$AG573,'Annex 2_Code'!$G$8:$G$33,0)),"")</f>
        <v>0</v>
      </c>
      <c r="W573" s="599">
        <f>IFERROR(INDEX('Annex 2_Code'!L$8:L$33,MATCH('Annex 3_MAFF'!$AG573,'Annex 2_Code'!$G$8:$G$33,0)),"")</f>
        <v>0</v>
      </c>
      <c r="X573" s="599">
        <f>IFERROR(INDEX('Annex 2_Code'!M$8:M$33,MATCH('Annex 3_MAFF'!$AG573,'Annex 2_Code'!$G$8:$G$33,0)),"")</f>
        <v>0</v>
      </c>
      <c r="Y573" s="647">
        <f t="shared" si="729"/>
        <v>0</v>
      </c>
      <c r="Z573" s="600">
        <f t="shared" si="730"/>
        <v>0</v>
      </c>
      <c r="AA573" s="600">
        <f t="shared" si="731"/>
        <v>0</v>
      </c>
      <c r="AB573" s="600">
        <f t="shared" si="732"/>
        <v>0</v>
      </c>
      <c r="AC573" s="601">
        <f t="shared" si="733"/>
        <v>0</v>
      </c>
      <c r="AD573" s="602">
        <f t="shared" si="734"/>
        <v>0</v>
      </c>
      <c r="AE573" s="602">
        <f t="shared" si="735"/>
        <v>0</v>
      </c>
      <c r="AF573" s="605" t="s">
        <v>374</v>
      </c>
      <c r="AG573" s="605" t="s">
        <v>211</v>
      </c>
      <c r="AH573" s="605" t="str">
        <f>IFERROR(INDEX('Annex 2_Code'!$J$114:$J$131,MATCH('Annex 3_MAFF'!AF573,'Annex 2_Code'!$G$114:$G$131,0)),"")</f>
        <v>MAFF</v>
      </c>
      <c r="AI573" s="646" t="str">
        <f t="shared" si="736"/>
        <v>MAFF</v>
      </c>
      <c r="AJ573" s="637" t="s">
        <v>449</v>
      </c>
    </row>
    <row r="574" spans="1:36" s="637" customFormat="1" ht="23.25" outlineLevel="1">
      <c r="A574" s="307"/>
      <c r="B574" s="669" t="s">
        <v>1452</v>
      </c>
      <c r="C574" s="782" t="s">
        <v>120</v>
      </c>
      <c r="D574" s="701"/>
      <c r="E574" s="612"/>
      <c r="F574" s="626"/>
      <c r="G574" s="1706" t="s">
        <v>580</v>
      </c>
      <c r="H574" s="811" t="s">
        <v>652</v>
      </c>
      <c r="I574" s="727">
        <v>3.78</v>
      </c>
      <c r="J574" s="307">
        <v>2</v>
      </c>
      <c r="K574" s="307">
        <v>1</v>
      </c>
      <c r="L574" s="307">
        <v>0</v>
      </c>
      <c r="M574" s="307"/>
      <c r="N574" s="731">
        <f t="shared" si="721"/>
        <v>3</v>
      </c>
      <c r="O574" s="622">
        <f t="shared" si="723"/>
        <v>7.56</v>
      </c>
      <c r="P574" s="623">
        <f t="shared" si="725"/>
        <v>3.78</v>
      </c>
      <c r="Q574" s="623">
        <f t="shared" si="726"/>
        <v>0</v>
      </c>
      <c r="R574" s="623">
        <f t="shared" si="727"/>
        <v>0</v>
      </c>
      <c r="S574" s="1356">
        <f t="shared" si="728"/>
        <v>11.34</v>
      </c>
      <c r="T574" s="599">
        <f>IFERROR(INDEX('Annex 2_Code'!I$8:I$33,MATCH('Annex 3_MAFF'!$AG574,'Annex 2_Code'!$G$8:$G$33,0)),"")</f>
        <v>1</v>
      </c>
      <c r="U574" s="599">
        <f>IFERROR(INDEX('Annex 2_Code'!J$8:J$33,MATCH('Annex 3_MAFF'!$AG574,'Annex 2_Code'!$G$8:$G$33,0)),"")</f>
        <v>0</v>
      </c>
      <c r="V574" s="599">
        <f>IFERROR(INDEX('Annex 2_Code'!K$8:K$33,MATCH('Annex 3_MAFF'!$AG574,'Annex 2_Code'!$G$8:$G$33,0)),"")</f>
        <v>0</v>
      </c>
      <c r="W574" s="599">
        <f>IFERROR(INDEX('Annex 2_Code'!L$8:L$33,MATCH('Annex 3_MAFF'!$AG574,'Annex 2_Code'!$G$8:$G$33,0)),"")</f>
        <v>0</v>
      </c>
      <c r="X574" s="599">
        <f>IFERROR(INDEX('Annex 2_Code'!M$8:M$33,MATCH('Annex 3_MAFF'!$AG574,'Annex 2_Code'!$G$8:$G$33,0)),"")</f>
        <v>0</v>
      </c>
      <c r="Y574" s="647">
        <f t="shared" si="729"/>
        <v>11.34</v>
      </c>
      <c r="Z574" s="600">
        <f t="shared" si="730"/>
        <v>0</v>
      </c>
      <c r="AA574" s="600">
        <f t="shared" si="731"/>
        <v>0</v>
      </c>
      <c r="AB574" s="600">
        <f t="shared" si="732"/>
        <v>0</v>
      </c>
      <c r="AC574" s="601">
        <f t="shared" si="733"/>
        <v>0</v>
      </c>
      <c r="AD574" s="602">
        <f t="shared" si="734"/>
        <v>11.34</v>
      </c>
      <c r="AE574" s="602">
        <f t="shared" si="735"/>
        <v>0</v>
      </c>
      <c r="AF574" s="605" t="s">
        <v>374</v>
      </c>
      <c r="AG574" s="605" t="s">
        <v>211</v>
      </c>
      <c r="AH574" s="605" t="str">
        <f>IFERROR(INDEX('Annex 2_Code'!$J$114:$J$131,MATCH('Annex 3_MAFF'!AF574,'Annex 2_Code'!$G$114:$G$131,0)),"")</f>
        <v>MAFF</v>
      </c>
      <c r="AI574" s="646" t="str">
        <f t="shared" si="736"/>
        <v>MAFF</v>
      </c>
      <c r="AJ574" s="637" t="s">
        <v>449</v>
      </c>
    </row>
    <row r="575" spans="1:36" s="637" customFormat="1" ht="23.25" outlineLevel="1">
      <c r="A575" s="307"/>
      <c r="B575" s="669" t="s">
        <v>1452</v>
      </c>
      <c r="C575" s="782" t="s">
        <v>120</v>
      </c>
      <c r="D575" s="701"/>
      <c r="E575" s="612"/>
      <c r="F575" s="626"/>
      <c r="G575" s="1706" t="s">
        <v>581</v>
      </c>
      <c r="H575" s="811" t="s">
        <v>652</v>
      </c>
      <c r="I575" s="727">
        <v>2.91</v>
      </c>
      <c r="J575" s="307">
        <v>2</v>
      </c>
      <c r="K575" s="307">
        <v>1</v>
      </c>
      <c r="L575" s="307"/>
      <c r="M575" s="307"/>
      <c r="N575" s="731">
        <f t="shared" si="721"/>
        <v>3</v>
      </c>
      <c r="O575" s="622">
        <f t="shared" si="723"/>
        <v>5.82</v>
      </c>
      <c r="P575" s="623">
        <f t="shared" si="725"/>
        <v>2.91</v>
      </c>
      <c r="Q575" s="623">
        <f t="shared" si="726"/>
        <v>0</v>
      </c>
      <c r="R575" s="623">
        <f t="shared" si="727"/>
        <v>0</v>
      </c>
      <c r="S575" s="1356">
        <f t="shared" si="728"/>
        <v>8.73</v>
      </c>
      <c r="T575" s="599">
        <f>IFERROR(INDEX('Annex 2_Code'!I$8:I$33,MATCH('Annex 3_MAFF'!$AG575,'Annex 2_Code'!$G$8:$G$33,0)),"")</f>
        <v>1</v>
      </c>
      <c r="U575" s="599">
        <f>IFERROR(INDEX('Annex 2_Code'!J$8:J$33,MATCH('Annex 3_MAFF'!$AG575,'Annex 2_Code'!$G$8:$G$33,0)),"")</f>
        <v>0</v>
      </c>
      <c r="V575" s="599">
        <f>IFERROR(INDEX('Annex 2_Code'!K$8:K$33,MATCH('Annex 3_MAFF'!$AG575,'Annex 2_Code'!$G$8:$G$33,0)),"")</f>
        <v>0</v>
      </c>
      <c r="W575" s="599">
        <f>IFERROR(INDEX('Annex 2_Code'!L$8:L$33,MATCH('Annex 3_MAFF'!$AG575,'Annex 2_Code'!$G$8:$G$33,0)),"")</f>
        <v>0</v>
      </c>
      <c r="X575" s="599">
        <f>IFERROR(INDEX('Annex 2_Code'!M$8:M$33,MATCH('Annex 3_MAFF'!$AG575,'Annex 2_Code'!$G$8:$G$33,0)),"")</f>
        <v>0</v>
      </c>
      <c r="Y575" s="647">
        <f t="shared" si="729"/>
        <v>8.73</v>
      </c>
      <c r="Z575" s="600">
        <f t="shared" si="730"/>
        <v>0</v>
      </c>
      <c r="AA575" s="600">
        <f t="shared" si="731"/>
        <v>0</v>
      </c>
      <c r="AB575" s="600">
        <f t="shared" si="732"/>
        <v>0</v>
      </c>
      <c r="AC575" s="601">
        <f t="shared" si="733"/>
        <v>0</v>
      </c>
      <c r="AD575" s="602">
        <f t="shared" si="734"/>
        <v>8.73</v>
      </c>
      <c r="AE575" s="602">
        <f t="shared" si="735"/>
        <v>0</v>
      </c>
      <c r="AF575" s="605" t="s">
        <v>374</v>
      </c>
      <c r="AG575" s="605" t="s">
        <v>211</v>
      </c>
      <c r="AH575" s="605" t="str">
        <f>IFERROR(INDEX('Annex 2_Code'!$J$114:$J$131,MATCH('Annex 3_MAFF'!AF575,'Annex 2_Code'!$G$114:$G$131,0)),"")</f>
        <v>MAFF</v>
      </c>
      <c r="AI575" s="646" t="str">
        <f t="shared" si="736"/>
        <v>MAFF</v>
      </c>
      <c r="AJ575" s="637" t="s">
        <v>449</v>
      </c>
    </row>
    <row r="576" spans="1:36" s="637" customFormat="1" ht="23.25" outlineLevel="1">
      <c r="A576" s="307"/>
      <c r="B576" s="669" t="s">
        <v>1452</v>
      </c>
      <c r="C576" s="782" t="s">
        <v>120</v>
      </c>
      <c r="D576" s="701"/>
      <c r="E576" s="612"/>
      <c r="F576" s="626"/>
      <c r="G576" s="1706" t="s">
        <v>582</v>
      </c>
      <c r="H576" s="811" t="s">
        <v>652</v>
      </c>
      <c r="I576" s="727">
        <v>3.78</v>
      </c>
      <c r="J576" s="307">
        <v>2</v>
      </c>
      <c r="K576" s="307">
        <v>1</v>
      </c>
      <c r="L576" s="307">
        <v>0</v>
      </c>
      <c r="M576" s="307"/>
      <c r="N576" s="731">
        <f t="shared" si="721"/>
        <v>3</v>
      </c>
      <c r="O576" s="622">
        <f t="shared" si="723"/>
        <v>7.56</v>
      </c>
      <c r="P576" s="623">
        <f t="shared" si="725"/>
        <v>3.78</v>
      </c>
      <c r="Q576" s="623">
        <f t="shared" si="726"/>
        <v>0</v>
      </c>
      <c r="R576" s="623">
        <f t="shared" si="727"/>
        <v>0</v>
      </c>
      <c r="S576" s="1356">
        <f t="shared" si="728"/>
        <v>11.34</v>
      </c>
      <c r="T576" s="599">
        <f>IFERROR(INDEX('Annex 2_Code'!I$8:I$33,MATCH('Annex 3_MAFF'!$AG576,'Annex 2_Code'!$G$8:$G$33,0)),"")</f>
        <v>1</v>
      </c>
      <c r="U576" s="599">
        <f>IFERROR(INDEX('Annex 2_Code'!J$8:J$33,MATCH('Annex 3_MAFF'!$AG576,'Annex 2_Code'!$G$8:$G$33,0)),"")</f>
        <v>0</v>
      </c>
      <c r="V576" s="599">
        <f>IFERROR(INDEX('Annex 2_Code'!K$8:K$33,MATCH('Annex 3_MAFF'!$AG576,'Annex 2_Code'!$G$8:$G$33,0)),"")</f>
        <v>0</v>
      </c>
      <c r="W576" s="599">
        <f>IFERROR(INDEX('Annex 2_Code'!L$8:L$33,MATCH('Annex 3_MAFF'!$AG576,'Annex 2_Code'!$G$8:$G$33,0)),"")</f>
        <v>0</v>
      </c>
      <c r="X576" s="599">
        <f>IFERROR(INDEX('Annex 2_Code'!M$8:M$33,MATCH('Annex 3_MAFF'!$AG576,'Annex 2_Code'!$G$8:$G$33,0)),"")</f>
        <v>0</v>
      </c>
      <c r="Y576" s="647">
        <f t="shared" si="729"/>
        <v>11.34</v>
      </c>
      <c r="Z576" s="600">
        <f t="shared" si="730"/>
        <v>0</v>
      </c>
      <c r="AA576" s="600">
        <f t="shared" si="731"/>
        <v>0</v>
      </c>
      <c r="AB576" s="600">
        <f t="shared" si="732"/>
        <v>0</v>
      </c>
      <c r="AC576" s="601">
        <f t="shared" si="733"/>
        <v>0</v>
      </c>
      <c r="AD576" s="602">
        <f t="shared" si="734"/>
        <v>11.34</v>
      </c>
      <c r="AE576" s="602">
        <f t="shared" si="735"/>
        <v>0</v>
      </c>
      <c r="AF576" s="605" t="s">
        <v>374</v>
      </c>
      <c r="AG576" s="605" t="s">
        <v>211</v>
      </c>
      <c r="AH576" s="605" t="str">
        <f>IFERROR(INDEX('Annex 2_Code'!$J$114:$J$131,MATCH('Annex 3_MAFF'!AF576,'Annex 2_Code'!$G$114:$G$131,0)),"")</f>
        <v>MAFF</v>
      </c>
      <c r="AI576" s="646" t="str">
        <f t="shared" si="736"/>
        <v>MAFF</v>
      </c>
      <c r="AJ576" s="637" t="s">
        <v>449</v>
      </c>
    </row>
    <row r="577" spans="1:43" s="637" customFormat="1" ht="46.5" outlineLevel="1">
      <c r="A577" s="307"/>
      <c r="B577" s="669" t="s">
        <v>1452</v>
      </c>
      <c r="C577" s="782" t="s">
        <v>120</v>
      </c>
      <c r="D577" s="701"/>
      <c r="E577" s="612"/>
      <c r="F577" s="626"/>
      <c r="G577" s="1706" t="s">
        <v>1037</v>
      </c>
      <c r="H577" s="811" t="s">
        <v>652</v>
      </c>
      <c r="I577" s="727">
        <v>3.78</v>
      </c>
      <c r="J577" s="307">
        <v>0</v>
      </c>
      <c r="K577" s="307">
        <v>0</v>
      </c>
      <c r="L577" s="307"/>
      <c r="M577" s="307"/>
      <c r="N577" s="731">
        <f t="shared" si="721"/>
        <v>0</v>
      </c>
      <c r="O577" s="622">
        <f t="shared" si="723"/>
        <v>0</v>
      </c>
      <c r="P577" s="623">
        <f t="shared" si="725"/>
        <v>0</v>
      </c>
      <c r="Q577" s="623">
        <f t="shared" si="726"/>
        <v>0</v>
      </c>
      <c r="R577" s="623">
        <f t="shared" si="727"/>
        <v>0</v>
      </c>
      <c r="S577" s="1356">
        <f t="shared" si="728"/>
        <v>0</v>
      </c>
      <c r="T577" s="599">
        <f>IFERROR(INDEX('Annex 2_Code'!I$8:I$33,MATCH('Annex 3_MAFF'!$AG577,'Annex 2_Code'!$G$8:$G$33,0)),"")</f>
        <v>1</v>
      </c>
      <c r="U577" s="599">
        <f>IFERROR(INDEX('Annex 2_Code'!J$8:J$33,MATCH('Annex 3_MAFF'!$AG577,'Annex 2_Code'!$G$8:$G$33,0)),"")</f>
        <v>0</v>
      </c>
      <c r="V577" s="599">
        <f>IFERROR(INDEX('Annex 2_Code'!K$8:K$33,MATCH('Annex 3_MAFF'!$AG577,'Annex 2_Code'!$G$8:$G$33,0)),"")</f>
        <v>0</v>
      </c>
      <c r="W577" s="599">
        <f>IFERROR(INDEX('Annex 2_Code'!L$8:L$33,MATCH('Annex 3_MAFF'!$AG577,'Annex 2_Code'!$G$8:$G$33,0)),"")</f>
        <v>0</v>
      </c>
      <c r="X577" s="599">
        <f>IFERROR(INDEX('Annex 2_Code'!M$8:M$33,MATCH('Annex 3_MAFF'!$AG577,'Annex 2_Code'!$G$8:$G$33,0)),"")</f>
        <v>0</v>
      </c>
      <c r="Y577" s="647">
        <f t="shared" si="729"/>
        <v>0</v>
      </c>
      <c r="Z577" s="600">
        <f t="shared" si="730"/>
        <v>0</v>
      </c>
      <c r="AA577" s="600">
        <f t="shared" si="731"/>
        <v>0</v>
      </c>
      <c r="AB577" s="600">
        <f t="shared" si="732"/>
        <v>0</v>
      </c>
      <c r="AC577" s="601">
        <f t="shared" si="733"/>
        <v>0</v>
      </c>
      <c r="AD577" s="602">
        <f t="shared" si="734"/>
        <v>0</v>
      </c>
      <c r="AE577" s="602">
        <f t="shared" si="735"/>
        <v>0</v>
      </c>
      <c r="AF577" s="605" t="s">
        <v>374</v>
      </c>
      <c r="AG577" s="605" t="s">
        <v>211</v>
      </c>
      <c r="AH577" s="605" t="str">
        <f>IFERROR(INDEX('Annex 2_Code'!$J$114:$J$131,MATCH('Annex 3_MAFF'!AF577,'Annex 2_Code'!$G$114:$G$131,0)),"")</f>
        <v>MAFF</v>
      </c>
      <c r="AI577" s="646" t="str">
        <f t="shared" si="736"/>
        <v>MAFF</v>
      </c>
      <c r="AJ577" s="637" t="s">
        <v>449</v>
      </c>
    </row>
    <row r="578" spans="1:43" s="637" customFormat="1" ht="37.5" outlineLevel="1">
      <c r="A578" s="307"/>
      <c r="B578" s="669" t="s">
        <v>1452</v>
      </c>
      <c r="C578" s="782" t="s">
        <v>120</v>
      </c>
      <c r="D578" s="701"/>
      <c r="E578" s="612"/>
      <c r="F578" s="626"/>
      <c r="G578" s="1706" t="s">
        <v>1038</v>
      </c>
      <c r="H578" s="811" t="s">
        <v>652</v>
      </c>
      <c r="I578" s="727">
        <v>2.91</v>
      </c>
      <c r="J578" s="307">
        <v>0.5</v>
      </c>
      <c r="K578" s="307">
        <v>0.5</v>
      </c>
      <c r="L578" s="307">
        <v>0.5</v>
      </c>
      <c r="M578" s="307">
        <v>0.5</v>
      </c>
      <c r="N578" s="731">
        <f t="shared" si="721"/>
        <v>2</v>
      </c>
      <c r="O578" s="622">
        <f t="shared" si="723"/>
        <v>1.4550000000000001</v>
      </c>
      <c r="P578" s="623">
        <f t="shared" si="725"/>
        <v>1.4550000000000001</v>
      </c>
      <c r="Q578" s="623">
        <f t="shared" si="726"/>
        <v>1.4550000000000001</v>
      </c>
      <c r="R578" s="623">
        <f t="shared" si="727"/>
        <v>1.4550000000000001</v>
      </c>
      <c r="S578" s="1356">
        <f t="shared" si="728"/>
        <v>5.82</v>
      </c>
      <c r="T578" s="599">
        <f>IFERROR(INDEX('Annex 2_Code'!I$8:I$33,MATCH('Annex 3_MAFF'!$AG578,'Annex 2_Code'!$G$8:$G$33,0)),"")</f>
        <v>1</v>
      </c>
      <c r="U578" s="599">
        <f>IFERROR(INDEX('Annex 2_Code'!J$8:J$33,MATCH('Annex 3_MAFF'!$AG578,'Annex 2_Code'!$G$8:$G$33,0)),"")</f>
        <v>0</v>
      </c>
      <c r="V578" s="599">
        <f>IFERROR(INDEX('Annex 2_Code'!K$8:K$33,MATCH('Annex 3_MAFF'!$AG578,'Annex 2_Code'!$G$8:$G$33,0)),"")</f>
        <v>0</v>
      </c>
      <c r="W578" s="599">
        <f>IFERROR(INDEX('Annex 2_Code'!L$8:L$33,MATCH('Annex 3_MAFF'!$AG578,'Annex 2_Code'!$G$8:$G$33,0)),"")</f>
        <v>0</v>
      </c>
      <c r="X578" s="599">
        <f>IFERROR(INDEX('Annex 2_Code'!M$8:M$33,MATCH('Annex 3_MAFF'!$AG578,'Annex 2_Code'!$G$8:$G$33,0)),"")</f>
        <v>0</v>
      </c>
      <c r="Y578" s="647">
        <f t="shared" si="729"/>
        <v>5.82</v>
      </c>
      <c r="Z578" s="600">
        <f t="shared" si="730"/>
        <v>0</v>
      </c>
      <c r="AA578" s="600">
        <f t="shared" si="731"/>
        <v>0</v>
      </c>
      <c r="AB578" s="600">
        <f t="shared" si="732"/>
        <v>0</v>
      </c>
      <c r="AC578" s="601">
        <f t="shared" si="733"/>
        <v>0</v>
      </c>
      <c r="AD578" s="602">
        <f t="shared" si="734"/>
        <v>5.82</v>
      </c>
      <c r="AE578" s="602">
        <f t="shared" si="735"/>
        <v>0</v>
      </c>
      <c r="AF578" s="605" t="s">
        <v>374</v>
      </c>
      <c r="AG578" s="605" t="s">
        <v>211</v>
      </c>
      <c r="AH578" s="605" t="str">
        <f>IFERROR(INDEX('Annex 2_Code'!$J$114:$J$131,MATCH('Annex 3_MAFF'!AF578,'Annex 2_Code'!$G$114:$G$131,0)),"")</f>
        <v>MAFF</v>
      </c>
      <c r="AI578" s="646" t="str">
        <f t="shared" si="736"/>
        <v>MAFF</v>
      </c>
      <c r="AJ578" s="637" t="s">
        <v>449</v>
      </c>
    </row>
    <row r="579" spans="1:43" s="637" customFormat="1" ht="23.25" outlineLevel="1">
      <c r="A579" s="307"/>
      <c r="B579" s="659"/>
      <c r="C579" s="782"/>
      <c r="D579" s="701"/>
      <c r="E579" s="612"/>
      <c r="F579" s="626" t="s">
        <v>1039</v>
      </c>
      <c r="G579" s="616"/>
      <c r="H579" s="811" t="s">
        <v>652</v>
      </c>
      <c r="I579" s="727"/>
      <c r="J579" s="307"/>
      <c r="K579" s="307"/>
      <c r="L579" s="307"/>
      <c r="M579" s="307"/>
      <c r="N579" s="731">
        <f t="shared" si="721"/>
        <v>0</v>
      </c>
      <c r="O579" s="622">
        <f t="shared" si="723"/>
        <v>0</v>
      </c>
      <c r="P579" s="623">
        <f t="shared" si="725"/>
        <v>0</v>
      </c>
      <c r="Q579" s="623">
        <f t="shared" si="726"/>
        <v>0</v>
      </c>
      <c r="R579" s="623">
        <f t="shared" si="727"/>
        <v>0</v>
      </c>
      <c r="S579" s="1356">
        <f t="shared" si="728"/>
        <v>0</v>
      </c>
      <c r="T579" s="599">
        <f>IFERROR(INDEX('Annex 2_Code'!I$8:I$33,MATCH('Annex 3_MAFF'!$AG579,'Annex 2_Code'!$G$8:$G$33,0)),"")</f>
        <v>1</v>
      </c>
      <c r="U579" s="599">
        <f>IFERROR(INDEX('Annex 2_Code'!J$8:J$33,MATCH('Annex 3_MAFF'!$AG579,'Annex 2_Code'!$G$8:$G$33,0)),"")</f>
        <v>0</v>
      </c>
      <c r="V579" s="599">
        <f>IFERROR(INDEX('Annex 2_Code'!K$8:K$33,MATCH('Annex 3_MAFF'!$AG579,'Annex 2_Code'!$G$8:$G$33,0)),"")</f>
        <v>0</v>
      </c>
      <c r="W579" s="599">
        <f>IFERROR(INDEX('Annex 2_Code'!L$8:L$33,MATCH('Annex 3_MAFF'!$AG579,'Annex 2_Code'!$G$8:$G$33,0)),"")</f>
        <v>0</v>
      </c>
      <c r="X579" s="599">
        <f>IFERROR(INDEX('Annex 2_Code'!M$8:M$33,MATCH('Annex 3_MAFF'!$AG579,'Annex 2_Code'!$G$8:$G$33,0)),"")</f>
        <v>0</v>
      </c>
      <c r="Y579" s="647">
        <f t="shared" si="729"/>
        <v>0</v>
      </c>
      <c r="Z579" s="600">
        <f t="shared" si="730"/>
        <v>0</v>
      </c>
      <c r="AA579" s="600">
        <f t="shared" si="731"/>
        <v>0</v>
      </c>
      <c r="AB579" s="600">
        <f t="shared" si="732"/>
        <v>0</v>
      </c>
      <c r="AC579" s="601">
        <f t="shared" si="733"/>
        <v>0</v>
      </c>
      <c r="AD579" s="602">
        <f t="shared" si="734"/>
        <v>0</v>
      </c>
      <c r="AE579" s="602">
        <f t="shared" si="735"/>
        <v>0</v>
      </c>
      <c r="AF579" s="605" t="s">
        <v>374</v>
      </c>
      <c r="AG579" s="605" t="s">
        <v>211</v>
      </c>
      <c r="AH579" s="605" t="str">
        <f>IFERROR(INDEX('Annex 2_Code'!$J$114:$J$131,MATCH('Annex 3_MAFF'!AF579,'Annex 2_Code'!$G$114:$G$131,0)),"")</f>
        <v>MAFF</v>
      </c>
      <c r="AI579" s="646" t="str">
        <f t="shared" si="736"/>
        <v>MAFF</v>
      </c>
      <c r="AJ579" s="637" t="s">
        <v>449</v>
      </c>
    </row>
    <row r="580" spans="1:43" s="637" customFormat="1" ht="37.5" outlineLevel="1">
      <c r="A580" s="307"/>
      <c r="B580" s="669" t="s">
        <v>1452</v>
      </c>
      <c r="C580" s="782" t="s">
        <v>120</v>
      </c>
      <c r="D580" s="701"/>
      <c r="E580" s="612"/>
      <c r="F580" s="626"/>
      <c r="G580" s="1706" t="s">
        <v>1040</v>
      </c>
      <c r="H580" s="811" t="s">
        <v>652</v>
      </c>
      <c r="I580" s="727">
        <f>3880/1000</f>
        <v>3.88</v>
      </c>
      <c r="J580" s="2287">
        <v>3</v>
      </c>
      <c r="K580" s="2287">
        <v>3</v>
      </c>
      <c r="L580" s="2287"/>
      <c r="M580" s="2287"/>
      <c r="N580" s="731">
        <f t="shared" si="721"/>
        <v>6</v>
      </c>
      <c r="O580" s="622">
        <f t="shared" si="723"/>
        <v>11.64</v>
      </c>
      <c r="P580" s="623">
        <f t="shared" si="725"/>
        <v>11.64</v>
      </c>
      <c r="Q580" s="623">
        <f t="shared" si="726"/>
        <v>0</v>
      </c>
      <c r="R580" s="623">
        <f t="shared" si="727"/>
        <v>0</v>
      </c>
      <c r="S580" s="1356">
        <f t="shared" si="728"/>
        <v>23.28</v>
      </c>
      <c r="T580" s="599">
        <f>IFERROR(INDEX('Annex 2_Code'!I$8:I$33,MATCH('Annex 3_MAFF'!$AG580,'Annex 2_Code'!$G$8:$G$33,0)),"")</f>
        <v>1</v>
      </c>
      <c r="U580" s="599">
        <f>IFERROR(INDEX('Annex 2_Code'!J$8:J$33,MATCH('Annex 3_MAFF'!$AG580,'Annex 2_Code'!$G$8:$G$33,0)),"")</f>
        <v>0</v>
      </c>
      <c r="V580" s="599">
        <f>IFERROR(INDEX('Annex 2_Code'!K$8:K$33,MATCH('Annex 3_MAFF'!$AG580,'Annex 2_Code'!$G$8:$G$33,0)),"")</f>
        <v>0</v>
      </c>
      <c r="W580" s="599">
        <f>IFERROR(INDEX('Annex 2_Code'!L$8:L$33,MATCH('Annex 3_MAFF'!$AG580,'Annex 2_Code'!$G$8:$G$33,0)),"")</f>
        <v>0</v>
      </c>
      <c r="X580" s="599">
        <f>IFERROR(INDEX('Annex 2_Code'!M$8:M$33,MATCH('Annex 3_MAFF'!$AG580,'Annex 2_Code'!$G$8:$G$33,0)),"")</f>
        <v>0</v>
      </c>
      <c r="Y580" s="647">
        <f t="shared" si="729"/>
        <v>23.28</v>
      </c>
      <c r="Z580" s="600">
        <f t="shared" si="730"/>
        <v>0</v>
      </c>
      <c r="AA580" s="600">
        <f t="shared" si="731"/>
        <v>0</v>
      </c>
      <c r="AB580" s="600">
        <f t="shared" si="732"/>
        <v>0</v>
      </c>
      <c r="AC580" s="601">
        <f t="shared" si="733"/>
        <v>0</v>
      </c>
      <c r="AD580" s="602">
        <f t="shared" si="734"/>
        <v>23.28</v>
      </c>
      <c r="AE580" s="602">
        <f t="shared" si="735"/>
        <v>0</v>
      </c>
      <c r="AF580" s="605" t="s">
        <v>374</v>
      </c>
      <c r="AG580" s="605" t="s">
        <v>211</v>
      </c>
      <c r="AH580" s="605" t="str">
        <f>IFERROR(INDEX('Annex 2_Code'!$J$114:$J$131,MATCH('Annex 3_MAFF'!AF580,'Annex 2_Code'!$G$114:$G$131,0)),"")</f>
        <v>MAFF</v>
      </c>
      <c r="AI580" s="646" t="str">
        <f t="shared" si="736"/>
        <v>MAFF</v>
      </c>
      <c r="AJ580" s="637" t="s">
        <v>449</v>
      </c>
    </row>
    <row r="581" spans="1:43" s="915" customFormat="1" ht="33.75" customHeight="1" outlineLevel="1">
      <c r="A581" s="825"/>
      <c r="B581" s="669" t="s">
        <v>1452</v>
      </c>
      <c r="C581" s="2288" t="s">
        <v>120</v>
      </c>
      <c r="D581" s="2289"/>
      <c r="E581" s="2290"/>
      <c r="F581" s="2291"/>
      <c r="G581" s="1706" t="s">
        <v>1041</v>
      </c>
      <c r="H581" s="2292" t="s">
        <v>652</v>
      </c>
      <c r="I581" s="1707">
        <f>2910/1000</f>
        <v>2.91</v>
      </c>
      <c r="J581" s="2287"/>
      <c r="K581" s="2287"/>
      <c r="L581" s="2287"/>
      <c r="M581" s="2287">
        <v>0</v>
      </c>
      <c r="N581" s="1708">
        <f t="shared" si="721"/>
        <v>0</v>
      </c>
      <c r="O581" s="1526">
        <f t="shared" si="723"/>
        <v>0</v>
      </c>
      <c r="P581" s="1527">
        <f t="shared" si="725"/>
        <v>0</v>
      </c>
      <c r="Q581" s="1527">
        <f t="shared" si="726"/>
        <v>0</v>
      </c>
      <c r="R581" s="1527">
        <f t="shared" si="727"/>
        <v>0</v>
      </c>
      <c r="S581" s="1528">
        <f t="shared" si="728"/>
        <v>0</v>
      </c>
      <c r="T581" s="1529">
        <f>IFERROR(INDEX('Annex 2_Code'!I$8:I$33,MATCH('Annex 3_MAFF'!$AG581,'Annex 2_Code'!$G$8:$G$33,0)),"")</f>
        <v>1</v>
      </c>
      <c r="U581" s="1529">
        <f>IFERROR(INDEX('Annex 2_Code'!J$8:J$33,MATCH('Annex 3_MAFF'!$AG581,'Annex 2_Code'!$G$8:$G$33,0)),"")</f>
        <v>0</v>
      </c>
      <c r="V581" s="1529">
        <f>IFERROR(INDEX('Annex 2_Code'!K$8:K$33,MATCH('Annex 3_MAFF'!$AG581,'Annex 2_Code'!$G$8:$G$33,0)),"")</f>
        <v>0</v>
      </c>
      <c r="W581" s="1529">
        <f>IFERROR(INDEX('Annex 2_Code'!L$8:L$33,MATCH('Annex 3_MAFF'!$AG581,'Annex 2_Code'!$G$8:$G$33,0)),"")</f>
        <v>0</v>
      </c>
      <c r="X581" s="1529">
        <f>IFERROR(INDEX('Annex 2_Code'!M$8:M$33,MATCH('Annex 3_MAFF'!$AG581,'Annex 2_Code'!$G$8:$G$33,0)),"")</f>
        <v>0</v>
      </c>
      <c r="Y581" s="1530">
        <f t="shared" si="729"/>
        <v>0</v>
      </c>
      <c r="Z581" s="1531">
        <f t="shared" si="730"/>
        <v>0</v>
      </c>
      <c r="AA581" s="1531">
        <f t="shared" si="731"/>
        <v>0</v>
      </c>
      <c r="AB581" s="1531">
        <f t="shared" si="732"/>
        <v>0</v>
      </c>
      <c r="AC581" s="1532">
        <f t="shared" si="733"/>
        <v>0</v>
      </c>
      <c r="AD581" s="1533">
        <f t="shared" si="734"/>
        <v>0</v>
      </c>
      <c r="AE581" s="1533">
        <f t="shared" si="735"/>
        <v>0</v>
      </c>
      <c r="AF581" s="2293" t="s">
        <v>374</v>
      </c>
      <c r="AG581" s="2293" t="s">
        <v>211</v>
      </c>
      <c r="AH581" s="2293" t="str">
        <f>IFERROR(INDEX('Annex 2_Code'!$J$114:$J$131,MATCH('Annex 3_MAFF'!AF581,'Annex 2_Code'!$G$114:$G$131,0)),"")</f>
        <v>MAFF</v>
      </c>
      <c r="AI581" s="2331" t="str">
        <f t="shared" si="736"/>
        <v>MAFF</v>
      </c>
      <c r="AJ581" s="915" t="s">
        <v>449</v>
      </c>
    </row>
    <row r="582" spans="1:43" s="637" customFormat="1" ht="45.75" customHeight="1" outlineLevel="1">
      <c r="A582" s="307"/>
      <c r="B582" s="669" t="s">
        <v>1452</v>
      </c>
      <c r="C582" s="782" t="s">
        <v>120</v>
      </c>
      <c r="D582" s="701"/>
      <c r="E582" s="612"/>
      <c r="F582" s="626"/>
      <c r="G582" s="1706" t="s">
        <v>1042</v>
      </c>
      <c r="H582" s="811" t="s">
        <v>652</v>
      </c>
      <c r="I582" s="727">
        <f>2425/1000</f>
        <v>2.4249999999999998</v>
      </c>
      <c r="J582" s="2287">
        <v>3</v>
      </c>
      <c r="K582" s="2287">
        <v>1</v>
      </c>
      <c r="L582" s="2287">
        <v>0</v>
      </c>
      <c r="M582" s="2287">
        <v>0</v>
      </c>
      <c r="N582" s="731">
        <f t="shared" si="721"/>
        <v>4</v>
      </c>
      <c r="O582" s="622">
        <f t="shared" ref="O582:O591" si="737">($I582*J582)</f>
        <v>7.2749999999999995</v>
      </c>
      <c r="P582" s="623">
        <f t="shared" si="725"/>
        <v>2.4249999999999998</v>
      </c>
      <c r="Q582" s="623">
        <f t="shared" si="726"/>
        <v>0</v>
      </c>
      <c r="R582" s="623">
        <f t="shared" si="727"/>
        <v>0</v>
      </c>
      <c r="S582" s="1356">
        <f t="shared" si="728"/>
        <v>9.6999999999999993</v>
      </c>
      <c r="T582" s="599">
        <f>IFERROR(INDEX('Annex 2_Code'!I$8:I$33,MATCH('Annex 3_MAFF'!$AG582,'Annex 2_Code'!$G$8:$G$33,0)),"")</f>
        <v>1</v>
      </c>
      <c r="U582" s="599">
        <f>IFERROR(INDEX('Annex 2_Code'!J$8:J$33,MATCH('Annex 3_MAFF'!$AG582,'Annex 2_Code'!$G$8:$G$33,0)),"")</f>
        <v>0</v>
      </c>
      <c r="V582" s="599">
        <f>IFERROR(INDEX('Annex 2_Code'!K$8:K$33,MATCH('Annex 3_MAFF'!$AG582,'Annex 2_Code'!$G$8:$G$33,0)),"")</f>
        <v>0</v>
      </c>
      <c r="W582" s="599">
        <f>IFERROR(INDEX('Annex 2_Code'!L$8:L$33,MATCH('Annex 3_MAFF'!$AG582,'Annex 2_Code'!$G$8:$G$33,0)),"")</f>
        <v>0</v>
      </c>
      <c r="X582" s="599">
        <f>IFERROR(INDEX('Annex 2_Code'!M$8:M$33,MATCH('Annex 3_MAFF'!$AG582,'Annex 2_Code'!$G$8:$G$33,0)),"")</f>
        <v>0</v>
      </c>
      <c r="Y582" s="647">
        <f t="shared" si="729"/>
        <v>9.6999999999999993</v>
      </c>
      <c r="Z582" s="600">
        <f t="shared" si="730"/>
        <v>0</v>
      </c>
      <c r="AA582" s="600">
        <f t="shared" si="731"/>
        <v>0</v>
      </c>
      <c r="AB582" s="600">
        <f t="shared" si="732"/>
        <v>0</v>
      </c>
      <c r="AC582" s="601">
        <f t="shared" si="733"/>
        <v>0</v>
      </c>
      <c r="AD582" s="602">
        <f t="shared" si="734"/>
        <v>9.6999999999999993</v>
      </c>
      <c r="AE582" s="602">
        <f t="shared" si="735"/>
        <v>0</v>
      </c>
      <c r="AF582" s="605" t="s">
        <v>374</v>
      </c>
      <c r="AG582" s="605" t="s">
        <v>211</v>
      </c>
      <c r="AH582" s="605" t="str">
        <f>IFERROR(INDEX('Annex 2_Code'!$J$114:$J$131,MATCH('Annex 3_MAFF'!AF582,'Annex 2_Code'!$G$114:$G$131,0)),"")</f>
        <v>MAFF</v>
      </c>
      <c r="AI582" s="646" t="str">
        <f t="shared" si="736"/>
        <v>MAFF</v>
      </c>
      <c r="AJ582" s="637" t="s">
        <v>449</v>
      </c>
    </row>
    <row r="583" spans="1:43" s="637" customFormat="1" ht="37.5" outlineLevel="1">
      <c r="A583" s="307"/>
      <c r="B583" s="669" t="s">
        <v>1452</v>
      </c>
      <c r="C583" s="782" t="s">
        <v>120</v>
      </c>
      <c r="D583" s="701"/>
      <c r="E583" s="612"/>
      <c r="F583" s="626"/>
      <c r="G583" s="1706" t="s">
        <v>1043</v>
      </c>
      <c r="H583" s="811" t="s">
        <v>652</v>
      </c>
      <c r="I583" s="727">
        <f>2425/1000</f>
        <v>2.4249999999999998</v>
      </c>
      <c r="J583" s="2287"/>
      <c r="K583" s="2287"/>
      <c r="L583" s="2287">
        <v>0</v>
      </c>
      <c r="M583" s="2287">
        <v>0</v>
      </c>
      <c r="N583" s="731">
        <f t="shared" si="721"/>
        <v>0</v>
      </c>
      <c r="O583" s="622">
        <f t="shared" si="737"/>
        <v>0</v>
      </c>
      <c r="P583" s="623">
        <f t="shared" si="725"/>
        <v>0</v>
      </c>
      <c r="Q583" s="623">
        <f t="shared" si="726"/>
        <v>0</v>
      </c>
      <c r="R583" s="623">
        <f t="shared" si="727"/>
        <v>0</v>
      </c>
      <c r="S583" s="1356">
        <f t="shared" si="728"/>
        <v>0</v>
      </c>
      <c r="T583" s="599">
        <f>IFERROR(INDEX('Annex 2_Code'!I$8:I$33,MATCH('Annex 3_MAFF'!$AG583,'Annex 2_Code'!$G$8:$G$33,0)),"")</f>
        <v>1</v>
      </c>
      <c r="U583" s="599">
        <f>IFERROR(INDEX('Annex 2_Code'!J$8:J$33,MATCH('Annex 3_MAFF'!$AG583,'Annex 2_Code'!$G$8:$G$33,0)),"")</f>
        <v>0</v>
      </c>
      <c r="V583" s="599">
        <f>IFERROR(INDEX('Annex 2_Code'!K$8:K$33,MATCH('Annex 3_MAFF'!$AG583,'Annex 2_Code'!$G$8:$G$33,0)),"")</f>
        <v>0</v>
      </c>
      <c r="W583" s="599">
        <f>IFERROR(INDEX('Annex 2_Code'!L$8:L$33,MATCH('Annex 3_MAFF'!$AG583,'Annex 2_Code'!$G$8:$G$33,0)),"")</f>
        <v>0</v>
      </c>
      <c r="X583" s="599">
        <f>IFERROR(INDEX('Annex 2_Code'!M$8:M$33,MATCH('Annex 3_MAFF'!$AG583,'Annex 2_Code'!$G$8:$G$33,0)),"")</f>
        <v>0</v>
      </c>
      <c r="Y583" s="647">
        <f t="shared" si="729"/>
        <v>0</v>
      </c>
      <c r="Z583" s="600">
        <f t="shared" si="730"/>
        <v>0</v>
      </c>
      <c r="AA583" s="600">
        <f t="shared" si="731"/>
        <v>0</v>
      </c>
      <c r="AB583" s="600">
        <f t="shared" si="732"/>
        <v>0</v>
      </c>
      <c r="AC583" s="601">
        <f t="shared" si="733"/>
        <v>0</v>
      </c>
      <c r="AD583" s="602">
        <f t="shared" si="734"/>
        <v>0</v>
      </c>
      <c r="AE583" s="602">
        <f t="shared" si="735"/>
        <v>0</v>
      </c>
      <c r="AF583" s="605" t="s">
        <v>374</v>
      </c>
      <c r="AG583" s="605" t="s">
        <v>211</v>
      </c>
      <c r="AH583" s="605" t="str">
        <f>IFERROR(INDEX('Annex 2_Code'!$J$114:$J$131,MATCH('Annex 3_MAFF'!AF583,'Annex 2_Code'!$G$114:$G$131,0)),"")</f>
        <v>MAFF</v>
      </c>
      <c r="AI583" s="646" t="str">
        <f t="shared" si="736"/>
        <v>MAFF</v>
      </c>
      <c r="AJ583" s="637" t="s">
        <v>449</v>
      </c>
    </row>
    <row r="584" spans="1:43" s="637" customFormat="1" ht="37.5" outlineLevel="1">
      <c r="A584" s="307"/>
      <c r="B584" s="669" t="s">
        <v>1452</v>
      </c>
      <c r="C584" s="782" t="s">
        <v>120</v>
      </c>
      <c r="D584" s="701"/>
      <c r="E584" s="612"/>
      <c r="F584" s="626"/>
      <c r="G584" s="1706" t="s">
        <v>1044</v>
      </c>
      <c r="H584" s="811" t="s">
        <v>652</v>
      </c>
      <c r="I584" s="727">
        <f>2425/1000</f>
        <v>2.4249999999999998</v>
      </c>
      <c r="J584" s="2287"/>
      <c r="K584" s="2287"/>
      <c r="L584" s="2287"/>
      <c r="M584" s="2287">
        <v>0</v>
      </c>
      <c r="N584" s="731">
        <f t="shared" si="721"/>
        <v>0</v>
      </c>
      <c r="O584" s="622">
        <f t="shared" si="737"/>
        <v>0</v>
      </c>
      <c r="P584" s="623">
        <f t="shared" si="725"/>
        <v>0</v>
      </c>
      <c r="Q584" s="623">
        <f t="shared" si="726"/>
        <v>0</v>
      </c>
      <c r="R584" s="623">
        <f t="shared" si="727"/>
        <v>0</v>
      </c>
      <c r="S584" s="1356">
        <f t="shared" si="728"/>
        <v>0</v>
      </c>
      <c r="T584" s="599">
        <f>IFERROR(INDEX('Annex 2_Code'!I$8:I$33,MATCH('Annex 3_MAFF'!$AG584,'Annex 2_Code'!$G$8:$G$33,0)),"")</f>
        <v>1</v>
      </c>
      <c r="U584" s="599">
        <f>IFERROR(INDEX('Annex 2_Code'!J$8:J$33,MATCH('Annex 3_MAFF'!$AG584,'Annex 2_Code'!$G$8:$G$33,0)),"")</f>
        <v>0</v>
      </c>
      <c r="V584" s="599">
        <f>IFERROR(INDEX('Annex 2_Code'!K$8:K$33,MATCH('Annex 3_MAFF'!$AG584,'Annex 2_Code'!$G$8:$G$33,0)),"")</f>
        <v>0</v>
      </c>
      <c r="W584" s="599">
        <f>IFERROR(INDEX('Annex 2_Code'!L$8:L$33,MATCH('Annex 3_MAFF'!$AG584,'Annex 2_Code'!$G$8:$G$33,0)),"")</f>
        <v>0</v>
      </c>
      <c r="X584" s="599">
        <f>IFERROR(INDEX('Annex 2_Code'!M$8:M$33,MATCH('Annex 3_MAFF'!$AG584,'Annex 2_Code'!$G$8:$G$33,0)),"")</f>
        <v>0</v>
      </c>
      <c r="Y584" s="647">
        <f t="shared" si="729"/>
        <v>0</v>
      </c>
      <c r="Z584" s="600">
        <f t="shared" si="730"/>
        <v>0</v>
      </c>
      <c r="AA584" s="600">
        <f t="shared" si="731"/>
        <v>0</v>
      </c>
      <c r="AB584" s="600">
        <f t="shared" si="732"/>
        <v>0</v>
      </c>
      <c r="AC584" s="601">
        <f t="shared" si="733"/>
        <v>0</v>
      </c>
      <c r="AD584" s="602">
        <f t="shared" si="734"/>
        <v>0</v>
      </c>
      <c r="AE584" s="602">
        <f t="shared" si="735"/>
        <v>0</v>
      </c>
      <c r="AF584" s="605" t="s">
        <v>374</v>
      </c>
      <c r="AG584" s="605" t="s">
        <v>211</v>
      </c>
      <c r="AH584" s="605" t="str">
        <f>IFERROR(INDEX('Annex 2_Code'!$J$114:$J$131,MATCH('Annex 3_MAFF'!AF584,'Annex 2_Code'!$G$114:$G$131,0)),"")</f>
        <v>MAFF</v>
      </c>
      <c r="AI584" s="646" t="str">
        <f t="shared" si="736"/>
        <v>MAFF</v>
      </c>
      <c r="AJ584" s="637" t="s">
        <v>449</v>
      </c>
    </row>
    <row r="585" spans="1:43" s="637" customFormat="1" ht="37.5" outlineLevel="1">
      <c r="A585" s="307"/>
      <c r="B585" s="669" t="s">
        <v>1452</v>
      </c>
      <c r="C585" s="782" t="s">
        <v>120</v>
      </c>
      <c r="D585" s="701"/>
      <c r="E585" s="612"/>
      <c r="F585" s="626"/>
      <c r="G585" s="2294" t="s">
        <v>1045</v>
      </c>
      <c r="H585" s="1709" t="s">
        <v>652</v>
      </c>
      <c r="I585" s="727">
        <f>2425/1000</f>
        <v>2.4249999999999998</v>
      </c>
      <c r="J585" s="2287">
        <v>1</v>
      </c>
      <c r="K585" s="2287">
        <v>0</v>
      </c>
      <c r="L585" s="2287">
        <v>0</v>
      </c>
      <c r="M585" s="2287">
        <v>0</v>
      </c>
      <c r="N585" s="731">
        <f t="shared" si="721"/>
        <v>1</v>
      </c>
      <c r="O585" s="622">
        <f t="shared" si="737"/>
        <v>2.4249999999999998</v>
      </c>
      <c r="P585" s="623">
        <f t="shared" si="725"/>
        <v>0</v>
      </c>
      <c r="Q585" s="623">
        <f t="shared" si="726"/>
        <v>0</v>
      </c>
      <c r="R585" s="623">
        <f t="shared" si="727"/>
        <v>0</v>
      </c>
      <c r="S585" s="1356">
        <f t="shared" si="728"/>
        <v>2.4249999999999998</v>
      </c>
      <c r="T585" s="599">
        <f>IFERROR(INDEX('Annex 2_Code'!I$8:I$33,MATCH('Annex 3_MAFF'!$AG585,'Annex 2_Code'!$G$8:$G$33,0)),"")</f>
        <v>1</v>
      </c>
      <c r="U585" s="599">
        <f>IFERROR(INDEX('Annex 2_Code'!J$8:J$33,MATCH('Annex 3_MAFF'!$AG585,'Annex 2_Code'!$G$8:$G$33,0)),"")</f>
        <v>0</v>
      </c>
      <c r="V585" s="599">
        <f>IFERROR(INDEX('Annex 2_Code'!K$8:K$33,MATCH('Annex 3_MAFF'!$AG585,'Annex 2_Code'!$G$8:$G$33,0)),"")</f>
        <v>0</v>
      </c>
      <c r="W585" s="599">
        <f>IFERROR(INDEX('Annex 2_Code'!L$8:L$33,MATCH('Annex 3_MAFF'!$AG585,'Annex 2_Code'!$G$8:$G$33,0)),"")</f>
        <v>0</v>
      </c>
      <c r="X585" s="599">
        <f>IFERROR(INDEX('Annex 2_Code'!M$8:M$33,MATCH('Annex 3_MAFF'!$AG585,'Annex 2_Code'!$G$8:$G$33,0)),"")</f>
        <v>0</v>
      </c>
      <c r="Y585" s="647">
        <f t="shared" si="729"/>
        <v>2.4249999999999998</v>
      </c>
      <c r="Z585" s="600">
        <f t="shared" si="730"/>
        <v>0</v>
      </c>
      <c r="AA585" s="600">
        <f t="shared" si="731"/>
        <v>0</v>
      </c>
      <c r="AB585" s="600">
        <f t="shared" si="732"/>
        <v>0</v>
      </c>
      <c r="AC585" s="601">
        <f t="shared" si="733"/>
        <v>0</v>
      </c>
      <c r="AD585" s="602">
        <f t="shared" si="734"/>
        <v>2.4249999999999998</v>
      </c>
      <c r="AE585" s="602">
        <f t="shared" si="735"/>
        <v>0</v>
      </c>
      <c r="AF585" s="605" t="s">
        <v>374</v>
      </c>
      <c r="AG585" s="605" t="s">
        <v>211</v>
      </c>
      <c r="AH585" s="605" t="str">
        <f>IFERROR(INDEX('Annex 2_Code'!$J$114:$J$131,MATCH('Annex 3_MAFF'!AF585,'Annex 2_Code'!$G$114:$G$131,0)),"")</f>
        <v>MAFF</v>
      </c>
      <c r="AI585" s="646" t="str">
        <f t="shared" si="736"/>
        <v>MAFF</v>
      </c>
      <c r="AJ585" s="637" t="s">
        <v>449</v>
      </c>
    </row>
    <row r="586" spans="1:43" s="637" customFormat="1" ht="39.75" customHeight="1" outlineLevel="1">
      <c r="A586" s="307"/>
      <c r="B586" s="669" t="s">
        <v>1452</v>
      </c>
      <c r="C586" s="782" t="s">
        <v>120</v>
      </c>
      <c r="D586" s="701"/>
      <c r="E586" s="612"/>
      <c r="F586" s="626"/>
      <c r="G586" s="2194" t="s">
        <v>1035</v>
      </c>
      <c r="H586" s="811" t="s">
        <v>652</v>
      </c>
      <c r="I586" s="727">
        <v>2.91</v>
      </c>
      <c r="J586" s="2287">
        <v>1</v>
      </c>
      <c r="K586" s="2287">
        <v>1</v>
      </c>
      <c r="L586" s="2287">
        <v>0</v>
      </c>
      <c r="M586" s="2287">
        <v>0</v>
      </c>
      <c r="N586" s="731">
        <f t="shared" si="721"/>
        <v>2</v>
      </c>
      <c r="O586" s="622">
        <f t="shared" si="737"/>
        <v>2.91</v>
      </c>
      <c r="P586" s="623">
        <f t="shared" ref="P586:R591" si="738">($I586*K586)</f>
        <v>2.91</v>
      </c>
      <c r="Q586" s="623">
        <f t="shared" si="738"/>
        <v>0</v>
      </c>
      <c r="R586" s="623">
        <f t="shared" si="738"/>
        <v>0</v>
      </c>
      <c r="S586" s="1356">
        <f t="shared" ref="S586:S591" si="739">SUM(O586:R586)</f>
        <v>5.82</v>
      </c>
      <c r="T586" s="599">
        <f>IFERROR(INDEX('Annex 2_Code'!I$8:I$33,MATCH('Annex 3_MAFF'!$AG586,'Annex 2_Code'!$G$8:$G$33,0)),"")</f>
        <v>1</v>
      </c>
      <c r="U586" s="599">
        <f>IFERROR(INDEX('Annex 2_Code'!J$8:J$33,MATCH('Annex 3_MAFF'!$AG586,'Annex 2_Code'!$G$8:$G$33,0)),"")</f>
        <v>0</v>
      </c>
      <c r="V586" s="599">
        <f>IFERROR(INDEX('Annex 2_Code'!K$8:K$33,MATCH('Annex 3_MAFF'!$AG586,'Annex 2_Code'!$G$8:$G$33,0)),"")</f>
        <v>0</v>
      </c>
      <c r="W586" s="599">
        <f>IFERROR(INDEX('Annex 2_Code'!L$8:L$33,MATCH('Annex 3_MAFF'!$AG586,'Annex 2_Code'!$G$8:$G$33,0)),"")</f>
        <v>0</v>
      </c>
      <c r="X586" s="599">
        <f>IFERROR(INDEX('Annex 2_Code'!M$8:M$33,MATCH('Annex 3_MAFF'!$AG586,'Annex 2_Code'!$G$8:$G$33,0)),"")</f>
        <v>0</v>
      </c>
      <c r="Y586" s="647">
        <f t="shared" si="705"/>
        <v>5.82</v>
      </c>
      <c r="Z586" s="600">
        <f t="shared" si="706"/>
        <v>0</v>
      </c>
      <c r="AA586" s="600">
        <f t="shared" si="706"/>
        <v>0</v>
      </c>
      <c r="AB586" s="600">
        <f t="shared" si="707"/>
        <v>0</v>
      </c>
      <c r="AC586" s="601">
        <f t="shared" si="708"/>
        <v>0</v>
      </c>
      <c r="AD586" s="602">
        <f t="shared" si="716"/>
        <v>5.82</v>
      </c>
      <c r="AE586" s="602">
        <f t="shared" si="717"/>
        <v>0</v>
      </c>
      <c r="AF586" s="605" t="s">
        <v>374</v>
      </c>
      <c r="AG586" s="605" t="s">
        <v>211</v>
      </c>
      <c r="AH586" s="605" t="str">
        <f>IFERROR(INDEX('Annex 2_Code'!$J$114:$J$131,MATCH('Annex 3_MAFF'!AF586,'Annex 2_Code'!$G$114:$G$131,0)),"")</f>
        <v>MAFF</v>
      </c>
      <c r="AI586" s="646" t="str">
        <f t="shared" ref="AI586:AI597" si="740">IF(ISNUMBER(FIND("-",AH586,1))=FALSE,LEFT(AH586,LEN(AH586)),LEFT(AH586,(FIND("-",AH586,1))-1))</f>
        <v>MAFF</v>
      </c>
      <c r="AJ586" s="637" t="s">
        <v>449</v>
      </c>
    </row>
    <row r="587" spans="1:43" s="637" customFormat="1" ht="46.5" outlineLevel="1">
      <c r="A587" s="307"/>
      <c r="B587" s="669" t="s">
        <v>1452</v>
      </c>
      <c r="C587" s="782" t="s">
        <v>120</v>
      </c>
      <c r="D587" s="701"/>
      <c r="E587" s="612"/>
      <c r="F587" s="626"/>
      <c r="G587" s="1706" t="s">
        <v>1037</v>
      </c>
      <c r="H587" s="811" t="s">
        <v>652</v>
      </c>
      <c r="I587" s="727">
        <f>2910/1000</f>
        <v>2.91</v>
      </c>
      <c r="J587" s="2287">
        <v>1</v>
      </c>
      <c r="K587" s="2287">
        <v>0.5</v>
      </c>
      <c r="L587" s="2287">
        <v>0</v>
      </c>
      <c r="M587" s="2287">
        <v>0</v>
      </c>
      <c r="N587" s="731">
        <f t="shared" si="721"/>
        <v>1.5</v>
      </c>
      <c r="O587" s="622">
        <f t="shared" si="737"/>
        <v>2.91</v>
      </c>
      <c r="P587" s="623">
        <f t="shared" si="738"/>
        <v>1.4550000000000001</v>
      </c>
      <c r="Q587" s="623">
        <f t="shared" si="738"/>
        <v>0</v>
      </c>
      <c r="R587" s="623">
        <f t="shared" si="738"/>
        <v>0</v>
      </c>
      <c r="S587" s="1356">
        <f t="shared" si="739"/>
        <v>4.3650000000000002</v>
      </c>
      <c r="T587" s="599">
        <f>IFERROR(INDEX('Annex 2_Code'!I$8:I$33,MATCH('Annex 3_MAFF'!$AG587,'Annex 2_Code'!$G$8:$G$33,0)),"")</f>
        <v>1</v>
      </c>
      <c r="U587" s="599">
        <f>IFERROR(INDEX('Annex 2_Code'!J$8:J$33,MATCH('Annex 3_MAFF'!$AG587,'Annex 2_Code'!$G$8:$G$33,0)),"")</f>
        <v>0</v>
      </c>
      <c r="V587" s="599">
        <f>IFERROR(INDEX('Annex 2_Code'!K$8:K$33,MATCH('Annex 3_MAFF'!$AG587,'Annex 2_Code'!$G$8:$G$33,0)),"")</f>
        <v>0</v>
      </c>
      <c r="W587" s="599">
        <f>IFERROR(INDEX('Annex 2_Code'!L$8:L$33,MATCH('Annex 3_MAFF'!$AG587,'Annex 2_Code'!$G$8:$G$33,0)),"")</f>
        <v>0</v>
      </c>
      <c r="X587" s="599">
        <f>IFERROR(INDEX('Annex 2_Code'!M$8:M$33,MATCH('Annex 3_MAFF'!$AG587,'Annex 2_Code'!$G$8:$G$33,0)),"")</f>
        <v>0</v>
      </c>
      <c r="Y587" s="647">
        <f t="shared" si="705"/>
        <v>4.3650000000000002</v>
      </c>
      <c r="Z587" s="600">
        <f t="shared" si="706"/>
        <v>0</v>
      </c>
      <c r="AA587" s="600">
        <f t="shared" si="706"/>
        <v>0</v>
      </c>
      <c r="AB587" s="600">
        <f t="shared" si="707"/>
        <v>0</v>
      </c>
      <c r="AC587" s="601">
        <f t="shared" si="708"/>
        <v>0</v>
      </c>
      <c r="AD587" s="602">
        <f t="shared" si="716"/>
        <v>4.3650000000000002</v>
      </c>
      <c r="AE587" s="602">
        <f t="shared" si="717"/>
        <v>0</v>
      </c>
      <c r="AF587" s="605" t="s">
        <v>374</v>
      </c>
      <c r="AG587" s="605" t="s">
        <v>211</v>
      </c>
      <c r="AH587" s="605" t="str">
        <f>IFERROR(INDEX('Annex 2_Code'!$J$114:$J$131,MATCH('Annex 3_MAFF'!AF587,'Annex 2_Code'!$G$114:$G$131,0)),"")</f>
        <v>MAFF</v>
      </c>
      <c r="AI587" s="646" t="str">
        <f t="shared" si="740"/>
        <v>MAFF</v>
      </c>
      <c r="AJ587" s="637" t="s">
        <v>449</v>
      </c>
    </row>
    <row r="588" spans="1:43" s="637" customFormat="1" ht="37.5" outlineLevel="1">
      <c r="A588" s="307"/>
      <c r="B588" s="669" t="s">
        <v>1452</v>
      </c>
      <c r="C588" s="782" t="s">
        <v>120</v>
      </c>
      <c r="D588" s="701"/>
      <c r="E588" s="612"/>
      <c r="F588" s="626"/>
      <c r="G588" s="1706" t="s">
        <v>1046</v>
      </c>
      <c r="H588" s="811" t="s">
        <v>652</v>
      </c>
      <c r="I588" s="727">
        <v>2.91</v>
      </c>
      <c r="J588" s="2287">
        <v>3</v>
      </c>
      <c r="K588" s="2287">
        <v>1</v>
      </c>
      <c r="L588" s="2287"/>
      <c r="M588" s="2287"/>
      <c r="N588" s="731">
        <f t="shared" si="721"/>
        <v>4</v>
      </c>
      <c r="O588" s="622">
        <f t="shared" si="737"/>
        <v>8.73</v>
      </c>
      <c r="P588" s="623">
        <f t="shared" si="738"/>
        <v>2.91</v>
      </c>
      <c r="Q588" s="623">
        <f t="shared" si="738"/>
        <v>0</v>
      </c>
      <c r="R588" s="623">
        <f t="shared" si="738"/>
        <v>0</v>
      </c>
      <c r="S588" s="1356">
        <f t="shared" si="739"/>
        <v>11.64</v>
      </c>
      <c r="T588" s="599">
        <f>IFERROR(INDEX('Annex 2_Code'!I$8:I$33,MATCH('Annex 3_MAFF'!$AG588,'Annex 2_Code'!$G$8:$G$33,0)),"")</f>
        <v>1</v>
      </c>
      <c r="U588" s="599">
        <f>IFERROR(INDEX('Annex 2_Code'!J$8:J$33,MATCH('Annex 3_MAFF'!$AG588,'Annex 2_Code'!$G$8:$G$33,0)),"")</f>
        <v>0</v>
      </c>
      <c r="V588" s="599">
        <f>IFERROR(INDEX('Annex 2_Code'!K$8:K$33,MATCH('Annex 3_MAFF'!$AG588,'Annex 2_Code'!$G$8:$G$33,0)),"")</f>
        <v>0</v>
      </c>
      <c r="W588" s="599">
        <f>IFERROR(INDEX('Annex 2_Code'!L$8:L$33,MATCH('Annex 3_MAFF'!$AG588,'Annex 2_Code'!$G$8:$G$33,0)),"")</f>
        <v>0</v>
      </c>
      <c r="X588" s="599">
        <f>IFERROR(INDEX('Annex 2_Code'!M$8:M$33,MATCH('Annex 3_MAFF'!$AG588,'Annex 2_Code'!$G$8:$G$33,0)),"")</f>
        <v>0</v>
      </c>
      <c r="Y588" s="647">
        <f t="shared" si="705"/>
        <v>11.64</v>
      </c>
      <c r="Z588" s="600">
        <f t="shared" si="706"/>
        <v>0</v>
      </c>
      <c r="AA588" s="600">
        <f t="shared" si="706"/>
        <v>0</v>
      </c>
      <c r="AB588" s="600">
        <f t="shared" si="707"/>
        <v>0</v>
      </c>
      <c r="AC588" s="601">
        <f t="shared" si="708"/>
        <v>0</v>
      </c>
      <c r="AD588" s="602">
        <f t="shared" si="716"/>
        <v>11.64</v>
      </c>
      <c r="AE588" s="602">
        <f t="shared" si="717"/>
        <v>0</v>
      </c>
      <c r="AF588" s="605" t="s">
        <v>374</v>
      </c>
      <c r="AG588" s="605" t="s">
        <v>211</v>
      </c>
      <c r="AH588" s="605" t="str">
        <f>IFERROR(INDEX('Annex 2_Code'!$J$114:$J$131,MATCH('Annex 3_MAFF'!AF588,'Annex 2_Code'!$G$114:$G$131,0)),"")</f>
        <v>MAFF</v>
      </c>
      <c r="AI588" s="646" t="str">
        <f t="shared" si="740"/>
        <v>MAFF</v>
      </c>
      <c r="AJ588" s="637" t="s">
        <v>449</v>
      </c>
    </row>
    <row r="589" spans="1:43" s="637" customFormat="1" ht="33" customHeight="1" outlineLevel="1">
      <c r="A589" s="307"/>
      <c r="B589" s="669" t="s">
        <v>1452</v>
      </c>
      <c r="C589" s="782" t="s">
        <v>120</v>
      </c>
      <c r="D589" s="701"/>
      <c r="E589" s="612"/>
      <c r="F589" s="626"/>
      <c r="G589" s="1706" t="s">
        <v>1047</v>
      </c>
      <c r="H589" s="811" t="s">
        <v>652</v>
      </c>
      <c r="I589" s="727">
        <v>3.78</v>
      </c>
      <c r="J589" s="2287">
        <v>3</v>
      </c>
      <c r="K589" s="2287">
        <v>1</v>
      </c>
      <c r="L589" s="2287"/>
      <c r="M589" s="2287"/>
      <c r="N589" s="731">
        <f t="shared" si="721"/>
        <v>4</v>
      </c>
      <c r="O589" s="623">
        <f t="shared" si="737"/>
        <v>11.34</v>
      </c>
      <c r="P589" s="623">
        <f t="shared" si="738"/>
        <v>3.78</v>
      </c>
      <c r="Q589" s="623">
        <f t="shared" si="738"/>
        <v>0</v>
      </c>
      <c r="R589" s="623">
        <f t="shared" si="738"/>
        <v>0</v>
      </c>
      <c r="S589" s="1356">
        <f t="shared" si="739"/>
        <v>15.12</v>
      </c>
      <c r="T589" s="599">
        <f>IFERROR(INDEX('Annex 2_Code'!I$8:I$33,MATCH('Annex 3_MAFF'!$AG589,'Annex 2_Code'!$G$8:$G$33,0)),"")</f>
        <v>1</v>
      </c>
      <c r="U589" s="599">
        <f>IFERROR(INDEX('Annex 2_Code'!J$8:J$33,MATCH('Annex 3_MAFF'!$AG589,'Annex 2_Code'!$G$8:$G$33,0)),"")</f>
        <v>0</v>
      </c>
      <c r="V589" s="599">
        <f>IFERROR(INDEX('Annex 2_Code'!K$8:K$33,MATCH('Annex 3_MAFF'!$AG589,'Annex 2_Code'!$G$8:$G$33,0)),"")</f>
        <v>0</v>
      </c>
      <c r="W589" s="599">
        <f>IFERROR(INDEX('Annex 2_Code'!L$8:L$33,MATCH('Annex 3_MAFF'!$AG589,'Annex 2_Code'!$G$8:$G$33,0)),"")</f>
        <v>0</v>
      </c>
      <c r="X589" s="599">
        <f>IFERROR(INDEX('Annex 2_Code'!M$8:M$33,MATCH('Annex 3_MAFF'!$AG589,'Annex 2_Code'!$G$8:$G$33,0)),"")</f>
        <v>0</v>
      </c>
      <c r="Y589" s="647">
        <f t="shared" si="705"/>
        <v>15.12</v>
      </c>
      <c r="Z589" s="600">
        <f t="shared" si="706"/>
        <v>0</v>
      </c>
      <c r="AA589" s="600">
        <f t="shared" si="706"/>
        <v>0</v>
      </c>
      <c r="AB589" s="600">
        <f t="shared" si="707"/>
        <v>0</v>
      </c>
      <c r="AC589" s="601">
        <f t="shared" si="708"/>
        <v>0</v>
      </c>
      <c r="AD589" s="602">
        <f t="shared" si="716"/>
        <v>15.12</v>
      </c>
      <c r="AE589" s="602">
        <f t="shared" si="717"/>
        <v>0</v>
      </c>
      <c r="AF589" s="605" t="s">
        <v>374</v>
      </c>
      <c r="AG589" s="605" t="s">
        <v>211</v>
      </c>
      <c r="AH589" s="605" t="str">
        <f>IFERROR(INDEX('Annex 2_Code'!$J$114:$J$131,MATCH('Annex 3_MAFF'!AF589,'Annex 2_Code'!$G$114:$G$131,0)),"")</f>
        <v>MAFF</v>
      </c>
      <c r="AI589" s="646" t="str">
        <f t="shared" si="740"/>
        <v>MAFF</v>
      </c>
      <c r="AJ589" s="637" t="s">
        <v>449</v>
      </c>
    </row>
    <row r="590" spans="1:43" s="637" customFormat="1" ht="37.5" outlineLevel="1">
      <c r="A590" s="307"/>
      <c r="B590" s="669" t="s">
        <v>1452</v>
      </c>
      <c r="C590" s="782" t="s">
        <v>120</v>
      </c>
      <c r="D590" s="701"/>
      <c r="E590" s="612"/>
      <c r="F590" s="626"/>
      <c r="G590" s="2194" t="s">
        <v>1048</v>
      </c>
      <c r="H590" s="811" t="s">
        <v>652</v>
      </c>
      <c r="I590" s="727">
        <v>2.91</v>
      </c>
      <c r="J590" s="2287"/>
      <c r="K590" s="2287"/>
      <c r="L590" s="2287"/>
      <c r="M590" s="2287">
        <v>0</v>
      </c>
      <c r="N590" s="731">
        <f t="shared" si="721"/>
        <v>0</v>
      </c>
      <c r="O590" s="623">
        <f t="shared" si="737"/>
        <v>0</v>
      </c>
      <c r="P590" s="623">
        <f t="shared" si="738"/>
        <v>0</v>
      </c>
      <c r="Q590" s="623">
        <f t="shared" si="738"/>
        <v>0</v>
      </c>
      <c r="R590" s="623">
        <f t="shared" si="738"/>
        <v>0</v>
      </c>
      <c r="S590" s="1356">
        <f t="shared" si="739"/>
        <v>0</v>
      </c>
      <c r="T590" s="599">
        <f>IFERROR(INDEX('Annex 2_Code'!I$8:I$33,MATCH('Annex 3_MAFF'!$AG590,'Annex 2_Code'!$G$8:$G$33,0)),"")</f>
        <v>1</v>
      </c>
      <c r="U590" s="599">
        <f>IFERROR(INDEX('Annex 2_Code'!J$8:J$33,MATCH('Annex 3_MAFF'!$AG590,'Annex 2_Code'!$G$8:$G$33,0)),"")</f>
        <v>0</v>
      </c>
      <c r="V590" s="599">
        <f>IFERROR(INDEX('Annex 2_Code'!K$8:K$33,MATCH('Annex 3_MAFF'!$AG590,'Annex 2_Code'!$G$8:$G$33,0)),"")</f>
        <v>0</v>
      </c>
      <c r="W590" s="599">
        <f>IFERROR(INDEX('Annex 2_Code'!L$8:L$33,MATCH('Annex 3_MAFF'!$AG590,'Annex 2_Code'!$G$8:$G$33,0)),"")</f>
        <v>0</v>
      </c>
      <c r="X590" s="599">
        <f>IFERROR(INDEX('Annex 2_Code'!M$8:M$33,MATCH('Annex 3_MAFF'!$AG590,'Annex 2_Code'!$G$8:$G$33,0)),"")</f>
        <v>0</v>
      </c>
      <c r="Y590" s="647">
        <f t="shared" si="705"/>
        <v>0</v>
      </c>
      <c r="Z590" s="600">
        <f t="shared" si="706"/>
        <v>0</v>
      </c>
      <c r="AA590" s="600">
        <f t="shared" si="706"/>
        <v>0</v>
      </c>
      <c r="AB590" s="600">
        <f t="shared" si="707"/>
        <v>0</v>
      </c>
      <c r="AC590" s="601">
        <f t="shared" si="708"/>
        <v>0</v>
      </c>
      <c r="AD590" s="602">
        <f t="shared" si="716"/>
        <v>0</v>
      </c>
      <c r="AE590" s="602">
        <f t="shared" si="717"/>
        <v>0</v>
      </c>
      <c r="AF590" s="605" t="s">
        <v>374</v>
      </c>
      <c r="AG590" s="605" t="s">
        <v>211</v>
      </c>
      <c r="AH590" s="605" t="str">
        <f>IFERROR(INDEX('Annex 2_Code'!$J$114:$J$131,MATCH('Annex 3_MAFF'!AF590,'Annex 2_Code'!$G$114:$G$131,0)),"")</f>
        <v>MAFF</v>
      </c>
      <c r="AI590" s="646" t="str">
        <f t="shared" si="740"/>
        <v>MAFF</v>
      </c>
      <c r="AJ590" s="637" t="s">
        <v>449</v>
      </c>
    </row>
    <row r="591" spans="1:43" s="637" customFormat="1" ht="37.5" outlineLevel="1">
      <c r="A591" s="307"/>
      <c r="B591" s="669" t="s">
        <v>1452</v>
      </c>
      <c r="C591" s="782" t="s">
        <v>120</v>
      </c>
      <c r="D591" s="701"/>
      <c r="E591" s="612"/>
      <c r="F591" s="626"/>
      <c r="G591" s="1706" t="s">
        <v>1038</v>
      </c>
      <c r="H591" s="811" t="s">
        <v>652</v>
      </c>
      <c r="I591" s="727">
        <f>2910/1000</f>
        <v>2.91</v>
      </c>
      <c r="J591" s="2287">
        <v>0.5</v>
      </c>
      <c r="K591" s="2287">
        <v>0.5</v>
      </c>
      <c r="L591" s="2287"/>
      <c r="M591" s="2287">
        <v>0</v>
      </c>
      <c r="N591" s="731">
        <f t="shared" si="721"/>
        <v>1</v>
      </c>
      <c r="O591" s="623">
        <f t="shared" si="737"/>
        <v>1.4550000000000001</v>
      </c>
      <c r="P591" s="623">
        <f t="shared" si="738"/>
        <v>1.4550000000000001</v>
      </c>
      <c r="Q591" s="623">
        <f t="shared" si="738"/>
        <v>0</v>
      </c>
      <c r="R591" s="623">
        <f t="shared" si="738"/>
        <v>0</v>
      </c>
      <c r="S591" s="1356">
        <f t="shared" si="739"/>
        <v>2.91</v>
      </c>
      <c r="T591" s="599">
        <f>IFERROR(INDEX('Annex 2_Code'!I$8:I$33,MATCH('Annex 3_MAFF'!$AG590,'Annex 2_Code'!$G$8:$G$33,0)),"")</f>
        <v>1</v>
      </c>
      <c r="U591" s="599">
        <f>IFERROR(INDEX('Annex 2_Code'!J$8:J$33,MATCH('Annex 3_MAFF'!$AG590,'Annex 2_Code'!$G$8:$G$33,0)),"")</f>
        <v>0</v>
      </c>
      <c r="V591" s="599">
        <f>IFERROR(INDEX('Annex 2_Code'!K$8:K$33,MATCH('Annex 3_MAFF'!$AG590,'Annex 2_Code'!$G$8:$G$33,0)),"")</f>
        <v>0</v>
      </c>
      <c r="W591" s="599">
        <f>IFERROR(INDEX('Annex 2_Code'!L$8:L$33,MATCH('Annex 3_MAFF'!$AG590,'Annex 2_Code'!$G$8:$G$33,0)),"")</f>
        <v>0</v>
      </c>
      <c r="X591" s="599">
        <f>IFERROR(INDEX('Annex 2_Code'!M$8:M$33,MATCH('Annex 3_MAFF'!$AG590,'Annex 2_Code'!$G$8:$G$33,0)),"")</f>
        <v>0</v>
      </c>
      <c r="Y591" s="647">
        <f>IFERROR($S591*T591,"")</f>
        <v>2.91</v>
      </c>
      <c r="Z591" s="600">
        <f>IFERROR($S591*U591,"")</f>
        <v>0</v>
      </c>
      <c r="AA591" s="600">
        <f>IFERROR($S591*V591,"")</f>
        <v>0</v>
      </c>
      <c r="AB591" s="600">
        <f>IFERROR($S591*W591,"")</f>
        <v>0</v>
      </c>
      <c r="AC591" s="601">
        <f>IFERROR($S591*X591,"")</f>
        <v>0</v>
      </c>
      <c r="AD591" s="602">
        <f>SUM(Y591:AC591)</f>
        <v>2.91</v>
      </c>
      <c r="AE591" s="602">
        <f>AD591-S591</f>
        <v>0</v>
      </c>
      <c r="AF591" s="605" t="s">
        <v>374</v>
      </c>
      <c r="AG591" s="605" t="s">
        <v>211</v>
      </c>
      <c r="AH591" s="605" t="str">
        <f>IFERROR(INDEX('Annex 2_Code'!$J$114:$J$131,MATCH('Annex 3_MAFF'!AF591,'Annex 2_Code'!$G$114:$G$131,0)),"")</f>
        <v>MAFF</v>
      </c>
      <c r="AI591" s="646" t="str">
        <f t="shared" si="740"/>
        <v>MAFF</v>
      </c>
      <c r="AJ591" s="1698" t="s">
        <v>449</v>
      </c>
    </row>
    <row r="592" spans="1:43" s="637" customFormat="1" ht="23.25">
      <c r="A592" s="587"/>
      <c r="B592" s="659" t="s">
        <v>54</v>
      </c>
      <c r="C592" s="782"/>
      <c r="D592" s="730"/>
      <c r="E592" s="591" t="s">
        <v>583</v>
      </c>
      <c r="F592" s="851"/>
      <c r="G592" s="734"/>
      <c r="H592" s="805"/>
      <c r="I592" s="723"/>
      <c r="J592" s="1488"/>
      <c r="K592" s="1488"/>
      <c r="L592" s="1488"/>
      <c r="M592" s="1488"/>
      <c r="N592" s="1481"/>
      <c r="O592" s="664">
        <f>SUM(O559:O591)</f>
        <v>169.10000000000002</v>
      </c>
      <c r="P592" s="665">
        <f>SUM(P559:P591)</f>
        <v>112.47999999999999</v>
      </c>
      <c r="Q592" s="665">
        <f>SUM(Q559:Q591)</f>
        <v>26.964999999999996</v>
      </c>
      <c r="R592" s="665">
        <f>SUM(R559:R591)</f>
        <v>14.684999999999999</v>
      </c>
      <c r="S592" s="2499">
        <f>SUM(S559:S591)</f>
        <v>323.23</v>
      </c>
      <c r="T592" s="599" t="str">
        <f>IFERROR(INDEX('Annex 2_Code'!I$8:I$33,MATCH('Annex 3_MAFF'!$AG592,'Annex 2_Code'!$G$8:$G$33,0)),"")</f>
        <v/>
      </c>
      <c r="U592" s="599" t="str">
        <f>IFERROR(INDEX('Annex 2_Code'!J$8:J$33,MATCH('Annex 3_MAFF'!$AG592,'Annex 2_Code'!$G$8:$G$33,0)),"")</f>
        <v/>
      </c>
      <c r="V592" s="599" t="str">
        <f>IFERROR(INDEX('Annex 2_Code'!K$8:K$33,MATCH('Annex 3_MAFF'!$AG592,'Annex 2_Code'!$G$8:$G$33,0)),"")</f>
        <v/>
      </c>
      <c r="W592" s="599" t="str">
        <f>IFERROR(INDEX('Annex 2_Code'!L$8:L$33,MATCH('Annex 3_MAFF'!$AG592,'Annex 2_Code'!$G$8:$G$33,0)),"")</f>
        <v/>
      </c>
      <c r="X592" s="599" t="str">
        <f>IFERROR(INDEX('Annex 2_Code'!M$8:M$33,MATCH('Annex 3_MAFF'!$AG592,'Annex 2_Code'!$G$8:$G$33,0)),"")</f>
        <v/>
      </c>
      <c r="Y592" s="647" t="str">
        <f t="shared" si="705"/>
        <v/>
      </c>
      <c r="Z592" s="600" t="str">
        <f t="shared" si="706"/>
        <v/>
      </c>
      <c r="AA592" s="600" t="str">
        <f t="shared" si="706"/>
        <v/>
      </c>
      <c r="AB592" s="600" t="str">
        <f t="shared" si="707"/>
        <v/>
      </c>
      <c r="AC592" s="601" t="str">
        <f t="shared" si="708"/>
        <v/>
      </c>
      <c r="AD592" s="602">
        <f t="shared" si="716"/>
        <v>0</v>
      </c>
      <c r="AE592" s="602">
        <f t="shared" si="717"/>
        <v>-323.23</v>
      </c>
      <c r="AF592" s="605"/>
      <c r="AG592" s="605"/>
      <c r="AH592" s="605" t="str">
        <f>IFERROR(INDEX('Annex 2_Code'!$J$114:$J$131,MATCH('Annex 3_MAFF'!AF592,'Annex 2_Code'!$G$114:$G$131,0)),"")</f>
        <v/>
      </c>
      <c r="AI592" s="646" t="str">
        <f t="shared" si="740"/>
        <v/>
      </c>
      <c r="AL592" s="740">
        <f>SUM(Y559:Y590)</f>
        <v>320.32</v>
      </c>
      <c r="AM592" s="740" t="s">
        <v>430</v>
      </c>
      <c r="AN592" s="824"/>
      <c r="AO592" s="824"/>
      <c r="AP592" s="824"/>
      <c r="AQ592" s="826"/>
    </row>
    <row r="593" spans="1:43" s="637" customFormat="1" ht="47.25" customHeight="1">
      <c r="A593" s="587"/>
      <c r="B593" s="659" t="s">
        <v>54</v>
      </c>
      <c r="C593" s="782"/>
      <c r="D593" s="701"/>
      <c r="E593" s="2611" t="s">
        <v>679</v>
      </c>
      <c r="F593" s="2611"/>
      <c r="G593" s="2611"/>
      <c r="H593" s="782"/>
      <c r="I593" s="572"/>
      <c r="J593" s="1489"/>
      <c r="K593" s="1489"/>
      <c r="L593" s="1489"/>
      <c r="M593" s="1489"/>
      <c r="N593" s="1472"/>
      <c r="O593" s="738"/>
      <c r="P593" s="739"/>
      <c r="Q593" s="739"/>
      <c r="R593" s="739"/>
      <c r="S593" s="2494">
        <f>SUM(O592:R592)</f>
        <v>323.23</v>
      </c>
      <c r="T593" s="599" t="str">
        <f>IFERROR(INDEX('Annex 2_Code'!I$8:I$33,MATCH('Annex 3_MAFF'!$AG593,'Annex 2_Code'!$G$8:$G$33,0)),"")</f>
        <v/>
      </c>
      <c r="U593" s="599" t="str">
        <f>IFERROR(INDEX('Annex 2_Code'!J$8:J$33,MATCH('Annex 3_MAFF'!$AG593,'Annex 2_Code'!$G$8:$G$33,0)),"")</f>
        <v/>
      </c>
      <c r="V593" s="599" t="str">
        <f>IFERROR(INDEX('Annex 2_Code'!K$8:K$33,MATCH('Annex 3_MAFF'!$AG593,'Annex 2_Code'!$G$8:$G$33,0)),"")</f>
        <v/>
      </c>
      <c r="W593" s="599" t="str">
        <f>IFERROR(INDEX('Annex 2_Code'!L$8:L$33,MATCH('Annex 3_MAFF'!$AG593,'Annex 2_Code'!$G$8:$G$33,0)),"")</f>
        <v/>
      </c>
      <c r="X593" s="599" t="str">
        <f>IFERROR(INDEX('Annex 2_Code'!M$8:M$33,MATCH('Annex 3_MAFF'!$AG593,'Annex 2_Code'!$G$8:$G$33,0)),"")</f>
        <v/>
      </c>
      <c r="Y593" s="647" t="str">
        <f t="shared" si="705"/>
        <v/>
      </c>
      <c r="Z593" s="600" t="str">
        <f t="shared" si="706"/>
        <v/>
      </c>
      <c r="AA593" s="600" t="str">
        <f t="shared" si="706"/>
        <v/>
      </c>
      <c r="AB593" s="600" t="str">
        <f t="shared" si="707"/>
        <v/>
      </c>
      <c r="AC593" s="601" t="str">
        <f t="shared" si="708"/>
        <v/>
      </c>
      <c r="AD593" s="602">
        <f t="shared" si="716"/>
        <v>0</v>
      </c>
      <c r="AE593" s="602">
        <f t="shared" si="717"/>
        <v>-323.23</v>
      </c>
      <c r="AF593" s="605"/>
      <c r="AG593" s="605"/>
      <c r="AH593" s="605" t="str">
        <f>IFERROR(INDEX('Annex 2_Code'!$J$114:$J$131,MATCH('Annex 3_MAFF'!AF593,'Annex 2_Code'!$G$114:$G$131,0)),"")</f>
        <v/>
      </c>
      <c r="AI593" s="646" t="str">
        <f t="shared" si="740"/>
        <v/>
      </c>
    </row>
    <row r="594" spans="1:43" s="637" customFormat="1" ht="66.75" customHeight="1">
      <c r="A594" s="587"/>
      <c r="B594" s="659" t="s">
        <v>1452</v>
      </c>
      <c r="C594" s="782" t="s">
        <v>120</v>
      </c>
      <c r="D594" s="701"/>
      <c r="E594" s="612"/>
      <c r="F594" s="2609" t="s">
        <v>1049</v>
      </c>
      <c r="G594" s="2609"/>
      <c r="H594" s="811" t="s">
        <v>591</v>
      </c>
      <c r="I594" s="572">
        <f>1680/1000</f>
        <v>1.68</v>
      </c>
      <c r="J594" s="1710">
        <v>2</v>
      </c>
      <c r="K594" s="1711">
        <v>2</v>
      </c>
      <c r="L594" s="1711">
        <v>2</v>
      </c>
      <c r="M594" s="1711">
        <v>2</v>
      </c>
      <c r="N594" s="731">
        <f>SUM(J594:M594)</f>
        <v>8</v>
      </c>
      <c r="O594" s="766">
        <f>$I594*J594</f>
        <v>3.36</v>
      </c>
      <c r="P594" s="699">
        <f>$I594*K594</f>
        <v>3.36</v>
      </c>
      <c r="Q594" s="699">
        <f>$I594*L594</f>
        <v>3.36</v>
      </c>
      <c r="R594" s="699">
        <f>$I594*M594</f>
        <v>3.36</v>
      </c>
      <c r="S594" s="1415">
        <f>SUM(O594:R594)</f>
        <v>13.44</v>
      </c>
      <c r="T594" s="599">
        <f>IFERROR(INDEX('Annex 2_Code'!I$8:I$33,MATCH('Annex 3_MAFF'!$AG594,'Annex 2_Code'!$G$8:$G$33,0)),"")</f>
        <v>1</v>
      </c>
      <c r="U594" s="599">
        <f>IFERROR(INDEX('Annex 2_Code'!J$8:J$33,MATCH('Annex 3_MAFF'!$AG594,'Annex 2_Code'!$G$8:$G$33,0)),"")</f>
        <v>0</v>
      </c>
      <c r="V594" s="599">
        <f>IFERROR(INDEX('Annex 2_Code'!K$8:K$33,MATCH('Annex 3_MAFF'!$AG594,'Annex 2_Code'!$G$8:$G$33,0)),"")</f>
        <v>0</v>
      </c>
      <c r="W594" s="599">
        <f>IFERROR(INDEX('Annex 2_Code'!L$8:L$33,MATCH('Annex 3_MAFF'!$AG594,'Annex 2_Code'!$G$8:$G$33,0)),"")</f>
        <v>0</v>
      </c>
      <c r="X594" s="599">
        <f>IFERROR(INDEX('Annex 2_Code'!M$8:M$33,MATCH('Annex 3_MAFF'!$AG594,'Annex 2_Code'!$G$8:$G$33,0)),"")</f>
        <v>0</v>
      </c>
      <c r="Y594" s="647">
        <f t="shared" si="705"/>
        <v>13.44</v>
      </c>
      <c r="Z594" s="600">
        <f t="shared" si="706"/>
        <v>0</v>
      </c>
      <c r="AA594" s="600">
        <f t="shared" si="706"/>
        <v>0</v>
      </c>
      <c r="AB594" s="600">
        <f t="shared" si="707"/>
        <v>0</v>
      </c>
      <c r="AC594" s="601">
        <f t="shared" si="708"/>
        <v>0</v>
      </c>
      <c r="AD594" s="602">
        <f t="shared" si="716"/>
        <v>13.44</v>
      </c>
      <c r="AE594" s="602">
        <f>AD594</f>
        <v>13.44</v>
      </c>
      <c r="AF594" s="605" t="s">
        <v>374</v>
      </c>
      <c r="AG594" s="605" t="s">
        <v>211</v>
      </c>
      <c r="AH594" s="605" t="str">
        <f>IFERROR(INDEX('Annex 2_Code'!$J$114:$J$131,MATCH('Annex 3_MAFF'!AF594,'Annex 2_Code'!$G$114:$G$131,0)),"")</f>
        <v>MAFF</v>
      </c>
      <c r="AI594" s="646" t="str">
        <f t="shared" si="740"/>
        <v>MAFF</v>
      </c>
      <c r="AJ594" s="637" t="s">
        <v>449</v>
      </c>
      <c r="AL594" s="740">
        <f>SUM(Y594)</f>
        <v>13.44</v>
      </c>
      <c r="AM594" s="740" t="s">
        <v>431</v>
      </c>
      <c r="AN594" s="824"/>
      <c r="AO594" s="824"/>
      <c r="AP594" s="824"/>
      <c r="AQ594" s="826"/>
    </row>
    <row r="595" spans="1:43" s="637" customFormat="1" ht="23.25">
      <c r="A595" s="587"/>
      <c r="B595" s="659" t="s">
        <v>54</v>
      </c>
      <c r="C595" s="782"/>
      <c r="D595" s="701"/>
      <c r="E595" s="612" t="s">
        <v>1050</v>
      </c>
      <c r="F595" s="626"/>
      <c r="G595" s="616"/>
      <c r="H595" s="811" t="s">
        <v>591</v>
      </c>
      <c r="I595" s="572"/>
      <c r="J595" s="1710"/>
      <c r="K595" s="1711"/>
      <c r="L595" s="1711"/>
      <c r="M595" s="1711"/>
      <c r="N595" s="731"/>
      <c r="O595" s="738"/>
      <c r="P595" s="739"/>
      <c r="Q595" s="739"/>
      <c r="R595" s="739"/>
      <c r="S595" s="1428"/>
      <c r="T595" s="599" t="str">
        <f>IFERROR(INDEX('Annex 2_Code'!I$8:I$33,MATCH('Annex 3_MAFF'!$AG595,'Annex 2_Code'!$G$8:$G$33,0)),"")</f>
        <v/>
      </c>
      <c r="U595" s="599" t="str">
        <f>IFERROR(INDEX('Annex 2_Code'!J$8:J$33,MATCH('Annex 3_MAFF'!$AG595,'Annex 2_Code'!$G$8:$G$33,0)),"")</f>
        <v/>
      </c>
      <c r="V595" s="599" t="str">
        <f>IFERROR(INDEX('Annex 2_Code'!K$8:K$33,MATCH('Annex 3_MAFF'!$AG595,'Annex 2_Code'!$G$8:$G$33,0)),"")</f>
        <v/>
      </c>
      <c r="W595" s="599" t="str">
        <f>IFERROR(INDEX('Annex 2_Code'!L$8:L$33,MATCH('Annex 3_MAFF'!$AG595,'Annex 2_Code'!$G$8:$G$33,0)),"")</f>
        <v/>
      </c>
      <c r="X595" s="599" t="str">
        <f>IFERROR(INDEX('Annex 2_Code'!M$8:M$33,MATCH('Annex 3_MAFF'!$AG595,'Annex 2_Code'!$G$8:$G$33,0)),"")</f>
        <v/>
      </c>
      <c r="Y595" s="647" t="str">
        <f t="shared" si="705"/>
        <v/>
      </c>
      <c r="Z595" s="600" t="str">
        <f t="shared" si="706"/>
        <v/>
      </c>
      <c r="AA595" s="600" t="str">
        <f t="shared" si="706"/>
        <v/>
      </c>
      <c r="AB595" s="600" t="str">
        <f t="shared" si="707"/>
        <v/>
      </c>
      <c r="AC595" s="601" t="str">
        <f t="shared" si="708"/>
        <v/>
      </c>
      <c r="AD595" s="602">
        <f t="shared" si="716"/>
        <v>0</v>
      </c>
      <c r="AE595" s="602">
        <f t="shared" si="717"/>
        <v>0</v>
      </c>
      <c r="AF595" s="605"/>
      <c r="AG595" s="605"/>
      <c r="AH595" s="605" t="str">
        <f>IFERROR(INDEX('Annex 2_Code'!$J$114:$J$131,MATCH('Annex 3_MAFF'!AF595,'Annex 2_Code'!$G$114:$G$131,0)),"")</f>
        <v/>
      </c>
      <c r="AI595" s="646" t="str">
        <f t="shared" si="740"/>
        <v/>
      </c>
    </row>
    <row r="596" spans="1:43" s="637" customFormat="1" ht="39" customHeight="1" outlineLevel="1">
      <c r="A596" s="587"/>
      <c r="B596" s="659" t="s">
        <v>1452</v>
      </c>
      <c r="C596" s="782" t="s">
        <v>120</v>
      </c>
      <c r="D596" s="701"/>
      <c r="E596" s="612"/>
      <c r="F596" s="2609" t="s">
        <v>1051</v>
      </c>
      <c r="G596" s="2609"/>
      <c r="H596" s="811" t="s">
        <v>591</v>
      </c>
      <c r="I596" s="572">
        <f>6000/1000</f>
        <v>6</v>
      </c>
      <c r="J596" s="1710">
        <v>0</v>
      </c>
      <c r="K596" s="1711">
        <v>0</v>
      </c>
      <c r="L596" s="1711">
        <v>0</v>
      </c>
      <c r="M596" s="1711">
        <v>0</v>
      </c>
      <c r="N596" s="731">
        <f>SUM(J596:M596)</f>
        <v>0</v>
      </c>
      <c r="O596" s="622">
        <f t="shared" ref="O596:R598" si="741">$I596*J596</f>
        <v>0</v>
      </c>
      <c r="P596" s="623">
        <f t="shared" si="741"/>
        <v>0</v>
      </c>
      <c r="Q596" s="623">
        <f t="shared" si="741"/>
        <v>0</v>
      </c>
      <c r="R596" s="623">
        <f t="shared" si="741"/>
        <v>0</v>
      </c>
      <c r="S596" s="1356">
        <f>SUM(O596:R596)</f>
        <v>0</v>
      </c>
      <c r="T596" s="599">
        <f>IFERROR(INDEX('Annex 2_Code'!I$8:I$33,MATCH('Annex 3_MAFF'!$AG596,'Annex 2_Code'!$G$8:$G$33,0)),"")</f>
        <v>1</v>
      </c>
      <c r="U596" s="599">
        <f>IFERROR(INDEX('Annex 2_Code'!J$8:J$33,MATCH('Annex 3_MAFF'!$AG596,'Annex 2_Code'!$G$8:$G$33,0)),"")</f>
        <v>0</v>
      </c>
      <c r="V596" s="599">
        <f>IFERROR(INDEX('Annex 2_Code'!K$8:K$33,MATCH('Annex 3_MAFF'!$AG596,'Annex 2_Code'!$G$8:$G$33,0)),"")</f>
        <v>0</v>
      </c>
      <c r="W596" s="599">
        <f>IFERROR(INDEX('Annex 2_Code'!L$8:L$33,MATCH('Annex 3_MAFF'!$AG596,'Annex 2_Code'!$G$8:$G$33,0)),"")</f>
        <v>0</v>
      </c>
      <c r="X596" s="599">
        <f>IFERROR(INDEX('Annex 2_Code'!M$8:M$33,MATCH('Annex 3_MAFF'!$AG596,'Annex 2_Code'!$G$8:$G$33,0)),"")</f>
        <v>0</v>
      </c>
      <c r="Y596" s="647">
        <f t="shared" si="705"/>
        <v>0</v>
      </c>
      <c r="Z596" s="600">
        <f t="shared" si="706"/>
        <v>0</v>
      </c>
      <c r="AA596" s="600">
        <f t="shared" si="706"/>
        <v>0</v>
      </c>
      <c r="AB596" s="600">
        <f t="shared" si="707"/>
        <v>0</v>
      </c>
      <c r="AC596" s="601">
        <f t="shared" si="708"/>
        <v>0</v>
      </c>
      <c r="AD596" s="602">
        <f t="shared" si="716"/>
        <v>0</v>
      </c>
      <c r="AE596" s="602">
        <f t="shared" si="717"/>
        <v>0</v>
      </c>
      <c r="AF596" s="605" t="s">
        <v>374</v>
      </c>
      <c r="AG596" s="605" t="s">
        <v>211</v>
      </c>
      <c r="AH596" s="605" t="str">
        <f>IFERROR(INDEX('Annex 2_Code'!$J$114:$J$131,MATCH('Annex 3_MAFF'!AF596,'Annex 2_Code'!$G$114:$G$131,0)),"")</f>
        <v>MAFF</v>
      </c>
      <c r="AI596" s="646" t="str">
        <f t="shared" si="740"/>
        <v>MAFF</v>
      </c>
      <c r="AJ596" s="637" t="s">
        <v>449</v>
      </c>
    </row>
    <row r="597" spans="1:43" s="637" customFormat="1" ht="23.25" outlineLevel="1">
      <c r="A597" s="587"/>
      <c r="B597" s="659" t="s">
        <v>1452</v>
      </c>
      <c r="C597" s="782" t="s">
        <v>120</v>
      </c>
      <c r="D597" s="701"/>
      <c r="E597" s="612"/>
      <c r="F597" s="852" t="s">
        <v>1052</v>
      </c>
      <c r="G597" s="616"/>
      <c r="H597" s="811" t="s">
        <v>591</v>
      </c>
      <c r="I597" s="572">
        <f>2000/1000</f>
        <v>2</v>
      </c>
      <c r="J597" s="1710">
        <v>1</v>
      </c>
      <c r="K597" s="1711">
        <v>1</v>
      </c>
      <c r="L597" s="1711"/>
      <c r="M597" s="1711"/>
      <c r="N597" s="731">
        <f>SUM(J597:M597)</f>
        <v>2</v>
      </c>
      <c r="O597" s="622">
        <f t="shared" si="741"/>
        <v>2</v>
      </c>
      <c r="P597" s="623">
        <f t="shared" si="741"/>
        <v>2</v>
      </c>
      <c r="Q597" s="623">
        <f t="shared" si="741"/>
        <v>0</v>
      </c>
      <c r="R597" s="623">
        <f t="shared" si="741"/>
        <v>0</v>
      </c>
      <c r="S597" s="1356">
        <f>SUM(O597:R597)</f>
        <v>4</v>
      </c>
      <c r="T597" s="599">
        <f>IFERROR(INDEX('Annex 2_Code'!I$8:I$33,MATCH('Annex 3_MAFF'!$AG597,'Annex 2_Code'!$G$8:$G$33,0)),"")</f>
        <v>1</v>
      </c>
      <c r="U597" s="599">
        <f>IFERROR(INDEX('Annex 2_Code'!J$8:J$33,MATCH('Annex 3_MAFF'!$AG597,'Annex 2_Code'!$G$8:$G$33,0)),"")</f>
        <v>0</v>
      </c>
      <c r="V597" s="599">
        <f>IFERROR(INDEX('Annex 2_Code'!K$8:K$33,MATCH('Annex 3_MAFF'!$AG597,'Annex 2_Code'!$G$8:$G$33,0)),"")</f>
        <v>0</v>
      </c>
      <c r="W597" s="599">
        <f>IFERROR(INDEX('Annex 2_Code'!L$8:L$33,MATCH('Annex 3_MAFF'!$AG597,'Annex 2_Code'!$G$8:$G$33,0)),"")</f>
        <v>0</v>
      </c>
      <c r="X597" s="599">
        <f>IFERROR(INDEX('Annex 2_Code'!M$8:M$33,MATCH('Annex 3_MAFF'!$AG597,'Annex 2_Code'!$G$8:$G$33,0)),"")</f>
        <v>0</v>
      </c>
      <c r="Y597" s="647">
        <f t="shared" si="705"/>
        <v>4</v>
      </c>
      <c r="Z597" s="600">
        <f>IFERROR($S597*U597,"")</f>
        <v>0</v>
      </c>
      <c r="AA597" s="600">
        <f>IFERROR($S597*V597,"")</f>
        <v>0</v>
      </c>
      <c r="AB597" s="600">
        <f>IFERROR($S597*W597,"")</f>
        <v>0</v>
      </c>
      <c r="AC597" s="601">
        <f>IFERROR($S597*X597,"")</f>
        <v>0</v>
      </c>
      <c r="AD597" s="602">
        <f>SUM(Y597:AC597)</f>
        <v>4</v>
      </c>
      <c r="AE597" s="602">
        <f>AD597-S597</f>
        <v>0</v>
      </c>
      <c r="AF597" s="605" t="s">
        <v>374</v>
      </c>
      <c r="AG597" s="605" t="s">
        <v>211</v>
      </c>
      <c r="AH597" s="605" t="str">
        <f>IFERROR(INDEX('Annex 2_Code'!$J$114:$J$131,MATCH('Annex 3_MAFF'!AF597,'Annex 2_Code'!$G$114:$G$131,0)),"")</f>
        <v>MAFF</v>
      </c>
      <c r="AI597" s="646" t="str">
        <f t="shared" si="740"/>
        <v>MAFF</v>
      </c>
      <c r="AJ597" s="637" t="s">
        <v>449</v>
      </c>
    </row>
    <row r="598" spans="1:43" s="637" customFormat="1" ht="23.25" outlineLevel="1">
      <c r="A598" s="587"/>
      <c r="B598" s="659" t="s">
        <v>1452</v>
      </c>
      <c r="C598" s="782" t="s">
        <v>120</v>
      </c>
      <c r="D598" s="701"/>
      <c r="E598" s="612"/>
      <c r="F598" s="852" t="s">
        <v>1053</v>
      </c>
      <c r="G598" s="616"/>
      <c r="H598" s="811" t="s">
        <v>591</v>
      </c>
      <c r="I598" s="572">
        <v>35</v>
      </c>
      <c r="J598" s="1710">
        <v>0.5</v>
      </c>
      <c r="K598" s="1711">
        <v>0.5</v>
      </c>
      <c r="L598" s="1711">
        <v>0</v>
      </c>
      <c r="M598" s="1711">
        <v>0</v>
      </c>
      <c r="N598" s="731">
        <f>SUM(J598:M598)</f>
        <v>1</v>
      </c>
      <c r="O598" s="622">
        <f t="shared" si="741"/>
        <v>17.5</v>
      </c>
      <c r="P598" s="623">
        <f t="shared" si="741"/>
        <v>17.5</v>
      </c>
      <c r="Q598" s="623">
        <f t="shared" si="741"/>
        <v>0</v>
      </c>
      <c r="R598" s="623">
        <f t="shared" si="741"/>
        <v>0</v>
      </c>
      <c r="S598" s="1356">
        <f>SUM(O598:R598)</f>
        <v>35</v>
      </c>
      <c r="T598" s="599">
        <f>IFERROR(INDEX('Annex 2_Code'!I$8:I$33,MATCH('Annex 3_MAFF'!$AG598,'Annex 2_Code'!$G$8:$G$33,0)),"")</f>
        <v>1</v>
      </c>
      <c r="U598" s="599">
        <f>IFERROR(INDEX('Annex 2_Code'!J$8:J$33,MATCH('Annex 3_MAFF'!$AG598,'Annex 2_Code'!$G$8:$G$33,0)),"")</f>
        <v>0</v>
      </c>
      <c r="V598" s="599">
        <f>IFERROR(INDEX('Annex 2_Code'!K$8:K$33,MATCH('Annex 3_MAFF'!$AG598,'Annex 2_Code'!$G$8:$G$33,0)),"")</f>
        <v>0</v>
      </c>
      <c r="W598" s="599">
        <f>IFERROR(INDEX('Annex 2_Code'!L$8:L$33,MATCH('Annex 3_MAFF'!$AG598,'Annex 2_Code'!$G$8:$G$33,0)),"")</f>
        <v>0</v>
      </c>
      <c r="X598" s="599">
        <f>IFERROR(INDEX('Annex 2_Code'!M$8:M$33,MATCH('Annex 3_MAFF'!$AG598,'Annex 2_Code'!$G$8:$G$33,0)),"")</f>
        <v>0</v>
      </c>
      <c r="Y598" s="647">
        <f t="shared" si="705"/>
        <v>35</v>
      </c>
      <c r="Z598" s="600">
        <f t="shared" si="706"/>
        <v>0</v>
      </c>
      <c r="AA598" s="600">
        <f t="shared" si="706"/>
        <v>0</v>
      </c>
      <c r="AB598" s="600">
        <f t="shared" si="707"/>
        <v>0</v>
      </c>
      <c r="AC598" s="601">
        <f t="shared" si="708"/>
        <v>0</v>
      </c>
      <c r="AD598" s="602">
        <f>SUM(Y598:AC598)</f>
        <v>35</v>
      </c>
      <c r="AE598" s="602">
        <f>AD598-S598</f>
        <v>0</v>
      </c>
      <c r="AF598" s="605" t="s">
        <v>374</v>
      </c>
      <c r="AG598" s="605" t="s">
        <v>211</v>
      </c>
      <c r="AH598" s="605" t="str">
        <f>IFERROR(INDEX('Annex 2_Code'!$J$114:$J$131,MATCH('Annex 3_MAFF'!AF598,'Annex 2_Code'!$G$114:$G$131,0)),"")</f>
        <v>MAFF</v>
      </c>
      <c r="AI598" s="646" t="str">
        <f t="shared" ref="AI598:AI603" si="742">IF(ISNUMBER(FIND("-",AH598,1))=FALSE,LEFT(AH598,LEN(AH598)),LEFT(AH598,(FIND("-",AH598,1))-1))</f>
        <v>MAFF</v>
      </c>
      <c r="AJ598" s="637" t="s">
        <v>449</v>
      </c>
    </row>
    <row r="599" spans="1:43" s="637" customFormat="1" ht="23.25">
      <c r="A599" s="587"/>
      <c r="B599" s="659" t="s">
        <v>54</v>
      </c>
      <c r="C599" s="782"/>
      <c r="D599" s="730"/>
      <c r="E599" s="591" t="s">
        <v>583</v>
      </c>
      <c r="F599" s="851"/>
      <c r="G599" s="734"/>
      <c r="H599" s="805"/>
      <c r="I599" s="773"/>
      <c r="J599" s="836"/>
      <c r="K599" s="837"/>
      <c r="L599" s="838"/>
      <c r="M599" s="838"/>
      <c r="N599" s="838"/>
      <c r="O599" s="664">
        <f>SUM(O596:O598)</f>
        <v>19.5</v>
      </c>
      <c r="P599" s="665">
        <f>SUM(P596:P598)</f>
        <v>19.5</v>
      </c>
      <c r="Q599" s="665">
        <f>SUM(Q596:Q598)</f>
        <v>0</v>
      </c>
      <c r="R599" s="665">
        <f>SUM(R596:R598)</f>
        <v>0</v>
      </c>
      <c r="S599" s="2470">
        <f>SUM(S596:S598)</f>
        <v>39</v>
      </c>
      <c r="T599" s="739"/>
      <c r="U599" s="739"/>
      <c r="V599" s="739"/>
      <c r="W599" s="739"/>
      <c r="X599" s="739"/>
      <c r="Y599" s="647">
        <f t="shared" si="705"/>
        <v>0</v>
      </c>
      <c r="Z599" s="600">
        <f t="shared" si="706"/>
        <v>0</v>
      </c>
      <c r="AA599" s="600">
        <f t="shared" si="706"/>
        <v>0</v>
      </c>
      <c r="AB599" s="600">
        <f t="shared" si="707"/>
        <v>0</v>
      </c>
      <c r="AC599" s="601">
        <f t="shared" si="708"/>
        <v>0</v>
      </c>
      <c r="AD599" s="602"/>
      <c r="AE599" s="602">
        <f>AD599-S599</f>
        <v>-39</v>
      </c>
      <c r="AF599" s="605"/>
      <c r="AG599" s="605"/>
      <c r="AH599" s="605" t="str">
        <f>IFERROR(INDEX('Annex 2_Code'!$J$114:$J$131,MATCH('Annex 3_MAFF'!AF599,'Annex 2_Code'!$G$114:$G$131,0)),"")</f>
        <v/>
      </c>
      <c r="AI599" s="646" t="str">
        <f t="shared" si="742"/>
        <v/>
      </c>
    </row>
    <row r="600" spans="1:43" s="637" customFormat="1" ht="23.25">
      <c r="A600" s="587"/>
      <c r="B600" s="659" t="s">
        <v>54</v>
      </c>
      <c r="C600" s="782"/>
      <c r="D600" s="981"/>
      <c r="E600" s="982" t="s">
        <v>709</v>
      </c>
      <c r="F600" s="983"/>
      <c r="G600" s="984"/>
      <c r="H600" s="985"/>
      <c r="I600" s="986"/>
      <c r="J600" s="987"/>
      <c r="K600" s="988"/>
      <c r="L600" s="988"/>
      <c r="M600" s="988"/>
      <c r="N600" s="989"/>
      <c r="O600" s="990">
        <f>O599+O594+O592</f>
        <v>191.96000000000004</v>
      </c>
      <c r="P600" s="991">
        <f>P599+P594+P592</f>
        <v>135.33999999999997</v>
      </c>
      <c r="Q600" s="991">
        <f>Q599+Q594+Q592</f>
        <v>30.324999999999996</v>
      </c>
      <c r="R600" s="991">
        <f>R599+R594+R592</f>
        <v>18.044999999999998</v>
      </c>
      <c r="S600" s="2497">
        <f>S599+S594+S592</f>
        <v>375.67</v>
      </c>
      <c r="T600" s="854"/>
      <c r="U600" s="854"/>
      <c r="V600" s="854"/>
      <c r="W600" s="854"/>
      <c r="X600" s="854"/>
      <c r="Y600" s="1756"/>
      <c r="Z600" s="1704"/>
      <c r="AA600" s="1704"/>
      <c r="AB600" s="1704"/>
      <c r="AC600" s="1757"/>
      <c r="AD600" s="634"/>
      <c r="AE600" s="602">
        <f>AD600-S600</f>
        <v>-375.67</v>
      </c>
      <c r="AF600" s="605"/>
      <c r="AG600" s="605"/>
      <c r="AH600" s="605" t="str">
        <f>IFERROR(INDEX('Annex 2_Code'!$J$114:$J$131,MATCH('Annex 3_MAFF'!AF600,'Annex 2_Code'!$G$114:$G$131,0)),"")</f>
        <v/>
      </c>
      <c r="AI600" s="646" t="str">
        <f t="shared" si="742"/>
        <v/>
      </c>
      <c r="AK600" s="824">
        <f>SUM(S559:S590)+SUM(S594:S598)</f>
        <v>372.76</v>
      </c>
      <c r="AL600" s="826" t="s">
        <v>120</v>
      </c>
      <c r="AN600" s="828">
        <f>SUM(AL592:AL598)</f>
        <v>333.76</v>
      </c>
      <c r="AQ600" s="828">
        <f>SUM(AQ592:AQ598)</f>
        <v>0</v>
      </c>
    </row>
    <row r="601" spans="1:43" s="637" customFormat="1" ht="17.25" customHeight="1">
      <c r="A601" s="587"/>
      <c r="B601" s="659" t="s">
        <v>54</v>
      </c>
      <c r="C601" s="782"/>
      <c r="D601" s="608" t="s">
        <v>680</v>
      </c>
      <c r="E601" s="609"/>
      <c r="F601" s="610"/>
      <c r="G601" s="611"/>
      <c r="H601" s="627" t="s">
        <v>12</v>
      </c>
      <c r="I601" s="628" t="s">
        <v>12</v>
      </c>
      <c r="J601" s="629"/>
      <c r="K601" s="630"/>
      <c r="L601" s="630"/>
      <c r="M601" s="630"/>
      <c r="N601" s="631"/>
      <c r="O601" s="632">
        <f>SUM(O600,O555,O509,O506)</f>
        <v>663.21367999999995</v>
      </c>
      <c r="P601" s="633">
        <f>SUM(P600,P555,P509,P506)</f>
        <v>642.49437999999986</v>
      </c>
      <c r="Q601" s="633">
        <f>SUM(Q600,Q555,Q509,Q506)</f>
        <v>509.07567999999992</v>
      </c>
      <c r="R601" s="633">
        <f>SUM(R600,R555,R509,R506)</f>
        <v>482.22528</v>
      </c>
      <c r="S601" s="2502">
        <f>SUM(S600,S555,S509,S506)</f>
        <v>2297.00902</v>
      </c>
      <c r="T601" s="854"/>
      <c r="U601" s="854"/>
      <c r="V601" s="854"/>
      <c r="W601" s="854"/>
      <c r="X601" s="854"/>
      <c r="Y601" s="647">
        <f t="shared" si="705"/>
        <v>0</v>
      </c>
      <c r="Z601" s="600">
        <f t="shared" si="706"/>
        <v>0</v>
      </c>
      <c r="AA601" s="600">
        <f>IFERROR($S601*V601,"")</f>
        <v>0</v>
      </c>
      <c r="AB601" s="600">
        <f t="shared" si="707"/>
        <v>0</v>
      </c>
      <c r="AC601" s="601">
        <f t="shared" si="708"/>
        <v>0</v>
      </c>
      <c r="AD601" s="602"/>
      <c r="AE601" s="602">
        <f>AD601-S601</f>
        <v>-2297.00902</v>
      </c>
      <c r="AF601" s="605"/>
      <c r="AG601" s="605"/>
      <c r="AH601" s="605" t="str">
        <f>IFERROR(INDEX('Annex 2_Code'!$J$114:$J$131,MATCH('Annex 3_MAFF'!AF601,'Annex 2_Code'!$G$114:$G$131,0)),"")</f>
        <v/>
      </c>
      <c r="AI601" s="646" t="str">
        <f t="shared" si="742"/>
        <v/>
      </c>
    </row>
    <row r="602" spans="1:43" s="637" customFormat="1" ht="17.25" thickBot="1">
      <c r="A602" s="587"/>
      <c r="B602" s="1702" t="s">
        <v>54</v>
      </c>
      <c r="C602" s="1703"/>
      <c r="D602" s="475"/>
      <c r="E602" s="307"/>
      <c r="F602" s="307"/>
      <c r="G602" s="307"/>
      <c r="H602" s="312"/>
      <c r="I602" s="572"/>
      <c r="J602" s="855"/>
      <c r="K602" s="856"/>
      <c r="L602" s="856"/>
      <c r="M602" s="856"/>
      <c r="N602" s="857"/>
      <c r="O602" s="858"/>
      <c r="P602" s="859"/>
      <c r="Q602" s="859"/>
      <c r="R602" s="859"/>
      <c r="S602" s="2503">
        <f>SUM(O601:R601)</f>
        <v>2297.00902</v>
      </c>
      <c r="T602" s="854"/>
      <c r="U602" s="854"/>
      <c r="V602" s="854"/>
      <c r="W602" s="854"/>
      <c r="X602" s="854"/>
      <c r="Y602" s="644"/>
      <c r="Z602" s="307"/>
      <c r="AA602" s="307"/>
      <c r="AB602" s="307"/>
      <c r="AC602" s="645"/>
      <c r="AD602" s="602">
        <f>AD601-S601</f>
        <v>-2297.00902</v>
      </c>
      <c r="AE602" s="602"/>
      <c r="AF602" s="605"/>
      <c r="AG602" s="605"/>
      <c r="AH602" s="605"/>
      <c r="AI602" s="646" t="str">
        <f t="shared" si="742"/>
        <v/>
      </c>
    </row>
    <row r="603" spans="1:43" s="683" customFormat="1" ht="17.25" customHeight="1" thickBot="1">
      <c r="A603" s="240"/>
      <c r="B603" s="860"/>
      <c r="C603" s="861"/>
      <c r="D603" s="862" t="s">
        <v>681</v>
      </c>
      <c r="E603" s="863"/>
      <c r="F603" s="862"/>
      <c r="G603" s="863"/>
      <c r="H603" s="2181"/>
      <c r="I603" s="864"/>
      <c r="J603" s="865"/>
      <c r="K603" s="866"/>
      <c r="L603" s="866"/>
      <c r="M603" s="866"/>
      <c r="N603" s="866"/>
      <c r="O603" s="867">
        <f>SUM(O601,O460,O430,O410,O354,O314,O275,O187,O158,O94,O32,O12)</f>
        <v>2157.2327799999994</v>
      </c>
      <c r="P603" s="870">
        <f>SUM(P601,P460,P430,P410,P354,P314,P275,P187,P158,P94,P32,P12)</f>
        <v>5304.1897289999997</v>
      </c>
      <c r="Q603" s="870">
        <f>SUM(Q601,Q460,Q430,Q410,Q354,Q314,Q275,Q187,Q158,Q94,Q32,Q12)</f>
        <v>5502.2427779999998</v>
      </c>
      <c r="R603" s="870">
        <f>SUM(R601,R460,R430,R410,R354,R314,R275,R187,R158,R94,R32,R12)</f>
        <v>3918.4532129999998</v>
      </c>
      <c r="S603" s="2500">
        <f>SUM(S601,S460,S430,S410,S354,S314,S275,S187,S158,S94,S32,S12)</f>
        <v>16882.1185</v>
      </c>
      <c r="T603" s="868"/>
      <c r="U603" s="868"/>
      <c r="V603" s="868"/>
      <c r="W603" s="868"/>
      <c r="X603" s="868"/>
      <c r="Y603" s="869">
        <f>SUM(Y11:Y600)</f>
        <v>5697.9329500000031</v>
      </c>
      <c r="Z603" s="870">
        <f>SUM(Z11:Z600)</f>
        <v>0</v>
      </c>
      <c r="AA603" s="871">
        <f>SUM(AA11:AA600)</f>
        <v>9382.8655499999986</v>
      </c>
      <c r="AB603" s="871">
        <f>SUM(AB11:AB600)</f>
        <v>1354.44</v>
      </c>
      <c r="AC603" s="872">
        <f>SUM(AC11:AC600)</f>
        <v>446.88</v>
      </c>
      <c r="AD603" s="873">
        <f>SUM(Y603:AC603)</f>
        <v>16882.1185</v>
      </c>
      <c r="AE603" s="874" t="e">
        <f>SUM(AE601,AE460,#REF!,AE430,AE314,AE158,AE94)</f>
        <v>#REF!</v>
      </c>
      <c r="AF603" s="875"/>
      <c r="AG603" s="876"/>
      <c r="AH603" s="876" t="str">
        <f>IFERROR(INDEX('Annex 2_Code'!$J$114:$J$126,MATCH('Annex 3_MAFF'!AF603,'Annex 2_Code'!$G$114:$G$126,0)),"")</f>
        <v/>
      </c>
      <c r="AI603" s="2332" t="str">
        <f t="shared" si="742"/>
        <v/>
      </c>
    </row>
    <row r="604" spans="1:43" s="683" customFormat="1" ht="16.5">
      <c r="A604" s="240"/>
      <c r="B604" s="877"/>
      <c r="C604" s="878"/>
      <c r="D604" s="240"/>
      <c r="E604" s="240"/>
      <c r="F604" s="612"/>
      <c r="G604" s="240"/>
      <c r="H604" s="799"/>
      <c r="I604" s="879"/>
      <c r="J604" s="859"/>
      <c r="K604" s="859"/>
      <c r="L604" s="859"/>
      <c r="M604" s="859"/>
      <c r="N604" s="859"/>
      <c r="O604" s="880">
        <f>O$603/$S$603</f>
        <v>0.12778211336450454</v>
      </c>
      <c r="P604" s="880">
        <f>P$603/$S$603</f>
        <v>0.31418981740946789</v>
      </c>
      <c r="Q604" s="880">
        <f>Q$603/$S$603</f>
        <v>0.32592134559415631</v>
      </c>
      <c r="R604" s="880">
        <f>R$603/$S$603</f>
        <v>0.23210672363187118</v>
      </c>
      <c r="S604" s="1432">
        <f>SUM(O604:R604)</f>
        <v>1</v>
      </c>
      <c r="T604" s="602"/>
      <c r="U604" s="603"/>
      <c r="V604" s="603"/>
      <c r="W604" s="603"/>
      <c r="X604" s="603"/>
      <c r="Y604" s="700"/>
      <c r="Z604" s="642"/>
      <c r="AA604" s="642"/>
      <c r="AB604" s="642"/>
      <c r="AC604" s="642">
        <f>SUM(Y603:AC603)</f>
        <v>16882.1185</v>
      </c>
      <c r="AD604" s="634">
        <f>S603</f>
        <v>16882.1185</v>
      </c>
      <c r="AE604" s="602"/>
      <c r="AF604" s="751"/>
      <c r="AG604" s="751"/>
      <c r="AH604" s="751" t="str">
        <f>IFERROR(INDEX('Annex 2_Code'!$J$114:$J$126,MATCH('Annex 3_MAFF'!AF604,'Annex 2_Code'!$G$114:$G$126,0)),"")</f>
        <v/>
      </c>
      <c r="AI604" s="881"/>
    </row>
    <row r="605" spans="1:43" s="637" customFormat="1" ht="16.5">
      <c r="A605" s="587"/>
      <c r="B605" s="882"/>
      <c r="C605" s="584"/>
      <c r="D605" s="307"/>
      <c r="E605" s="307"/>
      <c r="F605" s="307"/>
      <c r="G605" s="307"/>
      <c r="H605" s="751"/>
      <c r="I605" s="883"/>
      <c r="J605" s="177"/>
      <c r="K605" s="177"/>
      <c r="L605" s="177"/>
      <c r="M605" s="177"/>
      <c r="N605" s="177"/>
      <c r="O605" s="177"/>
      <c r="P605" s="177"/>
      <c r="Q605" s="177"/>
      <c r="R605" s="1341">
        <f>S603-AD603</f>
        <v>0</v>
      </c>
      <c r="S605" s="2501">
        <f>SUM(O603:R603)</f>
        <v>16882.1185</v>
      </c>
      <c r="T605" s="602"/>
      <c r="U605" s="603"/>
      <c r="V605" s="603"/>
      <c r="W605" s="603"/>
      <c r="X605" s="603"/>
      <c r="Y605" s="884"/>
      <c r="Z605" s="764"/>
      <c r="AA605" s="764"/>
      <c r="AB605" s="764"/>
      <c r="AC605" s="764"/>
      <c r="AD605" s="602">
        <f>AD603-AD604</f>
        <v>0</v>
      </c>
      <c r="AE605" s="602"/>
      <c r="AF605" s="751"/>
      <c r="AG605" s="751"/>
      <c r="AH605" s="751" t="str">
        <f>IFERROR(INDEX('Annex 2_Code'!$J$114:$J$126,MATCH('Annex 3_MAFF'!AF605,'Annex 2_Code'!$G$114:$G$126,0)),"")</f>
        <v/>
      </c>
      <c r="AI605" s="885"/>
    </row>
    <row r="606" spans="1:43" s="637" customFormat="1" ht="16.5">
      <c r="A606" s="587"/>
      <c r="B606" s="882"/>
      <c r="C606" s="584"/>
      <c r="D606" s="307"/>
      <c r="E606" s="307"/>
      <c r="F606" s="307"/>
      <c r="G606" s="307"/>
      <c r="H606" s="751"/>
      <c r="I606" s="883"/>
      <c r="J606" s="177"/>
      <c r="K606" s="177"/>
      <c r="L606" s="177"/>
      <c r="M606" s="177"/>
      <c r="N606" s="177"/>
      <c r="O606" s="177"/>
      <c r="P606" s="177"/>
      <c r="Q606" s="177"/>
      <c r="R606" s="177"/>
      <c r="S606" s="1433">
        <f>S603-S605</f>
        <v>0</v>
      </c>
      <c r="T606" s="886"/>
      <c r="U606" s="887"/>
      <c r="V606" s="887"/>
      <c r="W606" s="887"/>
      <c r="X606" s="887"/>
      <c r="Y606" s="587"/>
      <c r="Z606" s="307"/>
      <c r="AA606" s="307"/>
      <c r="AB606" s="307"/>
      <c r="AC606" s="307"/>
      <c r="AD606" s="602"/>
      <c r="AE606" s="602"/>
      <c r="AF606" s="751"/>
      <c r="AG606" s="751"/>
      <c r="AH606" s="751" t="str">
        <f>IFERROR(INDEX('Annex 2_Code'!$J$114:$J$126,MATCH('Annex 3_MAFF'!AF606,'Annex 2_Code'!$G$114:$G$126,0)),"")</f>
        <v/>
      </c>
      <c r="AI606" s="885"/>
    </row>
    <row r="607" spans="1:43" s="637" customFormat="1" ht="16.5">
      <c r="A607" s="587"/>
      <c r="B607" s="882"/>
      <c r="C607" s="584"/>
      <c r="D607" s="307"/>
      <c r="E607" s="307"/>
      <c r="F607" s="307"/>
      <c r="G607" s="888"/>
      <c r="H607" s="751"/>
      <c r="I607" s="883"/>
      <c r="J607" s="177"/>
      <c r="K607" s="177"/>
      <c r="L607" s="177"/>
      <c r="M607" s="177"/>
      <c r="N607" s="177"/>
      <c r="O607" s="886"/>
      <c r="P607" s="887"/>
      <c r="Q607" s="889"/>
      <c r="S607" s="1434"/>
      <c r="T607" s="890"/>
      <c r="U607" s="891"/>
      <c r="V607" s="891"/>
      <c r="W607" s="891"/>
      <c r="X607" s="891"/>
      <c r="Y607" s="892" t="s">
        <v>21</v>
      </c>
      <c r="Z607" s="893" t="s">
        <v>10</v>
      </c>
      <c r="AA607" s="893" t="s">
        <v>6</v>
      </c>
      <c r="AB607" s="893" t="s">
        <v>7</v>
      </c>
      <c r="AC607" s="893" t="s">
        <v>8</v>
      </c>
      <c r="AD607" s="894" t="s">
        <v>9</v>
      </c>
      <c r="AE607" s="894"/>
      <c r="AF607" s="885"/>
      <c r="AG607" s="885"/>
      <c r="AH607" s="751" t="str">
        <f>IFERROR(INDEX('Annex 2_Code'!$J$114:$J$126,MATCH('Annex 3_MAFF'!AF607,'Annex 2_Code'!$G$114:$G$126,0)),"")</f>
        <v/>
      </c>
      <c r="AI607" s="885"/>
      <c r="AK607" s="682">
        <f>SUM(AK33:AK600)</f>
        <v>6722.7483200000006</v>
      </c>
      <c r="AN607" s="895">
        <f>+S607-AK607</f>
        <v>-6722.7483200000006</v>
      </c>
    </row>
    <row r="608" spans="1:43" s="637" customFormat="1" ht="16.5">
      <c r="A608" s="587"/>
      <c r="B608" s="882"/>
      <c r="C608" s="584"/>
      <c r="D608" s="307"/>
      <c r="E608" s="307"/>
      <c r="F608" s="307"/>
      <c r="G608" s="896"/>
      <c r="H608" s="751"/>
      <c r="I608" s="883"/>
      <c r="J608" s="177"/>
      <c r="K608" s="177"/>
      <c r="L608" s="177"/>
      <c r="M608" s="177"/>
      <c r="N608" s="177"/>
      <c r="O608" s="886" t="s">
        <v>12</v>
      </c>
      <c r="P608" s="887"/>
      <c r="Q608" s="887"/>
      <c r="S608" s="1434"/>
      <c r="T608" s="890"/>
      <c r="U608" s="891"/>
      <c r="V608" s="891"/>
      <c r="W608" s="891"/>
      <c r="X608" s="891"/>
      <c r="Y608" s="897" t="s">
        <v>51</v>
      </c>
      <c r="Z608" s="898">
        <f>SUM(AA608:AD608)</f>
        <v>5697.9329500000031</v>
      </c>
      <c r="AA608" s="899">
        <f>$Y$603*O$604</f>
        <v>728.09391416024619</v>
      </c>
      <c r="AB608" s="899">
        <f>$Y$603*P$604</f>
        <v>1790.2325131718917</v>
      </c>
      <c r="AC608" s="899">
        <f>$Y$603*Q$604</f>
        <v>1857.0779741692816</v>
      </c>
      <c r="AD608" s="900">
        <f>$Y$603*R$604</f>
        <v>1322.5285484985832</v>
      </c>
      <c r="AE608" s="849"/>
      <c r="AF608" s="885"/>
      <c r="AG608" s="885"/>
      <c r="AH608" s="751" t="str">
        <f>IFERROR(INDEX('Annex 2_Code'!$J$114:$J$126,MATCH('Annex 3_MAFF'!AF608,'Annex 2_Code'!$G$114:$G$126,0)),"")</f>
        <v/>
      </c>
      <c r="AI608" s="885"/>
    </row>
    <row r="609" spans="1:38" s="637" customFormat="1" ht="16.5">
      <c r="A609" s="587"/>
      <c r="B609" s="882"/>
      <c r="C609" s="584"/>
      <c r="D609" s="307"/>
      <c r="E609" s="307"/>
      <c r="F609" s="307"/>
      <c r="G609" s="896"/>
      <c r="H609" s="751"/>
      <c r="I609" s="883"/>
      <c r="J609" s="177"/>
      <c r="K609" s="177"/>
      <c r="L609" s="177"/>
      <c r="M609" s="177"/>
      <c r="N609" s="177"/>
      <c r="O609" s="886"/>
      <c r="P609" s="887"/>
      <c r="Q609" s="887"/>
      <c r="S609" s="1434"/>
      <c r="T609" s="890"/>
      <c r="U609" s="891"/>
      <c r="V609" s="891"/>
      <c r="W609" s="891"/>
      <c r="X609" s="891"/>
      <c r="Y609" s="897" t="s">
        <v>37</v>
      </c>
      <c r="Z609" s="898">
        <f>SUM(AA609:AD609)</f>
        <v>0</v>
      </c>
      <c r="AA609" s="900">
        <f>$Z$603*O$604</f>
        <v>0</v>
      </c>
      <c r="AB609" s="900">
        <f>$Z$603*P$604</f>
        <v>0</v>
      </c>
      <c r="AC609" s="900">
        <f>$Z$603*Q$604</f>
        <v>0</v>
      </c>
      <c r="AD609" s="900">
        <f>$Z$603*R$604</f>
        <v>0</v>
      </c>
      <c r="AE609" s="849"/>
      <c r="AF609" s="885"/>
      <c r="AG609" s="885"/>
      <c r="AH609" s="751" t="str">
        <f>IFERROR(INDEX('Annex 2_Code'!$J$114:$J$126,MATCH('Annex 3_MAFF'!AF609,'Annex 2_Code'!$G$114:$G$126,0)),"")</f>
        <v/>
      </c>
      <c r="AI609" s="885"/>
    </row>
    <row r="610" spans="1:38" s="637" customFormat="1" ht="16.5">
      <c r="A610" s="587"/>
      <c r="B610" s="882"/>
      <c r="C610" s="584"/>
      <c r="D610" s="307"/>
      <c r="E610" s="307"/>
      <c r="F610" s="307"/>
      <c r="G610" s="896"/>
      <c r="H610" s="751"/>
      <c r="I610" s="883"/>
      <c r="J610" s="177"/>
      <c r="K610" s="177"/>
      <c r="L610" s="177"/>
      <c r="M610" s="177"/>
      <c r="N610" s="177"/>
      <c r="O610" s="886"/>
      <c r="P610" s="887"/>
      <c r="Q610" s="887"/>
      <c r="S610" s="1434"/>
      <c r="T610" s="890"/>
      <c r="U610" s="891"/>
      <c r="V610" s="891"/>
      <c r="W610" s="891"/>
      <c r="X610" s="891"/>
      <c r="Y610" s="897" t="s">
        <v>52</v>
      </c>
      <c r="Z610" s="898">
        <f>SUM(AA610:AD610)</f>
        <v>9382.8655499999986</v>
      </c>
      <c r="AA610" s="900">
        <f>$AA$603*O$604</f>
        <v>1198.962389394004</v>
      </c>
      <c r="AB610" s="900">
        <f>$AA$603*P$604</f>
        <v>2948.0008139320862</v>
      </c>
      <c r="AC610" s="900">
        <f>$AA$603*Q$604</f>
        <v>3058.0761655850529</v>
      </c>
      <c r="AD610" s="900">
        <f>$AA$603*R$604</f>
        <v>2177.8261810888548</v>
      </c>
      <c r="AE610" s="849"/>
      <c r="AF610" s="885"/>
      <c r="AG610" s="885"/>
      <c r="AH610" s="751" t="str">
        <f>IFERROR(INDEX('Annex 2_Code'!$J$114:$J$126,MATCH('Annex 3_MAFF'!AF610,'Annex 2_Code'!$G$114:$G$126,0)),"")</f>
        <v/>
      </c>
      <c r="AI610" s="885"/>
    </row>
    <row r="611" spans="1:38" s="902" customFormat="1" ht="16.5">
      <c r="A611" s="587"/>
      <c r="B611" s="882"/>
      <c r="C611" s="584"/>
      <c r="D611" s="901"/>
      <c r="E611" s="901"/>
      <c r="F611" s="307"/>
      <c r="G611" s="919" t="s">
        <v>382</v>
      </c>
      <c r="H611" s="751"/>
      <c r="I611" s="883"/>
      <c r="J611" s="177"/>
      <c r="K611" s="177"/>
      <c r="L611" s="177"/>
      <c r="M611" s="177"/>
      <c r="N611" s="177"/>
      <c r="O611" s="640" t="s">
        <v>12</v>
      </c>
      <c r="P611" s="887"/>
      <c r="Q611" s="887"/>
      <c r="S611" s="903"/>
      <c r="Y611" s="897" t="s">
        <v>25</v>
      </c>
      <c r="Z611" s="898">
        <f>SUM(AA611:AD611)</f>
        <v>1354.4399999999998</v>
      </c>
      <c r="AA611" s="900">
        <f>$AB$603*O$604</f>
        <v>173.07320562541955</v>
      </c>
      <c r="AB611" s="900">
        <f>$AB$603*P$604</f>
        <v>425.5512562920797</v>
      </c>
      <c r="AC611" s="900">
        <f>$AB$603*Q$604</f>
        <v>441.44090732654911</v>
      </c>
      <c r="AD611" s="900">
        <f>$AB$603*R$604</f>
        <v>314.37463075595161</v>
      </c>
      <c r="AE611" s="849"/>
      <c r="AF611" s="885"/>
      <c r="AG611" s="885"/>
      <c r="AH611" s="751" t="str">
        <f>IFERROR(INDEX('Annex 2_Code'!$J$114:$J$126,MATCH('Annex 3_MAFF'!AF611,'Annex 2_Code'!$G$114:$G$126,0)),"")</f>
        <v/>
      </c>
      <c r="AI611" s="904"/>
    </row>
    <row r="612" spans="1:38" s="902" customFormat="1" ht="16.5">
      <c r="A612" s="587"/>
      <c r="B612" s="882"/>
      <c r="C612" s="584"/>
      <c r="D612" s="901"/>
      <c r="E612" s="901"/>
      <c r="F612" s="307"/>
      <c r="G612" s="896"/>
      <c r="H612" s="751"/>
      <c r="I612" s="883"/>
      <c r="J612" s="177"/>
      <c r="K612" s="177"/>
      <c r="L612" s="177"/>
      <c r="M612" s="177"/>
      <c r="N612" s="177"/>
      <c r="O612" s="640"/>
      <c r="P612" s="887"/>
      <c r="Q612" s="887"/>
      <c r="R612" s="920" t="s">
        <v>382</v>
      </c>
      <c r="Y612" s="897" t="s">
        <v>40</v>
      </c>
      <c r="Z612" s="898">
        <f>SUM(AA612:AD612)</f>
        <v>446.87999999999994</v>
      </c>
      <c r="AA612" s="900">
        <f>$AC$603*O$604</f>
        <v>57.10327082032979</v>
      </c>
      <c r="AB612" s="900">
        <f>$AC$603*P$604</f>
        <v>140.405145603943</v>
      </c>
      <c r="AC612" s="900">
        <f>$AC$603*Q$604</f>
        <v>145.64773091911658</v>
      </c>
      <c r="AD612" s="900">
        <f>$AC$603*R$604</f>
        <v>103.72385265661059</v>
      </c>
      <c r="AE612" s="849"/>
      <c r="AF612" s="885"/>
      <c r="AG612" s="885"/>
      <c r="AH612" s="751" t="str">
        <f>IFERROR(INDEX('Annex 2_Code'!$J$114:$J$126,MATCH('Annex 3_MAFF'!AF612,'Annex 2_Code'!$G$114:$G$126,0)),"")</f>
        <v/>
      </c>
      <c r="AI612" s="904"/>
    </row>
    <row r="613" spans="1:38" s="637" customFormat="1" ht="16.5">
      <c r="A613" s="587"/>
      <c r="B613" s="882"/>
      <c r="C613" s="584"/>
      <c r="D613" s="307"/>
      <c r="E613" s="307"/>
      <c r="F613" s="307"/>
      <c r="G613" s="905"/>
      <c r="H613" s="751"/>
      <c r="I613" s="883"/>
      <c r="J613" s="177"/>
      <c r="K613" s="177"/>
      <c r="L613" s="177"/>
      <c r="M613" s="177"/>
      <c r="N613" s="177"/>
      <c r="O613" s="886"/>
      <c r="P613" s="887"/>
      <c r="Q613" s="887"/>
      <c r="S613" s="1364"/>
      <c r="T613" s="890"/>
      <c r="U613" s="891"/>
      <c r="V613" s="891"/>
      <c r="W613" s="891"/>
      <c r="X613" s="891"/>
      <c r="Y613" s="906" t="s">
        <v>31</v>
      </c>
      <c r="Z613" s="907">
        <f>SUM(Z608:Z612)</f>
        <v>16882.1185</v>
      </c>
      <c r="AA613" s="907">
        <f>SUM(AA608:AA612)</f>
        <v>2157.2327799999994</v>
      </c>
      <c r="AB613" s="907">
        <f>SUM(AB608:AB612)</f>
        <v>5304.1897290000006</v>
      </c>
      <c r="AC613" s="907">
        <f>SUM(AC608:AC612)</f>
        <v>5502.2427779999998</v>
      </c>
      <c r="AD613" s="907">
        <f>SUM(AD608:AD612)</f>
        <v>3918.4532130000002</v>
      </c>
      <c r="AE613" s="816"/>
      <c r="AF613" s="885"/>
      <c r="AG613" s="885"/>
      <c r="AH613" s="751" t="str">
        <f>IFERROR(INDEX('Annex 2_Code'!$J$114:$J$126,MATCH('Annex 3_MAFF'!AF613,'Annex 2_Code'!$G$114:$G$126,0)),"")</f>
        <v/>
      </c>
      <c r="AI613" s="885"/>
    </row>
    <row r="614" spans="1:38" s="915" customFormat="1" ht="16.5">
      <c r="A614" s="908"/>
      <c r="B614" s="909"/>
      <c r="C614" s="910"/>
      <c r="D614" s="825"/>
      <c r="E614" s="825"/>
      <c r="F614" s="825"/>
      <c r="G614" s="911"/>
      <c r="H614" s="751"/>
      <c r="I614" s="883"/>
      <c r="J614" s="912"/>
      <c r="K614" s="912"/>
      <c r="L614" s="912"/>
      <c r="M614" s="912"/>
      <c r="N614" s="912"/>
      <c r="O614" s="913"/>
      <c r="P614" s="914"/>
      <c r="Q614" s="914"/>
      <c r="S614" s="1435"/>
      <c r="Y614" s="916" t="s">
        <v>56</v>
      </c>
      <c r="Z614" s="917">
        <f>S603-Z613</f>
        <v>0</v>
      </c>
      <c r="AA614" s="918">
        <f>O603</f>
        <v>2157.2327799999994</v>
      </c>
      <c r="AB614" s="918">
        <f>P603</f>
        <v>5304.1897289999997</v>
      </c>
      <c r="AC614" s="918">
        <f>Q603</f>
        <v>5502.2427779999998</v>
      </c>
      <c r="AD614" s="918">
        <f>R603</f>
        <v>3918.4532129999998</v>
      </c>
      <c r="AE614" s="918"/>
      <c r="AF614" s="885"/>
      <c r="AG614" s="885"/>
      <c r="AH614" s="751" t="str">
        <f>IFERROR(INDEX('Annex 2_Code'!$J$114:$J$126,MATCH('Annex 3_MAFF'!AF614,'Annex 2_Code'!$G$114:$G$126,0)),"")</f>
        <v/>
      </c>
      <c r="AI614" s="885"/>
    </row>
    <row r="615" spans="1:38" s="637" customFormat="1" ht="16.5">
      <c r="A615" s="587"/>
      <c r="B615" s="882"/>
      <c r="C615" s="584"/>
      <c r="D615" s="307"/>
      <c r="E615" s="307"/>
      <c r="F615" s="307"/>
      <c r="H615" s="751"/>
      <c r="I615" s="883"/>
      <c r="J615" s="177"/>
      <c r="K615" s="177"/>
      <c r="L615" s="177"/>
      <c r="M615" s="177"/>
      <c r="N615" s="177"/>
      <c r="O615" s="886"/>
      <c r="P615" s="887"/>
      <c r="Q615" s="887"/>
      <c r="S615" s="2340" t="s">
        <v>10</v>
      </c>
      <c r="T615" s="2339" t="s">
        <v>24</v>
      </c>
      <c r="U615" s="2339" t="s">
        <v>37</v>
      </c>
      <c r="V615" s="2339" t="s">
        <v>38</v>
      </c>
      <c r="W615" s="2339" t="s">
        <v>39</v>
      </c>
      <c r="X615" s="2339" t="s">
        <v>40</v>
      </c>
      <c r="Y615" s="587"/>
      <c r="Z615" s="893" t="s">
        <v>10</v>
      </c>
      <c r="AA615" s="893" t="s">
        <v>6</v>
      </c>
      <c r="AB615" s="893" t="s">
        <v>7</v>
      </c>
      <c r="AC615" s="893" t="s">
        <v>8</v>
      </c>
      <c r="AD615" s="894" t="s">
        <v>9</v>
      </c>
      <c r="AE615" s="921"/>
      <c r="AF615" s="885"/>
      <c r="AG615" s="885"/>
      <c r="AH615" s="751" t="str">
        <f>IFERROR(INDEX('Annex 2_Code'!$J$114:$J$126,MATCH('Annex 3_MAFF'!AF615,'Annex 2_Code'!$G$114:$G$126,0)),"")</f>
        <v/>
      </c>
      <c r="AI615" s="885"/>
    </row>
    <row r="616" spans="1:38" s="637" customFormat="1" ht="16.5">
      <c r="A616" s="587"/>
      <c r="B616" s="882"/>
      <c r="C616" s="584"/>
      <c r="D616" s="307"/>
      <c r="E616" s="307"/>
      <c r="F616" s="307"/>
      <c r="G616" s="2343" t="s">
        <v>123</v>
      </c>
      <c r="H616" s="751"/>
      <c r="I616" s="883"/>
      <c r="J616" s="177"/>
      <c r="K616" s="177"/>
      <c r="L616" s="177"/>
      <c r="M616" s="177"/>
      <c r="N616" s="177"/>
      <c r="O616" s="886"/>
      <c r="P616" s="887"/>
      <c r="Q616" s="887"/>
      <c r="R616" s="2341" t="s">
        <v>123</v>
      </c>
      <c r="S616" s="1436">
        <f t="shared" ref="S616:S617" si="743">SUM(T616:X616)</f>
        <v>315.00000000000006</v>
      </c>
      <c r="T616" s="924">
        <f>SUMIFS(Y$11:Y$600,$B$11:$B$600,TRIM($R616))</f>
        <v>315.00000000000006</v>
      </c>
      <c r="U616" s="924">
        <f t="shared" ref="U616:U624" si="744">SUMIFS(Z$11:Z$602,$B$11:$B$602,TRIM($R616))</f>
        <v>0</v>
      </c>
      <c r="V616" s="924">
        <f t="shared" ref="V616:V624" si="745">SUMIFS(AA$11:AA$602,$B$11:$B$602,TRIM($R616))</f>
        <v>0</v>
      </c>
      <c r="W616" s="924">
        <f t="shared" ref="W616:W624" si="746">SUMIFS(AB$11:AB$602,$B$11:$B$602,TRIM($R616))</f>
        <v>0</v>
      </c>
      <c r="X616" s="924">
        <f t="shared" ref="X616:X624" si="747">SUMIFS(AC$11:AC$602,$B$11:$B$602,TRIM($R616))</f>
        <v>0</v>
      </c>
      <c r="Y616" s="2341" t="s">
        <v>123</v>
      </c>
      <c r="Z616" s="925">
        <f t="shared" ref="Z616:Z617" si="748">SUM(AA616:AD616)</f>
        <v>315.00000000000006</v>
      </c>
      <c r="AA616" s="924">
        <f t="shared" ref="AA616:AA624" si="749">SUMIFS(O$9:O$602,$B$9:$B$602,TRIM($Y616))</f>
        <v>0</v>
      </c>
      <c r="AB616" s="924">
        <f t="shared" ref="AB616:AB624" si="750">SUMIFS(P$9:P$602,$B$9:$B$602,TRIM($Y616))</f>
        <v>315.00000000000006</v>
      </c>
      <c r="AC616" s="924">
        <f t="shared" ref="AC616:AC624" si="751">SUMIFS(Q$9:Q$602,$B$9:$B$602,TRIM($Y616))</f>
        <v>0</v>
      </c>
      <c r="AD616" s="924">
        <f t="shared" ref="AD616:AD624" si="752">SUMIFS(R$9:R$602,$B$9:$B$602,TRIM($Y616))</f>
        <v>0</v>
      </c>
      <c r="AE616" s="922"/>
      <c r="AF616" s="885"/>
      <c r="AG616" s="885"/>
      <c r="AH616" s="751" t="str">
        <f>IFERROR(INDEX('Annex 2_Code'!$J$114:$J$126,MATCH('Annex 3_MAFF'!AF616,'Annex 2_Code'!$G$114:$G$126,0)),"")</f>
        <v/>
      </c>
      <c r="AI616" s="885"/>
    </row>
    <row r="617" spans="1:38" s="637" customFormat="1" ht="16.5">
      <c r="A617" s="587"/>
      <c r="B617" s="882"/>
      <c r="C617" s="584"/>
      <c r="D617" s="307"/>
      <c r="E617" s="307"/>
      <c r="F617" s="307"/>
      <c r="G617" s="2344" t="s">
        <v>1474</v>
      </c>
      <c r="H617" s="751"/>
      <c r="I617" s="883"/>
      <c r="J617" s="177"/>
      <c r="K617" s="177"/>
      <c r="L617" s="177"/>
      <c r="M617" s="177"/>
      <c r="N617" s="177"/>
      <c r="O617" s="177"/>
      <c r="P617" s="177"/>
      <c r="Q617" s="177"/>
      <c r="R617" s="2342" t="s">
        <v>1474</v>
      </c>
      <c r="S617" s="1436">
        <f t="shared" si="743"/>
        <v>3990</v>
      </c>
      <c r="T617" s="924">
        <f>SUMIFS(Y$11:Y$600,$B$11:$B$600,TRIM($R617))</f>
        <v>0</v>
      </c>
      <c r="U617" s="924">
        <f t="shared" si="744"/>
        <v>0</v>
      </c>
      <c r="V617" s="924">
        <f t="shared" si="745"/>
        <v>2298.2399999999998</v>
      </c>
      <c r="W617" s="924">
        <f t="shared" si="746"/>
        <v>1244.8800000000001</v>
      </c>
      <c r="X617" s="924">
        <f t="shared" si="747"/>
        <v>446.88</v>
      </c>
      <c r="Y617" s="2342" t="s">
        <v>1474</v>
      </c>
      <c r="Z617" s="925">
        <f t="shared" si="748"/>
        <v>3990</v>
      </c>
      <c r="AA617" s="924">
        <f t="shared" si="749"/>
        <v>266</v>
      </c>
      <c r="AB617" s="924">
        <f t="shared" si="750"/>
        <v>1330</v>
      </c>
      <c r="AC617" s="924">
        <f t="shared" si="751"/>
        <v>1330</v>
      </c>
      <c r="AD617" s="924">
        <f t="shared" si="752"/>
        <v>1064</v>
      </c>
      <c r="AE617" s="894"/>
      <c r="AF617" s="751"/>
      <c r="AG617" s="751"/>
      <c r="AH617" s="751" t="str">
        <f>IFERROR(INDEX('Annex 2_Code'!$J$114:$J$126,MATCH('Annex 3_MAFF'!AF617,'Annex 2_Code'!$G$114:$G$126,0)),"")</f>
        <v/>
      </c>
      <c r="AI617" s="885"/>
    </row>
    <row r="618" spans="1:38" s="637" customFormat="1" ht="16.5">
      <c r="A618" s="587"/>
      <c r="B618" s="882"/>
      <c r="C618" s="584"/>
      <c r="D618" s="307"/>
      <c r="E618" s="307"/>
      <c r="F618" s="307"/>
      <c r="G618" s="923" t="s">
        <v>1463</v>
      </c>
      <c r="H618" s="751"/>
      <c r="I618" s="883"/>
      <c r="J618" s="177"/>
      <c r="K618" s="177"/>
      <c r="L618" s="177"/>
      <c r="M618" s="177"/>
      <c r="N618" s="177"/>
      <c r="O618" s="177"/>
      <c r="P618" s="177"/>
      <c r="Q618" s="177"/>
      <c r="R618" s="893" t="s">
        <v>1463</v>
      </c>
      <c r="S618" s="1436">
        <f>SUM(T618:X618)</f>
        <v>4030.1825500000004</v>
      </c>
      <c r="T618" s="924">
        <f>SUMIFS(Y$11:Y$600,$B$11:$B$600,TRIM($R618))</f>
        <v>829.61699999999996</v>
      </c>
      <c r="U618" s="924">
        <f t="shared" si="744"/>
        <v>0</v>
      </c>
      <c r="V618" s="924">
        <f t="shared" si="745"/>
        <v>3200.5655500000007</v>
      </c>
      <c r="W618" s="924">
        <f t="shared" si="746"/>
        <v>0</v>
      </c>
      <c r="X618" s="924">
        <f t="shared" si="747"/>
        <v>0</v>
      </c>
      <c r="Y618" s="893" t="s">
        <v>1463</v>
      </c>
      <c r="Z618" s="925">
        <f>SUM(AA618:AD618)</f>
        <v>4030.1825499999995</v>
      </c>
      <c r="AA618" s="924">
        <f t="shared" si="749"/>
        <v>253.85400000000001</v>
      </c>
      <c r="AB618" s="924">
        <f t="shared" si="750"/>
        <v>971.02099999999996</v>
      </c>
      <c r="AC618" s="924">
        <f t="shared" si="751"/>
        <v>1417.4609999999998</v>
      </c>
      <c r="AD618" s="924">
        <f t="shared" si="752"/>
        <v>1387.8465499999998</v>
      </c>
      <c r="AE618" s="926"/>
      <c r="AF618" s="751"/>
      <c r="AG618" s="751"/>
      <c r="AH618" s="751" t="str">
        <f>IFERROR(INDEX('Annex 2_Code'!$J$114:$J$126,MATCH('Annex 3_MAFF'!AF618,'Annex 2_Code'!$G$114:$G$126,0)),"")</f>
        <v/>
      </c>
      <c r="AI618" s="885"/>
    </row>
    <row r="619" spans="1:38" s="637" customFormat="1" ht="16.5">
      <c r="A619" s="587"/>
      <c r="B619" s="882"/>
      <c r="C619" s="584"/>
      <c r="D619" s="307"/>
      <c r="E619" s="307"/>
      <c r="F619" s="307"/>
      <c r="G619" s="923" t="s">
        <v>1451</v>
      </c>
      <c r="H619" s="751"/>
      <c r="I619" s="883"/>
      <c r="J619" s="177"/>
      <c r="K619" s="177"/>
      <c r="L619" s="177"/>
      <c r="M619" s="177"/>
      <c r="N619" s="177"/>
      <c r="O619" s="177"/>
      <c r="P619" s="177"/>
      <c r="Q619" s="177"/>
      <c r="R619" s="893" t="s">
        <v>1451</v>
      </c>
      <c r="S619" s="1436">
        <f t="shared" ref="S619:S624" si="753">SUM(T619:X619)</f>
        <v>3884.06</v>
      </c>
      <c r="T619" s="924">
        <f>SUMIFS(Y$11:Y$599,$B$11:$B$599,TRIM($R619))</f>
        <v>0</v>
      </c>
      <c r="U619" s="924">
        <f t="shared" si="744"/>
        <v>0</v>
      </c>
      <c r="V619" s="924">
        <f t="shared" si="745"/>
        <v>3884.06</v>
      </c>
      <c r="W619" s="924">
        <f t="shared" si="746"/>
        <v>0</v>
      </c>
      <c r="X619" s="924">
        <f t="shared" si="747"/>
        <v>0</v>
      </c>
      <c r="Y619" s="893" t="s">
        <v>1451</v>
      </c>
      <c r="Z619" s="925">
        <f t="shared" ref="Z619:Z624" si="754">SUM(AA619:AD619)</f>
        <v>3884.0600000000004</v>
      </c>
      <c r="AA619" s="924">
        <f t="shared" si="749"/>
        <v>798.57999999999993</v>
      </c>
      <c r="AB619" s="924">
        <f t="shared" si="750"/>
        <v>1280.8799999999999</v>
      </c>
      <c r="AC619" s="924">
        <f t="shared" si="751"/>
        <v>1063.8</v>
      </c>
      <c r="AD619" s="924">
        <f t="shared" si="752"/>
        <v>740.80000000000007</v>
      </c>
      <c r="AE619" s="926"/>
      <c r="AF619" s="751"/>
      <c r="AG619" s="751"/>
      <c r="AH619" s="751" t="str">
        <f>IFERROR(INDEX('Annex 2_Code'!$J$114:$J$126,MATCH('Annex 3_MAFF'!AF619,'Annex 2_Code'!$G$114:$G$126,0)),"")</f>
        <v/>
      </c>
      <c r="AI619" s="885"/>
    </row>
    <row r="620" spans="1:38" s="637" customFormat="1" ht="16.5">
      <c r="A620" s="587"/>
      <c r="B620" s="882"/>
      <c r="C620" s="584"/>
      <c r="D620" s="307"/>
      <c r="E620" s="307"/>
      <c r="F620" s="307"/>
      <c r="G620" s="923" t="s">
        <v>42</v>
      </c>
      <c r="H620" s="751"/>
      <c r="I620" s="883"/>
      <c r="J620" s="177"/>
      <c r="K620" s="177"/>
      <c r="L620" s="177"/>
      <c r="M620" s="177"/>
      <c r="N620" s="177"/>
      <c r="O620" s="177"/>
      <c r="P620" s="177"/>
      <c r="Q620" s="177"/>
      <c r="R620" s="893" t="s">
        <v>42</v>
      </c>
      <c r="S620" s="1436">
        <f t="shared" si="753"/>
        <v>109.55999999999999</v>
      </c>
      <c r="T620" s="924">
        <f>SUMIFS(Y$11:Y$599,$B$11:$B$599,TRIM($R620))</f>
        <v>0</v>
      </c>
      <c r="U620" s="924">
        <f t="shared" si="744"/>
        <v>0</v>
      </c>
      <c r="V620" s="924">
        <f t="shared" si="745"/>
        <v>0</v>
      </c>
      <c r="W620" s="924">
        <f t="shared" si="746"/>
        <v>109.55999999999999</v>
      </c>
      <c r="X620" s="924">
        <f t="shared" si="747"/>
        <v>0</v>
      </c>
      <c r="Y620" s="893" t="s">
        <v>42</v>
      </c>
      <c r="Z620" s="925">
        <f t="shared" si="754"/>
        <v>109.55999999999999</v>
      </c>
      <c r="AA620" s="924">
        <f t="shared" si="749"/>
        <v>26.189999999999998</v>
      </c>
      <c r="AB620" s="924">
        <f t="shared" si="750"/>
        <v>26.189999999999998</v>
      </c>
      <c r="AC620" s="924">
        <f t="shared" si="751"/>
        <v>30.99</v>
      </c>
      <c r="AD620" s="924">
        <f t="shared" si="752"/>
        <v>26.189999999999998</v>
      </c>
      <c r="AE620" s="926"/>
      <c r="AF620" s="751"/>
      <c r="AG620" s="751"/>
      <c r="AH620" s="751" t="str">
        <f>IFERROR(INDEX('Annex 2_Code'!$J$114:$J$126,MATCH('Annex 3_MAFF'!AF620,'Annex 2_Code'!$G$114:$G$126,0)),"")</f>
        <v/>
      </c>
      <c r="AI620" s="885"/>
    </row>
    <row r="621" spans="1:38" s="637" customFormat="1" ht="16.5">
      <c r="A621" s="587"/>
      <c r="B621" s="882"/>
      <c r="C621" s="584"/>
      <c r="D621" s="307"/>
      <c r="E621" s="307"/>
      <c r="F621" s="307"/>
      <c r="G621" s="923" t="s">
        <v>455</v>
      </c>
      <c r="H621" s="751"/>
      <c r="I621" s="883"/>
      <c r="J621" s="177"/>
      <c r="K621" s="177"/>
      <c r="L621" s="177"/>
      <c r="M621" s="177"/>
      <c r="N621" s="177"/>
      <c r="O621" s="177"/>
      <c r="P621" s="177"/>
      <c r="Q621" s="177"/>
      <c r="R621" s="893" t="s">
        <v>455</v>
      </c>
      <c r="S621" s="1436">
        <f t="shared" si="753"/>
        <v>399.85</v>
      </c>
      <c r="T621" s="924">
        <f>SUMIFS(Y$15:Y$602,$B$15:$B$602,TRIM($R621))</f>
        <v>399.85</v>
      </c>
      <c r="U621" s="924">
        <f t="shared" si="744"/>
        <v>0</v>
      </c>
      <c r="V621" s="924">
        <f t="shared" si="745"/>
        <v>0</v>
      </c>
      <c r="W621" s="924">
        <f t="shared" si="746"/>
        <v>0</v>
      </c>
      <c r="X621" s="924">
        <f t="shared" si="747"/>
        <v>0</v>
      </c>
      <c r="Y621" s="893" t="s">
        <v>455</v>
      </c>
      <c r="Z621" s="925">
        <f t="shared" si="754"/>
        <v>399.85</v>
      </c>
      <c r="AA621" s="924">
        <f t="shared" si="749"/>
        <v>0</v>
      </c>
      <c r="AB621" s="924">
        <f t="shared" si="750"/>
        <v>199.92500000000001</v>
      </c>
      <c r="AC621" s="924">
        <f t="shared" si="751"/>
        <v>199.92500000000001</v>
      </c>
      <c r="AD621" s="924">
        <f t="shared" si="752"/>
        <v>0</v>
      </c>
      <c r="AE621" s="926"/>
      <c r="AF621" s="751"/>
      <c r="AG621" s="751"/>
      <c r="AH621" s="751" t="str">
        <f>IFERROR(INDEX('Annex 2_Code'!$J$114:$J$126,MATCH('Annex 3_MAFF'!AF621,'Annex 2_Code'!$G$114:$G$126,0)),"")</f>
        <v/>
      </c>
      <c r="AI621" s="885"/>
    </row>
    <row r="622" spans="1:38" ht="12.75">
      <c r="A622" s="63"/>
      <c r="B622" s="65"/>
      <c r="C622" s="59"/>
      <c r="D622" s="61"/>
      <c r="E622" s="61"/>
      <c r="F622" s="61"/>
      <c r="G622" s="521" t="s">
        <v>1464</v>
      </c>
      <c r="H622" s="314"/>
      <c r="I622" s="574"/>
      <c r="J622" s="66"/>
      <c r="K622" s="66"/>
      <c r="L622" s="66"/>
      <c r="M622" s="66"/>
      <c r="N622" s="66"/>
      <c r="O622" s="66"/>
      <c r="P622" s="66"/>
      <c r="Q622" s="66"/>
      <c r="R622" s="338" t="s">
        <v>1464</v>
      </c>
      <c r="S622" s="1437">
        <f t="shared" si="753"/>
        <v>833.65382999999997</v>
      </c>
      <c r="T622" s="340">
        <f>SUMIFS(Y$11:Y$599,$B$11:$B$599,TRIM($R622))</f>
        <v>833.65382999999997</v>
      </c>
      <c r="U622" s="340">
        <f t="shared" si="744"/>
        <v>0</v>
      </c>
      <c r="V622" s="340">
        <f t="shared" si="745"/>
        <v>0</v>
      </c>
      <c r="W622" s="340">
        <f t="shared" si="746"/>
        <v>0</v>
      </c>
      <c r="X622" s="340">
        <f t="shared" si="747"/>
        <v>0</v>
      </c>
      <c r="Y622" s="338" t="s">
        <v>1464</v>
      </c>
      <c r="Z622" s="341">
        <f t="shared" si="754"/>
        <v>833.65382999999997</v>
      </c>
      <c r="AA622" s="340">
        <f t="shared" si="749"/>
        <v>0</v>
      </c>
      <c r="AB622" s="340">
        <f t="shared" si="750"/>
        <v>59.87334899999999</v>
      </c>
      <c r="AC622" s="340">
        <f t="shared" si="751"/>
        <v>690.41509799999994</v>
      </c>
      <c r="AD622" s="340">
        <f t="shared" si="752"/>
        <v>83.365383000000008</v>
      </c>
      <c r="AE622" s="554"/>
      <c r="AF622" s="314"/>
      <c r="AG622" s="314"/>
      <c r="AH622" s="314" t="str">
        <f>IFERROR(INDEX('Annex 2_Code'!$J$114:$J$126,MATCH('Annex 3_MAFF'!AF622,'Annex 2_Code'!$G$114:$G$126,0)),"")</f>
        <v/>
      </c>
      <c r="AK622" s="62"/>
      <c r="AL622" s="62"/>
    </row>
    <row r="623" spans="1:38" ht="12.75">
      <c r="A623" s="63"/>
      <c r="B623" s="65"/>
      <c r="C623" s="59"/>
      <c r="D623" s="61"/>
      <c r="E623" s="61"/>
      <c r="F623" s="61"/>
      <c r="G623" s="521" t="s">
        <v>1452</v>
      </c>
      <c r="H623" s="314"/>
      <c r="I623" s="574"/>
      <c r="J623" s="66"/>
      <c r="K623" s="66"/>
      <c r="L623" s="66"/>
      <c r="M623" s="66"/>
      <c r="N623" s="66"/>
      <c r="O623" s="66"/>
      <c r="P623" s="66"/>
      <c r="Q623" s="66"/>
      <c r="R623" s="338" t="s">
        <v>1452</v>
      </c>
      <c r="S623" s="1437">
        <f t="shared" si="753"/>
        <v>2671.8381200000008</v>
      </c>
      <c r="T623" s="340">
        <f>SUMIFS(Y$11:Y$599,$B$11:$B$599,TRIM($R623))</f>
        <v>2671.8381200000008</v>
      </c>
      <c r="U623" s="340">
        <f t="shared" si="744"/>
        <v>0</v>
      </c>
      <c r="V623" s="340">
        <f t="shared" si="745"/>
        <v>0</v>
      </c>
      <c r="W623" s="340">
        <f t="shared" si="746"/>
        <v>0</v>
      </c>
      <c r="X623" s="340">
        <f t="shared" si="747"/>
        <v>0</v>
      </c>
      <c r="Y623" s="338" t="s">
        <v>1452</v>
      </c>
      <c r="Z623" s="341">
        <f t="shared" si="754"/>
        <v>2671.8381199999994</v>
      </c>
      <c r="AA623" s="340">
        <f t="shared" si="749"/>
        <v>666.25278000000003</v>
      </c>
      <c r="AB623" s="340">
        <f t="shared" si="750"/>
        <v>931.94437999999968</v>
      </c>
      <c r="AC623" s="340">
        <f t="shared" si="751"/>
        <v>599.74567999999999</v>
      </c>
      <c r="AD623" s="340">
        <f t="shared" si="752"/>
        <v>473.89527999999996</v>
      </c>
      <c r="AE623" s="554"/>
      <c r="AF623" s="314"/>
      <c r="AG623" s="314"/>
      <c r="AH623" s="314" t="str">
        <f>IFERROR(INDEX('Annex 2_Code'!$J$114:$J$126,MATCH('Annex 3_MAFF'!AF623,'Annex 2_Code'!$G$114:$G$126,0)),"")</f>
        <v/>
      </c>
      <c r="AK623" s="62"/>
      <c r="AL623" s="62"/>
    </row>
    <row r="624" spans="1:38" ht="12.75">
      <c r="A624" s="63"/>
      <c r="B624" s="65"/>
      <c r="C624" s="59"/>
      <c r="D624" s="61"/>
      <c r="E624" s="61"/>
      <c r="F624" s="61"/>
      <c r="G624" s="521" t="s">
        <v>1465</v>
      </c>
      <c r="H624" s="314"/>
      <c r="I624" s="574"/>
      <c r="J624" s="66"/>
      <c r="K624" s="66"/>
      <c r="L624" s="66"/>
      <c r="M624" s="66"/>
      <c r="N624" s="66"/>
      <c r="O624" s="66"/>
      <c r="P624" s="66"/>
      <c r="Q624" s="66"/>
      <c r="R624" s="338" t="s">
        <v>1465</v>
      </c>
      <c r="S624" s="1437">
        <f t="shared" si="753"/>
        <v>647.97399999999993</v>
      </c>
      <c r="T624" s="340">
        <f>SUMIFS(Y$11:Y$599,$B$11:$B$599,TRIM($R624))</f>
        <v>647.97399999999993</v>
      </c>
      <c r="U624" s="340">
        <f t="shared" si="744"/>
        <v>0</v>
      </c>
      <c r="V624" s="340">
        <f t="shared" si="745"/>
        <v>0</v>
      </c>
      <c r="W624" s="340">
        <f t="shared" si="746"/>
        <v>0</v>
      </c>
      <c r="X624" s="340">
        <f t="shared" si="747"/>
        <v>0</v>
      </c>
      <c r="Y624" s="338" t="s">
        <v>1465</v>
      </c>
      <c r="Z624" s="341">
        <f t="shared" si="754"/>
        <v>647.97399999999993</v>
      </c>
      <c r="AA624" s="340">
        <f t="shared" si="749"/>
        <v>146.35599999999997</v>
      </c>
      <c r="AB624" s="340">
        <f t="shared" si="750"/>
        <v>189.35599999999997</v>
      </c>
      <c r="AC624" s="340">
        <f t="shared" si="751"/>
        <v>169.90599999999998</v>
      </c>
      <c r="AD624" s="340">
        <f t="shared" si="752"/>
        <v>142.35599999999999</v>
      </c>
      <c r="AE624" s="554"/>
      <c r="AF624" s="314"/>
      <c r="AG624" s="314"/>
      <c r="AH624" s="314" t="str">
        <f>IFERROR(INDEX('Annex 2_Code'!$J$114:$J$126,MATCH('Annex 3_MAFF'!AF624,'Annex 2_Code'!$G$114:$G$126,0)),"")</f>
        <v/>
      </c>
      <c r="AK624" s="62"/>
      <c r="AL624" s="62"/>
    </row>
    <row r="625" spans="1:38" ht="12.75">
      <c r="A625" s="63"/>
      <c r="B625" s="65"/>
      <c r="C625" s="59"/>
      <c r="D625" s="61"/>
      <c r="E625" s="61"/>
      <c r="F625" s="61"/>
      <c r="G625" s="522"/>
      <c r="H625" s="314"/>
      <c r="I625" s="574"/>
      <c r="J625" s="66"/>
      <c r="K625" s="66"/>
      <c r="L625" s="66"/>
      <c r="M625" s="66"/>
      <c r="N625" s="66"/>
      <c r="O625" s="66"/>
      <c r="P625" s="66"/>
      <c r="Q625" s="66"/>
      <c r="R625" s="66"/>
      <c r="S625" s="1438">
        <f>SUM(S616:S624)</f>
        <v>16882.1185</v>
      </c>
      <c r="T625" s="343">
        <f>SUM(T616:T624)</f>
        <v>5697.9329500000003</v>
      </c>
      <c r="U625" s="343">
        <f t="shared" ref="U625:X625" si="755">SUM(U616:U624)</f>
        <v>0</v>
      </c>
      <c r="V625" s="343">
        <f t="shared" si="755"/>
        <v>9382.8655500000004</v>
      </c>
      <c r="W625" s="343">
        <f t="shared" si="755"/>
        <v>1354.44</v>
      </c>
      <c r="X625" s="343">
        <f t="shared" si="755"/>
        <v>446.88</v>
      </c>
      <c r="Y625" s="569" t="s">
        <v>12</v>
      </c>
      <c r="Z625" s="342">
        <f>SUM(Z616:Z624)</f>
        <v>16882.118499999997</v>
      </c>
      <c r="AA625" s="342">
        <f t="shared" ref="AA625:AD625" si="756">SUM(AA616:AA624)</f>
        <v>2157.2327799999998</v>
      </c>
      <c r="AB625" s="342">
        <f t="shared" si="756"/>
        <v>5304.1897289999997</v>
      </c>
      <c r="AC625" s="342">
        <f t="shared" si="756"/>
        <v>5502.2427779999989</v>
      </c>
      <c r="AD625" s="342">
        <f t="shared" si="756"/>
        <v>3918.4532129999998</v>
      </c>
      <c r="AE625" s="342"/>
      <c r="AF625" s="314"/>
      <c r="AG625" s="314"/>
      <c r="AH625" s="314" t="str">
        <f>IFERROR(INDEX('Annex 2_Code'!$J$114:$J$126,MATCH('Annex 3_MAFF'!AF625,'Annex 2_Code'!$G$114:$G$126,0)),"")</f>
        <v/>
      </c>
      <c r="AK625" s="62"/>
      <c r="AL625" s="62"/>
    </row>
    <row r="626" spans="1:38" ht="12.75">
      <c r="A626" s="63"/>
      <c r="B626" s="65"/>
      <c r="C626" s="59"/>
      <c r="D626" s="61"/>
      <c r="E626" s="61"/>
      <c r="F626" s="61"/>
      <c r="G626" s="71" t="s">
        <v>56</v>
      </c>
      <c r="H626" s="314"/>
      <c r="I626" s="574"/>
      <c r="J626" s="66"/>
      <c r="K626" s="66"/>
      <c r="L626" s="66"/>
      <c r="M626" s="66"/>
      <c r="N626" s="66"/>
      <c r="O626" s="66"/>
      <c r="P626" s="66"/>
      <c r="Q626" s="66"/>
      <c r="R626" s="71" t="s">
        <v>56</v>
      </c>
      <c r="S626" s="1439">
        <f>S603-S625</f>
        <v>0</v>
      </c>
      <c r="T626" s="456">
        <f>Y603-T625</f>
        <v>0</v>
      </c>
      <c r="U626" s="456">
        <f>Z603-U625</f>
        <v>0</v>
      </c>
      <c r="V626" s="456">
        <f>AA603-V625</f>
        <v>0</v>
      </c>
      <c r="W626" s="456">
        <f>AB603-W625</f>
        <v>0</v>
      </c>
      <c r="X626" s="456">
        <f>AC603-X625</f>
        <v>0</v>
      </c>
      <c r="Y626" s="63"/>
      <c r="Z626" s="344">
        <f>Z625-Z613</f>
        <v>0</v>
      </c>
      <c r="AA626" s="61"/>
      <c r="AB626" s="61"/>
      <c r="AC626" s="61"/>
      <c r="AD626" s="323"/>
      <c r="AE626" s="323"/>
      <c r="AF626" s="314"/>
      <c r="AG626" s="314"/>
      <c r="AH626" s="314" t="str">
        <f>IFERROR(INDEX('Annex 2_Code'!$J$114:$J$126,MATCH('Annex 3_MAFF'!AF626,'Annex 2_Code'!$G$114:$G$126,0)),"")</f>
        <v/>
      </c>
      <c r="AK626" s="62"/>
      <c r="AL626" s="62"/>
    </row>
    <row r="627" spans="1:38" ht="12.75">
      <c r="A627" s="63"/>
      <c r="B627" s="65"/>
      <c r="C627" s="59"/>
      <c r="D627" s="61"/>
      <c r="E627" s="61"/>
      <c r="F627" s="61"/>
      <c r="G627" s="523" t="s">
        <v>383</v>
      </c>
      <c r="H627" s="314"/>
      <c r="I627" s="574"/>
      <c r="J627" s="66"/>
      <c r="K627" s="66"/>
      <c r="L627" s="66"/>
      <c r="M627" s="66"/>
      <c r="N627" s="66"/>
      <c r="O627" s="66"/>
      <c r="P627" s="66"/>
      <c r="Q627" s="66"/>
      <c r="R627" s="458" t="s">
        <v>383</v>
      </c>
      <c r="S627" s="1440"/>
      <c r="T627" s="334"/>
      <c r="U627" s="335"/>
      <c r="V627" s="335"/>
      <c r="W627" s="335"/>
      <c r="X627" s="335"/>
      <c r="Y627" s="73" t="s">
        <v>12</v>
      </c>
      <c r="Z627" s="61"/>
      <c r="AA627" s="61"/>
      <c r="AB627" s="61"/>
      <c r="AC627" s="61"/>
      <c r="AD627" s="323"/>
      <c r="AE627" s="323"/>
      <c r="AF627" s="314"/>
      <c r="AG627" s="314"/>
      <c r="AH627" s="314" t="str">
        <f>IFERROR(INDEX('Annex 2_Code'!$J$114:$J$126,MATCH('Annex 3_MAFF'!AF627,'Annex 2_Code'!$G$114:$G$126,0)),"")</f>
        <v/>
      </c>
      <c r="AK627" s="62"/>
      <c r="AL627" s="62"/>
    </row>
    <row r="628" spans="1:38" ht="12.75">
      <c r="A628" s="63"/>
      <c r="B628" s="65"/>
      <c r="C628" s="59"/>
      <c r="D628" s="61"/>
      <c r="E628" s="61"/>
      <c r="F628" s="61"/>
      <c r="G628" s="521" t="s">
        <v>23</v>
      </c>
      <c r="H628" s="314"/>
      <c r="I628" s="574"/>
      <c r="J628" s="66"/>
      <c r="K628" s="66"/>
      <c r="L628" s="66"/>
      <c r="M628" s="66"/>
      <c r="N628" s="66"/>
      <c r="O628" s="66"/>
      <c r="P628" s="66"/>
      <c r="Q628" s="66"/>
      <c r="R628" s="338" t="s">
        <v>23</v>
      </c>
      <c r="S628" s="1441">
        <f>X635</f>
        <v>3342.9545700000003</v>
      </c>
      <c r="T628" s="457">
        <f>S618-S628</f>
        <v>687.22798000000012</v>
      </c>
      <c r="U628" s="335"/>
      <c r="V628" s="335"/>
      <c r="W628" s="335"/>
      <c r="X628" s="335"/>
      <c r="Z628" s="390" t="s">
        <v>10</v>
      </c>
      <c r="AA628" s="390" t="s">
        <v>6</v>
      </c>
      <c r="AB628" s="390" t="s">
        <v>7</v>
      </c>
      <c r="AC628" s="390" t="s">
        <v>8</v>
      </c>
      <c r="AD628" s="391" t="s">
        <v>9</v>
      </c>
      <c r="AE628" s="579"/>
      <c r="AF628" s="314"/>
      <c r="AG628" s="314"/>
      <c r="AH628" s="314" t="str">
        <f>IFERROR(INDEX('Annex 2_Code'!$J$114:$J$126,MATCH('Annex 3_MAFF'!AF628,'Annex 2_Code'!$G$114:$G$126,0)),"")</f>
        <v/>
      </c>
      <c r="AK628" s="62"/>
      <c r="AL628" s="62"/>
    </row>
    <row r="629" spans="1:38" ht="12.75">
      <c r="A629" s="63"/>
      <c r="B629" s="65"/>
      <c r="C629" s="59"/>
      <c r="D629" s="61"/>
      <c r="E629" s="61"/>
      <c r="F629" s="61"/>
      <c r="G629" s="521" t="s">
        <v>22</v>
      </c>
      <c r="H629" s="314"/>
      <c r="I629" s="574"/>
      <c r="J629" s="66"/>
      <c r="K629" s="66"/>
      <c r="L629" s="66"/>
      <c r="M629" s="66"/>
      <c r="N629" s="66"/>
      <c r="O629" s="66"/>
      <c r="P629" s="66"/>
      <c r="Q629" s="66"/>
      <c r="R629" s="338" t="s">
        <v>22</v>
      </c>
      <c r="S629" s="1441">
        <f>X642</f>
        <v>5223.5038299999997</v>
      </c>
      <c r="T629" s="334"/>
      <c r="U629" s="335"/>
      <c r="V629" s="335"/>
      <c r="W629" s="345" t="s">
        <v>33</v>
      </c>
      <c r="X629" s="346">
        <f>Z629</f>
        <v>3146.3600000000006</v>
      </c>
      <c r="Y629" s="570" t="s">
        <v>33</v>
      </c>
      <c r="Z629" s="339">
        <f>SUM(AA629:AD629)</f>
        <v>3146.3600000000006</v>
      </c>
      <c r="AA629" s="340">
        <f t="shared" ref="AA629:AD630" si="757">SUMIFS(O$9:O$602,$C$9:$C$602,TRIM($Y629))</f>
        <v>645.5</v>
      </c>
      <c r="AB629" s="340">
        <f t="shared" si="757"/>
        <v>1083.68</v>
      </c>
      <c r="AC629" s="340">
        <f t="shared" si="757"/>
        <v>891.04</v>
      </c>
      <c r="AD629" s="340">
        <f t="shared" si="757"/>
        <v>526.1400000000001</v>
      </c>
      <c r="AE629" s="554"/>
      <c r="AF629" s="314"/>
      <c r="AG629" s="314"/>
      <c r="AH629" s="314" t="str">
        <f>IFERROR(INDEX('Annex 2_Code'!$J$114:$J$126,MATCH('Annex 3_MAFF'!AF629,'Annex 2_Code'!$G$114:$G$126,0)),"")</f>
        <v/>
      </c>
      <c r="AK629" s="62"/>
      <c r="AL629" s="62"/>
    </row>
    <row r="630" spans="1:38" ht="12.75">
      <c r="A630" s="63"/>
      <c r="B630" s="65"/>
      <c r="C630" s="59"/>
      <c r="D630" s="61"/>
      <c r="E630" s="61"/>
      <c r="F630" s="61"/>
      <c r="G630" s="521" t="s">
        <v>42</v>
      </c>
      <c r="H630" s="314"/>
      <c r="I630" s="574"/>
      <c r="J630" s="66"/>
      <c r="K630" s="66"/>
      <c r="L630" s="66"/>
      <c r="M630" s="66"/>
      <c r="N630" s="66"/>
      <c r="O630" s="66"/>
      <c r="P630" s="66"/>
      <c r="Q630" s="66"/>
      <c r="R630" s="338" t="s">
        <v>42</v>
      </c>
      <c r="S630" s="1441">
        <f>X653</f>
        <v>109.55999999999999</v>
      </c>
      <c r="T630" s="334"/>
      <c r="U630" s="335"/>
      <c r="V630" s="335"/>
      <c r="W630" s="335"/>
      <c r="X630" s="335"/>
      <c r="Y630" s="571" t="s">
        <v>132</v>
      </c>
      <c r="Z630" s="454">
        <f>SUM(AA630:AD630)</f>
        <v>821.81302000000017</v>
      </c>
      <c r="AA630" s="340">
        <f t="shared" si="757"/>
        <v>202.31868000000003</v>
      </c>
      <c r="AB630" s="340">
        <f t="shared" si="757"/>
        <v>208.34038000000004</v>
      </c>
      <c r="AC630" s="340">
        <f t="shared" si="757"/>
        <v>227.61868000000004</v>
      </c>
      <c r="AD630" s="340">
        <f t="shared" si="757"/>
        <v>183.53528000000003</v>
      </c>
      <c r="AE630" s="554"/>
      <c r="AF630" s="314"/>
      <c r="AG630" s="314"/>
      <c r="AH630" s="314" t="str">
        <f>IFERROR(INDEX('Annex 2_Code'!$J$114:$J$126,MATCH('Annex 3_MAFF'!AF630,'Annex 2_Code'!$G$114:$G$126,0)),"")</f>
        <v/>
      </c>
      <c r="AK630" s="62"/>
      <c r="AL630" s="62"/>
    </row>
    <row r="631" spans="1:38" ht="12.75">
      <c r="A631" s="63"/>
      <c r="B631" s="65"/>
      <c r="C631" s="59"/>
      <c r="D631" s="61"/>
      <c r="E631" s="61"/>
      <c r="F631" s="61"/>
      <c r="G631" s="521" t="s">
        <v>114</v>
      </c>
      <c r="H631" s="314"/>
      <c r="I631" s="574"/>
      <c r="J631" s="66"/>
      <c r="K631" s="66"/>
      <c r="L631" s="66"/>
      <c r="M631" s="66"/>
      <c r="N631" s="66"/>
      <c r="O631" s="66"/>
      <c r="P631" s="66"/>
      <c r="Q631" s="66"/>
      <c r="R631" s="338" t="s">
        <v>114</v>
      </c>
      <c r="S631" s="1441">
        <f>X654</f>
        <v>628.97399999999993</v>
      </c>
      <c r="T631" s="334"/>
      <c r="U631" s="335"/>
      <c r="V631" s="335"/>
      <c r="W631" s="335"/>
      <c r="X631" s="335"/>
      <c r="Y631" s="571" t="s">
        <v>125</v>
      </c>
      <c r="Z631" s="454">
        <f>SUM(AA631:AD631)</f>
        <v>1066.2059999999999</v>
      </c>
      <c r="AA631" s="340">
        <f t="shared" ref="AA631:AA658" si="758">SUMIFS(O$15:O$602,$C$15:$C$602,TRIM($Y631))</f>
        <v>260.60499999999996</v>
      </c>
      <c r="AB631" s="340">
        <f t="shared" ref="AB631:AB658" si="759">SUMIFS(P$9:P$602,$C$9:$C$602,TRIM($Y631))</f>
        <v>290.48399999999992</v>
      </c>
      <c r="AC631" s="340">
        <f t="shared" ref="AC631:AC658" si="760">SUMIFS(Q$9:Q$602,$C$9:$C$602,TRIM($Y631))</f>
        <v>242.80199999999996</v>
      </c>
      <c r="AD631" s="340">
        <f t="shared" ref="AD631:AD658" si="761">SUMIFS(R$9:R$602,$C$9:$C$602,TRIM($Y631))</f>
        <v>272.315</v>
      </c>
      <c r="AE631" s="554"/>
      <c r="AF631" s="314"/>
      <c r="AG631" s="314"/>
      <c r="AH631" s="314" t="str">
        <f>IFERROR(INDEX('Annex 2_Code'!$J$114:$J$126,MATCH('Annex 3_MAFF'!AF631,'Annex 2_Code'!$G$114:$G$126,0)),"")</f>
        <v/>
      </c>
      <c r="AK631" s="62"/>
      <c r="AL631" s="62"/>
    </row>
    <row r="632" spans="1:38" ht="12.75">
      <c r="A632" s="63"/>
      <c r="B632" s="65"/>
      <c r="C632" s="59"/>
      <c r="D632" s="61"/>
      <c r="E632" s="61"/>
      <c r="F632" s="61"/>
      <c r="G632" s="521" t="s">
        <v>33</v>
      </c>
      <c r="H632" s="314"/>
      <c r="I632" s="574"/>
      <c r="J632" s="66"/>
      <c r="K632" s="66"/>
      <c r="L632" s="66"/>
      <c r="M632" s="66"/>
      <c r="N632" s="66"/>
      <c r="O632" s="66"/>
      <c r="P632" s="66"/>
      <c r="Q632" s="66"/>
      <c r="R632" s="338" t="s">
        <v>33</v>
      </c>
      <c r="S632" s="1441">
        <f>X629</f>
        <v>3146.3600000000006</v>
      </c>
      <c r="T632" s="334"/>
      <c r="U632" s="335"/>
      <c r="V632" s="335"/>
      <c r="W632" s="335"/>
      <c r="X632" s="335"/>
      <c r="Y632" s="571" t="s">
        <v>127</v>
      </c>
      <c r="Z632" s="454">
        <f t="shared" ref="Z632:Z658" si="762">SUM(AA632:AD632)</f>
        <v>0</v>
      </c>
      <c r="AA632" s="340">
        <f t="shared" si="758"/>
        <v>0</v>
      </c>
      <c r="AB632" s="340">
        <f t="shared" si="759"/>
        <v>0</v>
      </c>
      <c r="AC632" s="340">
        <f t="shared" si="760"/>
        <v>0</v>
      </c>
      <c r="AD632" s="340">
        <f t="shared" si="761"/>
        <v>0</v>
      </c>
      <c r="AE632" s="554"/>
      <c r="AF632" s="314"/>
      <c r="AG632" s="314"/>
      <c r="AH632" s="314" t="str">
        <f>IFERROR(INDEX('Annex 2_Code'!$J$114:$J$126,MATCH('Annex 3_MAFF'!AF632,'Annex 2_Code'!$G$114:$G$126,0)),"")</f>
        <v/>
      </c>
      <c r="AK632" s="62"/>
      <c r="AL632" s="62"/>
    </row>
    <row r="633" spans="1:38" ht="12.75">
      <c r="A633" s="63"/>
      <c r="B633" s="65"/>
      <c r="C633" s="59"/>
      <c r="D633" s="61"/>
      <c r="E633" s="61"/>
      <c r="F633" s="61"/>
      <c r="G633" s="521" t="s">
        <v>41</v>
      </c>
      <c r="H633" s="314"/>
      <c r="I633" s="574"/>
      <c r="J633" s="66"/>
      <c r="K633" s="66"/>
      <c r="L633" s="66"/>
      <c r="M633" s="66"/>
      <c r="N633" s="66"/>
      <c r="O633" s="66"/>
      <c r="P633" s="66"/>
      <c r="Q633" s="66"/>
      <c r="R633" s="338" t="s">
        <v>41</v>
      </c>
      <c r="S633" s="1441">
        <f>X655</f>
        <v>1947.4999999999998</v>
      </c>
      <c r="T633" s="334"/>
      <c r="U633" s="335"/>
      <c r="V633" s="335"/>
      <c r="W633" s="335"/>
      <c r="X633" s="335"/>
      <c r="Y633" s="571" t="s">
        <v>131</v>
      </c>
      <c r="Z633" s="454">
        <f t="shared" si="762"/>
        <v>1045.9455499999999</v>
      </c>
      <c r="AA633" s="340">
        <f t="shared" si="758"/>
        <v>68.524000000000001</v>
      </c>
      <c r="AB633" s="340">
        <f t="shared" si="759"/>
        <v>309.75200000000001</v>
      </c>
      <c r="AC633" s="340">
        <f t="shared" si="760"/>
        <v>291.48200000000003</v>
      </c>
      <c r="AD633" s="340">
        <f t="shared" si="761"/>
        <v>376.18754999999999</v>
      </c>
      <c r="AE633" s="554"/>
      <c r="AF633" s="314"/>
      <c r="AG633" s="314"/>
      <c r="AH633" s="314" t="str">
        <f>IFERROR(INDEX('Annex 2_Code'!$J$114:$J$126,MATCH('Annex 3_MAFF'!AF633,'Annex 2_Code'!$G$114:$G$126,0)),"")</f>
        <v/>
      </c>
      <c r="AK633" s="62"/>
      <c r="AL633" s="62"/>
    </row>
    <row r="634" spans="1:38" ht="12.75">
      <c r="A634" s="63"/>
      <c r="B634" s="65"/>
      <c r="C634" s="59"/>
      <c r="D634" s="61"/>
      <c r="E634" s="61"/>
      <c r="F634" s="61"/>
      <c r="G634" s="521" t="s">
        <v>123</v>
      </c>
      <c r="H634" s="314"/>
      <c r="I634" s="574"/>
      <c r="J634" s="66"/>
      <c r="K634" s="66"/>
      <c r="L634" s="66"/>
      <c r="M634" s="66"/>
      <c r="N634" s="66"/>
      <c r="O634" s="66"/>
      <c r="P634" s="66"/>
      <c r="Q634" s="66"/>
      <c r="R634" s="338" t="s">
        <v>123</v>
      </c>
      <c r="S634" s="1441">
        <f>X652</f>
        <v>2168.2660999999998</v>
      </c>
      <c r="T634" s="334"/>
      <c r="U634" s="335"/>
      <c r="V634" s="335"/>
      <c r="W634" s="335"/>
      <c r="X634" s="335"/>
      <c r="Y634" s="571" t="s">
        <v>120</v>
      </c>
      <c r="Z634" s="454">
        <f t="shared" si="762"/>
        <v>375.67</v>
      </c>
      <c r="AA634" s="340">
        <f t="shared" si="758"/>
        <v>191.96000000000004</v>
      </c>
      <c r="AB634" s="340">
        <f t="shared" si="759"/>
        <v>135.33999999999997</v>
      </c>
      <c r="AC634" s="340">
        <f t="shared" si="760"/>
        <v>30.324999999999996</v>
      </c>
      <c r="AD634" s="340">
        <f t="shared" si="761"/>
        <v>18.044999999999998</v>
      </c>
      <c r="AE634" s="554"/>
      <c r="AF634" s="321"/>
      <c r="AG634" s="314"/>
      <c r="AH634" s="314" t="str">
        <f>IFERROR(INDEX('Annex 2_Code'!$J$114:$J$126,MATCH('Annex 3_MAFF'!AF634,'Annex 2_Code'!$G$114:$G$126,0)),"")</f>
        <v/>
      </c>
      <c r="AK634" s="62"/>
      <c r="AL634" s="62"/>
    </row>
    <row r="635" spans="1:38" ht="12.75">
      <c r="A635" s="63"/>
      <c r="B635" s="65"/>
      <c r="C635" s="59"/>
      <c r="D635" s="61"/>
      <c r="E635" s="61"/>
      <c r="F635" s="61"/>
      <c r="G635" s="522" t="s">
        <v>357</v>
      </c>
      <c r="H635" s="314"/>
      <c r="I635" s="574"/>
      <c r="J635" s="66"/>
      <c r="K635" s="66"/>
      <c r="L635" s="66"/>
      <c r="M635" s="66"/>
      <c r="N635" s="66"/>
      <c r="O635" s="66"/>
      <c r="P635" s="66"/>
      <c r="Q635" s="66"/>
      <c r="R635" s="471" t="s">
        <v>357</v>
      </c>
      <c r="S635" s="1441">
        <f>X643</f>
        <v>315.00000000000006</v>
      </c>
      <c r="T635" s="1281">
        <f>SUM(S634:S635)</f>
        <v>2483.2660999999998</v>
      </c>
      <c r="U635" s="335"/>
      <c r="V635" s="335"/>
      <c r="W635" s="345" t="s">
        <v>23</v>
      </c>
      <c r="X635" s="453">
        <f>SUM(Z630:Z636)</f>
        <v>3342.9545700000003</v>
      </c>
      <c r="Y635" s="571" t="s">
        <v>133</v>
      </c>
      <c r="Z635" s="454">
        <f t="shared" si="762"/>
        <v>33.32</v>
      </c>
      <c r="AA635" s="340">
        <f t="shared" si="758"/>
        <v>8.33</v>
      </c>
      <c r="AB635" s="340">
        <f t="shared" si="759"/>
        <v>8.33</v>
      </c>
      <c r="AC635" s="340">
        <f t="shared" si="760"/>
        <v>8.33</v>
      </c>
      <c r="AD635" s="340">
        <f t="shared" si="761"/>
        <v>8.33</v>
      </c>
      <c r="AE635" s="554"/>
      <c r="AF635" s="314"/>
      <c r="AG635" s="314"/>
      <c r="AH635" s="314" t="str">
        <f>IFERROR(INDEX('Annex 2_Code'!$J$114:$J$126,MATCH('Annex 3_MAFF'!AF635,'Annex 2_Code'!$G$114:$G$126,0)),"")</f>
        <v/>
      </c>
      <c r="AK635" s="62"/>
      <c r="AL635" s="62"/>
    </row>
    <row r="636" spans="1:38" ht="12.75">
      <c r="A636" s="63"/>
      <c r="B636" s="65"/>
      <c r="C636" s="59"/>
      <c r="D636" s="61"/>
      <c r="E636" s="61"/>
      <c r="F636" s="61"/>
      <c r="G636" s="522"/>
      <c r="H636" s="314"/>
      <c r="I636" s="574"/>
      <c r="J636" s="66"/>
      <c r="K636" s="66"/>
      <c r="L636" s="66"/>
      <c r="M636" s="66"/>
      <c r="N636" s="66"/>
      <c r="O636" s="66"/>
      <c r="P636" s="66"/>
      <c r="Q636" s="66"/>
      <c r="R636" s="66"/>
      <c r="S636" s="1442">
        <f>SUM(S628:S635)</f>
        <v>16882.1185</v>
      </c>
      <c r="T636" s="462">
        <f t="shared" ref="T636:T641" si="763">Z630</f>
        <v>821.81302000000017</v>
      </c>
      <c r="U636" s="461"/>
      <c r="V636" s="335"/>
      <c r="W636" s="335"/>
      <c r="X636" s="333"/>
      <c r="Y636" s="571" t="s">
        <v>447</v>
      </c>
      <c r="Z636" s="454">
        <f>SUM(AA636:AD636)</f>
        <v>0</v>
      </c>
      <c r="AA636" s="340">
        <f t="shared" si="758"/>
        <v>0</v>
      </c>
      <c r="AB636" s="340">
        <f t="shared" si="759"/>
        <v>0</v>
      </c>
      <c r="AC636" s="340">
        <f t="shared" si="760"/>
        <v>0</v>
      </c>
      <c r="AD636" s="340">
        <f t="shared" si="761"/>
        <v>0</v>
      </c>
      <c r="AE636" s="554"/>
      <c r="AF636" s="314"/>
      <c r="AG636" s="314"/>
      <c r="AH636" s="314" t="str">
        <f>IFERROR(INDEX('Annex 2_Code'!$J$114:$J$126,MATCH('Annex 3_MAFF'!AF636,'Annex 2_Code'!$G$114:$G$126,0)),"")</f>
        <v/>
      </c>
      <c r="AK636" s="62"/>
      <c r="AL636" s="62"/>
    </row>
    <row r="637" spans="1:38" ht="12.75">
      <c r="A637" s="63"/>
      <c r="B637" s="65"/>
      <c r="C637" s="59"/>
      <c r="D637" s="61"/>
      <c r="E637" s="61"/>
      <c r="F637" s="61"/>
      <c r="G637" s="71" t="s">
        <v>56</v>
      </c>
      <c r="H637" s="314"/>
      <c r="I637" s="574"/>
      <c r="J637" s="66"/>
      <c r="K637" s="66"/>
      <c r="L637" s="66"/>
      <c r="M637" s="66"/>
      <c r="N637" s="66"/>
      <c r="O637" s="66"/>
      <c r="P637" s="66"/>
      <c r="Q637" s="66"/>
      <c r="R637" s="71" t="s">
        <v>56</v>
      </c>
      <c r="S637" s="1443">
        <f>S636-S603</f>
        <v>0</v>
      </c>
      <c r="T637" s="462">
        <f t="shared" si="763"/>
        <v>1066.2059999999999</v>
      </c>
      <c r="U637" s="335"/>
      <c r="V637" s="335"/>
      <c r="W637" s="335"/>
      <c r="X637" s="333"/>
      <c r="Y637" s="571" t="s">
        <v>124</v>
      </c>
      <c r="Z637" s="339">
        <f>SUM(AA637:AD637)</f>
        <v>242</v>
      </c>
      <c r="AA637" s="340">
        <f t="shared" si="758"/>
        <v>0</v>
      </c>
      <c r="AB637" s="340">
        <f t="shared" si="759"/>
        <v>121</v>
      </c>
      <c r="AC637" s="340">
        <f t="shared" si="760"/>
        <v>121</v>
      </c>
      <c r="AD637" s="340">
        <f t="shared" si="761"/>
        <v>0</v>
      </c>
      <c r="AE637" s="554"/>
      <c r="AF637" s="314"/>
      <c r="AG637" s="314"/>
      <c r="AH637" s="314" t="str">
        <f>IFERROR(INDEX('Annex 2_Code'!$J$114:$J$126,MATCH('Annex 3_MAFF'!AF637,'Annex 2_Code'!$G$114:$G$126,0)),"")</f>
        <v/>
      </c>
      <c r="AI637" s="62"/>
      <c r="AK637" s="62"/>
      <c r="AL637" s="62"/>
    </row>
    <row r="638" spans="1:38" ht="12.75">
      <c r="A638" s="63"/>
      <c r="B638" s="65"/>
      <c r="C638" s="59"/>
      <c r="D638" s="61"/>
      <c r="E638" s="61"/>
      <c r="F638" s="61"/>
      <c r="G638" s="61"/>
      <c r="H638" s="314"/>
      <c r="I638" s="574"/>
      <c r="J638" s="66"/>
      <c r="K638" s="66"/>
      <c r="L638" s="66"/>
      <c r="M638" s="66"/>
      <c r="N638" s="66"/>
      <c r="O638" s="66"/>
      <c r="P638" s="66"/>
      <c r="Q638" s="66"/>
      <c r="R638" s="66"/>
      <c r="S638" s="1444"/>
      <c r="T638" s="462">
        <f t="shared" si="763"/>
        <v>0</v>
      </c>
      <c r="U638" s="463"/>
      <c r="V638" s="335"/>
      <c r="W638" s="335"/>
      <c r="X638" s="333"/>
      <c r="Y638" s="571" t="s">
        <v>777</v>
      </c>
      <c r="Z638" s="339">
        <f t="shared" si="762"/>
        <v>52.85</v>
      </c>
      <c r="AA638" s="340">
        <f t="shared" si="758"/>
        <v>0</v>
      </c>
      <c r="AB638" s="340">
        <f t="shared" si="759"/>
        <v>26.425000000000001</v>
      </c>
      <c r="AC638" s="340">
        <f t="shared" si="760"/>
        <v>26.425000000000001</v>
      </c>
      <c r="AD638" s="340">
        <f t="shared" si="761"/>
        <v>0</v>
      </c>
      <c r="AE638" s="554"/>
      <c r="AF638" s="314"/>
      <c r="AG638" s="314"/>
      <c r="AH638" s="314" t="str">
        <f>IFERROR(INDEX('Annex 2_Code'!$J$114:$J$126,MATCH('Annex 3_MAFF'!AF638,'Annex 2_Code'!$G$114:$G$126,0)),"")</f>
        <v/>
      </c>
      <c r="AI638" s="62"/>
      <c r="AK638" s="62"/>
      <c r="AL638" s="62"/>
    </row>
    <row r="639" spans="1:38" ht="12.75">
      <c r="A639" s="63"/>
      <c r="B639" s="65"/>
      <c r="C639" s="59"/>
      <c r="D639" s="61"/>
      <c r="E639" s="61"/>
      <c r="F639" s="61"/>
      <c r="G639" s="61"/>
      <c r="H639" s="314"/>
      <c r="I639" s="574"/>
      <c r="J639" s="66"/>
      <c r="K639" s="66"/>
      <c r="L639" s="66"/>
      <c r="M639" s="66"/>
      <c r="N639" s="66"/>
      <c r="O639" s="66"/>
      <c r="P639" s="66"/>
      <c r="Q639" s="66"/>
      <c r="R639" s="66"/>
      <c r="S639" s="1444"/>
      <c r="T639" s="462">
        <f t="shared" si="763"/>
        <v>1045.9455499999999</v>
      </c>
      <c r="U639" s="335"/>
      <c r="V639" s="335"/>
      <c r="W639" s="335"/>
      <c r="X639" s="333"/>
      <c r="Y639" s="571" t="s">
        <v>778</v>
      </c>
      <c r="Z639" s="339">
        <f>SUM(AA639:AD639)</f>
        <v>81.25</v>
      </c>
      <c r="AA639" s="340">
        <f t="shared" si="758"/>
        <v>0</v>
      </c>
      <c r="AB639" s="340">
        <f t="shared" si="759"/>
        <v>40.625</v>
      </c>
      <c r="AC639" s="340">
        <f t="shared" si="760"/>
        <v>40.625</v>
      </c>
      <c r="AD639" s="340">
        <f t="shared" si="761"/>
        <v>0</v>
      </c>
      <c r="AE639" s="554"/>
      <c r="AF639" s="314"/>
      <c r="AG639" s="314"/>
      <c r="AH639" s="314" t="str">
        <f>IFERROR(INDEX('Annex 2_Code'!$J$114:$J$126,MATCH('Annex 3_MAFF'!AF639,'Annex 2_Code'!$G$114:$G$126,0)),"")</f>
        <v/>
      </c>
      <c r="AI639" s="62"/>
      <c r="AK639" s="62"/>
      <c r="AL639" s="62"/>
    </row>
    <row r="640" spans="1:38" ht="12.75">
      <c r="A640" s="63"/>
      <c r="B640" s="65"/>
      <c r="C640" s="59"/>
      <c r="D640" s="61"/>
      <c r="E640" s="61"/>
      <c r="F640" s="61"/>
      <c r="G640" s="61"/>
      <c r="H640" s="314"/>
      <c r="I640" s="574"/>
      <c r="J640" s="66"/>
      <c r="K640" s="66"/>
      <c r="L640" s="66"/>
      <c r="M640" s="66"/>
      <c r="N640" s="66"/>
      <c r="O640" s="66"/>
      <c r="P640" s="66"/>
      <c r="Q640" s="66"/>
      <c r="R640" s="66"/>
      <c r="S640" s="1444"/>
      <c r="T640" s="462">
        <f t="shared" si="763"/>
        <v>375.67</v>
      </c>
      <c r="U640" s="335"/>
      <c r="V640" s="335"/>
      <c r="W640" s="335"/>
      <c r="X640" s="333"/>
      <c r="Y640" s="571" t="s">
        <v>779</v>
      </c>
      <c r="Z640" s="339">
        <f>SUM(AA640:AD640)</f>
        <v>23.75</v>
      </c>
      <c r="AA640" s="340">
        <f t="shared" si="758"/>
        <v>0</v>
      </c>
      <c r="AB640" s="340">
        <f t="shared" si="759"/>
        <v>11.875</v>
      </c>
      <c r="AC640" s="340">
        <f t="shared" si="760"/>
        <v>11.875</v>
      </c>
      <c r="AD640" s="340">
        <f t="shared" si="761"/>
        <v>0</v>
      </c>
      <c r="AE640" s="554"/>
      <c r="AF640" s="314"/>
      <c r="AG640" s="314"/>
      <c r="AH640" s="314" t="str">
        <f>IFERROR(INDEX('Annex 2_Code'!$J$114:$J$126,MATCH('Annex 3_MAFF'!AF640,'Annex 2_Code'!$G$114:$G$126,0)),"")</f>
        <v/>
      </c>
      <c r="AI640" s="62"/>
      <c r="AK640" s="62"/>
      <c r="AL640" s="62"/>
    </row>
    <row r="641" spans="1:38" ht="12.75">
      <c r="A641" s="63"/>
      <c r="B641" s="65"/>
      <c r="C641" s="59"/>
      <c r="D641" s="61"/>
      <c r="E641" s="61"/>
      <c r="F641" s="61"/>
      <c r="G641" s="61"/>
      <c r="H641" s="314"/>
      <c r="I641" s="574"/>
      <c r="J641" s="66"/>
      <c r="K641" s="66"/>
      <c r="L641" s="66"/>
      <c r="M641" s="66"/>
      <c r="N641" s="66"/>
      <c r="O641" s="66"/>
      <c r="P641" s="66"/>
      <c r="Q641" s="66"/>
      <c r="R641" s="66"/>
      <c r="S641" s="1444"/>
      <c r="T641" s="462">
        <f t="shared" si="763"/>
        <v>33.32</v>
      </c>
      <c r="U641" s="335"/>
      <c r="V641" s="335"/>
      <c r="W641" s="345"/>
      <c r="X641" s="347"/>
      <c r="Y641" s="571" t="s">
        <v>129</v>
      </c>
      <c r="Z641" s="339">
        <f t="shared" si="762"/>
        <v>99.891350000000003</v>
      </c>
      <c r="AA641" s="340">
        <f t="shared" si="758"/>
        <v>0</v>
      </c>
      <c r="AB641" s="340">
        <f t="shared" si="759"/>
        <v>29.967404999999999</v>
      </c>
      <c r="AC641" s="340">
        <f t="shared" si="760"/>
        <v>59.934809999999999</v>
      </c>
      <c r="AD641" s="340">
        <f t="shared" si="761"/>
        <v>9.989135000000001</v>
      </c>
      <c r="AE641" s="554"/>
      <c r="AF641" s="314"/>
      <c r="AG641" s="314"/>
      <c r="AH641" s="314" t="str">
        <f>IFERROR(INDEX('Annex 2_Code'!$J$114:$J$126,MATCH('Annex 3_MAFF'!AF641,'Annex 2_Code'!$G$114:$G$126,0)),"")</f>
        <v/>
      </c>
      <c r="AI641" s="62"/>
      <c r="AK641" s="62"/>
      <c r="AL641" s="62"/>
    </row>
    <row r="642" spans="1:38" ht="12.75">
      <c r="A642" s="63"/>
      <c r="B642" s="65"/>
      <c r="C642" s="59"/>
      <c r="D642" s="61"/>
      <c r="E642" s="61"/>
      <c r="F642" s="61"/>
      <c r="G642" s="61"/>
      <c r="H642" s="314"/>
      <c r="I642" s="574"/>
      <c r="J642" s="66"/>
      <c r="K642" s="66"/>
      <c r="L642" s="66"/>
      <c r="M642" s="66"/>
      <c r="N642" s="66"/>
      <c r="O642" s="66"/>
      <c r="P642" s="66"/>
      <c r="Q642" s="66"/>
      <c r="R642" s="66"/>
      <c r="S642" s="1444"/>
      <c r="T642" s="334"/>
      <c r="U642" s="335"/>
      <c r="V642" s="335"/>
      <c r="W642" s="345" t="s">
        <v>22</v>
      </c>
      <c r="X642" s="347">
        <f>SUM(Z637:Z645)</f>
        <v>5223.5038299999997</v>
      </c>
      <c r="Y642" s="571" t="s">
        <v>237</v>
      </c>
      <c r="Z642" s="339">
        <f t="shared" si="762"/>
        <v>733.76247999999998</v>
      </c>
      <c r="AA642" s="340">
        <f t="shared" si="758"/>
        <v>0</v>
      </c>
      <c r="AB642" s="340">
        <f t="shared" si="759"/>
        <v>29.905943999999995</v>
      </c>
      <c r="AC642" s="340">
        <f t="shared" si="760"/>
        <v>630.48028799999997</v>
      </c>
      <c r="AD642" s="340">
        <f t="shared" si="761"/>
        <v>73.376248000000004</v>
      </c>
      <c r="AE642" s="554"/>
      <c r="AF642" s="314"/>
      <c r="AG642" s="314"/>
      <c r="AH642" s="314"/>
      <c r="AI642" s="62"/>
      <c r="AK642" s="62"/>
      <c r="AL642" s="62"/>
    </row>
    <row r="643" spans="1:38" ht="12.75">
      <c r="A643" s="63"/>
      <c r="B643" s="65"/>
      <c r="C643" s="59"/>
      <c r="D643" s="61"/>
      <c r="E643" s="61"/>
      <c r="F643" s="61"/>
      <c r="G643" s="61"/>
      <c r="H643" s="314"/>
      <c r="I643" s="1348"/>
      <c r="J643" s="66"/>
      <c r="K643" s="66"/>
      <c r="L643" s="66"/>
      <c r="M643" s="66"/>
      <c r="N643" s="66"/>
      <c r="O643" s="66"/>
      <c r="P643" s="66"/>
      <c r="Q643" s="66"/>
      <c r="R643" s="66"/>
      <c r="S643" s="1444"/>
      <c r="T643" s="459"/>
      <c r="U643" s="464"/>
      <c r="V643" s="335"/>
      <c r="W643" s="345" t="s">
        <v>357</v>
      </c>
      <c r="X643" s="348">
        <f>Z646</f>
        <v>315.00000000000006</v>
      </c>
      <c r="Y643" s="571" t="s">
        <v>128</v>
      </c>
      <c r="Z643" s="339">
        <f>SUM(AA643:AD643)</f>
        <v>0</v>
      </c>
      <c r="AA643" s="340">
        <f t="shared" si="758"/>
        <v>0</v>
      </c>
      <c r="AB643" s="340">
        <f t="shared" si="759"/>
        <v>0</v>
      </c>
      <c r="AC643" s="340">
        <f t="shared" si="760"/>
        <v>0</v>
      </c>
      <c r="AD643" s="340">
        <f t="shared" si="761"/>
        <v>0</v>
      </c>
      <c r="AE643" s="554"/>
      <c r="AF643" s="314"/>
      <c r="AG643" s="314"/>
      <c r="AH643" s="314" t="str">
        <f>IFERROR(INDEX('Annex 2_Code'!$J$114:$J$126,MATCH('Annex 3_MAFF'!AF643,'Annex 2_Code'!$G$114:$G$126,0)),"")</f>
        <v/>
      </c>
      <c r="AI643" s="62"/>
      <c r="AK643" s="62"/>
      <c r="AL643" s="62"/>
    </row>
    <row r="644" spans="1:38" ht="12.75">
      <c r="A644" s="63"/>
      <c r="B644" s="65"/>
      <c r="C644" s="59"/>
      <c r="D644" s="61"/>
      <c r="E644" s="61"/>
      <c r="F644" s="61"/>
      <c r="G644" s="61"/>
      <c r="H644" s="314"/>
      <c r="I644" s="1348"/>
      <c r="J644" s="66"/>
      <c r="K644" s="66"/>
      <c r="L644" s="66"/>
      <c r="M644" s="66"/>
      <c r="N644" s="66"/>
      <c r="O644" s="66"/>
      <c r="P644" s="66"/>
      <c r="Q644" s="66"/>
      <c r="R644" s="66"/>
      <c r="S644" s="1444"/>
      <c r="T644" s="459"/>
      <c r="U644" s="464"/>
      <c r="V644" s="335"/>
      <c r="W644" s="345"/>
      <c r="X644" s="348"/>
      <c r="Y644" s="571" t="s">
        <v>126</v>
      </c>
      <c r="Z644" s="339">
        <f>SUM(AA644:AD644)</f>
        <v>3990</v>
      </c>
      <c r="AA644" s="340">
        <f t="shared" si="758"/>
        <v>266</v>
      </c>
      <c r="AB644" s="340">
        <f t="shared" si="759"/>
        <v>1330</v>
      </c>
      <c r="AC644" s="340">
        <f t="shared" si="760"/>
        <v>1330</v>
      </c>
      <c r="AD644" s="340">
        <f t="shared" si="761"/>
        <v>1064</v>
      </c>
      <c r="AE644" s="554"/>
      <c r="AF644" s="314"/>
      <c r="AG644" s="314"/>
      <c r="AH644" s="314"/>
      <c r="AI644" s="62"/>
      <c r="AK644" s="62"/>
      <c r="AL644" s="62"/>
    </row>
    <row r="645" spans="1:38" ht="12.75">
      <c r="A645" s="63"/>
      <c r="B645" s="65"/>
      <c r="C645" s="59"/>
      <c r="D645" s="61"/>
      <c r="E645" s="61"/>
      <c r="F645" s="61"/>
      <c r="G645" s="61"/>
      <c r="H645" s="314"/>
      <c r="I645" s="1348"/>
      <c r="J645" s="66"/>
      <c r="K645" s="66"/>
      <c r="L645" s="66"/>
      <c r="M645" s="66"/>
      <c r="N645" s="66"/>
      <c r="O645" s="66"/>
      <c r="P645" s="66"/>
      <c r="Q645" s="66"/>
      <c r="R645" s="66"/>
      <c r="S645" s="1444"/>
      <c r="T645" s="459"/>
      <c r="U645" s="464"/>
      <c r="V645" s="335"/>
      <c r="W645" s="345"/>
      <c r="X645" s="348"/>
      <c r="Y645" s="571" t="s">
        <v>562</v>
      </c>
      <c r="Z645" s="339">
        <f>SUM(AA645:AD645)</f>
        <v>0</v>
      </c>
      <c r="AA645" s="340">
        <f t="shared" si="758"/>
        <v>0</v>
      </c>
      <c r="AB645" s="340">
        <f t="shared" si="759"/>
        <v>0</v>
      </c>
      <c r="AC645" s="340">
        <f t="shared" si="760"/>
        <v>0</v>
      </c>
      <c r="AD645" s="340">
        <f t="shared" si="761"/>
        <v>0</v>
      </c>
      <c r="AE645" s="554"/>
      <c r="AF645" s="314"/>
      <c r="AG645" s="314"/>
      <c r="AH645" s="314"/>
      <c r="AI645" s="62"/>
      <c r="AK645" s="62"/>
      <c r="AL645" s="62"/>
    </row>
    <row r="646" spans="1:38" ht="12.75">
      <c r="A646" s="63"/>
      <c r="B646" s="65"/>
      <c r="C646" s="59"/>
      <c r="D646" s="61"/>
      <c r="E646" s="61"/>
      <c r="F646" s="61"/>
      <c r="G646" s="61"/>
      <c r="H646" s="62" t="s">
        <v>462</v>
      </c>
      <c r="I646" s="1348"/>
      <c r="J646" s="66"/>
      <c r="K646" s="66"/>
      <c r="L646" s="66"/>
      <c r="M646" s="66"/>
      <c r="N646" s="66"/>
      <c r="O646" s="66"/>
      <c r="P646" s="66"/>
      <c r="Q646" s="66"/>
      <c r="R646" s="66"/>
      <c r="S646" s="1444"/>
      <c r="T646" s="459"/>
      <c r="U646" s="464"/>
      <c r="V646" s="335"/>
      <c r="W646" s="345"/>
      <c r="X646" s="348"/>
      <c r="Y646" s="571" t="s">
        <v>786</v>
      </c>
      <c r="Z646" s="339">
        <f t="shared" si="762"/>
        <v>315.00000000000006</v>
      </c>
      <c r="AA646" s="340">
        <f t="shared" si="758"/>
        <v>0</v>
      </c>
      <c r="AB646" s="340">
        <f t="shared" si="759"/>
        <v>315.00000000000006</v>
      </c>
      <c r="AC646" s="340">
        <f t="shared" si="760"/>
        <v>0</v>
      </c>
      <c r="AD646" s="340">
        <f t="shared" si="761"/>
        <v>0</v>
      </c>
      <c r="AE646" s="554"/>
      <c r="AF646" s="314"/>
      <c r="AG646" s="314"/>
      <c r="AH646" s="314"/>
      <c r="AI646" s="62"/>
      <c r="AK646" s="62"/>
      <c r="AL646" s="62"/>
    </row>
    <row r="647" spans="1:38" ht="12.75">
      <c r="A647" s="63"/>
      <c r="B647" s="65"/>
      <c r="C647" s="59"/>
      <c r="D647" s="61"/>
      <c r="E647" s="61"/>
      <c r="F647" s="61"/>
      <c r="G647" s="61"/>
      <c r="H647" s="1344"/>
      <c r="I647" s="1348"/>
      <c r="J647" s="66"/>
      <c r="K647" s="66"/>
      <c r="L647" s="66"/>
      <c r="M647" s="66"/>
      <c r="N647" s="66"/>
      <c r="O647" s="66"/>
      <c r="P647" s="66"/>
      <c r="Q647" s="66"/>
      <c r="R647" s="66"/>
      <c r="S647" s="1445"/>
      <c r="T647" s="1294"/>
      <c r="U647" s="1347"/>
      <c r="V647" s="335"/>
      <c r="W647" s="345" t="s">
        <v>12</v>
      </c>
      <c r="X647" s="348" t="s">
        <v>12</v>
      </c>
      <c r="Y647" s="571" t="s">
        <v>358</v>
      </c>
      <c r="Z647" s="339">
        <f t="shared" si="762"/>
        <v>398.17159999999996</v>
      </c>
      <c r="AA647" s="340">
        <f t="shared" si="758"/>
        <v>1.3916000000000002</v>
      </c>
      <c r="AB647" s="340">
        <f t="shared" si="759"/>
        <v>297.77999999999997</v>
      </c>
      <c r="AC647" s="340">
        <f t="shared" si="760"/>
        <v>99</v>
      </c>
      <c r="AD647" s="340">
        <f t="shared" si="761"/>
        <v>0</v>
      </c>
      <c r="AE647" s="554"/>
      <c r="AF647" s="314"/>
      <c r="AG647" s="314"/>
      <c r="AH647" s="314" t="str">
        <f>IFERROR(INDEX('Annex 2_Code'!$J$114:$J$126,MATCH('Annex 3_MAFF'!AF647,'Annex 2_Code'!$G$114:$G$126,0)),"")</f>
        <v/>
      </c>
      <c r="AI647" s="62"/>
      <c r="AK647" s="62"/>
      <c r="AL647" s="62"/>
    </row>
    <row r="648" spans="1:38" ht="12.75">
      <c r="A648" s="63"/>
      <c r="B648" s="65"/>
      <c r="C648" s="59"/>
      <c r="D648" s="61"/>
      <c r="E648" s="61"/>
      <c r="F648" s="61"/>
      <c r="G648" s="61"/>
      <c r="H648" s="1345"/>
      <c r="I648" s="1348"/>
      <c r="J648" s="66"/>
      <c r="K648" s="66"/>
      <c r="L648" s="66"/>
      <c r="M648" s="66"/>
      <c r="N648" s="66"/>
      <c r="O648" s="66"/>
      <c r="P648" s="66"/>
      <c r="Q648" s="66"/>
      <c r="R648" s="66"/>
      <c r="S648" s="1445"/>
      <c r="T648" s="1294"/>
      <c r="U648" s="1347"/>
      <c r="V648" s="335"/>
      <c r="W648" s="345" t="s">
        <v>12</v>
      </c>
      <c r="X648" s="348" t="s">
        <v>12</v>
      </c>
      <c r="Y648" s="571" t="s">
        <v>359</v>
      </c>
      <c r="Z648" s="339">
        <f>SUM(AA648:AD648)</f>
        <v>9.9775000000000009</v>
      </c>
      <c r="AA648" s="340">
        <f t="shared" si="758"/>
        <v>9.9775000000000009</v>
      </c>
      <c r="AB648" s="340">
        <f t="shared" si="759"/>
        <v>0</v>
      </c>
      <c r="AC648" s="340">
        <f t="shared" si="760"/>
        <v>0</v>
      </c>
      <c r="AD648" s="340">
        <f t="shared" si="761"/>
        <v>0</v>
      </c>
      <c r="AE648" s="554"/>
      <c r="AF648" s="314"/>
      <c r="AG648" s="314"/>
      <c r="AH648" s="314" t="str">
        <f>IFERROR(INDEX('Annex 2_Code'!$J$114:$J$126,MATCH('Annex 3_MAFF'!AF648,'Annex 2_Code'!$G$114:$G$126,0)),"")</f>
        <v/>
      </c>
      <c r="AI648" s="62"/>
      <c r="AK648" s="62"/>
      <c r="AL648" s="62"/>
    </row>
    <row r="649" spans="1:38" ht="12.75">
      <c r="A649" s="63"/>
      <c r="B649" s="65"/>
      <c r="C649" s="59"/>
      <c r="D649" s="61"/>
      <c r="E649" s="61"/>
      <c r="F649" s="61"/>
      <c r="G649" s="61"/>
      <c r="H649" s="1345"/>
      <c r="I649" s="1348"/>
      <c r="J649" s="66"/>
      <c r="K649" s="66"/>
      <c r="L649" s="66"/>
      <c r="M649" s="66"/>
      <c r="N649" s="66"/>
      <c r="O649" s="66"/>
      <c r="P649" s="66"/>
      <c r="Q649" s="66"/>
      <c r="R649" s="66"/>
      <c r="S649" s="1445"/>
      <c r="T649" s="1294"/>
      <c r="U649" s="1347"/>
      <c r="V649" s="335"/>
      <c r="W649" s="335"/>
      <c r="X649" s="333"/>
      <c r="Y649" s="571" t="s">
        <v>360</v>
      </c>
      <c r="Z649" s="339">
        <f>SUM(AA649:AD649)</f>
        <v>805.61699999999996</v>
      </c>
      <c r="AA649" s="340">
        <f t="shared" si="758"/>
        <v>0</v>
      </c>
      <c r="AB649" s="340">
        <f t="shared" si="759"/>
        <v>268.53899999999999</v>
      </c>
      <c r="AC649" s="340">
        <f t="shared" si="760"/>
        <v>268.53899999999999</v>
      </c>
      <c r="AD649" s="340">
        <f t="shared" si="761"/>
        <v>268.53899999999999</v>
      </c>
      <c r="AE649" s="554"/>
      <c r="AF649" s="314"/>
      <c r="AG649" s="314"/>
      <c r="AH649" s="314" t="str">
        <f>IFERROR(INDEX('Annex 2_Code'!$J$114:$J$126,MATCH('Annex 3_MAFF'!AF649,'Annex 2_Code'!$G$114:$G$126,0)),"")</f>
        <v/>
      </c>
      <c r="AI649" s="62"/>
      <c r="AK649" s="62"/>
      <c r="AL649" s="62"/>
    </row>
    <row r="650" spans="1:38" ht="12.75">
      <c r="A650" s="63"/>
      <c r="B650" s="65"/>
      <c r="C650" s="59"/>
      <c r="D650" s="61"/>
      <c r="E650" s="61"/>
      <c r="F650" s="61"/>
      <c r="G650" s="61"/>
      <c r="H650" s="1345"/>
      <c r="I650" s="1348"/>
      <c r="J650" s="66"/>
      <c r="K650" s="66"/>
      <c r="L650" s="66"/>
      <c r="M650" s="66"/>
      <c r="N650" s="66"/>
      <c r="O650" s="66"/>
      <c r="P650" s="66"/>
      <c r="Q650" s="66"/>
      <c r="R650" s="66"/>
      <c r="S650" s="1445"/>
      <c r="T650" s="1294"/>
      <c r="U650" s="1347"/>
      <c r="V650" s="335"/>
      <c r="W650" s="335"/>
      <c r="X650" s="333"/>
      <c r="Y650" s="571" t="s">
        <v>361</v>
      </c>
      <c r="Z650" s="339">
        <f t="shared" si="762"/>
        <v>0</v>
      </c>
      <c r="AA650" s="340">
        <f t="shared" si="758"/>
        <v>0</v>
      </c>
      <c r="AB650" s="340">
        <f t="shared" si="759"/>
        <v>0</v>
      </c>
      <c r="AC650" s="340">
        <f t="shared" si="760"/>
        <v>0</v>
      </c>
      <c r="AD650" s="340">
        <f t="shared" si="761"/>
        <v>0</v>
      </c>
      <c r="AE650" s="554"/>
      <c r="AF650" s="314"/>
      <c r="AG650" s="314"/>
      <c r="AH650" s="314" t="str">
        <f>IFERROR(INDEX('Annex 2_Code'!$J$114:$J$126,MATCH('Annex 3_MAFF'!AF650,'Annex 2_Code'!$G$114:$G$126,0)),"")</f>
        <v/>
      </c>
      <c r="AI650" s="62"/>
      <c r="AK650" s="62"/>
      <c r="AL650" s="62"/>
    </row>
    <row r="651" spans="1:38" ht="12.75">
      <c r="A651" s="63"/>
      <c r="B651" s="65"/>
      <c r="C651" s="59"/>
      <c r="D651" s="61"/>
      <c r="E651" s="61"/>
      <c r="F651" s="61"/>
      <c r="G651" s="61"/>
      <c r="H651" s="1345"/>
      <c r="I651" s="1348"/>
      <c r="J651" s="66"/>
      <c r="K651" s="66"/>
      <c r="L651" s="66"/>
      <c r="M651" s="66"/>
      <c r="N651" s="66"/>
      <c r="O651" s="66"/>
      <c r="P651" s="66"/>
      <c r="Q651" s="66"/>
      <c r="R651" s="66"/>
      <c r="S651" s="1445"/>
      <c r="T651" s="1294"/>
      <c r="U651" s="1347"/>
      <c r="V651" s="335"/>
      <c r="W651" s="335"/>
      <c r="X651" s="333"/>
      <c r="Y651" s="571" t="s">
        <v>362</v>
      </c>
      <c r="Z651" s="339">
        <f t="shared" si="762"/>
        <v>0</v>
      </c>
      <c r="AA651" s="340">
        <f t="shared" si="758"/>
        <v>0</v>
      </c>
      <c r="AB651" s="340">
        <f t="shared" si="759"/>
        <v>0</v>
      </c>
      <c r="AC651" s="340">
        <f t="shared" si="760"/>
        <v>0</v>
      </c>
      <c r="AD651" s="340">
        <f t="shared" si="761"/>
        <v>0</v>
      </c>
      <c r="AE651" s="554"/>
      <c r="AF651" s="314"/>
      <c r="AG651" s="314"/>
      <c r="AH651" s="314" t="str">
        <f>IFERROR(INDEX('Annex 2_Code'!$J$114:$J$126,MATCH('Annex 3_MAFF'!AF651,'Annex 2_Code'!$G$114:$G$126,0)),"")</f>
        <v/>
      </c>
      <c r="AI651" s="62"/>
      <c r="AK651" s="62"/>
      <c r="AL651" s="62"/>
    </row>
    <row r="652" spans="1:38" ht="12.75">
      <c r="A652" s="63"/>
      <c r="B652" s="65"/>
      <c r="C652" s="59"/>
      <c r="D652" s="61"/>
      <c r="E652" s="61"/>
      <c r="F652" s="61"/>
      <c r="G652" s="61"/>
      <c r="H652" s="1345"/>
      <c r="I652" s="1348"/>
      <c r="J652" s="66"/>
      <c r="K652" s="66"/>
      <c r="L652" s="66"/>
      <c r="M652" s="66"/>
      <c r="N652" s="1346"/>
      <c r="O652" s="66"/>
      <c r="P652" s="66"/>
      <c r="Q652" s="66"/>
      <c r="R652" s="66"/>
      <c r="S652" s="1445"/>
      <c r="T652" s="1294"/>
      <c r="U652" s="1347"/>
      <c r="V652" s="335"/>
      <c r="W652" s="345" t="s">
        <v>123</v>
      </c>
      <c r="X652" s="347">
        <f>SUM(Z647:Z655)</f>
        <v>2168.2660999999998</v>
      </c>
      <c r="Y652" s="571" t="s">
        <v>363</v>
      </c>
      <c r="Z652" s="339">
        <f t="shared" si="762"/>
        <v>0</v>
      </c>
      <c r="AA652" s="340">
        <f t="shared" si="758"/>
        <v>0</v>
      </c>
      <c r="AB652" s="340">
        <f t="shared" si="759"/>
        <v>0</v>
      </c>
      <c r="AC652" s="340">
        <f t="shared" si="760"/>
        <v>0</v>
      </c>
      <c r="AD652" s="340">
        <f t="shared" si="761"/>
        <v>0</v>
      </c>
      <c r="AE652" s="554"/>
      <c r="AF652" s="314"/>
      <c r="AG652" s="314"/>
      <c r="AH652" s="314" t="str">
        <f>IFERROR(INDEX('Annex 2_Code'!$J$114:$J$126,MATCH('Annex 3_MAFF'!AF652,'Annex 2_Code'!$G$114:$G$126,0)),"")</f>
        <v/>
      </c>
      <c r="AI652" s="62"/>
      <c r="AK652" s="62"/>
      <c r="AL652" s="62"/>
    </row>
    <row r="653" spans="1:38" ht="12.75">
      <c r="A653" s="63"/>
      <c r="B653" s="65"/>
      <c r="C653" s="59"/>
      <c r="D653" s="61"/>
      <c r="E653" s="61"/>
      <c r="F653" s="61"/>
      <c r="G653" s="61"/>
      <c r="H653" s="1345"/>
      <c r="I653" s="1348"/>
      <c r="J653" s="66"/>
      <c r="K653" s="66"/>
      <c r="L653" s="66"/>
      <c r="M653" s="66"/>
      <c r="N653" s="66"/>
      <c r="O653" s="66"/>
      <c r="P653" s="66"/>
      <c r="Q653" s="66"/>
      <c r="R653" s="66"/>
      <c r="S653" s="1445"/>
      <c r="T653" s="1294"/>
      <c r="U653" s="1347"/>
      <c r="V653" s="335"/>
      <c r="W653" s="345" t="s">
        <v>42</v>
      </c>
      <c r="X653" s="333">
        <f>Z656</f>
        <v>109.55999999999999</v>
      </c>
      <c r="Y653" s="571" t="s">
        <v>364</v>
      </c>
      <c r="Z653" s="339">
        <f t="shared" si="762"/>
        <v>954.5</v>
      </c>
      <c r="AA653" s="340">
        <f t="shared" si="758"/>
        <v>0</v>
      </c>
      <c r="AB653" s="340">
        <f t="shared" si="759"/>
        <v>0</v>
      </c>
      <c r="AC653" s="340">
        <f t="shared" si="760"/>
        <v>477.25</v>
      </c>
      <c r="AD653" s="340">
        <f t="shared" si="761"/>
        <v>477.25</v>
      </c>
      <c r="AE653" s="554"/>
      <c r="AF653" s="314"/>
      <c r="AG653" s="314"/>
      <c r="AH653" s="314" t="str">
        <f>IFERROR(INDEX('Annex 2_Code'!$J$114:$J$126,MATCH('Annex 3_MAFF'!AF653,'Annex 2_Code'!$G$114:$G$126,0)),"")</f>
        <v/>
      </c>
      <c r="AI653" s="62"/>
      <c r="AK653" s="62"/>
      <c r="AL653" s="62"/>
    </row>
    <row r="654" spans="1:38" ht="12.75">
      <c r="A654" s="63"/>
      <c r="B654" s="65"/>
      <c r="C654" s="59"/>
      <c r="D654" s="61"/>
      <c r="E654" s="61"/>
      <c r="F654" s="61"/>
      <c r="G654" s="61"/>
      <c r="H654" s="1345"/>
      <c r="I654" s="1348"/>
      <c r="J654" s="66"/>
      <c r="K654" s="66"/>
      <c r="L654" s="66"/>
      <c r="M654" s="66"/>
      <c r="N654" s="66"/>
      <c r="O654" s="66"/>
      <c r="P654" s="66"/>
      <c r="Q654" s="66"/>
      <c r="R654" s="66"/>
      <c r="S654" s="1445"/>
      <c r="T654" s="1294"/>
      <c r="U654" s="1347"/>
      <c r="V654" s="335"/>
      <c r="W654" s="345" t="s">
        <v>114</v>
      </c>
      <c r="X654" s="333">
        <f>Z657</f>
        <v>628.97399999999993</v>
      </c>
      <c r="Y654" s="571" t="s">
        <v>365</v>
      </c>
      <c r="Z654" s="339">
        <f t="shared" si="762"/>
        <v>0</v>
      </c>
      <c r="AA654" s="340">
        <f t="shared" si="758"/>
        <v>0</v>
      </c>
      <c r="AB654" s="340">
        <f t="shared" si="759"/>
        <v>0</v>
      </c>
      <c r="AC654" s="340">
        <f t="shared" si="760"/>
        <v>0</v>
      </c>
      <c r="AD654" s="340">
        <f t="shared" si="761"/>
        <v>0</v>
      </c>
      <c r="AE654" s="554"/>
      <c r="AF654" s="314"/>
      <c r="AG654" s="314"/>
      <c r="AH654" s="314" t="str">
        <f>IFERROR(INDEX('Annex 2_Code'!$J$114:$J$126,MATCH('Annex 3_MAFF'!AF654,'Annex 2_Code'!$G$114:$G$126,0)),"")</f>
        <v/>
      </c>
      <c r="AI654" s="62"/>
      <c r="AK654" s="62"/>
      <c r="AL654" s="62"/>
    </row>
    <row r="655" spans="1:38" ht="12.75">
      <c r="A655" s="63"/>
      <c r="B655" s="65"/>
      <c r="C655" s="59"/>
      <c r="D655" s="61"/>
      <c r="E655" s="61"/>
      <c r="F655" s="61"/>
      <c r="G655" s="61"/>
      <c r="H655" s="1345"/>
      <c r="I655" s="1348"/>
      <c r="J655" s="66"/>
      <c r="K655" s="66"/>
      <c r="L655" s="66"/>
      <c r="M655" s="66"/>
      <c r="N655" s="66"/>
      <c r="O655" s="66"/>
      <c r="P655" s="66"/>
      <c r="Q655" s="66"/>
      <c r="R655" s="66"/>
      <c r="S655" s="1445"/>
      <c r="T655" s="1294"/>
      <c r="U655" s="1347"/>
      <c r="V655" s="335"/>
      <c r="W655" s="345" t="s">
        <v>41</v>
      </c>
      <c r="X655" s="392">
        <f>Z658</f>
        <v>1947.4999999999998</v>
      </c>
      <c r="Y655" s="571" t="s">
        <v>366</v>
      </c>
      <c r="Z655" s="339">
        <f t="shared" si="762"/>
        <v>0</v>
      </c>
      <c r="AA655" s="340">
        <f t="shared" si="758"/>
        <v>0</v>
      </c>
      <c r="AB655" s="340">
        <f t="shared" si="759"/>
        <v>0</v>
      </c>
      <c r="AC655" s="340">
        <f t="shared" si="760"/>
        <v>0</v>
      </c>
      <c r="AD655" s="340">
        <f t="shared" si="761"/>
        <v>0</v>
      </c>
      <c r="AE655" s="554"/>
      <c r="AF655" s="314"/>
      <c r="AG655" s="314"/>
      <c r="AH655" s="314" t="str">
        <f>IFERROR(INDEX('Annex 2_Code'!$J$114:$J$126,MATCH('Annex 3_MAFF'!AF655,'Annex 2_Code'!$G$114:$G$126,0)),"")</f>
        <v/>
      </c>
      <c r="AI655" s="62"/>
      <c r="AK655" s="62"/>
      <c r="AL655" s="62"/>
    </row>
    <row r="656" spans="1:38" ht="15" customHeight="1">
      <c r="A656" s="63"/>
      <c r="B656" s="65"/>
      <c r="C656" s="59"/>
      <c r="D656" s="61"/>
      <c r="E656" s="61"/>
      <c r="F656" s="61"/>
      <c r="G656" s="61"/>
      <c r="H656" s="1345"/>
      <c r="I656" s="1348"/>
      <c r="J656" s="66"/>
      <c r="K656" s="66"/>
      <c r="L656" s="66"/>
      <c r="M656" s="66"/>
      <c r="N656" s="66"/>
      <c r="O656" s="66"/>
      <c r="P656" s="66"/>
      <c r="Q656" s="66"/>
      <c r="R656" s="66"/>
      <c r="S656" s="1445"/>
      <c r="T656" s="1294"/>
      <c r="U656" s="1347"/>
      <c r="V656" s="335"/>
      <c r="W656" s="335"/>
      <c r="X656" s="349">
        <f>SUM(X653:X655,X652,X643,X642,X635,X629)</f>
        <v>16882.118499999997</v>
      </c>
      <c r="Y656" s="571" t="s">
        <v>42</v>
      </c>
      <c r="Z656" s="339">
        <f t="shared" si="762"/>
        <v>109.55999999999999</v>
      </c>
      <c r="AA656" s="340">
        <f t="shared" si="758"/>
        <v>26.189999999999998</v>
      </c>
      <c r="AB656" s="340">
        <f t="shared" si="759"/>
        <v>26.189999999999998</v>
      </c>
      <c r="AC656" s="340">
        <f t="shared" si="760"/>
        <v>30.99</v>
      </c>
      <c r="AD656" s="340">
        <f t="shared" si="761"/>
        <v>26.189999999999998</v>
      </c>
      <c r="AE656" s="470"/>
      <c r="AF656" s="314"/>
      <c r="AG656" s="314"/>
      <c r="AH656" s="314" t="str">
        <f>IFERROR(INDEX('Annex 2_Code'!$J$114:$J$126,MATCH('Annex 3_MAFF'!AF656,'Annex 2_Code'!$G$114:$G$126,0)),"")</f>
        <v/>
      </c>
      <c r="AI656" s="62"/>
      <c r="AK656" s="62"/>
      <c r="AL656" s="62"/>
    </row>
    <row r="657" spans="1:38" ht="12.75">
      <c r="A657" s="63"/>
      <c r="B657" s="65"/>
      <c r="C657" s="59"/>
      <c r="D657" s="61"/>
      <c r="E657" s="61"/>
      <c r="F657" s="61"/>
      <c r="G657" s="61"/>
      <c r="H657" s="1344"/>
      <c r="I657" s="1348"/>
      <c r="J657" s="66"/>
      <c r="K657" s="66"/>
      <c r="L657" s="66"/>
      <c r="M657" s="66"/>
      <c r="N657" s="66"/>
      <c r="O657" s="66"/>
      <c r="P657" s="66"/>
      <c r="Q657" s="66"/>
      <c r="R657" s="66"/>
      <c r="S657" s="1445"/>
      <c r="T657" s="1294"/>
      <c r="U657" s="1347"/>
      <c r="V657" s="335"/>
      <c r="W657" s="335"/>
      <c r="X657" s="335"/>
      <c r="Y657" s="571" t="s">
        <v>114</v>
      </c>
      <c r="Z657" s="339">
        <f t="shared" si="762"/>
        <v>628.97399999999993</v>
      </c>
      <c r="AA657" s="340">
        <f t="shared" si="758"/>
        <v>146.35599999999997</v>
      </c>
      <c r="AB657" s="340">
        <f t="shared" si="759"/>
        <v>189.35599999999997</v>
      </c>
      <c r="AC657" s="340">
        <f t="shared" si="760"/>
        <v>150.90599999999998</v>
      </c>
      <c r="AD657" s="340">
        <f t="shared" si="761"/>
        <v>142.35599999999999</v>
      </c>
      <c r="AE657" s="460"/>
      <c r="AF657" s="314"/>
      <c r="AG657" s="314"/>
      <c r="AH657" s="314" t="str">
        <f>IFERROR(INDEX('Annex 2_Code'!$J$114:$J$126,MATCH('Annex 3_MAFF'!AF657,'Annex 2_Code'!$G$114:$G$126,0)),"")</f>
        <v/>
      </c>
      <c r="AI657" s="62"/>
      <c r="AK657" s="62"/>
      <c r="AL657" s="62"/>
    </row>
    <row r="658" spans="1:38" ht="12.75">
      <c r="A658" s="63"/>
      <c r="B658" s="65"/>
      <c r="C658" s="59"/>
      <c r="D658" s="61"/>
      <c r="E658" s="61"/>
      <c r="F658" s="61"/>
      <c r="G658" s="61"/>
      <c r="H658" s="1344"/>
      <c r="I658" s="1348"/>
      <c r="J658" s="66"/>
      <c r="K658" s="66"/>
      <c r="L658" s="66"/>
      <c r="M658" s="66"/>
      <c r="N658" s="66"/>
      <c r="O658" s="66"/>
      <c r="P658" s="66"/>
      <c r="Q658" s="66"/>
      <c r="R658" s="66"/>
      <c r="S658" s="1445"/>
      <c r="T658" s="1294"/>
      <c r="U658" s="1347"/>
      <c r="V658" s="335"/>
      <c r="W658" s="335"/>
      <c r="X658" s="335"/>
      <c r="Y658" s="571" t="s">
        <v>41</v>
      </c>
      <c r="Z658" s="339">
        <f t="shared" si="762"/>
        <v>1947.4999999999998</v>
      </c>
      <c r="AA658" s="340">
        <f t="shared" si="758"/>
        <v>330.08</v>
      </c>
      <c r="AB658" s="340">
        <f t="shared" si="759"/>
        <v>581.59999999999991</v>
      </c>
      <c r="AC658" s="340">
        <f t="shared" si="760"/>
        <v>563.62</v>
      </c>
      <c r="AD658" s="340">
        <f t="shared" si="761"/>
        <v>472.2</v>
      </c>
      <c r="AE658" s="323"/>
      <c r="AF658" s="314"/>
      <c r="AG658" s="314"/>
      <c r="AH658" s="314" t="str">
        <f>IFERROR(INDEX('Annex 2_Code'!$J$114:$J$126,MATCH('Annex 3_MAFF'!AF658,'Annex 2_Code'!$G$114:$G$126,0)),"")</f>
        <v/>
      </c>
      <c r="AI658" s="62"/>
      <c r="AK658" s="62"/>
      <c r="AL658" s="62"/>
    </row>
    <row r="659" spans="1:38" ht="12.75">
      <c r="A659" s="63"/>
      <c r="B659" s="65"/>
      <c r="C659" s="59"/>
      <c r="D659" s="61"/>
      <c r="E659" s="61"/>
      <c r="F659" s="61"/>
      <c r="G659" s="61"/>
      <c r="H659" s="1344"/>
      <c r="I659" s="1348"/>
      <c r="J659" s="66"/>
      <c r="K659" s="66"/>
      <c r="L659" s="66"/>
      <c r="M659" s="66"/>
      <c r="N659" s="66"/>
      <c r="O659" s="66"/>
      <c r="P659" s="66"/>
      <c r="Q659" s="66"/>
      <c r="R659" s="66"/>
      <c r="S659" s="1445"/>
      <c r="T659" s="1294"/>
      <c r="U659" s="1347"/>
      <c r="V659" s="335"/>
      <c r="W659" s="335"/>
      <c r="X659" s="335"/>
      <c r="Y659" s="63"/>
      <c r="Z659" s="455">
        <f>SUM(Z629:Z658)</f>
        <v>16882.1185</v>
      </c>
      <c r="AA659" s="350">
        <f>SUM(AA629:AA658)</f>
        <v>2157.2327800000003</v>
      </c>
      <c r="AB659" s="350">
        <f>SUM(AB629:AB658)</f>
        <v>5304.1897289999997</v>
      </c>
      <c r="AC659" s="350">
        <f>SUM(AC629:AC658)</f>
        <v>5502.2427779999989</v>
      </c>
      <c r="AD659" s="350">
        <f>SUM(AD629:AD658)</f>
        <v>3918.4532129999998</v>
      </c>
      <c r="AE659" s="323"/>
      <c r="AF659" s="314"/>
      <c r="AG659" s="314"/>
      <c r="AH659" s="314" t="str">
        <f>IFERROR(INDEX('Annex 2_Code'!$J$114:$J$126,MATCH('Annex 3_MAFF'!AF659,'Annex 2_Code'!$G$114:$G$126,0)),"")</f>
        <v/>
      </c>
      <c r="AI659" s="62"/>
      <c r="AK659" s="62"/>
      <c r="AL659" s="62"/>
    </row>
    <row r="660" spans="1:38" ht="12.75">
      <c r="A660" s="63"/>
      <c r="B660" s="65"/>
      <c r="C660" s="59"/>
      <c r="D660" s="61"/>
      <c r="E660" s="61"/>
      <c r="F660" s="61"/>
      <c r="G660" s="61"/>
      <c r="H660" s="1344"/>
      <c r="I660" s="1348"/>
      <c r="J660" s="66"/>
      <c r="K660" s="66"/>
      <c r="L660" s="66"/>
      <c r="M660" s="66"/>
      <c r="N660" s="66"/>
      <c r="O660" s="66"/>
      <c r="P660" s="66"/>
      <c r="Q660" s="66"/>
      <c r="R660" s="66"/>
      <c r="S660" s="1445"/>
      <c r="T660" s="1294"/>
      <c r="U660" s="1347"/>
      <c r="V660" s="335"/>
      <c r="W660" s="335"/>
      <c r="X660" s="335"/>
      <c r="Y660" s="63"/>
      <c r="Z660" s="61"/>
      <c r="AA660" s="460">
        <f>O603</f>
        <v>2157.2327799999994</v>
      </c>
      <c r="AB660" s="460">
        <f>P603</f>
        <v>5304.1897289999997</v>
      </c>
      <c r="AC660" s="460">
        <f>Q603</f>
        <v>5502.2427779999998</v>
      </c>
      <c r="AD660" s="460">
        <f>R603</f>
        <v>3918.4532129999998</v>
      </c>
      <c r="AE660" s="323"/>
      <c r="AF660" s="314"/>
      <c r="AG660" s="314"/>
      <c r="AH660" s="314" t="str">
        <f>IFERROR(INDEX('Annex 2_Code'!$J$114:$J$126,MATCH('Annex 3_MAFF'!AF660,'Annex 2_Code'!$G$114:$G$126,0)),"")</f>
        <v/>
      </c>
      <c r="AI660" s="62"/>
      <c r="AK660" s="62"/>
      <c r="AL660" s="62"/>
    </row>
    <row r="661" spans="1:38" ht="12.75">
      <c r="A661" s="63"/>
      <c r="B661" s="65"/>
      <c r="C661" s="59"/>
      <c r="D661" s="61"/>
      <c r="E661" s="61"/>
      <c r="F661" s="61"/>
      <c r="G661" s="61"/>
      <c r="H661" s="1344"/>
      <c r="I661" s="1348"/>
      <c r="J661" s="66"/>
      <c r="K661" s="66"/>
      <c r="L661" s="66"/>
      <c r="M661" s="66"/>
      <c r="N661" s="66"/>
      <c r="O661" s="66"/>
      <c r="P661" s="66"/>
      <c r="Q661" s="66"/>
      <c r="R661" s="66"/>
      <c r="S661" s="1445"/>
      <c r="T661" s="1294"/>
      <c r="U661" s="1347"/>
      <c r="V661" s="335"/>
      <c r="W661" s="335"/>
      <c r="X661" s="335"/>
      <c r="Y661" s="63"/>
      <c r="Z661" s="351">
        <f>S603-Z659</f>
        <v>0</v>
      </c>
      <c r="AA661" s="344">
        <f>AA660-AA659</f>
        <v>0</v>
      </c>
      <c r="AB661" s="344">
        <f>AB660-AB659</f>
        <v>0</v>
      </c>
      <c r="AC661" s="344">
        <f>AC660-AC659</f>
        <v>0</v>
      </c>
      <c r="AD661" s="344">
        <f>AD660-AD659</f>
        <v>0</v>
      </c>
      <c r="AE661" s="323"/>
      <c r="AF661" s="314"/>
      <c r="AG661" s="314"/>
      <c r="AH661" s="314" t="str">
        <f>IFERROR(INDEX('Annex 2_Code'!$J$114:$J$126,MATCH('Annex 3_MAFF'!AF661,'Annex 2_Code'!$G$114:$G$126,0)),"")</f>
        <v/>
      </c>
      <c r="AI661" s="62"/>
      <c r="AK661" s="62"/>
      <c r="AL661" s="62"/>
    </row>
    <row r="662" spans="1:38" ht="12.75">
      <c r="A662" s="63"/>
      <c r="B662" s="65"/>
      <c r="C662" s="59"/>
      <c r="D662" s="61"/>
      <c r="E662" s="61"/>
      <c r="F662" s="61"/>
      <c r="G662" s="61"/>
      <c r="H662" s="1344"/>
      <c r="I662" s="1348"/>
      <c r="J662" s="66"/>
      <c r="K662" s="66"/>
      <c r="L662" s="66"/>
      <c r="M662" s="66"/>
      <c r="N662" s="66"/>
      <c r="O662" s="66"/>
      <c r="P662" s="66"/>
      <c r="Q662" s="66"/>
      <c r="R662" s="66"/>
      <c r="S662" s="1445"/>
      <c r="T662" s="1294"/>
      <c r="U662" s="1347"/>
      <c r="V662" s="335"/>
      <c r="W662" s="335"/>
      <c r="X662" s="335"/>
      <c r="Y662" s="63"/>
      <c r="Z662" s="61"/>
      <c r="AA662" s="61"/>
      <c r="AB662" s="61"/>
      <c r="AC662" s="61"/>
      <c r="AD662" s="323"/>
      <c r="AE662" s="323"/>
      <c r="AF662" s="314"/>
      <c r="AG662" s="314"/>
      <c r="AH662" s="314" t="str">
        <f>IFERROR(INDEX('Annex 2_Code'!$J$114:$J$126,MATCH('Annex 3_MAFF'!AF662,'Annex 2_Code'!$G$114:$G$126,0)),"")</f>
        <v/>
      </c>
      <c r="AI662" s="62"/>
      <c r="AK662" s="62"/>
      <c r="AL662" s="62"/>
    </row>
    <row r="663" spans="1:38" ht="12.75">
      <c r="A663" s="63"/>
      <c r="B663" s="65"/>
      <c r="C663" s="59"/>
      <c r="D663" s="61"/>
      <c r="E663" s="61"/>
      <c r="F663" s="61"/>
      <c r="G663" s="61"/>
      <c r="H663" s="1345"/>
      <c r="I663" s="1348"/>
      <c r="J663" s="66"/>
      <c r="K663" s="66"/>
      <c r="L663" s="66"/>
      <c r="M663" s="66"/>
      <c r="N663" s="66"/>
      <c r="O663" s="66"/>
      <c r="P663" s="66"/>
      <c r="Q663" s="66"/>
      <c r="R663" s="66"/>
      <c r="S663" s="1445"/>
      <c r="T663" s="1294"/>
      <c r="U663" s="1347"/>
      <c r="V663" s="335"/>
      <c r="W663" s="335"/>
      <c r="X663" s="335"/>
      <c r="Y663" s="63"/>
      <c r="Z663" s="61"/>
      <c r="AA663" s="61"/>
      <c r="AB663" s="61"/>
      <c r="AC663" s="61"/>
      <c r="AD663" s="323"/>
      <c r="AE663" s="323"/>
      <c r="AF663" s="314"/>
      <c r="AG663" s="314"/>
      <c r="AH663" s="314" t="str">
        <f>IFERROR(INDEX('Annex 2_Code'!$J$114:$J$126,MATCH('Annex 3_MAFF'!AF663,'Annex 2_Code'!$G$114:$G$126,0)),"")</f>
        <v/>
      </c>
      <c r="AI663" s="62"/>
      <c r="AK663" s="62"/>
      <c r="AL663" s="62"/>
    </row>
    <row r="664" spans="1:38" ht="12.75">
      <c r="A664" s="63"/>
      <c r="B664" s="65"/>
      <c r="C664" s="59"/>
      <c r="D664" s="61"/>
      <c r="E664" s="61"/>
      <c r="F664" s="61"/>
      <c r="G664" s="61"/>
      <c r="H664" s="1345"/>
      <c r="I664" s="1348"/>
      <c r="J664" s="66"/>
      <c r="K664" s="66"/>
      <c r="L664" s="66"/>
      <c r="M664" s="66"/>
      <c r="N664" s="66"/>
      <c r="O664" s="66"/>
      <c r="P664" s="66"/>
      <c r="Q664" s="66"/>
      <c r="R664" s="66"/>
      <c r="S664" s="1445"/>
      <c r="T664" s="1294"/>
      <c r="U664" s="1347"/>
      <c r="V664" s="335"/>
      <c r="W664" s="335"/>
      <c r="X664" s="335"/>
      <c r="Y664" s="63"/>
      <c r="Z664" s="61"/>
      <c r="AA664" s="61"/>
      <c r="AB664" s="61"/>
      <c r="AC664" s="61"/>
      <c r="AD664" s="323"/>
      <c r="AE664" s="323"/>
      <c r="AF664" s="314"/>
      <c r="AG664" s="314"/>
      <c r="AH664" s="314" t="str">
        <f>IFERROR(INDEX('Annex 2_Code'!$J$114:$J$126,MATCH('Annex 3_MAFF'!AF664,'Annex 2_Code'!$G$114:$G$126,0)),"")</f>
        <v/>
      </c>
      <c r="AI664" s="62"/>
      <c r="AK664" s="62"/>
      <c r="AL664" s="62"/>
    </row>
    <row r="665" spans="1:38" ht="12.75">
      <c r="A665" s="63"/>
      <c r="B665" s="65"/>
      <c r="C665" s="59"/>
      <c r="D665" s="61"/>
      <c r="E665" s="61"/>
      <c r="F665" s="61"/>
      <c r="G665" s="61"/>
      <c r="H665" s="1345"/>
      <c r="I665" s="1348"/>
      <c r="J665" s="66"/>
      <c r="K665" s="66"/>
      <c r="L665" s="66"/>
      <c r="M665" s="66"/>
      <c r="N665" s="66"/>
      <c r="O665" s="66"/>
      <c r="P665" s="66"/>
      <c r="Q665" s="66"/>
      <c r="R665" s="66"/>
      <c r="S665" s="1445"/>
      <c r="T665" s="1294"/>
      <c r="U665" s="1347"/>
      <c r="V665" s="335"/>
      <c r="W665" s="335"/>
      <c r="X665" s="335"/>
      <c r="Y665" s="63"/>
      <c r="Z665" s="61"/>
      <c r="AA665" s="61"/>
      <c r="AB665" s="61"/>
      <c r="AC665" s="61"/>
      <c r="AD665" s="323"/>
      <c r="AE665" s="323"/>
      <c r="AF665" s="314"/>
      <c r="AG665" s="314"/>
      <c r="AH665" s="314" t="str">
        <f>IFERROR(INDEX('Annex 2_Code'!$J$114:$J$126,MATCH('Annex 3_MAFF'!AF665,'Annex 2_Code'!$G$114:$G$126,0)),"")</f>
        <v/>
      </c>
      <c r="AI665" s="62"/>
      <c r="AK665" s="62"/>
      <c r="AL665" s="62"/>
    </row>
    <row r="666" spans="1:38" ht="12.75">
      <c r="A666" s="63"/>
      <c r="B666" s="65"/>
      <c r="C666" s="59"/>
      <c r="D666" s="61"/>
      <c r="E666" s="61"/>
      <c r="F666" s="61"/>
      <c r="G666" s="61"/>
      <c r="H666" s="1344"/>
      <c r="I666" s="1348"/>
      <c r="J666" s="66"/>
      <c r="K666" s="66"/>
      <c r="L666" s="66"/>
      <c r="M666" s="66"/>
      <c r="N666" s="66"/>
      <c r="O666" s="66"/>
      <c r="P666" s="66"/>
      <c r="Q666" s="66"/>
      <c r="R666" s="66"/>
      <c r="S666" s="1445"/>
      <c r="T666" s="1294"/>
      <c r="U666" s="1347"/>
      <c r="V666" s="335"/>
      <c r="W666" s="335"/>
      <c r="X666" s="335"/>
      <c r="Y666" s="63"/>
      <c r="Z666" s="61"/>
      <c r="AA666" s="61"/>
      <c r="AB666" s="61"/>
      <c r="AC666" s="61"/>
      <c r="AD666" s="323"/>
      <c r="AE666" s="323"/>
      <c r="AF666" s="314"/>
      <c r="AG666" s="314"/>
      <c r="AH666" s="314" t="str">
        <f>IFERROR(INDEX('Annex 2_Code'!$J$114:$J$126,MATCH('Annex 3_MAFF'!AF666,'Annex 2_Code'!$G$114:$G$126,0)),"")</f>
        <v/>
      </c>
      <c r="AI666" s="62"/>
      <c r="AK666" s="62"/>
      <c r="AL666" s="62"/>
    </row>
    <row r="667" spans="1:38" ht="12.75">
      <c r="A667" s="63"/>
      <c r="B667" s="65"/>
      <c r="C667" s="59"/>
      <c r="D667" s="61"/>
      <c r="E667" s="61"/>
      <c r="F667" s="61"/>
      <c r="G667" s="61"/>
      <c r="H667" s="1344"/>
      <c r="I667" s="1348"/>
      <c r="J667" s="66"/>
      <c r="K667" s="66"/>
      <c r="L667" s="66"/>
      <c r="M667" s="66"/>
      <c r="N667" s="66"/>
      <c r="O667" s="66"/>
      <c r="P667" s="66"/>
      <c r="Q667" s="66"/>
      <c r="R667" s="66"/>
      <c r="S667" s="1445"/>
      <c r="T667" s="1294"/>
      <c r="U667" s="1347"/>
      <c r="V667" s="335"/>
      <c r="W667" s="335"/>
      <c r="X667" s="335"/>
      <c r="Y667" s="63"/>
      <c r="Z667" s="61"/>
      <c r="AA667" s="61"/>
      <c r="AB667" s="61"/>
      <c r="AC667" s="61"/>
      <c r="AD667" s="323"/>
      <c r="AE667" s="323"/>
      <c r="AF667" s="314"/>
      <c r="AG667" s="314"/>
      <c r="AH667" s="314" t="str">
        <f>IFERROR(INDEX('Annex 2_Code'!$J$114:$J$126,MATCH('Annex 3_MAFF'!AF667,'Annex 2_Code'!$G$114:$G$126,0)),"")</f>
        <v/>
      </c>
      <c r="AI667" s="62"/>
      <c r="AK667" s="62"/>
      <c r="AL667" s="62"/>
    </row>
    <row r="668" spans="1:38" ht="12.75">
      <c r="A668" s="63"/>
      <c r="B668" s="65"/>
      <c r="C668" s="59"/>
      <c r="D668" s="61"/>
      <c r="E668" s="61"/>
      <c r="F668" s="61"/>
      <c r="G668" s="61"/>
      <c r="H668" s="1344"/>
      <c r="I668" s="1348"/>
      <c r="J668" s="66"/>
      <c r="K668" s="66"/>
      <c r="L668" s="66"/>
      <c r="M668" s="66"/>
      <c r="N668" s="66"/>
      <c r="O668" s="66"/>
      <c r="P668" s="66"/>
      <c r="Q668" s="66"/>
      <c r="R668" s="66"/>
      <c r="S668" s="1445"/>
      <c r="T668" s="1294"/>
      <c r="U668" s="1347"/>
      <c r="V668" s="335"/>
      <c r="W668" s="335"/>
      <c r="X668" s="335"/>
      <c r="Y668" s="63"/>
      <c r="Z668" s="61"/>
      <c r="AA668" s="61"/>
      <c r="AB668" s="61"/>
      <c r="AC668" s="61"/>
      <c r="AD668" s="323"/>
      <c r="AE668" s="323"/>
      <c r="AF668" s="314"/>
      <c r="AG668" s="314"/>
      <c r="AH668" s="314" t="str">
        <f>IFERROR(INDEX('Annex 2_Code'!$J$114:$J$126,MATCH('Annex 3_MAFF'!AF668,'Annex 2_Code'!$G$114:$G$126,0)),"")</f>
        <v/>
      </c>
      <c r="AI668" s="62"/>
      <c r="AK668" s="62"/>
      <c r="AL668" s="62"/>
    </row>
    <row r="669" spans="1:38" ht="12.75">
      <c r="A669" s="63"/>
      <c r="B669" s="65"/>
      <c r="C669" s="59"/>
      <c r="D669" s="61"/>
      <c r="E669" s="61"/>
      <c r="F669" s="61"/>
      <c r="G669" s="61"/>
      <c r="H669" s="1345"/>
      <c r="I669" s="1348"/>
      <c r="J669" s="66"/>
      <c r="K669" s="66"/>
      <c r="L669" s="66"/>
      <c r="M669" s="66"/>
      <c r="N669" s="66"/>
      <c r="O669" s="66"/>
      <c r="P669" s="66"/>
      <c r="Q669" s="66"/>
      <c r="R669" s="66"/>
      <c r="S669" s="1445"/>
      <c r="T669" s="1294"/>
      <c r="U669" s="1347"/>
      <c r="V669" s="335"/>
      <c r="W669" s="335"/>
      <c r="X669" s="335"/>
      <c r="Y669" s="63"/>
      <c r="Z669" s="61"/>
      <c r="AA669" s="61"/>
      <c r="AB669" s="61"/>
      <c r="AC669" s="61"/>
      <c r="AD669" s="323"/>
      <c r="AE669" s="323"/>
      <c r="AF669" s="314"/>
      <c r="AG669" s="314"/>
      <c r="AH669" s="314" t="str">
        <f>IFERROR(INDEX('Annex 2_Code'!$J$114:$J$126,MATCH('Annex 3_MAFF'!AF669,'Annex 2_Code'!$G$114:$G$126,0)),"")</f>
        <v/>
      </c>
      <c r="AI669" s="62"/>
      <c r="AK669" s="62"/>
      <c r="AL669" s="62"/>
    </row>
    <row r="670" spans="1:38" ht="12.75">
      <c r="A670" s="63"/>
      <c r="B670" s="65"/>
      <c r="C670" s="59"/>
      <c r="D670" s="61"/>
      <c r="E670" s="61"/>
      <c r="F670" s="61"/>
      <c r="G670" s="61"/>
      <c r="H670" s="1345"/>
      <c r="I670" s="1348"/>
      <c r="J670" s="66"/>
      <c r="K670" s="66"/>
      <c r="L670" s="66"/>
      <c r="M670" s="66"/>
      <c r="N670" s="66"/>
      <c r="O670" s="66"/>
      <c r="P670" s="66"/>
      <c r="Q670" s="66"/>
      <c r="R670" s="66"/>
      <c r="S670" s="1445"/>
      <c r="T670" s="1294"/>
      <c r="U670" s="1347"/>
      <c r="V670" s="335"/>
      <c r="W670" s="335"/>
      <c r="X670" s="335"/>
      <c r="Y670" s="63"/>
      <c r="Z670" s="61"/>
      <c r="AA670" s="61"/>
      <c r="AB670" s="61"/>
      <c r="AC670" s="61"/>
      <c r="AD670" s="323"/>
      <c r="AE670" s="323"/>
      <c r="AF670" s="314"/>
      <c r="AG670" s="314"/>
      <c r="AH670" s="314" t="str">
        <f>IFERROR(INDEX('Annex 2_Code'!$J$114:$J$126,MATCH('Annex 3_MAFF'!AF670,'Annex 2_Code'!$G$114:$G$126,0)),"")</f>
        <v/>
      </c>
      <c r="AI670" s="62"/>
      <c r="AK670" s="62"/>
      <c r="AL670" s="62"/>
    </row>
    <row r="671" spans="1:38" ht="12.75">
      <c r="A671" s="63"/>
      <c r="B671" s="65"/>
      <c r="C671" s="59"/>
      <c r="D671" s="61"/>
      <c r="E671" s="61"/>
      <c r="F671" s="61"/>
      <c r="G671" s="61"/>
      <c r="H671" s="1345"/>
      <c r="I671" s="1348"/>
      <c r="J671" s="66"/>
      <c r="K671" s="66"/>
      <c r="L671" s="66"/>
      <c r="M671" s="66"/>
      <c r="N671" s="66"/>
      <c r="O671" s="66"/>
      <c r="P671" s="66"/>
      <c r="Q671" s="66"/>
      <c r="R671" s="66"/>
      <c r="S671" s="1445"/>
      <c r="T671" s="1294"/>
      <c r="U671" s="1347"/>
      <c r="V671" s="335"/>
      <c r="W671" s="335"/>
      <c r="X671" s="335"/>
      <c r="Y671" s="63"/>
      <c r="Z671" s="61"/>
      <c r="AA671" s="61"/>
      <c r="AB671" s="61"/>
      <c r="AC671" s="61"/>
      <c r="AD671" s="323"/>
      <c r="AE671" s="323"/>
      <c r="AF671" s="314"/>
      <c r="AG671" s="314"/>
      <c r="AH671" s="314" t="str">
        <f>IFERROR(INDEX('Annex 2_Code'!$J$114:$J$126,MATCH('Annex 3_MAFF'!AF671,'Annex 2_Code'!$G$114:$G$126,0)),"")</f>
        <v/>
      </c>
      <c r="AI671" s="62"/>
      <c r="AK671" s="62"/>
      <c r="AL671" s="62"/>
    </row>
    <row r="672" spans="1:38" ht="12.75">
      <c r="A672" s="63"/>
      <c r="B672" s="65"/>
      <c r="C672" s="59"/>
      <c r="D672" s="61"/>
      <c r="E672" s="61"/>
      <c r="F672" s="61"/>
      <c r="G672" s="61"/>
      <c r="H672" s="1345"/>
      <c r="I672" s="1348"/>
      <c r="J672" s="66"/>
      <c r="K672" s="66"/>
      <c r="L672" s="66"/>
      <c r="M672" s="1346"/>
      <c r="N672" s="1346"/>
      <c r="O672" s="66"/>
      <c r="P672" s="66"/>
      <c r="Q672" s="1346"/>
      <c r="R672" s="1346"/>
      <c r="S672" s="1446"/>
      <c r="T672" s="1294"/>
      <c r="U672" s="1347"/>
      <c r="V672" s="335"/>
      <c r="W672" s="335"/>
      <c r="X672" s="335"/>
      <c r="Y672" s="63"/>
      <c r="Z672" s="61"/>
      <c r="AA672" s="61"/>
      <c r="AB672" s="61"/>
      <c r="AC672" s="61"/>
      <c r="AD672" s="323"/>
      <c r="AE672" s="323"/>
      <c r="AF672" s="314"/>
      <c r="AG672" s="314"/>
      <c r="AH672" s="314" t="str">
        <f>IFERROR(INDEX('Annex 2_Code'!$J$114:$J$126,MATCH('Annex 3_MAFF'!AF672,'Annex 2_Code'!$G$114:$G$126,0)),"")</f>
        <v/>
      </c>
      <c r="AI672" s="62"/>
      <c r="AK672" s="62"/>
      <c r="AL672" s="62"/>
    </row>
    <row r="673" spans="1:38" ht="12.75">
      <c r="A673" s="63"/>
      <c r="B673" s="65"/>
      <c r="C673" s="59"/>
      <c r="D673" s="61"/>
      <c r="E673" s="61"/>
      <c r="F673" s="61"/>
      <c r="G673" s="61"/>
      <c r="H673" s="1345"/>
      <c r="I673" s="1348"/>
      <c r="J673" s="66"/>
      <c r="K673" s="66"/>
      <c r="L673" s="66"/>
      <c r="M673" s="66"/>
      <c r="N673" s="66"/>
      <c r="O673" s="66"/>
      <c r="P673" s="66"/>
      <c r="Q673" s="66"/>
      <c r="R673" s="66"/>
      <c r="S673" s="1445"/>
      <c r="T673" s="1294"/>
      <c r="U673" s="1347"/>
      <c r="V673" s="335"/>
      <c r="W673" s="335"/>
      <c r="X673" s="335"/>
      <c r="Y673" s="63"/>
      <c r="Z673" s="61"/>
      <c r="AA673" s="61"/>
      <c r="AB673" s="61"/>
      <c r="AC673" s="61"/>
      <c r="AD673" s="323"/>
      <c r="AE673" s="323"/>
      <c r="AF673" s="314"/>
      <c r="AG673" s="314"/>
      <c r="AH673" s="314" t="str">
        <f>IFERROR(INDEX('Annex 2_Code'!$J$114:$J$126,MATCH('Annex 3_MAFF'!AF673,'Annex 2_Code'!$G$114:$G$126,0)),"")</f>
        <v/>
      </c>
      <c r="AI673" s="62"/>
      <c r="AK673" s="62"/>
      <c r="AL673" s="62"/>
    </row>
    <row r="674" spans="1:38" ht="12.75">
      <c r="A674" s="63"/>
      <c r="B674" s="65"/>
      <c r="C674" s="59"/>
      <c r="D674" s="61"/>
      <c r="E674" s="61"/>
      <c r="F674" s="61"/>
      <c r="G674" s="61"/>
      <c r="H674" s="1345"/>
      <c r="I674" s="1348"/>
      <c r="J674" s="66"/>
      <c r="K674" s="66"/>
      <c r="L674" s="66"/>
      <c r="M674" s="66"/>
      <c r="N674" s="66"/>
      <c r="O674" s="66"/>
      <c r="P674" s="66"/>
      <c r="Q674" s="66"/>
      <c r="R674" s="66"/>
      <c r="S674" s="1445"/>
      <c r="T674" s="1294"/>
      <c r="U674" s="1347"/>
      <c r="V674" s="335"/>
      <c r="W674" s="335"/>
      <c r="X674" s="335"/>
      <c r="Y674" s="63"/>
      <c r="Z674" s="61"/>
      <c r="AA674" s="61"/>
      <c r="AB674" s="61"/>
      <c r="AC674" s="61"/>
      <c r="AD674" s="323"/>
      <c r="AE674" s="323"/>
      <c r="AF674" s="314"/>
      <c r="AG674" s="314"/>
      <c r="AH674" s="314" t="str">
        <f>IFERROR(INDEX('Annex 2_Code'!$J$114:$J$126,MATCH('Annex 3_MAFF'!AF674,'Annex 2_Code'!$G$114:$G$126,0)),"")</f>
        <v/>
      </c>
      <c r="AI674" s="62"/>
      <c r="AK674" s="62"/>
      <c r="AL674" s="62"/>
    </row>
    <row r="675" spans="1:38" ht="12.75">
      <c r="A675" s="63"/>
      <c r="B675" s="65"/>
      <c r="C675" s="59"/>
      <c r="D675" s="61"/>
      <c r="E675" s="61"/>
      <c r="F675" s="61"/>
      <c r="G675" s="61"/>
      <c r="H675" s="1344"/>
      <c r="I675" s="1348"/>
      <c r="J675" s="66"/>
      <c r="K675" s="66"/>
      <c r="L675" s="66"/>
      <c r="M675" s="66"/>
      <c r="N675" s="66"/>
      <c r="O675" s="66"/>
      <c r="P675" s="66"/>
      <c r="Q675" s="66"/>
      <c r="R675" s="66"/>
      <c r="S675" s="1445"/>
      <c r="T675" s="1294"/>
      <c r="U675" s="1347"/>
      <c r="V675" s="335"/>
      <c r="W675" s="335"/>
      <c r="X675" s="335"/>
      <c r="Y675" s="63"/>
      <c r="Z675" s="61"/>
      <c r="AA675" s="61"/>
      <c r="AB675" s="61"/>
      <c r="AC675" s="61"/>
      <c r="AD675" s="323"/>
      <c r="AE675" s="323"/>
      <c r="AF675" s="314"/>
      <c r="AG675" s="314"/>
      <c r="AH675" s="314" t="str">
        <f>IFERROR(INDEX('Annex 2_Code'!$J$114:$J$126,MATCH('Annex 3_MAFF'!AF675,'Annex 2_Code'!$G$114:$G$126,0)),"")</f>
        <v/>
      </c>
      <c r="AI675" s="62"/>
      <c r="AK675" s="62"/>
      <c r="AL675" s="62"/>
    </row>
    <row r="676" spans="1:38" ht="12.75">
      <c r="A676" s="63"/>
      <c r="B676" s="65"/>
      <c r="C676" s="59"/>
      <c r="D676" s="61"/>
      <c r="E676" s="61"/>
      <c r="F676" s="61"/>
      <c r="G676" s="61"/>
      <c r="H676" s="314"/>
      <c r="I676" s="1348"/>
      <c r="J676" s="66"/>
      <c r="K676" s="66"/>
      <c r="L676" s="66"/>
      <c r="M676" s="66"/>
      <c r="N676" s="324"/>
      <c r="O676" s="324"/>
      <c r="P676" s="324"/>
      <c r="Q676" s="324"/>
      <c r="R676" s="324"/>
      <c r="S676" s="1440"/>
      <c r="T676" s="324"/>
      <c r="U676" s="1347"/>
      <c r="V676" s="335"/>
      <c r="W676" s="335"/>
      <c r="X676" s="335"/>
      <c r="Y676" s="63"/>
      <c r="Z676" s="61"/>
      <c r="AA676" s="61"/>
      <c r="AB676" s="61"/>
      <c r="AC676" s="61"/>
      <c r="AD676" s="323"/>
      <c r="AE676" s="323"/>
      <c r="AF676" s="314"/>
      <c r="AG676" s="314"/>
      <c r="AH676" s="314" t="str">
        <f>IFERROR(INDEX('Annex 2_Code'!$J$114:$J$126,MATCH('Annex 3_MAFF'!AF676,'Annex 2_Code'!$G$114:$G$126,0)),"")</f>
        <v/>
      </c>
      <c r="AI676" s="62"/>
      <c r="AK676" s="62"/>
      <c r="AL676" s="62"/>
    </row>
    <row r="677" spans="1:38" ht="12.75">
      <c r="A677" s="63"/>
      <c r="B677" s="65"/>
      <c r="C677" s="59"/>
      <c r="D677" s="61"/>
      <c r="E677" s="61"/>
      <c r="F677" s="61"/>
      <c r="G677" s="61"/>
      <c r="H677"/>
      <c r="I677" s="1348"/>
      <c r="J677" s="66"/>
      <c r="K677" s="66"/>
      <c r="L677" s="66"/>
      <c r="M677" s="66"/>
      <c r="N677" s="1346"/>
      <c r="O677" s="66"/>
      <c r="P677" s="66"/>
      <c r="Q677" s="66"/>
      <c r="R677" s="66"/>
      <c r="S677" s="1440"/>
      <c r="T677" s="334"/>
      <c r="U677" s="335"/>
      <c r="V677" s="335"/>
      <c r="W677" s="335"/>
      <c r="X677" s="335"/>
      <c r="Y677" s="63"/>
      <c r="Z677" s="61"/>
      <c r="AA677" s="61"/>
      <c r="AB677" s="61"/>
      <c r="AC677" s="61"/>
      <c r="AD677" s="323"/>
      <c r="AE677" s="323"/>
      <c r="AF677" s="314"/>
      <c r="AG677" s="314"/>
      <c r="AH677" s="314" t="str">
        <f>IFERROR(INDEX('Annex 2_Code'!$J$114:$J$126,MATCH('Annex 3_MAFF'!AF677,'Annex 2_Code'!$G$114:$G$126,0)),"")</f>
        <v/>
      </c>
      <c r="AI677" s="62"/>
      <c r="AK677" s="62"/>
      <c r="AL677" s="62"/>
    </row>
    <row r="678" spans="1:38" ht="12.75">
      <c r="A678" s="63"/>
      <c r="B678" s="65"/>
      <c r="C678" s="59"/>
      <c r="D678" s="61"/>
      <c r="E678" s="61"/>
      <c r="F678" s="61"/>
      <c r="G678" s="61"/>
      <c r="H678"/>
      <c r="I678" s="1348"/>
      <c r="J678" s="66"/>
      <c r="K678" s="66"/>
      <c r="L678" s="66"/>
      <c r="M678" s="66"/>
      <c r="N678" s="66"/>
      <c r="O678" s="66"/>
      <c r="P678" s="66"/>
      <c r="Q678" s="66"/>
      <c r="R678" s="66"/>
      <c r="S678" s="1447"/>
      <c r="T678" s="334"/>
      <c r="U678" s="335"/>
      <c r="V678" s="335"/>
      <c r="W678" s="335"/>
      <c r="X678" s="335"/>
      <c r="Y678" s="63"/>
      <c r="Z678" s="61"/>
      <c r="AA678" s="61"/>
      <c r="AB678" s="61"/>
      <c r="AC678" s="61"/>
      <c r="AD678" s="323"/>
      <c r="AE678" s="323"/>
      <c r="AF678" s="314"/>
      <c r="AG678" s="314"/>
      <c r="AH678" s="314" t="str">
        <f>IFERROR(INDEX('Annex 2_Code'!$J$114:$J$126,MATCH('Annex 3_MAFF'!AF678,'Annex 2_Code'!$G$114:$G$126,0)),"")</f>
        <v/>
      </c>
      <c r="AI678" s="62"/>
      <c r="AK678" s="62"/>
      <c r="AL678" s="62"/>
    </row>
    <row r="679" spans="1:38" ht="12.75">
      <c r="A679" s="63"/>
      <c r="B679" s="65"/>
      <c r="C679" s="59"/>
      <c r="D679" s="61"/>
      <c r="E679" s="61"/>
      <c r="F679" s="61"/>
      <c r="G679" s="61"/>
      <c r="H679"/>
      <c r="I679" s="1348"/>
      <c r="J679" s="66"/>
      <c r="K679" s="66"/>
      <c r="L679" s="66"/>
      <c r="M679" s="66"/>
      <c r="N679" s="66"/>
      <c r="O679" s="66"/>
      <c r="P679" s="66"/>
      <c r="Q679" s="66"/>
      <c r="R679" s="66"/>
      <c r="S679" s="1440"/>
      <c r="T679" s="334"/>
      <c r="U679" s="335"/>
      <c r="V679" s="335"/>
      <c r="W679" s="335"/>
      <c r="X679" s="335"/>
      <c r="Y679" s="63"/>
      <c r="Z679" s="61"/>
      <c r="AA679" s="61"/>
      <c r="AB679" s="61"/>
      <c r="AC679" s="61"/>
      <c r="AD679" s="323"/>
      <c r="AE679" s="323"/>
      <c r="AF679" s="314"/>
      <c r="AG679" s="314"/>
      <c r="AH679" s="314" t="str">
        <f>IFERROR(INDEX('Annex 2_Code'!$J$114:$J$126,MATCH('Annex 3_MAFF'!AF679,'Annex 2_Code'!$G$114:$G$126,0)),"")</f>
        <v/>
      </c>
      <c r="AI679" s="62"/>
      <c r="AK679" s="62"/>
      <c r="AL679" s="62"/>
    </row>
    <row r="680" spans="1:38" ht="12.75">
      <c r="A680" s="63"/>
      <c r="B680" s="65"/>
      <c r="C680" s="59"/>
      <c r="D680" s="61"/>
      <c r="E680" s="61"/>
      <c r="F680" s="61"/>
      <c r="G680" s="61"/>
      <c r="H680"/>
      <c r="I680" s="1348"/>
      <c r="J680" s="66"/>
      <c r="K680" s="66"/>
      <c r="L680" s="66"/>
      <c r="M680" s="66"/>
      <c r="N680" s="66"/>
      <c r="O680" s="66"/>
      <c r="P680" s="66"/>
      <c r="Q680" s="66"/>
      <c r="R680" s="66"/>
      <c r="S680" s="1440"/>
      <c r="T680" s="334"/>
      <c r="U680" s="335"/>
      <c r="V680" s="335"/>
      <c r="W680" s="335"/>
      <c r="X680" s="335"/>
      <c r="Y680" s="63"/>
      <c r="Z680" s="61"/>
      <c r="AA680" s="61"/>
      <c r="AB680" s="61"/>
      <c r="AC680" s="61"/>
      <c r="AD680" s="323"/>
      <c r="AE680" s="323"/>
      <c r="AF680" s="314"/>
      <c r="AG680" s="314"/>
      <c r="AH680" s="314" t="str">
        <f>IFERROR(INDEX('Annex 2_Code'!$J$114:$J$126,MATCH('Annex 3_MAFF'!AF680,'Annex 2_Code'!$G$114:$G$126,0)),"")</f>
        <v/>
      </c>
      <c r="AI680" s="62"/>
      <c r="AK680" s="62"/>
      <c r="AL680" s="62"/>
    </row>
    <row r="681" spans="1:38" ht="12.75">
      <c r="A681" s="63"/>
      <c r="B681" s="65"/>
      <c r="C681" s="59"/>
      <c r="D681" s="61"/>
      <c r="E681" s="61"/>
      <c r="F681" s="61"/>
      <c r="G681" s="61"/>
      <c r="H681"/>
      <c r="I681" s="1348"/>
      <c r="J681" s="66"/>
      <c r="K681" s="66"/>
      <c r="L681" s="66"/>
      <c r="M681" s="66"/>
      <c r="N681" s="66"/>
      <c r="O681" s="66"/>
      <c r="P681" s="66"/>
      <c r="Q681" s="66"/>
      <c r="R681" s="66"/>
      <c r="S681" s="1440"/>
      <c r="T681" s="334"/>
      <c r="U681" s="335"/>
      <c r="V681" s="335"/>
      <c r="W681" s="335"/>
      <c r="X681" s="335"/>
      <c r="Y681" s="63"/>
      <c r="Z681" s="61"/>
      <c r="AA681" s="61"/>
      <c r="AB681" s="61"/>
      <c r="AC681" s="61"/>
      <c r="AD681" s="323"/>
      <c r="AE681" s="323"/>
      <c r="AF681" s="314"/>
      <c r="AG681" s="314"/>
      <c r="AH681" s="314" t="str">
        <f>IFERROR(INDEX('Annex 2_Code'!$J$114:$J$126,MATCH('Annex 3_MAFF'!AF681,'Annex 2_Code'!$G$114:$G$126,0)),"")</f>
        <v/>
      </c>
      <c r="AI681" s="62"/>
      <c r="AK681" s="62"/>
      <c r="AL681" s="62"/>
    </row>
    <row r="682" spans="1:38" ht="12.75">
      <c r="A682" s="63"/>
      <c r="B682" s="65"/>
      <c r="C682" s="59"/>
      <c r="D682" s="61"/>
      <c r="E682" s="61"/>
      <c r="F682" s="61"/>
      <c r="G682" s="61"/>
      <c r="H682"/>
      <c r="I682" s="1348"/>
      <c r="J682" s="66"/>
      <c r="K682" s="66"/>
      <c r="L682" s="66"/>
      <c r="M682" s="66"/>
      <c r="N682" s="66"/>
      <c r="O682" s="66"/>
      <c r="P682" s="66"/>
      <c r="Q682" s="66"/>
      <c r="R682" s="66"/>
      <c r="S682" s="1440"/>
      <c r="T682" s="334"/>
      <c r="U682" s="335"/>
      <c r="V682" s="335"/>
      <c r="W682" s="335"/>
      <c r="X682" s="335"/>
      <c r="Y682" s="63"/>
      <c r="Z682" s="61"/>
      <c r="AA682" s="61"/>
      <c r="AB682" s="61"/>
      <c r="AC682" s="61"/>
      <c r="AD682" s="323"/>
      <c r="AE682" s="323"/>
      <c r="AF682" s="314"/>
      <c r="AG682" s="314"/>
      <c r="AH682" s="314" t="str">
        <f>IFERROR(INDEX('Annex 2_Code'!$J$114:$J$126,MATCH('Annex 3_MAFF'!AF682,'Annex 2_Code'!$G$114:$G$126,0)),"")</f>
        <v/>
      </c>
      <c r="AI682" s="62"/>
      <c r="AK682" s="62"/>
      <c r="AL682" s="62"/>
    </row>
    <row r="683" spans="1:38" ht="12.75">
      <c r="A683" s="63"/>
      <c r="B683" s="65"/>
      <c r="C683" s="59"/>
      <c r="D683" s="61"/>
      <c r="E683" s="61"/>
      <c r="F683" s="61"/>
      <c r="G683" s="61"/>
      <c r="H683"/>
      <c r="I683" s="1348"/>
      <c r="J683" s="66"/>
      <c r="K683" s="66"/>
      <c r="L683" s="66"/>
      <c r="M683" s="66"/>
      <c r="N683" s="66"/>
      <c r="O683" s="66"/>
      <c r="P683" s="66"/>
      <c r="Q683" s="66"/>
      <c r="R683" s="66"/>
      <c r="S683" s="1440"/>
      <c r="T683" s="334"/>
      <c r="U683" s="335"/>
      <c r="V683" s="335"/>
      <c r="W683" s="335"/>
      <c r="X683" s="335"/>
      <c r="Y683" s="63"/>
      <c r="Z683" s="61"/>
      <c r="AA683" s="61"/>
      <c r="AB683" s="61"/>
      <c r="AC683" s="61"/>
      <c r="AD683" s="323"/>
      <c r="AE683" s="323"/>
      <c r="AF683" s="314"/>
      <c r="AG683" s="314"/>
      <c r="AH683" s="314" t="str">
        <f>IFERROR(INDEX('Annex 2_Code'!$J$114:$J$126,MATCH('Annex 3_MAFF'!AF683,'Annex 2_Code'!$G$114:$G$126,0)),"")</f>
        <v/>
      </c>
      <c r="AI683" s="62"/>
      <c r="AK683" s="62"/>
      <c r="AL683" s="62"/>
    </row>
    <row r="684" spans="1:38" ht="12.75">
      <c r="A684" s="63"/>
      <c r="B684" s="65"/>
      <c r="C684" s="59"/>
      <c r="D684" s="61"/>
      <c r="E684" s="61"/>
      <c r="F684" s="61"/>
      <c r="G684" s="61"/>
      <c r="H684"/>
      <c r="I684" s="1348"/>
      <c r="J684" s="66"/>
      <c r="K684" s="66"/>
      <c r="L684" s="66"/>
      <c r="M684" s="66"/>
      <c r="N684" s="66"/>
      <c r="O684" s="66"/>
      <c r="P684" s="66"/>
      <c r="Q684" s="66"/>
      <c r="R684" s="66"/>
      <c r="S684" s="1440"/>
      <c r="T684" s="334"/>
      <c r="U684" s="335"/>
      <c r="V684" s="335"/>
      <c r="W684" s="335"/>
      <c r="X684" s="335"/>
      <c r="Y684" s="63"/>
      <c r="Z684" s="61"/>
      <c r="AA684" s="61"/>
      <c r="AB684" s="61"/>
      <c r="AC684" s="61"/>
      <c r="AD684" s="323"/>
      <c r="AE684" s="323"/>
      <c r="AF684" s="314"/>
      <c r="AG684" s="314"/>
      <c r="AH684" s="314" t="str">
        <f>IFERROR(INDEX('Annex 2_Code'!$J$114:$J$126,MATCH('Annex 3_MAFF'!AF684,'Annex 2_Code'!$G$114:$G$126,0)),"")</f>
        <v/>
      </c>
      <c r="AI684" s="62"/>
      <c r="AK684" s="62"/>
      <c r="AL684" s="62"/>
    </row>
    <row r="685" spans="1:38" ht="12.75">
      <c r="A685" s="63"/>
      <c r="B685" s="65"/>
      <c r="C685" s="59"/>
      <c r="D685" s="61"/>
      <c r="E685" s="61"/>
      <c r="F685" s="61"/>
      <c r="G685" s="61"/>
      <c r="H685"/>
      <c r="I685" s="1348"/>
      <c r="J685" s="66"/>
      <c r="K685" s="66"/>
      <c r="L685" s="66"/>
      <c r="M685" s="66"/>
      <c r="N685" s="66"/>
      <c r="O685" s="66"/>
      <c r="P685" s="66"/>
      <c r="Q685" s="66"/>
      <c r="R685" s="66"/>
      <c r="S685" s="1440"/>
      <c r="T685" s="334"/>
      <c r="U685" s="335"/>
      <c r="V685" s="335"/>
      <c r="W685" s="335"/>
      <c r="X685" s="335"/>
      <c r="Y685" s="63"/>
      <c r="Z685" s="61"/>
      <c r="AA685" s="61"/>
      <c r="AB685" s="61"/>
      <c r="AC685" s="61"/>
      <c r="AD685" s="323"/>
      <c r="AE685" s="323"/>
      <c r="AF685" s="314"/>
      <c r="AG685" s="314"/>
      <c r="AH685" s="314" t="str">
        <f>IFERROR(INDEX('Annex 2_Code'!$J$114:$J$126,MATCH('Annex 3_MAFF'!AF685,'Annex 2_Code'!$G$114:$G$126,0)),"")</f>
        <v/>
      </c>
      <c r="AI685" s="62"/>
      <c r="AK685" s="62"/>
      <c r="AL685" s="62"/>
    </row>
    <row r="686" spans="1:38" ht="12.75">
      <c r="A686" s="63"/>
      <c r="B686" s="65"/>
      <c r="C686" s="59"/>
      <c r="D686" s="61"/>
      <c r="E686" s="61"/>
      <c r="F686" s="61"/>
      <c r="G686" s="61"/>
      <c r="H686"/>
      <c r="I686" s="1348"/>
      <c r="J686" s="66"/>
      <c r="K686" s="66"/>
      <c r="L686" s="66"/>
      <c r="M686" s="66"/>
      <c r="N686" s="66"/>
      <c r="O686" s="66"/>
      <c r="P686" s="66"/>
      <c r="Q686" s="66"/>
      <c r="R686" s="66"/>
      <c r="S686" s="1440"/>
      <c r="T686" s="334"/>
      <c r="U686" s="335"/>
      <c r="V686" s="335"/>
      <c r="W686" s="335"/>
      <c r="X686" s="335"/>
      <c r="Y686" s="63"/>
      <c r="Z686" s="61"/>
      <c r="AA686" s="61"/>
      <c r="AB686" s="61"/>
      <c r="AC686" s="61"/>
      <c r="AD686" s="323"/>
      <c r="AE686" s="323"/>
      <c r="AF686" s="314"/>
      <c r="AG686" s="314"/>
      <c r="AH686" s="314" t="str">
        <f>IFERROR(INDEX('Annex 2_Code'!$J$114:$J$126,MATCH('Annex 3_MAFF'!AF686,'Annex 2_Code'!$G$114:$G$126,0)),"")</f>
        <v/>
      </c>
      <c r="AI686" s="62"/>
      <c r="AK686" s="62"/>
      <c r="AL686" s="62"/>
    </row>
    <row r="687" spans="1:38" ht="12.75">
      <c r="A687" s="63"/>
      <c r="B687" s="65"/>
      <c r="C687" s="59"/>
      <c r="D687" s="61"/>
      <c r="E687" s="61"/>
      <c r="F687" s="61"/>
      <c r="G687" s="61"/>
      <c r="H687"/>
      <c r="I687" s="1348"/>
      <c r="J687" s="66"/>
      <c r="K687" s="66"/>
      <c r="L687" s="66"/>
      <c r="M687" s="66"/>
      <c r="N687" s="66"/>
      <c r="O687" s="66"/>
      <c r="P687" s="66"/>
      <c r="Q687" s="66"/>
      <c r="R687" s="66"/>
      <c r="S687" s="1440"/>
      <c r="T687" s="334"/>
      <c r="U687" s="335"/>
      <c r="V687" s="335"/>
      <c r="W687" s="335"/>
      <c r="X687" s="335"/>
      <c r="Y687" s="63"/>
      <c r="Z687" s="61"/>
      <c r="AA687" s="61"/>
      <c r="AB687" s="61"/>
      <c r="AC687" s="61"/>
      <c r="AD687" s="323"/>
      <c r="AE687" s="323"/>
      <c r="AF687" s="314"/>
      <c r="AG687" s="314"/>
      <c r="AH687" s="314" t="str">
        <f>IFERROR(INDEX('Annex 2_Code'!$J$114:$J$126,MATCH('Annex 3_MAFF'!AF687,'Annex 2_Code'!$G$114:$G$126,0)),"")</f>
        <v/>
      </c>
      <c r="AI687" s="62"/>
      <c r="AK687" s="62"/>
      <c r="AL687" s="62"/>
    </row>
    <row r="688" spans="1:38" ht="12.75">
      <c r="A688" s="63"/>
      <c r="B688" s="65"/>
      <c r="C688" s="59"/>
      <c r="D688" s="61"/>
      <c r="E688" s="61"/>
      <c r="F688" s="61"/>
      <c r="G688" s="61"/>
      <c r="H688"/>
      <c r="I688" s="1348"/>
      <c r="J688" s="66"/>
      <c r="K688" s="66"/>
      <c r="L688" s="66"/>
      <c r="M688" s="66"/>
      <c r="N688" s="66"/>
      <c r="O688" s="66"/>
      <c r="P688" s="66"/>
      <c r="Q688" s="66"/>
      <c r="R688" s="66"/>
      <c r="S688" s="1440"/>
      <c r="T688" s="334"/>
      <c r="U688" s="335"/>
      <c r="V688" s="335"/>
      <c r="W688" s="335"/>
      <c r="X688" s="335"/>
      <c r="Y688" s="63"/>
      <c r="Z688" s="61"/>
      <c r="AA688" s="61"/>
      <c r="AB688" s="61"/>
      <c r="AC688" s="61"/>
      <c r="AD688" s="323"/>
      <c r="AE688" s="323"/>
      <c r="AF688" s="314"/>
      <c r="AG688" s="314"/>
      <c r="AH688" s="314" t="str">
        <f>IFERROR(INDEX('Annex 2_Code'!$J$114:$J$126,MATCH('Annex 3_MAFF'!AF688,'Annex 2_Code'!$G$114:$G$126,0)),"")</f>
        <v/>
      </c>
      <c r="AI688" s="62"/>
      <c r="AK688" s="62"/>
      <c r="AL688" s="62"/>
    </row>
    <row r="689" spans="1:38" ht="12.75">
      <c r="A689" s="63"/>
      <c r="B689" s="65"/>
      <c r="C689" s="59"/>
      <c r="D689" s="61"/>
      <c r="E689" s="61"/>
      <c r="F689" s="61"/>
      <c r="G689" s="61"/>
      <c r="H689"/>
      <c r="I689" s="1348"/>
      <c r="J689" s="66"/>
      <c r="K689" s="66"/>
      <c r="L689" s="66"/>
      <c r="M689" s="66"/>
      <c r="N689" s="66"/>
      <c r="O689" s="66"/>
      <c r="P689" s="66"/>
      <c r="Q689" s="66"/>
      <c r="R689" s="66"/>
      <c r="S689" s="1440"/>
      <c r="T689" s="334"/>
      <c r="U689" s="335"/>
      <c r="V689" s="335"/>
      <c r="W689" s="335"/>
      <c r="X689" s="335"/>
      <c r="Y689" s="63"/>
      <c r="Z689" s="61"/>
      <c r="AA689" s="61"/>
      <c r="AB689" s="61"/>
      <c r="AC689" s="61"/>
      <c r="AD689" s="323"/>
      <c r="AE689" s="323"/>
      <c r="AF689" s="314"/>
      <c r="AG689" s="314"/>
      <c r="AH689" s="314" t="str">
        <f>IFERROR(INDEX('Annex 2_Code'!$J$114:$J$126,MATCH('Annex 3_MAFF'!AF689,'Annex 2_Code'!$G$114:$G$126,0)),"")</f>
        <v/>
      </c>
      <c r="AI689" s="62"/>
      <c r="AK689" s="62"/>
      <c r="AL689" s="62"/>
    </row>
    <row r="690" spans="1:38" ht="12.75">
      <c r="A690" s="63"/>
      <c r="B690" s="65"/>
      <c r="C690" s="59"/>
      <c r="D690" s="61"/>
      <c r="E690" s="61"/>
      <c r="F690" s="61"/>
      <c r="G690" s="61"/>
      <c r="H690"/>
      <c r="I690" s="1348"/>
      <c r="J690" s="66"/>
      <c r="K690" s="66"/>
      <c r="L690" s="66"/>
      <c r="M690" s="66"/>
      <c r="N690" s="66"/>
      <c r="O690" s="66"/>
      <c r="P690" s="66"/>
      <c r="Q690" s="66"/>
      <c r="R690" s="66"/>
      <c r="S690" s="1440"/>
      <c r="T690" s="334"/>
      <c r="U690" s="335"/>
      <c r="V690" s="335"/>
      <c r="W690" s="335"/>
      <c r="X690" s="335"/>
      <c r="Y690" s="63"/>
      <c r="Z690" s="61"/>
      <c r="AA690" s="61"/>
      <c r="AB690" s="61"/>
      <c r="AC690" s="61"/>
      <c r="AD690" s="323"/>
      <c r="AE690" s="323"/>
      <c r="AF690" s="314"/>
      <c r="AG690" s="314"/>
      <c r="AH690" s="314" t="str">
        <f>IFERROR(INDEX('Annex 2_Code'!$J$114:$J$126,MATCH('Annex 3_MAFF'!AF690,'Annex 2_Code'!$G$114:$G$126,0)),"")</f>
        <v/>
      </c>
      <c r="AI690" s="62"/>
      <c r="AK690" s="62"/>
      <c r="AL690" s="62"/>
    </row>
    <row r="691" spans="1:38" ht="12.75">
      <c r="A691" s="63"/>
      <c r="B691" s="65"/>
      <c r="C691" s="59"/>
      <c r="D691" s="61"/>
      <c r="E691" s="61"/>
      <c r="F691" s="61"/>
      <c r="G691" s="61"/>
      <c r="H691"/>
      <c r="I691" s="1348"/>
      <c r="J691" s="66"/>
      <c r="K691" s="66"/>
      <c r="L691" s="66"/>
      <c r="M691" s="66"/>
      <c r="N691" s="66"/>
      <c r="O691" s="66"/>
      <c r="P691" s="66"/>
      <c r="Q691" s="66"/>
      <c r="R691" s="66"/>
      <c r="S691" s="1440"/>
      <c r="T691" s="334"/>
      <c r="U691" s="335"/>
      <c r="V691" s="335"/>
      <c r="W691" s="335"/>
      <c r="X691" s="335"/>
      <c r="Y691" s="63"/>
      <c r="Z691" s="61"/>
      <c r="AA691" s="61"/>
      <c r="AB691" s="61"/>
      <c r="AC691" s="61"/>
      <c r="AD691" s="323"/>
      <c r="AE691" s="323"/>
      <c r="AF691" s="314"/>
      <c r="AG691" s="314"/>
      <c r="AH691" s="314" t="str">
        <f>IFERROR(INDEX('Annex 2_Code'!$J$114:$J$126,MATCH('Annex 3_MAFF'!AF691,'Annex 2_Code'!$G$114:$G$126,0)),"")</f>
        <v/>
      </c>
      <c r="AI691" s="62"/>
      <c r="AK691" s="62"/>
      <c r="AL691" s="62"/>
    </row>
    <row r="692" spans="1:38" ht="12.75">
      <c r="A692" s="63"/>
      <c r="B692" s="65"/>
      <c r="C692" s="59"/>
      <c r="D692" s="61"/>
      <c r="E692" s="61"/>
      <c r="F692" s="61"/>
      <c r="G692" s="61"/>
      <c r="H692"/>
      <c r="I692" s="1348"/>
      <c r="J692" s="66"/>
      <c r="K692" s="66"/>
      <c r="L692" s="66"/>
      <c r="M692" s="66"/>
      <c r="N692" s="66"/>
      <c r="O692" s="66"/>
      <c r="P692" s="66"/>
      <c r="Q692" s="66"/>
      <c r="R692" s="66"/>
      <c r="S692" s="1440"/>
      <c r="T692" s="334"/>
      <c r="U692" s="335"/>
      <c r="V692" s="335"/>
      <c r="W692" s="335"/>
      <c r="X692" s="335"/>
      <c r="Y692" s="63"/>
      <c r="Z692" s="61"/>
      <c r="AA692" s="61"/>
      <c r="AB692" s="61"/>
      <c r="AC692" s="61"/>
      <c r="AD692" s="323"/>
      <c r="AE692" s="323"/>
      <c r="AF692" s="314"/>
      <c r="AG692" s="314"/>
      <c r="AH692" s="314" t="str">
        <f>IFERROR(INDEX('Annex 2_Code'!$J$114:$J$126,MATCH('Annex 3_MAFF'!AF692,'Annex 2_Code'!$G$114:$G$126,0)),"")</f>
        <v/>
      </c>
      <c r="AI692" s="62"/>
      <c r="AK692" s="62"/>
      <c r="AL692" s="62"/>
    </row>
    <row r="693" spans="1:38" ht="12.75">
      <c r="A693" s="63"/>
      <c r="B693" s="65"/>
      <c r="C693" s="59"/>
      <c r="D693" s="61"/>
      <c r="E693" s="61"/>
      <c r="F693" s="61"/>
      <c r="G693" s="61"/>
      <c r="H693"/>
      <c r="I693" s="1348"/>
      <c r="J693" s="61"/>
      <c r="K693" s="61"/>
      <c r="L693" s="61"/>
      <c r="M693" s="61"/>
      <c r="N693" s="61"/>
      <c r="O693" s="61"/>
      <c r="P693" s="61"/>
      <c r="Q693" s="61"/>
      <c r="R693" s="61"/>
      <c r="S693" s="1448"/>
      <c r="T693" s="334"/>
      <c r="U693" s="335"/>
      <c r="V693" s="335"/>
      <c r="W693" s="335"/>
      <c r="X693" s="335"/>
      <c r="Y693" s="63"/>
      <c r="Z693" s="61"/>
      <c r="AA693" s="61"/>
      <c r="AB693" s="61"/>
      <c r="AC693" s="61"/>
      <c r="AD693" s="323"/>
      <c r="AE693" s="323"/>
      <c r="AF693" s="314"/>
      <c r="AG693" s="314"/>
      <c r="AH693" s="314" t="str">
        <f>IFERROR(INDEX('Annex 2_Code'!$J$114:$J$126,MATCH('Annex 3_MAFF'!AF693,'Annex 2_Code'!$G$114:$G$126,0)),"")</f>
        <v/>
      </c>
      <c r="AI693" s="62"/>
      <c r="AK693" s="62"/>
      <c r="AL693" s="62"/>
    </row>
    <row r="694" spans="1:38" ht="12.75">
      <c r="A694" s="63"/>
      <c r="B694" s="65"/>
      <c r="C694" s="59"/>
      <c r="D694" s="61"/>
      <c r="E694" s="61"/>
      <c r="F694" s="61"/>
      <c r="G694" s="61"/>
      <c r="H694"/>
      <c r="I694" s="1348"/>
      <c r="J694" s="61"/>
      <c r="K694" s="61"/>
      <c r="L694" s="61"/>
      <c r="M694" s="61"/>
      <c r="N694" s="61"/>
      <c r="O694" s="61"/>
      <c r="P694" s="61"/>
      <c r="Q694" s="61"/>
      <c r="R694" s="61"/>
      <c r="S694" s="1448"/>
      <c r="T694" s="334"/>
      <c r="U694" s="335"/>
      <c r="V694" s="335"/>
      <c r="W694" s="335"/>
      <c r="X694" s="335"/>
      <c r="Y694" s="63"/>
      <c r="Z694" s="61"/>
      <c r="AA694" s="61"/>
      <c r="AB694" s="61"/>
      <c r="AC694" s="61"/>
      <c r="AD694" s="323"/>
      <c r="AE694" s="323"/>
      <c r="AF694" s="314"/>
      <c r="AG694" s="314"/>
      <c r="AH694" s="314" t="str">
        <f>IFERROR(INDEX('Annex 2_Code'!$J$114:$J$126,MATCH('Annex 3_MAFF'!AF694,'Annex 2_Code'!$G$114:$G$126,0)),"")</f>
        <v/>
      </c>
      <c r="AI694" s="62"/>
      <c r="AK694" s="62"/>
      <c r="AL694" s="62"/>
    </row>
    <row r="695" spans="1:38" ht="12.75">
      <c r="A695" s="63"/>
      <c r="B695" s="65"/>
      <c r="C695" s="59"/>
      <c r="D695" s="61"/>
      <c r="E695" s="61"/>
      <c r="F695" s="61"/>
      <c r="G695" s="61"/>
      <c r="H695"/>
      <c r="I695" s="1348"/>
      <c r="J695" s="61"/>
      <c r="K695" s="61"/>
      <c r="L695" s="61"/>
      <c r="M695" s="61"/>
      <c r="N695" s="61"/>
      <c r="O695" s="61"/>
      <c r="P695" s="61"/>
      <c r="Q695" s="61"/>
      <c r="R695" s="61"/>
      <c r="S695" s="1448"/>
      <c r="T695" s="334"/>
      <c r="U695" s="335"/>
      <c r="V695" s="335"/>
      <c r="W695" s="335"/>
      <c r="X695" s="335"/>
      <c r="Y695" s="63"/>
      <c r="Z695" s="61"/>
      <c r="AA695" s="61"/>
      <c r="AB695" s="61"/>
      <c r="AC695" s="61"/>
      <c r="AD695" s="323"/>
      <c r="AE695" s="323"/>
      <c r="AF695" s="314"/>
      <c r="AG695" s="314"/>
      <c r="AH695" s="314" t="str">
        <f>IFERROR(INDEX('Annex 2_Code'!$J$114:$J$126,MATCH('Annex 3_MAFF'!AF695,'Annex 2_Code'!$G$114:$G$126,0)),"")</f>
        <v/>
      </c>
      <c r="AI695" s="62"/>
      <c r="AK695" s="62"/>
      <c r="AL695" s="62"/>
    </row>
    <row r="696" spans="1:38" ht="12.75">
      <c r="A696" s="63"/>
      <c r="B696" s="65"/>
      <c r="C696" s="59"/>
      <c r="D696" s="61"/>
      <c r="E696" s="61"/>
      <c r="F696" s="61"/>
      <c r="G696" s="61"/>
      <c r="H696"/>
      <c r="I696" s="1348"/>
      <c r="J696" s="61"/>
      <c r="K696" s="61"/>
      <c r="L696" s="61"/>
      <c r="M696" s="61"/>
      <c r="N696" s="61"/>
      <c r="O696" s="61"/>
      <c r="P696" s="61"/>
      <c r="Q696" s="61"/>
      <c r="R696" s="61"/>
      <c r="S696" s="1448"/>
      <c r="T696" s="334"/>
      <c r="U696" s="335"/>
      <c r="V696" s="335"/>
      <c r="W696" s="335"/>
      <c r="X696" s="335"/>
      <c r="Y696" s="63"/>
      <c r="Z696" s="61"/>
      <c r="AA696" s="61"/>
      <c r="AB696" s="61"/>
      <c r="AC696" s="61"/>
      <c r="AD696" s="323"/>
      <c r="AE696" s="323"/>
      <c r="AF696" s="314"/>
      <c r="AG696" s="314"/>
      <c r="AH696" s="314" t="str">
        <f>IFERROR(INDEX('Annex 2_Code'!$J$114:$J$126,MATCH('Annex 3_MAFF'!AF696,'Annex 2_Code'!$G$114:$G$126,0)),"")</f>
        <v/>
      </c>
      <c r="AI696" s="62"/>
      <c r="AK696" s="62"/>
      <c r="AL696" s="62"/>
    </row>
    <row r="697" spans="1:38" ht="12.75">
      <c r="A697" s="63"/>
      <c r="B697" s="65"/>
      <c r="C697" s="59"/>
      <c r="D697" s="61"/>
      <c r="E697" s="61"/>
      <c r="F697" s="61"/>
      <c r="G697" s="61"/>
      <c r="H697"/>
      <c r="I697" s="1348"/>
      <c r="J697" s="61"/>
      <c r="K697" s="61"/>
      <c r="L697" s="61"/>
      <c r="M697" s="61"/>
      <c r="N697" s="61"/>
      <c r="O697" s="61"/>
      <c r="P697" s="61"/>
      <c r="Q697" s="61"/>
      <c r="R697" s="61"/>
      <c r="S697" s="1448"/>
      <c r="T697" s="334"/>
      <c r="U697" s="335"/>
      <c r="V697" s="335"/>
      <c r="W697" s="335"/>
      <c r="X697" s="335"/>
      <c r="Y697" s="63"/>
      <c r="Z697" s="61"/>
      <c r="AA697" s="61"/>
      <c r="AB697" s="61"/>
      <c r="AC697" s="61"/>
      <c r="AD697" s="323"/>
      <c r="AE697" s="323"/>
      <c r="AF697" s="314"/>
      <c r="AG697" s="314"/>
      <c r="AH697" s="314" t="str">
        <f>IFERROR(INDEX('Annex 2_Code'!$J$114:$J$126,MATCH('Annex 3_MAFF'!AF697,'Annex 2_Code'!$G$114:$G$126,0)),"")</f>
        <v/>
      </c>
      <c r="AI697" s="62"/>
      <c r="AK697" s="62"/>
      <c r="AL697" s="62"/>
    </row>
    <row r="698" spans="1:38" ht="12.75">
      <c r="A698" s="63"/>
      <c r="B698" s="65"/>
      <c r="C698" s="59"/>
      <c r="D698" s="61"/>
      <c r="E698" s="61"/>
      <c r="F698" s="61"/>
      <c r="G698" s="61"/>
      <c r="H698"/>
      <c r="I698" s="1348"/>
      <c r="J698" s="61"/>
      <c r="K698" s="61"/>
      <c r="L698" s="61"/>
      <c r="M698" s="61"/>
      <c r="N698" s="61"/>
      <c r="O698" s="61"/>
      <c r="P698" s="61"/>
      <c r="Q698" s="61"/>
      <c r="R698" s="61"/>
      <c r="S698" s="1448"/>
      <c r="T698" s="334"/>
      <c r="U698" s="335"/>
      <c r="V698" s="335"/>
      <c r="W698" s="335"/>
      <c r="X698" s="335"/>
      <c r="Y698" s="63"/>
      <c r="Z698" s="61"/>
      <c r="AA698" s="61"/>
      <c r="AB698" s="61"/>
      <c r="AC698" s="61"/>
      <c r="AD698" s="323"/>
      <c r="AE698" s="323"/>
      <c r="AF698" s="314"/>
      <c r="AG698" s="314"/>
      <c r="AH698" s="314" t="str">
        <f>IFERROR(INDEX('Annex 2_Code'!$J$114:$J$126,MATCH('Annex 3_MAFF'!AF698,'Annex 2_Code'!$G$114:$G$126,0)),"")</f>
        <v/>
      </c>
      <c r="AI698" s="62"/>
      <c r="AK698" s="62"/>
      <c r="AL698" s="62"/>
    </row>
    <row r="699" spans="1:38" ht="12.75">
      <c r="A699" s="63"/>
      <c r="B699" s="65"/>
      <c r="C699" s="59"/>
      <c r="D699" s="61"/>
      <c r="E699" s="61"/>
      <c r="F699" s="61"/>
      <c r="G699" s="61"/>
      <c r="H699"/>
      <c r="I699" s="1348"/>
      <c r="J699" s="61"/>
      <c r="K699" s="61"/>
      <c r="L699" s="61"/>
      <c r="M699" s="61"/>
      <c r="N699" s="61"/>
      <c r="O699" s="61"/>
      <c r="P699" s="61"/>
      <c r="Q699" s="61"/>
      <c r="R699" s="61"/>
      <c r="S699" s="1448"/>
      <c r="T699" s="334"/>
      <c r="U699" s="335"/>
      <c r="V699" s="335"/>
      <c r="W699" s="335"/>
      <c r="X699" s="335"/>
      <c r="Y699" s="63"/>
      <c r="Z699" s="61"/>
      <c r="AA699" s="61"/>
      <c r="AB699" s="61"/>
      <c r="AC699" s="61"/>
      <c r="AD699" s="323"/>
      <c r="AE699" s="323"/>
      <c r="AF699" s="314"/>
      <c r="AG699" s="314"/>
      <c r="AH699" s="314" t="str">
        <f>IFERROR(INDEX('Annex 2_Code'!$J$114:$J$126,MATCH('Annex 3_MAFF'!AF699,'Annex 2_Code'!$G$114:$G$126,0)),"")</f>
        <v/>
      </c>
      <c r="AI699" s="62"/>
      <c r="AK699" s="62"/>
      <c r="AL699" s="62"/>
    </row>
    <row r="700" spans="1:38" ht="12.75">
      <c r="A700" s="63"/>
      <c r="B700" s="65"/>
      <c r="C700" s="59"/>
      <c r="D700" s="61"/>
      <c r="E700" s="61"/>
      <c r="F700" s="61"/>
      <c r="G700" s="61"/>
      <c r="H700"/>
      <c r="I700" s="1348"/>
      <c r="J700" s="61"/>
      <c r="K700" s="61"/>
      <c r="L700" s="61"/>
      <c r="M700" s="61"/>
      <c r="N700" s="61"/>
      <c r="O700" s="61"/>
      <c r="P700" s="61"/>
      <c r="Q700" s="61"/>
      <c r="R700" s="61"/>
      <c r="S700" s="1448"/>
      <c r="T700" s="334"/>
      <c r="U700" s="335"/>
      <c r="V700" s="335"/>
      <c r="W700" s="335"/>
      <c r="X700" s="335"/>
      <c r="Y700" s="63"/>
      <c r="Z700" s="61"/>
      <c r="AA700" s="61"/>
      <c r="AB700" s="61"/>
      <c r="AC700" s="61"/>
      <c r="AD700" s="323"/>
      <c r="AE700" s="323"/>
      <c r="AF700" s="314"/>
      <c r="AG700" s="314"/>
      <c r="AH700" s="314" t="str">
        <f>IFERROR(INDEX('Annex 2_Code'!$J$114:$J$126,MATCH('Annex 3_MAFF'!AF700,'Annex 2_Code'!$G$114:$G$126,0)),"")</f>
        <v/>
      </c>
      <c r="AI700" s="62"/>
      <c r="AK700" s="62"/>
      <c r="AL700" s="62"/>
    </row>
    <row r="701" spans="1:38" ht="12.75">
      <c r="A701" s="63"/>
      <c r="B701" s="65"/>
      <c r="C701" s="59"/>
      <c r="D701" s="61"/>
      <c r="E701" s="61"/>
      <c r="F701" s="61"/>
      <c r="G701" s="61"/>
      <c r="H701"/>
      <c r="I701" s="1348"/>
      <c r="J701" s="61"/>
      <c r="K701" s="61"/>
      <c r="L701" s="61"/>
      <c r="M701" s="61"/>
      <c r="N701" s="61"/>
      <c r="O701" s="61"/>
      <c r="P701" s="61"/>
      <c r="Q701" s="61"/>
      <c r="R701" s="61"/>
      <c r="S701" s="1448"/>
      <c r="T701" s="334"/>
      <c r="U701" s="335"/>
      <c r="V701" s="335"/>
      <c r="W701" s="335"/>
      <c r="X701" s="335"/>
      <c r="Y701" s="63"/>
      <c r="Z701" s="61"/>
      <c r="AA701" s="61"/>
      <c r="AB701" s="61"/>
      <c r="AC701" s="61"/>
      <c r="AD701" s="323"/>
      <c r="AE701" s="323"/>
      <c r="AF701" s="314"/>
      <c r="AG701" s="314"/>
      <c r="AH701" s="314" t="str">
        <f>IFERROR(INDEX('Annex 2_Code'!$J$114:$J$126,MATCH('Annex 3_MAFF'!AF701,'Annex 2_Code'!$G$114:$G$126,0)),"")</f>
        <v/>
      </c>
      <c r="AI701" s="62"/>
      <c r="AK701" s="62"/>
      <c r="AL701" s="62"/>
    </row>
    <row r="702" spans="1:38" ht="12.75">
      <c r="A702" s="63"/>
      <c r="B702" s="65"/>
      <c r="C702" s="59"/>
      <c r="D702" s="61"/>
      <c r="E702" s="61"/>
      <c r="F702" s="61"/>
      <c r="G702" s="61"/>
      <c r="H702"/>
      <c r="I702" s="1348"/>
      <c r="J702" s="61"/>
      <c r="K702" s="61"/>
      <c r="L702" s="61"/>
      <c r="M702" s="61"/>
      <c r="N702" s="61"/>
      <c r="O702" s="61"/>
      <c r="P702" s="61"/>
      <c r="Q702" s="61"/>
      <c r="R702" s="61"/>
      <c r="S702" s="1448"/>
      <c r="T702" s="334"/>
      <c r="U702" s="335"/>
      <c r="V702" s="335"/>
      <c r="W702" s="335"/>
      <c r="X702" s="335"/>
      <c r="Y702" s="63"/>
      <c r="Z702" s="61"/>
      <c r="AA702" s="61"/>
      <c r="AB702" s="61"/>
      <c r="AC702" s="61"/>
      <c r="AD702" s="323"/>
      <c r="AE702" s="323"/>
      <c r="AF702" s="314"/>
      <c r="AG702" s="314"/>
      <c r="AH702" s="314" t="str">
        <f>IFERROR(INDEX('Annex 2_Code'!$J$114:$J$126,MATCH('Annex 3_MAFF'!AF702,'Annex 2_Code'!$G$114:$G$126,0)),"")</f>
        <v/>
      </c>
      <c r="AI702" s="62"/>
      <c r="AK702" s="62"/>
      <c r="AL702" s="62"/>
    </row>
    <row r="703" spans="1:38" ht="12.75">
      <c r="A703" s="63"/>
      <c r="B703" s="65"/>
      <c r="C703" s="59"/>
      <c r="D703" s="61"/>
      <c r="E703" s="61"/>
      <c r="F703" s="61"/>
      <c r="G703" s="61"/>
      <c r="H703"/>
      <c r="I703" s="1348"/>
      <c r="J703" s="61"/>
      <c r="K703" s="61"/>
      <c r="L703" s="61"/>
      <c r="M703" s="61"/>
      <c r="N703" s="61"/>
      <c r="O703" s="61"/>
      <c r="P703" s="61"/>
      <c r="Q703" s="61"/>
      <c r="R703" s="61"/>
      <c r="S703" s="1448"/>
      <c r="T703" s="334"/>
      <c r="U703" s="335"/>
      <c r="V703" s="335"/>
      <c r="W703" s="335"/>
      <c r="X703" s="335"/>
      <c r="Y703" s="63"/>
      <c r="Z703" s="61"/>
      <c r="AA703" s="61"/>
      <c r="AB703" s="61"/>
      <c r="AC703" s="61"/>
      <c r="AD703" s="323"/>
      <c r="AE703" s="323"/>
      <c r="AF703" s="314"/>
      <c r="AG703" s="314"/>
      <c r="AH703" s="314" t="str">
        <f>IFERROR(INDEX('Annex 2_Code'!$J$114:$J$126,MATCH('Annex 3_MAFF'!AF703,'Annex 2_Code'!$G$114:$G$126,0)),"")</f>
        <v/>
      </c>
      <c r="AI703" s="62"/>
      <c r="AK703" s="62"/>
      <c r="AL703" s="62"/>
    </row>
    <row r="704" spans="1:38" ht="12.75">
      <c r="A704" s="63"/>
      <c r="B704" s="65"/>
      <c r="C704" s="59"/>
      <c r="D704" s="61"/>
      <c r="E704" s="61"/>
      <c r="F704" s="61"/>
      <c r="G704" s="61"/>
      <c r="H704"/>
      <c r="I704" s="1348"/>
      <c r="J704" s="61"/>
      <c r="K704" s="61"/>
      <c r="L704" s="61"/>
      <c r="M704" s="61"/>
      <c r="N704" s="61"/>
      <c r="O704" s="61"/>
      <c r="P704" s="61"/>
      <c r="Q704" s="61"/>
      <c r="R704" s="61"/>
      <c r="S704" s="1448"/>
      <c r="T704" s="334"/>
      <c r="U704" s="335"/>
      <c r="V704" s="335"/>
      <c r="W704" s="335"/>
      <c r="X704" s="335"/>
      <c r="Y704" s="63"/>
      <c r="Z704" s="61"/>
      <c r="AA704" s="61"/>
      <c r="AB704" s="61"/>
      <c r="AC704" s="61"/>
      <c r="AD704" s="323"/>
      <c r="AE704" s="323"/>
      <c r="AF704" s="314"/>
      <c r="AG704" s="314"/>
      <c r="AH704" s="314" t="str">
        <f>IFERROR(INDEX('Annex 2_Code'!$J$114:$J$126,MATCH('Annex 3_MAFF'!AF704,'Annex 2_Code'!$G$114:$G$126,0)),"")</f>
        <v/>
      </c>
      <c r="AI704" s="62"/>
      <c r="AK704" s="62"/>
      <c r="AL704" s="62"/>
    </row>
    <row r="705" spans="1:38" ht="12.75">
      <c r="A705" s="63"/>
      <c r="B705" s="65"/>
      <c r="C705" s="59"/>
      <c r="D705" s="61"/>
      <c r="E705" s="61"/>
      <c r="F705" s="61"/>
      <c r="G705" s="61"/>
      <c r="H705"/>
      <c r="I705" s="1348"/>
      <c r="J705" s="61"/>
      <c r="K705" s="61"/>
      <c r="L705" s="61"/>
      <c r="M705" s="61"/>
      <c r="N705" s="61"/>
      <c r="O705" s="61"/>
      <c r="P705" s="61"/>
      <c r="Q705" s="61"/>
      <c r="R705" s="61"/>
      <c r="S705" s="1448"/>
      <c r="T705" s="334"/>
      <c r="U705" s="335"/>
      <c r="V705" s="335"/>
      <c r="W705" s="335"/>
      <c r="X705" s="335"/>
      <c r="Y705" s="63"/>
      <c r="Z705" s="61"/>
      <c r="AA705" s="61"/>
      <c r="AB705" s="61"/>
      <c r="AC705" s="61"/>
      <c r="AD705" s="323"/>
      <c r="AE705" s="323"/>
      <c r="AF705" s="314"/>
      <c r="AG705" s="314"/>
      <c r="AH705" s="314" t="str">
        <f>IFERROR(INDEX('Annex 2_Code'!$J$114:$J$126,MATCH('Annex 3_MAFF'!AF705,'Annex 2_Code'!$G$114:$G$126,0)),"")</f>
        <v/>
      </c>
      <c r="AI705" s="62"/>
      <c r="AK705" s="62"/>
      <c r="AL705" s="62"/>
    </row>
    <row r="706" spans="1:38" ht="12.75">
      <c r="A706" s="63"/>
      <c r="B706" s="65"/>
      <c r="C706" s="59"/>
      <c r="D706" s="61"/>
      <c r="E706" s="61"/>
      <c r="F706" s="61"/>
      <c r="G706" s="61"/>
      <c r="H706"/>
      <c r="I706" s="1348"/>
      <c r="J706" s="61"/>
      <c r="K706" s="61"/>
      <c r="L706" s="61"/>
      <c r="M706" s="61"/>
      <c r="N706" s="61"/>
      <c r="O706" s="61"/>
      <c r="P706" s="61"/>
      <c r="Q706" s="61"/>
      <c r="R706" s="61"/>
      <c r="S706" s="1448"/>
      <c r="T706" s="334"/>
      <c r="U706" s="335"/>
      <c r="V706" s="335"/>
      <c r="W706" s="335"/>
      <c r="X706" s="335"/>
      <c r="Y706" s="63"/>
      <c r="Z706" s="61"/>
      <c r="AA706" s="61"/>
      <c r="AB706" s="61"/>
      <c r="AC706" s="61"/>
      <c r="AD706" s="323"/>
      <c r="AE706" s="323"/>
      <c r="AF706" s="314"/>
      <c r="AG706" s="314"/>
      <c r="AH706" s="314" t="str">
        <f>IFERROR(INDEX('Annex 2_Code'!$J$114:$J$126,MATCH('Annex 3_MAFF'!AF706,'Annex 2_Code'!$G$114:$G$126,0)),"")</f>
        <v/>
      </c>
      <c r="AI706" s="62"/>
      <c r="AK706" s="62"/>
      <c r="AL706" s="62"/>
    </row>
    <row r="707" spans="1:38" ht="12.75">
      <c r="A707" s="63"/>
      <c r="B707" s="65"/>
      <c r="C707" s="59"/>
      <c r="D707" s="61"/>
      <c r="E707" s="61"/>
      <c r="F707" s="61"/>
      <c r="G707" s="61"/>
      <c r="H707"/>
      <c r="I707" s="1348"/>
      <c r="J707" s="61"/>
      <c r="K707" s="61"/>
      <c r="L707" s="61"/>
      <c r="M707" s="61"/>
      <c r="N707" s="61"/>
      <c r="O707" s="61"/>
      <c r="P707" s="61"/>
      <c r="Q707" s="61"/>
      <c r="R707" s="61"/>
      <c r="S707" s="1448"/>
      <c r="T707" s="334"/>
      <c r="U707" s="335"/>
      <c r="V707" s="335"/>
      <c r="W707" s="335"/>
      <c r="X707" s="335"/>
      <c r="Y707" s="63"/>
      <c r="Z707" s="61"/>
      <c r="AA707" s="61"/>
      <c r="AB707" s="61"/>
      <c r="AC707" s="61"/>
      <c r="AD707" s="323"/>
      <c r="AE707" s="323"/>
      <c r="AF707" s="314"/>
      <c r="AG707" s="314"/>
      <c r="AH707" s="314" t="str">
        <f>IFERROR(INDEX('Annex 2_Code'!$J$114:$J$126,MATCH('Annex 3_MAFF'!AF707,'Annex 2_Code'!$G$114:$G$126,0)),"")</f>
        <v/>
      </c>
      <c r="AI707" s="62"/>
      <c r="AK707" s="62"/>
      <c r="AL707" s="62"/>
    </row>
    <row r="708" spans="1:38" ht="12.75">
      <c r="A708" s="63"/>
      <c r="B708" s="65"/>
      <c r="C708" s="59"/>
      <c r="D708" s="61"/>
      <c r="E708" s="61"/>
      <c r="F708" s="61"/>
      <c r="G708" s="61"/>
      <c r="H708"/>
      <c r="I708" s="1348"/>
      <c r="J708" s="61"/>
      <c r="K708" s="61"/>
      <c r="L708" s="61"/>
      <c r="M708" s="61"/>
      <c r="N708" s="61"/>
      <c r="O708" s="61"/>
      <c r="P708" s="61"/>
      <c r="Q708" s="61"/>
      <c r="R708" s="61"/>
      <c r="S708" s="1448"/>
      <c r="T708" s="334"/>
      <c r="U708" s="335"/>
      <c r="V708" s="335"/>
      <c r="W708" s="335"/>
      <c r="X708" s="335"/>
      <c r="Y708" s="63"/>
      <c r="Z708" s="61"/>
      <c r="AA708" s="61"/>
      <c r="AB708" s="61"/>
      <c r="AC708" s="61"/>
      <c r="AD708" s="323"/>
      <c r="AE708" s="323"/>
      <c r="AF708" s="314"/>
      <c r="AG708" s="314"/>
      <c r="AH708" s="314" t="str">
        <f>IFERROR(INDEX('Annex 2_Code'!$J$114:$J$126,MATCH('Annex 3_MAFF'!AF708,'Annex 2_Code'!$G$114:$G$126,0)),"")</f>
        <v/>
      </c>
      <c r="AI708" s="62"/>
      <c r="AK708" s="62"/>
      <c r="AL708" s="62"/>
    </row>
    <row r="709" spans="1:38" ht="12.75">
      <c r="A709" s="63"/>
      <c r="B709" s="65"/>
      <c r="C709" s="59"/>
      <c r="D709" s="61"/>
      <c r="E709" s="61"/>
      <c r="F709" s="61"/>
      <c r="G709" s="61"/>
      <c r="H709"/>
      <c r="I709" s="1348"/>
      <c r="J709" s="61"/>
      <c r="K709" s="61"/>
      <c r="L709" s="61"/>
      <c r="M709" s="61"/>
      <c r="N709" s="61"/>
      <c r="O709" s="61"/>
      <c r="P709" s="61"/>
      <c r="Q709" s="61"/>
      <c r="R709" s="61"/>
      <c r="S709" s="1448"/>
      <c r="T709" s="334"/>
      <c r="U709" s="335"/>
      <c r="V709" s="335"/>
      <c r="W709" s="335"/>
      <c r="X709" s="335"/>
      <c r="Y709" s="63"/>
      <c r="Z709" s="61"/>
      <c r="AA709" s="61"/>
      <c r="AB709" s="61"/>
      <c r="AC709" s="61"/>
      <c r="AD709" s="323"/>
      <c r="AE709" s="323"/>
      <c r="AF709" s="314"/>
      <c r="AG709" s="314"/>
      <c r="AH709" s="314" t="str">
        <f>IFERROR(INDEX('Annex 2_Code'!$J$114:$J$126,MATCH('Annex 3_MAFF'!AF709,'Annex 2_Code'!$G$114:$G$126,0)),"")</f>
        <v/>
      </c>
      <c r="AI709" s="62"/>
      <c r="AK709" s="62"/>
      <c r="AL709" s="62"/>
    </row>
    <row r="710" spans="1:38" ht="12.75">
      <c r="A710" s="63"/>
      <c r="B710" s="65"/>
      <c r="C710" s="59"/>
      <c r="D710" s="61"/>
      <c r="E710" s="61"/>
      <c r="F710" s="61"/>
      <c r="G710" s="61"/>
      <c r="H710"/>
      <c r="I710" s="1348"/>
      <c r="J710" s="61"/>
      <c r="K710" s="61"/>
      <c r="L710" s="61"/>
      <c r="M710" s="61"/>
      <c r="N710" s="61"/>
      <c r="O710" s="61"/>
      <c r="P710" s="61"/>
      <c r="Q710" s="61"/>
      <c r="R710" s="61"/>
      <c r="S710" s="1448"/>
      <c r="T710" s="334"/>
      <c r="U710" s="335"/>
      <c r="V710" s="335"/>
      <c r="W710" s="335"/>
      <c r="X710" s="335"/>
      <c r="Y710" s="63"/>
      <c r="Z710" s="61"/>
      <c r="AA710" s="61"/>
      <c r="AB710" s="61"/>
      <c r="AC710" s="61"/>
      <c r="AD710" s="323"/>
      <c r="AE710" s="323"/>
      <c r="AF710" s="314"/>
      <c r="AG710" s="314"/>
      <c r="AH710" s="314" t="str">
        <f>IFERROR(INDEX('Annex 2_Code'!$J$114:$J$126,MATCH('Annex 3_MAFF'!AF710,'Annex 2_Code'!$G$114:$G$126,0)),"")</f>
        <v/>
      </c>
      <c r="AI710" s="62"/>
      <c r="AK710" s="62"/>
      <c r="AL710" s="62"/>
    </row>
    <row r="711" spans="1:38" ht="12.75">
      <c r="A711" s="63"/>
      <c r="B711" s="65"/>
      <c r="C711" s="59"/>
      <c r="D711" s="61"/>
      <c r="E711" s="61"/>
      <c r="F711" s="61"/>
      <c r="G711" s="61"/>
      <c r="H711"/>
      <c r="I711" s="1348"/>
      <c r="J711" s="61"/>
      <c r="K711" s="61"/>
      <c r="L711" s="61"/>
      <c r="M711" s="61"/>
      <c r="N711" s="61"/>
      <c r="O711" s="61"/>
      <c r="P711" s="61"/>
      <c r="Q711" s="61"/>
      <c r="R711" s="61"/>
      <c r="S711" s="1448"/>
      <c r="T711" s="334"/>
      <c r="U711" s="335"/>
      <c r="V711" s="335"/>
      <c r="W711" s="335"/>
      <c r="X711" s="335"/>
      <c r="Y711" s="63"/>
      <c r="Z711" s="61"/>
      <c r="AA711" s="61"/>
      <c r="AB711" s="61"/>
      <c r="AC711" s="61"/>
      <c r="AD711" s="323"/>
      <c r="AE711" s="323"/>
      <c r="AF711" s="314"/>
      <c r="AG711" s="314"/>
      <c r="AH711" s="314" t="str">
        <f>IFERROR(INDEX('Annex 2_Code'!$J$114:$J$126,MATCH('Annex 3_MAFF'!AF711,'Annex 2_Code'!$G$114:$G$126,0)),"")</f>
        <v/>
      </c>
      <c r="AI711" s="62"/>
      <c r="AK711" s="62"/>
      <c r="AL711" s="62"/>
    </row>
    <row r="712" spans="1:38" ht="12.75">
      <c r="A712" s="63"/>
      <c r="B712" s="65"/>
      <c r="C712" s="59"/>
      <c r="D712" s="61"/>
      <c r="E712" s="61"/>
      <c r="F712" s="61"/>
      <c r="G712" s="61"/>
      <c r="H712"/>
      <c r="I712" s="1348"/>
      <c r="J712" s="61"/>
      <c r="K712" s="61"/>
      <c r="L712" s="61"/>
      <c r="M712" s="61"/>
      <c r="N712" s="61"/>
      <c r="O712" s="61"/>
      <c r="P712" s="61"/>
      <c r="Q712" s="61"/>
      <c r="R712" s="61"/>
      <c r="S712" s="1448"/>
      <c r="T712" s="334"/>
      <c r="U712" s="335"/>
      <c r="V712" s="335"/>
      <c r="W712" s="335"/>
      <c r="X712" s="335"/>
      <c r="Y712" s="63"/>
      <c r="Z712" s="61"/>
      <c r="AA712" s="61"/>
      <c r="AB712" s="61"/>
      <c r="AC712" s="61"/>
      <c r="AD712" s="323"/>
      <c r="AE712" s="323"/>
      <c r="AF712" s="314"/>
      <c r="AG712" s="314"/>
      <c r="AH712" s="314" t="str">
        <f>IFERROR(INDEX('Annex 2_Code'!$J$114:$J$126,MATCH('Annex 3_MAFF'!AF712,'Annex 2_Code'!$G$114:$G$126,0)),"")</f>
        <v/>
      </c>
      <c r="AI712" s="62"/>
      <c r="AK712" s="62"/>
      <c r="AL712" s="62"/>
    </row>
    <row r="713" spans="1:38" ht="12.75">
      <c r="A713" s="63"/>
      <c r="B713" s="65"/>
      <c r="C713" s="59"/>
      <c r="D713" s="61"/>
      <c r="E713" s="61"/>
      <c r="F713" s="61"/>
      <c r="G713" s="61"/>
      <c r="H713"/>
      <c r="I713" s="1348"/>
      <c r="J713" s="61"/>
      <c r="K713" s="61"/>
      <c r="L713" s="61"/>
      <c r="M713" s="61"/>
      <c r="N713" s="61"/>
      <c r="O713" s="61"/>
      <c r="P713" s="61"/>
      <c r="Q713" s="61"/>
      <c r="R713" s="61"/>
      <c r="S713" s="1448"/>
      <c r="T713" s="334"/>
      <c r="U713" s="335"/>
      <c r="V713" s="335"/>
      <c r="W713" s="335"/>
      <c r="X713" s="335"/>
      <c r="Y713" s="63"/>
      <c r="Z713" s="61"/>
      <c r="AA713" s="61"/>
      <c r="AB713" s="61"/>
      <c r="AC713" s="61"/>
      <c r="AD713" s="323"/>
      <c r="AE713" s="323"/>
      <c r="AF713" s="314"/>
      <c r="AG713" s="314"/>
      <c r="AH713" s="314" t="str">
        <f>IFERROR(INDEX('Annex 2_Code'!$J$114:$J$126,MATCH('Annex 3_MAFF'!AF713,'Annex 2_Code'!$G$114:$G$126,0)),"")</f>
        <v/>
      </c>
      <c r="AI713" s="62"/>
      <c r="AK713" s="62"/>
      <c r="AL713" s="62"/>
    </row>
    <row r="714" spans="1:38" ht="12.75">
      <c r="A714" s="63"/>
      <c r="B714" s="65"/>
      <c r="C714" s="59"/>
      <c r="D714" s="61"/>
      <c r="E714" s="61"/>
      <c r="F714" s="61"/>
      <c r="G714" s="61"/>
      <c r="H714"/>
      <c r="I714" s="1348"/>
      <c r="J714" s="61"/>
      <c r="K714" s="61"/>
      <c r="L714" s="61"/>
      <c r="M714" s="61"/>
      <c r="N714" s="61"/>
      <c r="O714" s="61"/>
      <c r="P714" s="61"/>
      <c r="Q714" s="61"/>
      <c r="R714" s="61"/>
      <c r="S714" s="1448"/>
      <c r="T714" s="334"/>
      <c r="U714" s="335"/>
      <c r="V714" s="335"/>
      <c r="W714" s="335"/>
      <c r="X714" s="335"/>
      <c r="Y714" s="63"/>
      <c r="Z714" s="61"/>
      <c r="AA714" s="61"/>
      <c r="AB714" s="61"/>
      <c r="AC714" s="61"/>
      <c r="AD714" s="323"/>
      <c r="AE714" s="323"/>
      <c r="AF714" s="314"/>
      <c r="AG714" s="314"/>
      <c r="AH714" s="314" t="str">
        <f>IFERROR(INDEX('Annex 2_Code'!$J$114:$J$126,MATCH('Annex 3_MAFF'!AF714,'Annex 2_Code'!$G$114:$G$126,0)),"")</f>
        <v/>
      </c>
      <c r="AI714" s="62"/>
      <c r="AK714" s="62"/>
      <c r="AL714" s="62"/>
    </row>
    <row r="715" spans="1:38" ht="12.75">
      <c r="A715" s="63"/>
      <c r="B715" s="65"/>
      <c r="C715" s="59"/>
      <c r="D715" s="61"/>
      <c r="E715" s="61"/>
      <c r="F715" s="61"/>
      <c r="G715" s="61"/>
      <c r="H715"/>
      <c r="I715" s="1348"/>
      <c r="J715" s="61"/>
      <c r="K715" s="61"/>
      <c r="L715" s="61"/>
      <c r="M715" s="61"/>
      <c r="N715" s="61"/>
      <c r="O715" s="61"/>
      <c r="P715" s="61"/>
      <c r="Q715" s="61"/>
      <c r="R715" s="61"/>
      <c r="S715" s="1448"/>
      <c r="T715" s="334"/>
      <c r="U715" s="335"/>
      <c r="V715" s="335"/>
      <c r="W715" s="335"/>
      <c r="X715" s="335"/>
      <c r="Y715" s="63"/>
      <c r="Z715" s="61"/>
      <c r="AA715" s="61"/>
      <c r="AB715" s="61"/>
      <c r="AC715" s="61"/>
      <c r="AD715" s="323"/>
      <c r="AE715" s="323"/>
      <c r="AF715" s="314"/>
      <c r="AG715" s="314"/>
      <c r="AH715" s="314" t="str">
        <f>IFERROR(INDEX('Annex 2_Code'!$J$114:$J$126,MATCH('Annex 3_MAFF'!AF715,'Annex 2_Code'!$G$114:$G$126,0)),"")</f>
        <v/>
      </c>
      <c r="AI715" s="62"/>
      <c r="AK715" s="62"/>
      <c r="AL715" s="62"/>
    </row>
    <row r="716" spans="1:38" ht="12.75">
      <c r="A716" s="63"/>
      <c r="B716" s="65"/>
      <c r="C716" s="59"/>
      <c r="D716" s="61"/>
      <c r="E716" s="61"/>
      <c r="F716" s="61"/>
      <c r="G716" s="61"/>
      <c r="H716"/>
      <c r="I716" s="1348"/>
      <c r="J716" s="61"/>
      <c r="K716" s="61"/>
      <c r="L716" s="61"/>
      <c r="M716" s="61"/>
      <c r="N716" s="61"/>
      <c r="O716" s="61"/>
      <c r="P716" s="61"/>
      <c r="Q716" s="61"/>
      <c r="R716" s="61"/>
      <c r="S716" s="1448"/>
      <c r="T716" s="334"/>
      <c r="U716" s="335"/>
      <c r="V716" s="335"/>
      <c r="W716" s="335"/>
      <c r="X716" s="335"/>
      <c r="Y716" s="63"/>
      <c r="Z716" s="61"/>
      <c r="AA716" s="61"/>
      <c r="AB716" s="61"/>
      <c r="AC716" s="61"/>
      <c r="AD716" s="323"/>
      <c r="AE716" s="323"/>
      <c r="AF716" s="314"/>
      <c r="AG716" s="314"/>
      <c r="AH716" s="314" t="str">
        <f>IFERROR(INDEX('Annex 2_Code'!$J$114:$J$126,MATCH('Annex 3_MAFF'!AF716,'Annex 2_Code'!$G$114:$G$126,0)),"")</f>
        <v/>
      </c>
      <c r="AI716" s="62"/>
      <c r="AK716" s="62"/>
      <c r="AL716" s="62"/>
    </row>
    <row r="717" spans="1:38" ht="12.75">
      <c r="A717" s="63"/>
      <c r="B717" s="65"/>
      <c r="C717" s="59"/>
      <c r="D717" s="61"/>
      <c r="E717" s="61"/>
      <c r="F717" s="61"/>
      <c r="G717" s="61"/>
      <c r="H717"/>
      <c r="I717" s="1348"/>
      <c r="J717" s="61"/>
      <c r="K717" s="61"/>
      <c r="L717" s="61"/>
      <c r="M717" s="61"/>
      <c r="N717" s="61"/>
      <c r="O717" s="61"/>
      <c r="P717" s="61"/>
      <c r="Q717" s="61"/>
      <c r="R717" s="61"/>
      <c r="S717" s="1448"/>
      <c r="T717" s="334"/>
      <c r="U717" s="335"/>
      <c r="V717" s="335"/>
      <c r="W717" s="335"/>
      <c r="X717" s="335"/>
      <c r="Y717" s="63"/>
      <c r="Z717" s="61"/>
      <c r="AA717" s="61"/>
      <c r="AB717" s="61"/>
      <c r="AC717" s="61"/>
      <c r="AD717" s="323"/>
      <c r="AE717" s="323"/>
      <c r="AF717" s="314"/>
      <c r="AG717" s="314"/>
      <c r="AH717" s="314" t="str">
        <f>IFERROR(INDEX('Annex 2_Code'!$J$114:$J$126,MATCH('Annex 3_MAFF'!AF717,'Annex 2_Code'!$G$114:$G$126,0)),"")</f>
        <v/>
      </c>
      <c r="AI717" s="62"/>
      <c r="AK717" s="62"/>
      <c r="AL717" s="62"/>
    </row>
    <row r="718" spans="1:38" ht="12.75">
      <c r="A718" s="63"/>
      <c r="B718" s="65"/>
      <c r="C718" s="59"/>
      <c r="D718" s="61"/>
      <c r="E718" s="61"/>
      <c r="F718" s="61"/>
      <c r="G718" s="61"/>
      <c r="H718"/>
      <c r="I718" s="1348"/>
      <c r="J718" s="61"/>
      <c r="K718" s="61"/>
      <c r="L718" s="61"/>
      <c r="M718" s="61"/>
      <c r="N718" s="61"/>
      <c r="O718" s="61"/>
      <c r="P718" s="61"/>
      <c r="Q718" s="61"/>
      <c r="R718" s="61"/>
      <c r="S718" s="1448"/>
      <c r="T718" s="334"/>
      <c r="U718" s="335"/>
      <c r="V718" s="335"/>
      <c r="W718" s="335"/>
      <c r="X718" s="335"/>
      <c r="Y718" s="63"/>
      <c r="Z718" s="61"/>
      <c r="AA718" s="61"/>
      <c r="AB718" s="61"/>
      <c r="AC718" s="61"/>
      <c r="AD718" s="323"/>
      <c r="AE718" s="323"/>
      <c r="AF718" s="314"/>
      <c r="AG718" s="314"/>
      <c r="AH718" s="314" t="str">
        <f>IFERROR(INDEX('Annex 2_Code'!$J$114:$J$126,MATCH('Annex 3_MAFF'!AF718,'Annex 2_Code'!$G$114:$G$126,0)),"")</f>
        <v/>
      </c>
      <c r="AI718" s="62"/>
      <c r="AK718" s="62"/>
      <c r="AL718" s="62"/>
    </row>
    <row r="719" spans="1:38" ht="12.75">
      <c r="A719" s="63"/>
      <c r="B719" s="65"/>
      <c r="C719" s="59"/>
      <c r="D719" s="61"/>
      <c r="E719" s="61"/>
      <c r="F719" s="61"/>
      <c r="G719" s="61"/>
      <c r="H719"/>
      <c r="I719" s="1348"/>
      <c r="J719" s="61"/>
      <c r="K719" s="61"/>
      <c r="L719" s="61"/>
      <c r="M719" s="61"/>
      <c r="N719" s="61"/>
      <c r="O719" s="61"/>
      <c r="P719" s="61"/>
      <c r="Q719" s="61"/>
      <c r="R719" s="61"/>
      <c r="S719" s="1448"/>
      <c r="T719" s="334"/>
      <c r="U719" s="335"/>
      <c r="V719" s="335"/>
      <c r="W719" s="335"/>
      <c r="X719" s="335"/>
      <c r="Y719" s="63"/>
      <c r="Z719" s="61"/>
      <c r="AA719" s="61"/>
      <c r="AB719" s="61"/>
      <c r="AC719" s="61"/>
      <c r="AD719" s="323"/>
      <c r="AE719" s="323"/>
      <c r="AF719" s="314"/>
      <c r="AG719" s="314"/>
      <c r="AH719" s="314" t="str">
        <f>IFERROR(INDEX('Annex 2_Code'!$J$114:$J$126,MATCH('Annex 3_MAFF'!AF719,'Annex 2_Code'!$G$114:$G$126,0)),"")</f>
        <v/>
      </c>
      <c r="AI719" s="62"/>
      <c r="AK719" s="62"/>
      <c r="AL719" s="62"/>
    </row>
    <row r="720" spans="1:38" ht="12.75">
      <c r="A720" s="63"/>
      <c r="B720" s="65"/>
      <c r="C720" s="59"/>
      <c r="D720" s="61"/>
      <c r="E720" s="61"/>
      <c r="F720" s="61"/>
      <c r="G720" s="61"/>
      <c r="H720"/>
      <c r="I720" s="1348"/>
      <c r="J720" s="61"/>
      <c r="K720" s="61"/>
      <c r="L720" s="61"/>
      <c r="M720" s="61"/>
      <c r="N720" s="61"/>
      <c r="O720" s="61"/>
      <c r="P720" s="61"/>
      <c r="Q720" s="61"/>
      <c r="R720" s="61"/>
      <c r="S720" s="1448"/>
      <c r="T720" s="334"/>
      <c r="U720" s="335"/>
      <c r="V720" s="335"/>
      <c r="W720" s="335"/>
      <c r="X720" s="335"/>
      <c r="Y720" s="63"/>
      <c r="Z720" s="61"/>
      <c r="AA720" s="61"/>
      <c r="AB720" s="61"/>
      <c r="AC720" s="61"/>
      <c r="AD720" s="323"/>
      <c r="AE720" s="323"/>
      <c r="AF720" s="314"/>
      <c r="AG720" s="314"/>
      <c r="AH720" s="314" t="str">
        <f>IFERROR(INDEX('Annex 2_Code'!$J$114:$J$126,MATCH('Annex 3_MAFF'!AF720,'Annex 2_Code'!$G$114:$G$126,0)),"")</f>
        <v/>
      </c>
      <c r="AI720" s="62"/>
      <c r="AK720" s="62"/>
      <c r="AL720" s="62"/>
    </row>
    <row r="721" spans="1:38" ht="12.75">
      <c r="A721" s="63"/>
      <c r="C721" s="59"/>
      <c r="D721" s="61"/>
      <c r="E721" s="61"/>
      <c r="F721" s="61"/>
      <c r="G721" s="61"/>
      <c r="H721"/>
      <c r="I721" s="1348"/>
      <c r="J721" s="61"/>
      <c r="K721" s="61"/>
      <c r="L721" s="61"/>
      <c r="M721" s="61"/>
      <c r="N721" s="61"/>
      <c r="O721" s="61"/>
      <c r="P721" s="61"/>
      <c r="Q721" s="61"/>
      <c r="R721" s="61"/>
      <c r="S721" s="1448"/>
      <c r="T721" s="334"/>
      <c r="U721" s="335"/>
      <c r="V721" s="335"/>
      <c r="W721" s="335"/>
      <c r="X721" s="335"/>
      <c r="Y721" s="63"/>
      <c r="Z721" s="61"/>
      <c r="AA721" s="61"/>
      <c r="AB721" s="61"/>
      <c r="AC721" s="61"/>
      <c r="AD721" s="323"/>
      <c r="AE721" s="323"/>
      <c r="AF721" s="314"/>
      <c r="AG721" s="314"/>
      <c r="AH721" s="314" t="str">
        <f>IFERROR(INDEX('Annex 2_Code'!$J$114:$J$126,MATCH('Annex 3_MAFF'!AF721,'Annex 2_Code'!$G$114:$G$126,0)),"")</f>
        <v/>
      </c>
      <c r="AI721" s="62"/>
      <c r="AK721" s="62"/>
      <c r="AL721" s="62"/>
    </row>
    <row r="722" spans="1:38" ht="12.75">
      <c r="A722" s="63"/>
      <c r="C722" s="59"/>
      <c r="D722" s="61"/>
      <c r="E722" s="61"/>
      <c r="F722" s="61"/>
      <c r="G722" s="61"/>
      <c r="H722"/>
      <c r="I722" s="1348"/>
      <c r="J722" s="61"/>
      <c r="K722" s="61"/>
      <c r="L722" s="61"/>
      <c r="M722" s="61"/>
      <c r="N722" s="61"/>
      <c r="O722" s="61"/>
      <c r="P722" s="61"/>
      <c r="Q722" s="61"/>
      <c r="R722" s="61"/>
      <c r="S722" s="1448"/>
      <c r="T722" s="334"/>
      <c r="U722" s="335"/>
      <c r="V722" s="335"/>
      <c r="W722" s="335"/>
      <c r="X722" s="335"/>
      <c r="Y722" s="63"/>
      <c r="Z722" s="61"/>
      <c r="AA722" s="61"/>
      <c r="AB722" s="61"/>
      <c r="AC722" s="61"/>
      <c r="AD722" s="323"/>
      <c r="AE722" s="323"/>
      <c r="AF722" s="314"/>
      <c r="AG722" s="314"/>
      <c r="AH722" s="314" t="str">
        <f>IFERROR(INDEX('Annex 2_Code'!$J$114:$J$126,MATCH('Annex 3_MAFF'!AF722,'Annex 2_Code'!$G$114:$G$126,0)),"")</f>
        <v/>
      </c>
      <c r="AI722" s="62"/>
      <c r="AK722" s="62"/>
      <c r="AL722" s="62"/>
    </row>
    <row r="723" spans="1:38" ht="12.75">
      <c r="H723"/>
      <c r="I723" s="1349"/>
      <c r="Y723" s="63"/>
      <c r="Z723" s="61"/>
      <c r="AA723" s="61"/>
      <c r="AB723" s="61"/>
      <c r="AC723" s="61"/>
      <c r="AD723" s="323"/>
      <c r="AH723" s="314" t="str">
        <f>IFERROR(INDEX('Annex 2_Code'!$J$114:$J$126,MATCH('Annex 3_MAFF'!AF723,'Annex 2_Code'!$G$114:$G$126,0)),"")</f>
        <v/>
      </c>
      <c r="AI723" s="62"/>
      <c r="AK723" s="62"/>
      <c r="AL723" s="62"/>
    </row>
    <row r="724" spans="1:38" ht="12.75">
      <c r="H724"/>
      <c r="I724" s="1349"/>
      <c r="Y724" s="63"/>
      <c r="Z724" s="61"/>
      <c r="AA724" s="61"/>
      <c r="AB724" s="61"/>
      <c r="AC724" s="61"/>
      <c r="AD724" s="323"/>
      <c r="AH724" s="314" t="str">
        <f>IFERROR(INDEX('Annex 2_Code'!$J$114:$J$126,MATCH('Annex 3_MAFF'!AF724,'Annex 2_Code'!$G$114:$G$126,0)),"")</f>
        <v/>
      </c>
      <c r="AI724" s="62"/>
      <c r="AK724" s="62"/>
      <c r="AL724" s="62"/>
    </row>
    <row r="725" spans="1:38" ht="12.75">
      <c r="H725"/>
      <c r="I725" s="1349"/>
      <c r="Y725" s="63"/>
      <c r="Z725" s="61"/>
      <c r="AA725" s="61"/>
      <c r="AB725" s="61"/>
      <c r="AC725" s="61"/>
      <c r="AD725" s="323"/>
      <c r="AH725" s="314" t="str">
        <f>IFERROR(INDEX('Annex 2_Code'!$J$114:$J$126,MATCH('Annex 3_MAFF'!AF725,'Annex 2_Code'!$G$114:$G$126,0)),"")</f>
        <v/>
      </c>
      <c r="AI725" s="62"/>
      <c r="AK725" s="62"/>
      <c r="AL725" s="62"/>
    </row>
    <row r="726" spans="1:38" ht="12.75">
      <c r="H726"/>
      <c r="I726" s="1349"/>
      <c r="AH726" s="314" t="str">
        <f>IFERROR(INDEX('Annex 2_Code'!$J$114:$J$126,MATCH('Annex 3_MAFF'!AF726,'Annex 2_Code'!$G$114:$G$126,0)),"")</f>
        <v/>
      </c>
      <c r="AI726" s="62"/>
      <c r="AK726" s="62"/>
      <c r="AL726" s="62"/>
    </row>
    <row r="727" spans="1:38" ht="12.75">
      <c r="H727"/>
      <c r="I727" s="1349"/>
      <c r="AH727" s="314" t="str">
        <f>IFERROR(INDEX('Annex 2_Code'!$J$114:$J$126,MATCH('Annex 3_MAFF'!AF727,'Annex 2_Code'!$G$114:$G$126,0)),"")</f>
        <v/>
      </c>
      <c r="AI727" s="62"/>
      <c r="AK727" s="62"/>
      <c r="AL727" s="62"/>
    </row>
    <row r="728" spans="1:38" ht="12.75">
      <c r="H728"/>
      <c r="I728" s="1349"/>
      <c r="AH728" s="314" t="str">
        <f>IFERROR(INDEX('Annex 2_Code'!$J$114:$J$126,MATCH('Annex 3_MAFF'!AF728,'Annex 2_Code'!$G$114:$G$126,0)),"")</f>
        <v/>
      </c>
      <c r="AI728" s="62"/>
      <c r="AK728" s="62"/>
      <c r="AL728" s="62"/>
    </row>
    <row r="729" spans="1:38" ht="12.75">
      <c r="H729"/>
      <c r="I729" s="1349"/>
      <c r="AH729" s="314" t="str">
        <f>IFERROR(INDEX('Annex 2_Code'!$J$114:$J$126,MATCH('Annex 3_MAFF'!AF729,'Annex 2_Code'!$G$114:$G$126,0)),"")</f>
        <v/>
      </c>
      <c r="AI729" s="62"/>
      <c r="AK729" s="62"/>
      <c r="AL729" s="62"/>
    </row>
    <row r="730" spans="1:38" ht="12.75">
      <c r="H730"/>
      <c r="I730" s="1349"/>
      <c r="AH730" s="314" t="str">
        <f>IFERROR(INDEX('Annex 2_Code'!$J$114:$J$126,MATCH('Annex 3_MAFF'!AF730,'Annex 2_Code'!$G$114:$G$126,0)),"")</f>
        <v/>
      </c>
      <c r="AI730" s="62"/>
      <c r="AK730" s="62"/>
      <c r="AL730" s="62"/>
    </row>
    <row r="731" spans="1:38" ht="12.75">
      <c r="A731" s="62"/>
      <c r="B731" s="62"/>
      <c r="C731" s="62"/>
      <c r="H731"/>
      <c r="I731" s="320"/>
      <c r="S731" s="1172"/>
      <c r="T731" s="62"/>
      <c r="U731" s="62"/>
      <c r="V731" s="62"/>
      <c r="W731" s="62"/>
      <c r="X731" s="62"/>
      <c r="AH731" s="314" t="str">
        <f>IFERROR(INDEX('Annex 2_Code'!$J$114:$J$126,MATCH('Annex 3_MAFF'!AF731,'Annex 2_Code'!$G$114:$G$126,0)),"")</f>
        <v/>
      </c>
      <c r="AI731" s="62"/>
      <c r="AK731" s="62"/>
      <c r="AL731" s="62"/>
    </row>
    <row r="732" spans="1:38" ht="12.75">
      <c r="A732" s="62"/>
      <c r="B732" s="62"/>
      <c r="C732" s="62"/>
      <c r="H732"/>
      <c r="I732" s="320"/>
      <c r="S732" s="1172"/>
      <c r="T732" s="62"/>
      <c r="U732" s="62"/>
      <c r="V732" s="62"/>
      <c r="W732" s="62"/>
      <c r="X732" s="62"/>
      <c r="AH732" s="314" t="str">
        <f>IFERROR(INDEX('Annex 2_Code'!$J$114:$J$126,MATCH('Annex 3_MAFF'!AF732,'Annex 2_Code'!$G$114:$G$126,0)),"")</f>
        <v/>
      </c>
      <c r="AI732" s="62"/>
      <c r="AK732" s="62"/>
      <c r="AL732" s="62"/>
    </row>
    <row r="733" spans="1:38" ht="12.75">
      <c r="A733" s="62"/>
      <c r="B733" s="62"/>
      <c r="C733" s="62"/>
      <c r="H733"/>
      <c r="I733" s="320"/>
      <c r="S733" s="1172"/>
      <c r="T733" s="62"/>
      <c r="U733" s="62"/>
      <c r="V733" s="62"/>
      <c r="W733" s="62"/>
      <c r="X733" s="62"/>
      <c r="AH733" s="314" t="str">
        <f>IFERROR(INDEX('Annex 2_Code'!$J$114:$J$126,MATCH('Annex 3_MAFF'!AF733,'Annex 2_Code'!$G$114:$G$126,0)),"")</f>
        <v/>
      </c>
      <c r="AI733" s="62"/>
      <c r="AK733" s="62"/>
      <c r="AL733" s="62"/>
    </row>
    <row r="734" spans="1:38" ht="12.75">
      <c r="A734" s="62"/>
      <c r="B734" s="62"/>
      <c r="C734" s="62"/>
      <c r="H734"/>
      <c r="I734" s="320"/>
      <c r="S734" s="1172"/>
      <c r="T734" s="62"/>
      <c r="U734" s="62"/>
      <c r="V734" s="62"/>
      <c r="W734" s="62"/>
      <c r="X734" s="62"/>
      <c r="AH734" s="314" t="str">
        <f>IFERROR(INDEX('Annex 2_Code'!$J$114:$J$126,MATCH('Annex 3_MAFF'!AF734,'Annex 2_Code'!$G$114:$G$126,0)),"")</f>
        <v/>
      </c>
      <c r="AI734" s="62"/>
      <c r="AK734" s="62"/>
      <c r="AL734" s="62"/>
    </row>
    <row r="735" spans="1:38" ht="12.75">
      <c r="A735" s="62"/>
      <c r="B735" s="62"/>
      <c r="C735" s="62"/>
      <c r="H735"/>
      <c r="I735" s="320"/>
      <c r="S735" s="1172"/>
      <c r="T735" s="62"/>
      <c r="U735" s="62"/>
      <c r="V735" s="62"/>
      <c r="W735" s="62"/>
      <c r="X735" s="62"/>
      <c r="AH735" s="314" t="str">
        <f>IFERROR(INDEX('Annex 2_Code'!$J$114:$J$126,MATCH('Annex 3_MAFF'!AF735,'Annex 2_Code'!$G$114:$G$126,0)),"")</f>
        <v/>
      </c>
      <c r="AI735" s="62"/>
      <c r="AK735" s="62"/>
      <c r="AL735" s="62"/>
    </row>
    <row r="736" spans="1:38" ht="12.75">
      <c r="A736" s="62"/>
      <c r="B736" s="62"/>
      <c r="C736" s="62"/>
      <c r="H736"/>
      <c r="I736" s="320"/>
      <c r="S736" s="1172"/>
      <c r="T736" s="62"/>
      <c r="U736" s="62"/>
      <c r="V736" s="62"/>
      <c r="W736" s="62"/>
      <c r="X736" s="62"/>
      <c r="AH736" s="314" t="str">
        <f>IFERROR(INDEX('Annex 2_Code'!$J$114:$J$126,MATCH('Annex 3_MAFF'!AF736,'Annex 2_Code'!$G$114:$G$126,0)),"")</f>
        <v/>
      </c>
      <c r="AI736" s="62"/>
      <c r="AK736" s="62"/>
      <c r="AL736" s="62"/>
    </row>
    <row r="737" spans="8:34" s="62" customFormat="1" ht="12.75">
      <c r="H737"/>
      <c r="I737" s="320"/>
      <c r="S737" s="1172"/>
      <c r="Y737" s="69"/>
      <c r="AD737" s="361"/>
      <c r="AE737" s="361"/>
      <c r="AF737" s="320"/>
      <c r="AG737" s="320"/>
      <c r="AH737" s="314" t="str">
        <f>IFERROR(INDEX('Annex 2_Code'!$J$114:$J$126,MATCH('Annex 3_MAFF'!AF737,'Annex 2_Code'!$G$114:$G$126,0)),"")</f>
        <v/>
      </c>
    </row>
    <row r="738" spans="8:34" s="62" customFormat="1" ht="12.75">
      <c r="H738"/>
      <c r="I738" s="320"/>
      <c r="S738" s="1172"/>
      <c r="Y738" s="69"/>
      <c r="AD738" s="361"/>
      <c r="AE738" s="361"/>
      <c r="AF738" s="320"/>
      <c r="AG738" s="320"/>
      <c r="AH738" s="314" t="str">
        <f>IFERROR(INDEX('Annex 2_Code'!$J$114:$J$126,MATCH('Annex 3_MAFF'!AF738,'Annex 2_Code'!$G$114:$G$126,0)),"")</f>
        <v/>
      </c>
    </row>
    <row r="739" spans="8:34" s="62" customFormat="1" ht="12.75">
      <c r="H739"/>
      <c r="I739" s="320"/>
      <c r="S739" s="1172"/>
      <c r="Y739" s="69"/>
      <c r="AD739" s="361"/>
      <c r="AE739" s="361"/>
      <c r="AF739" s="320"/>
      <c r="AG739" s="320"/>
      <c r="AH739" s="314" t="str">
        <f>IFERROR(INDEX('Annex 2_Code'!$J$114:$J$126,MATCH('Annex 3_MAFF'!AF739,'Annex 2_Code'!$G$114:$G$126,0)),"")</f>
        <v/>
      </c>
    </row>
    <row r="740" spans="8:34" s="62" customFormat="1" ht="12.75">
      <c r="H740"/>
      <c r="I740" s="320"/>
      <c r="S740" s="1172"/>
      <c r="Y740" s="69"/>
      <c r="AD740" s="361"/>
      <c r="AE740" s="361"/>
      <c r="AF740" s="320"/>
      <c r="AG740" s="320"/>
      <c r="AH740" s="314" t="str">
        <f>IFERROR(INDEX('Annex 2_Code'!$J$114:$J$126,MATCH('Annex 3_MAFF'!AF740,'Annex 2_Code'!$G$114:$G$126,0)),"")</f>
        <v/>
      </c>
    </row>
    <row r="741" spans="8:34" s="62" customFormat="1" ht="12.75">
      <c r="H741"/>
      <c r="I741" s="320"/>
      <c r="S741" s="1172"/>
      <c r="Y741" s="69"/>
      <c r="AD741" s="361"/>
      <c r="AE741" s="361"/>
      <c r="AF741" s="320"/>
      <c r="AG741" s="320"/>
      <c r="AH741" s="314" t="str">
        <f>IFERROR(INDEX('Annex 2_Code'!$J$114:$J$126,MATCH('Annex 3_MAFF'!AF741,'Annex 2_Code'!$G$114:$G$126,0)),"")</f>
        <v/>
      </c>
    </row>
    <row r="742" spans="8:34" s="62" customFormat="1" ht="12.75">
      <c r="H742"/>
      <c r="I742" s="320"/>
      <c r="S742" s="1172"/>
      <c r="Y742" s="69"/>
      <c r="AD742" s="361"/>
      <c r="AE742" s="361"/>
      <c r="AF742" s="320"/>
      <c r="AG742" s="320"/>
      <c r="AH742" s="314" t="str">
        <f>IFERROR(INDEX('Annex 2_Code'!$J$114:$J$126,MATCH('Annex 3_MAFF'!AF742,'Annex 2_Code'!$G$114:$G$126,0)),"")</f>
        <v/>
      </c>
    </row>
    <row r="743" spans="8:34" s="62" customFormat="1" ht="12.75">
      <c r="H743"/>
      <c r="I743" s="320"/>
      <c r="S743" s="1172"/>
      <c r="Y743" s="69"/>
      <c r="AD743" s="361"/>
      <c r="AE743" s="361"/>
      <c r="AF743" s="320"/>
      <c r="AG743" s="320"/>
      <c r="AH743" s="314" t="str">
        <f>IFERROR(INDEX('Annex 2_Code'!$J$114:$J$126,MATCH('Annex 3_MAFF'!AF743,'Annex 2_Code'!$G$114:$G$126,0)),"")</f>
        <v/>
      </c>
    </row>
    <row r="744" spans="8:34" s="62" customFormat="1" ht="12.75">
      <c r="H744"/>
      <c r="I744" s="320"/>
      <c r="S744" s="1172"/>
      <c r="Y744" s="69"/>
      <c r="AD744" s="361"/>
      <c r="AE744" s="361"/>
      <c r="AF744" s="320"/>
      <c r="AG744" s="320"/>
      <c r="AH744" s="314" t="str">
        <f>IFERROR(INDEX('Annex 2_Code'!$J$114:$J$126,MATCH('Annex 3_MAFF'!AF744,'Annex 2_Code'!$G$114:$G$126,0)),"")</f>
        <v/>
      </c>
    </row>
    <row r="745" spans="8:34" s="62" customFormat="1" ht="12.75">
      <c r="H745"/>
      <c r="I745" s="320"/>
      <c r="S745" s="1172"/>
      <c r="Y745" s="69"/>
      <c r="AD745" s="361"/>
      <c r="AE745" s="361"/>
      <c r="AF745" s="320"/>
      <c r="AG745" s="320"/>
      <c r="AH745" s="314" t="str">
        <f>IFERROR(INDEX('Annex 2_Code'!$J$114:$J$126,MATCH('Annex 3_MAFF'!AF745,'Annex 2_Code'!$G$114:$G$126,0)),"")</f>
        <v/>
      </c>
    </row>
    <row r="746" spans="8:34" s="62" customFormat="1" ht="12.75">
      <c r="H746"/>
      <c r="I746" s="320"/>
      <c r="S746" s="1172"/>
      <c r="Y746" s="69"/>
      <c r="AD746" s="361"/>
      <c r="AE746" s="361"/>
      <c r="AF746" s="320"/>
      <c r="AG746" s="320"/>
      <c r="AH746" s="314" t="str">
        <f>IFERROR(INDEX('Annex 2_Code'!$J$114:$J$126,MATCH('Annex 3_MAFF'!AF746,'Annex 2_Code'!$G$114:$G$126,0)),"")</f>
        <v/>
      </c>
    </row>
    <row r="747" spans="8:34" s="62" customFormat="1" ht="12.75">
      <c r="H747"/>
      <c r="I747" s="320"/>
      <c r="S747" s="1172"/>
      <c r="Y747" s="69"/>
      <c r="AD747" s="361"/>
      <c r="AE747" s="361"/>
      <c r="AF747" s="320"/>
      <c r="AG747" s="320"/>
      <c r="AH747" s="314" t="str">
        <f>IFERROR(INDEX('Annex 2_Code'!$J$114:$J$126,MATCH('Annex 3_MAFF'!AF747,'Annex 2_Code'!$G$114:$G$126,0)),"")</f>
        <v/>
      </c>
    </row>
    <row r="748" spans="8:34" s="62" customFormat="1" ht="12.75">
      <c r="H748"/>
      <c r="I748" s="320"/>
      <c r="S748" s="1172"/>
      <c r="Y748" s="69"/>
      <c r="AD748" s="361"/>
      <c r="AE748" s="361"/>
      <c r="AF748" s="320"/>
      <c r="AG748" s="320"/>
      <c r="AH748" s="314" t="str">
        <f>IFERROR(INDEX('Annex 2_Code'!$J$114:$J$126,MATCH('Annex 3_MAFF'!AF748,'Annex 2_Code'!$G$114:$G$126,0)),"")</f>
        <v/>
      </c>
    </row>
    <row r="749" spans="8:34" s="62" customFormat="1" ht="12.75">
      <c r="H749"/>
      <c r="I749" s="320"/>
      <c r="S749" s="1172"/>
      <c r="Y749" s="69"/>
      <c r="AD749" s="361"/>
      <c r="AE749" s="361"/>
      <c r="AF749" s="320"/>
      <c r="AG749" s="320"/>
      <c r="AH749" s="314" t="str">
        <f>IFERROR(INDEX('Annex 2_Code'!$J$114:$J$126,MATCH('Annex 3_MAFF'!AF749,'Annex 2_Code'!$G$114:$G$126,0)),"")</f>
        <v/>
      </c>
    </row>
    <row r="750" spans="8:34" s="62" customFormat="1" ht="12.75">
      <c r="H750"/>
      <c r="I750" s="320"/>
      <c r="S750" s="1172"/>
      <c r="Y750" s="69"/>
      <c r="AD750" s="361"/>
      <c r="AE750" s="361"/>
      <c r="AF750" s="320"/>
      <c r="AG750" s="320"/>
      <c r="AH750" s="314" t="str">
        <f>IFERROR(INDEX('Annex 2_Code'!$J$114:$J$126,MATCH('Annex 3_MAFF'!AF750,'Annex 2_Code'!$G$114:$G$126,0)),"")</f>
        <v/>
      </c>
    </row>
    <row r="751" spans="8:34" s="62" customFormat="1" ht="12.75">
      <c r="H751"/>
      <c r="I751" s="320"/>
      <c r="S751" s="1172"/>
      <c r="Y751" s="69"/>
      <c r="AD751" s="361"/>
      <c r="AE751" s="361"/>
      <c r="AF751" s="320"/>
      <c r="AG751" s="320"/>
      <c r="AH751" s="314" t="str">
        <f>IFERROR(INDEX('Annex 2_Code'!$J$114:$J$126,MATCH('Annex 3_MAFF'!AF751,'Annex 2_Code'!$G$114:$G$126,0)),"")</f>
        <v/>
      </c>
    </row>
    <row r="752" spans="8:34" s="62" customFormat="1" ht="12.75">
      <c r="H752"/>
      <c r="I752" s="320"/>
      <c r="S752" s="1172"/>
      <c r="Y752" s="69"/>
      <c r="AD752" s="361"/>
      <c r="AE752" s="361"/>
      <c r="AF752" s="320"/>
      <c r="AG752" s="320"/>
      <c r="AH752" s="314" t="str">
        <f>IFERROR(INDEX('Annex 2_Code'!$J$114:$J$126,MATCH('Annex 3_MAFF'!AF752,'Annex 2_Code'!$G$114:$G$126,0)),"")</f>
        <v/>
      </c>
    </row>
    <row r="753" spans="8:34" s="62" customFormat="1" ht="12.75">
      <c r="H753"/>
      <c r="I753" s="320"/>
      <c r="S753" s="1172"/>
      <c r="Y753" s="69"/>
      <c r="AD753" s="361"/>
      <c r="AE753" s="361"/>
      <c r="AF753" s="320"/>
      <c r="AG753" s="320"/>
      <c r="AH753" s="314" t="str">
        <f>IFERROR(INDEX('Annex 2_Code'!$J$114:$J$126,MATCH('Annex 3_MAFF'!AF753,'Annex 2_Code'!$G$114:$G$126,0)),"")</f>
        <v/>
      </c>
    </row>
    <row r="754" spans="8:34" s="62" customFormat="1" ht="12.75">
      <c r="H754"/>
      <c r="I754" s="320"/>
      <c r="S754" s="1172"/>
      <c r="Y754" s="69"/>
      <c r="AD754" s="361"/>
      <c r="AE754" s="361"/>
      <c r="AF754" s="320"/>
      <c r="AG754" s="320"/>
      <c r="AH754" s="314" t="str">
        <f>IFERROR(INDEX('Annex 2_Code'!$J$114:$J$126,MATCH('Annex 3_MAFF'!AF754,'Annex 2_Code'!$G$114:$G$126,0)),"")</f>
        <v/>
      </c>
    </row>
    <row r="755" spans="8:34" s="62" customFormat="1" ht="12.75">
      <c r="H755"/>
      <c r="I755" s="320"/>
      <c r="S755" s="1172"/>
      <c r="Y755" s="69"/>
      <c r="AD755" s="361"/>
      <c r="AE755" s="361"/>
      <c r="AF755" s="320"/>
      <c r="AG755" s="320"/>
      <c r="AH755" s="314" t="str">
        <f>IFERROR(INDEX('Annex 2_Code'!$J$114:$J$126,MATCH('Annex 3_MAFF'!AF755,'Annex 2_Code'!$G$114:$G$126,0)),"")</f>
        <v/>
      </c>
    </row>
    <row r="756" spans="8:34" s="62" customFormat="1" ht="12.75">
      <c r="H756"/>
      <c r="I756" s="320"/>
      <c r="S756" s="1172"/>
      <c r="Y756" s="69"/>
      <c r="AD756" s="361"/>
      <c r="AE756" s="361"/>
      <c r="AF756" s="320"/>
      <c r="AG756" s="320"/>
      <c r="AH756" s="314" t="str">
        <f>IFERROR(INDEX('Annex 2_Code'!$J$114:$J$126,MATCH('Annex 3_MAFF'!AF756,'Annex 2_Code'!$G$114:$G$126,0)),"")</f>
        <v/>
      </c>
    </row>
    <row r="757" spans="8:34" s="62" customFormat="1" ht="12.75">
      <c r="H757"/>
      <c r="I757" s="320"/>
      <c r="S757" s="1172"/>
      <c r="Y757" s="69"/>
      <c r="AD757" s="361"/>
      <c r="AE757" s="361"/>
      <c r="AF757" s="320"/>
      <c r="AG757" s="320"/>
      <c r="AH757" s="314" t="str">
        <f>IFERROR(INDEX('Annex 2_Code'!$J$114:$J$126,MATCH('Annex 3_MAFF'!AF757,'Annex 2_Code'!$G$114:$G$126,0)),"")</f>
        <v/>
      </c>
    </row>
    <row r="758" spans="8:34" s="62" customFormat="1" ht="12.75">
      <c r="H758"/>
      <c r="I758" s="320"/>
      <c r="S758" s="1172"/>
      <c r="Y758" s="69"/>
      <c r="AD758" s="361"/>
      <c r="AE758" s="361"/>
      <c r="AF758" s="320"/>
      <c r="AG758" s="320"/>
      <c r="AH758" s="314" t="str">
        <f>IFERROR(INDEX('Annex 2_Code'!$J$114:$J$126,MATCH('Annex 3_MAFF'!AF758,'Annex 2_Code'!$G$114:$G$126,0)),"")</f>
        <v/>
      </c>
    </row>
    <row r="759" spans="8:34" s="62" customFormat="1" ht="12.75">
      <c r="H759"/>
      <c r="I759" s="320"/>
      <c r="S759" s="1172"/>
      <c r="Y759" s="69"/>
      <c r="AD759" s="361"/>
      <c r="AE759" s="361"/>
      <c r="AF759" s="320"/>
      <c r="AG759" s="320"/>
      <c r="AH759" s="314" t="str">
        <f>IFERROR(INDEX('Annex 2_Code'!$J$114:$J$126,MATCH('Annex 3_MAFF'!AF759,'Annex 2_Code'!$G$114:$G$126,0)),"")</f>
        <v/>
      </c>
    </row>
    <row r="760" spans="8:34" s="62" customFormat="1" ht="12.75">
      <c r="H760"/>
      <c r="I760" s="320"/>
      <c r="S760" s="1172"/>
      <c r="Y760" s="69"/>
      <c r="AD760" s="361"/>
      <c r="AE760" s="361"/>
      <c r="AF760" s="320"/>
      <c r="AG760" s="320"/>
      <c r="AH760" s="314" t="str">
        <f>IFERROR(INDEX('Annex 2_Code'!$J$114:$J$126,MATCH('Annex 3_MAFF'!AF760,'Annex 2_Code'!$G$114:$G$126,0)),"")</f>
        <v/>
      </c>
    </row>
    <row r="761" spans="8:34" s="62" customFormat="1" ht="12.75">
      <c r="H761"/>
      <c r="I761" s="320"/>
      <c r="S761" s="1172"/>
      <c r="Y761" s="69"/>
      <c r="AD761" s="361"/>
      <c r="AE761" s="361"/>
      <c r="AF761" s="320"/>
      <c r="AG761" s="320"/>
      <c r="AH761" s="314" t="str">
        <f>IFERROR(INDEX('Annex 2_Code'!$J$114:$J$126,MATCH('Annex 3_MAFF'!AF761,'Annex 2_Code'!$G$114:$G$126,0)),"")</f>
        <v/>
      </c>
    </row>
    <row r="762" spans="8:34" s="62" customFormat="1" ht="12.75">
      <c r="H762"/>
      <c r="I762" s="320"/>
      <c r="S762" s="1172"/>
      <c r="Y762" s="69"/>
      <c r="AD762" s="361"/>
      <c r="AE762" s="361"/>
      <c r="AF762" s="320"/>
      <c r="AG762" s="320"/>
      <c r="AH762" s="314" t="str">
        <f>IFERROR(INDEX('Annex 2_Code'!$J$114:$J$126,MATCH('Annex 3_MAFF'!AF762,'Annex 2_Code'!$G$114:$G$126,0)),"")</f>
        <v/>
      </c>
    </row>
    <row r="763" spans="8:34" s="62" customFormat="1" ht="12.75">
      <c r="H763"/>
      <c r="I763" s="320"/>
      <c r="S763" s="1172"/>
      <c r="Y763" s="69"/>
      <c r="AD763" s="361"/>
      <c r="AE763" s="361"/>
      <c r="AF763" s="320"/>
      <c r="AG763" s="320"/>
      <c r="AH763" s="314" t="str">
        <f>IFERROR(INDEX('Annex 2_Code'!$J$114:$J$126,MATCH('Annex 3_MAFF'!AF763,'Annex 2_Code'!$G$114:$G$126,0)),"")</f>
        <v/>
      </c>
    </row>
    <row r="764" spans="8:34" s="62" customFormat="1" ht="12.75">
      <c r="H764"/>
      <c r="I764" s="320"/>
      <c r="S764" s="1172"/>
      <c r="Y764" s="69"/>
      <c r="AD764" s="361"/>
      <c r="AE764" s="361"/>
      <c r="AF764" s="320"/>
      <c r="AG764" s="320"/>
      <c r="AH764" s="314" t="str">
        <f>IFERROR(INDEX('Annex 2_Code'!$J$114:$J$126,MATCH('Annex 3_MAFF'!AF764,'Annex 2_Code'!$G$114:$G$126,0)),"")</f>
        <v/>
      </c>
    </row>
    <row r="765" spans="8:34" s="62" customFormat="1" ht="12.75">
      <c r="H765"/>
      <c r="I765" s="320"/>
      <c r="S765" s="1172"/>
      <c r="Y765" s="69"/>
      <c r="AD765" s="361"/>
      <c r="AE765" s="361"/>
      <c r="AF765" s="320"/>
      <c r="AG765" s="320"/>
      <c r="AH765" s="314" t="str">
        <f>IFERROR(INDEX('Annex 2_Code'!$J$114:$J$126,MATCH('Annex 3_MAFF'!AF765,'Annex 2_Code'!$G$114:$G$126,0)),"")</f>
        <v/>
      </c>
    </row>
    <row r="766" spans="8:34" s="62" customFormat="1" ht="12.75">
      <c r="H766"/>
      <c r="I766" s="320"/>
      <c r="S766" s="1172"/>
      <c r="Y766" s="69"/>
      <c r="AD766" s="361"/>
      <c r="AE766" s="361"/>
      <c r="AF766" s="320"/>
      <c r="AG766" s="320"/>
      <c r="AH766" s="314" t="str">
        <f>IFERROR(INDEX('Annex 2_Code'!$J$114:$J$126,MATCH('Annex 3_MAFF'!AF766,'Annex 2_Code'!$G$114:$G$126,0)),"")</f>
        <v/>
      </c>
    </row>
    <row r="767" spans="8:34" s="62" customFormat="1" ht="12.75">
      <c r="H767"/>
      <c r="I767" s="320"/>
      <c r="S767" s="1172"/>
      <c r="Y767" s="69"/>
      <c r="AD767" s="361"/>
      <c r="AE767" s="361"/>
      <c r="AF767" s="320"/>
      <c r="AG767" s="320"/>
      <c r="AH767" s="314" t="str">
        <f>IFERROR(INDEX('Annex 2_Code'!$J$114:$J$126,MATCH('Annex 3_MAFF'!AF767,'Annex 2_Code'!$G$114:$G$126,0)),"")</f>
        <v/>
      </c>
    </row>
    <row r="768" spans="8:34" s="62" customFormat="1" ht="12.75">
      <c r="H768"/>
      <c r="I768" s="320"/>
      <c r="S768" s="1172"/>
      <c r="Y768" s="69"/>
      <c r="AD768" s="361"/>
      <c r="AE768" s="361"/>
      <c r="AF768" s="320"/>
      <c r="AG768" s="320"/>
      <c r="AH768" s="314" t="str">
        <f>IFERROR(INDEX('Annex 2_Code'!$J$114:$J$126,MATCH('Annex 3_MAFF'!AF768,'Annex 2_Code'!$G$114:$G$126,0)),"")</f>
        <v/>
      </c>
    </row>
    <row r="769" spans="8:34" s="62" customFormat="1" ht="12.75">
      <c r="H769"/>
      <c r="I769" s="320"/>
      <c r="S769" s="1172"/>
      <c r="Y769" s="69"/>
      <c r="AD769" s="361"/>
      <c r="AE769" s="361"/>
      <c r="AF769" s="320"/>
      <c r="AG769" s="320"/>
      <c r="AH769" s="314" t="str">
        <f>IFERROR(INDEX('Annex 2_Code'!$J$114:$J$126,MATCH('Annex 3_MAFF'!AF769,'Annex 2_Code'!$G$114:$G$126,0)),"")</f>
        <v/>
      </c>
    </row>
    <row r="770" spans="8:34" s="62" customFormat="1" ht="12.75">
      <c r="H770"/>
      <c r="I770" s="320"/>
      <c r="S770" s="1172"/>
      <c r="Y770" s="69"/>
      <c r="AD770" s="361"/>
      <c r="AE770" s="361"/>
      <c r="AF770" s="320"/>
      <c r="AG770" s="320"/>
      <c r="AH770" s="314" t="str">
        <f>IFERROR(INDEX('Annex 2_Code'!$J$114:$J$126,MATCH('Annex 3_MAFF'!AF770,'Annex 2_Code'!$G$114:$G$126,0)),"")</f>
        <v/>
      </c>
    </row>
    <row r="771" spans="8:34" s="62" customFormat="1" ht="12.75">
      <c r="H771"/>
      <c r="I771" s="320"/>
      <c r="S771" s="1172"/>
      <c r="Y771" s="69"/>
      <c r="AD771" s="361"/>
      <c r="AE771" s="361"/>
      <c r="AF771" s="320"/>
      <c r="AG771" s="320"/>
      <c r="AH771" s="314" t="str">
        <f>IFERROR(INDEX('Annex 2_Code'!$J$114:$J$126,MATCH('Annex 3_MAFF'!AF771,'Annex 2_Code'!$G$114:$G$126,0)),"")</f>
        <v/>
      </c>
    </row>
    <row r="772" spans="8:34" s="62" customFormat="1" ht="12.75">
      <c r="H772"/>
      <c r="I772" s="320"/>
      <c r="S772" s="1172"/>
      <c r="Y772" s="69"/>
      <c r="AD772" s="361"/>
      <c r="AE772" s="361"/>
      <c r="AF772" s="320"/>
      <c r="AG772" s="320"/>
      <c r="AH772" s="314" t="str">
        <f>IFERROR(INDEX('Annex 2_Code'!$J$114:$J$126,MATCH('Annex 3_MAFF'!AF772,'Annex 2_Code'!$G$114:$G$126,0)),"")</f>
        <v/>
      </c>
    </row>
    <row r="773" spans="8:34" s="62" customFormat="1" ht="12.75">
      <c r="H773"/>
      <c r="I773" s="320"/>
      <c r="S773" s="1172"/>
      <c r="Y773" s="69"/>
      <c r="AD773" s="361"/>
      <c r="AE773" s="361"/>
      <c r="AF773" s="320"/>
      <c r="AG773" s="320"/>
      <c r="AH773" s="314" t="str">
        <f>IFERROR(INDEX('Annex 2_Code'!$J$114:$J$126,MATCH('Annex 3_MAFF'!AF773,'Annex 2_Code'!$G$114:$G$126,0)),"")</f>
        <v/>
      </c>
    </row>
    <row r="774" spans="8:34" s="62" customFormat="1" ht="12.75">
      <c r="H774"/>
      <c r="I774" s="576"/>
      <c r="S774" s="1172"/>
      <c r="Y774" s="69"/>
      <c r="AD774" s="361"/>
      <c r="AE774" s="361"/>
      <c r="AF774" s="320"/>
      <c r="AG774" s="320"/>
      <c r="AH774" s="314" t="str">
        <f>IFERROR(INDEX('Annex 2_Code'!$J$114:$J$126,MATCH('Annex 3_MAFF'!AF774,'Annex 2_Code'!$G$114:$G$126,0)),"")</f>
        <v/>
      </c>
    </row>
    <row r="775" spans="8:34" s="62" customFormat="1" ht="12.75">
      <c r="H775"/>
      <c r="I775" s="576"/>
      <c r="S775" s="1172"/>
      <c r="Y775" s="69"/>
      <c r="AD775" s="361"/>
      <c r="AE775" s="361"/>
      <c r="AF775" s="320"/>
      <c r="AG775" s="320"/>
      <c r="AH775" s="314" t="str">
        <f>IFERROR(INDEX('Annex 2_Code'!$J$114:$J$126,MATCH('Annex 3_MAFF'!AF775,'Annex 2_Code'!$G$114:$G$126,0)),"")</f>
        <v/>
      </c>
    </row>
    <row r="776" spans="8:34" s="62" customFormat="1" ht="12.75">
      <c r="H776"/>
      <c r="I776" s="576"/>
      <c r="S776" s="1172"/>
      <c r="Y776" s="69"/>
      <c r="AD776" s="361"/>
      <c r="AE776" s="361"/>
      <c r="AF776" s="320"/>
      <c r="AG776" s="320"/>
      <c r="AH776" s="314" t="str">
        <f>IFERROR(INDEX('Annex 2_Code'!$J$114:$J$126,MATCH('Annex 3_MAFF'!AF776,'Annex 2_Code'!$G$114:$G$126,0)),"")</f>
        <v/>
      </c>
    </row>
    <row r="777" spans="8:34" s="62" customFormat="1" ht="12.75">
      <c r="H777"/>
      <c r="I777" s="576"/>
      <c r="S777" s="1172"/>
      <c r="Y777" s="69"/>
      <c r="AD777" s="361"/>
      <c r="AE777" s="361"/>
      <c r="AF777" s="320"/>
      <c r="AG777" s="320"/>
      <c r="AH777" s="314" t="str">
        <f>IFERROR(INDEX('Annex 2_Code'!$J$114:$J$126,MATCH('Annex 3_MAFF'!AF777,'Annex 2_Code'!$G$114:$G$126,0)),"")</f>
        <v/>
      </c>
    </row>
    <row r="778" spans="8:34" s="62" customFormat="1" ht="12.75">
      <c r="H778"/>
      <c r="I778" s="576"/>
      <c r="S778" s="1172"/>
      <c r="Y778" s="69"/>
      <c r="AD778" s="361"/>
      <c r="AE778" s="361"/>
      <c r="AF778" s="320"/>
      <c r="AG778" s="320"/>
      <c r="AH778" s="314" t="str">
        <f>IFERROR(INDEX('Annex 2_Code'!$J$114:$J$126,MATCH('Annex 3_MAFF'!AF778,'Annex 2_Code'!$G$114:$G$126,0)),"")</f>
        <v/>
      </c>
    </row>
    <row r="779" spans="8:34" s="62" customFormat="1" ht="12.75">
      <c r="H779"/>
      <c r="I779" s="576"/>
      <c r="S779" s="1172"/>
      <c r="Y779" s="69"/>
      <c r="AD779" s="361"/>
      <c r="AE779" s="361"/>
      <c r="AF779" s="320"/>
      <c r="AG779" s="320"/>
      <c r="AH779" s="314" t="str">
        <f>IFERROR(INDEX('Annex 2_Code'!$J$114:$J$126,MATCH('Annex 3_MAFF'!AF779,'Annex 2_Code'!$G$114:$G$126,0)),"")</f>
        <v/>
      </c>
    </row>
    <row r="780" spans="8:34" s="62" customFormat="1" ht="12.75">
      <c r="H780"/>
      <c r="I780" s="576"/>
      <c r="S780" s="1172"/>
      <c r="Y780" s="69"/>
      <c r="AD780" s="361"/>
      <c r="AE780" s="361"/>
      <c r="AF780" s="320"/>
      <c r="AG780" s="320"/>
      <c r="AH780" s="314" t="str">
        <f>IFERROR(INDEX('Annex 2_Code'!$J$114:$J$126,MATCH('Annex 3_MAFF'!AF780,'Annex 2_Code'!$G$114:$G$126,0)),"")</f>
        <v/>
      </c>
    </row>
    <row r="781" spans="8:34" s="62" customFormat="1" ht="12.75">
      <c r="H781"/>
      <c r="I781" s="576"/>
      <c r="S781" s="1172"/>
      <c r="Y781" s="69"/>
      <c r="AD781" s="361"/>
      <c r="AE781" s="361"/>
      <c r="AF781" s="320"/>
      <c r="AG781" s="320"/>
      <c r="AH781" s="314" t="str">
        <f>IFERROR(INDEX('Annex 2_Code'!$J$114:$J$126,MATCH('Annex 3_MAFF'!AF781,'Annex 2_Code'!$G$114:$G$126,0)),"")</f>
        <v/>
      </c>
    </row>
    <row r="782" spans="8:34" s="62" customFormat="1" ht="12.75">
      <c r="H782"/>
      <c r="I782" s="576"/>
      <c r="S782" s="1172"/>
      <c r="Y782" s="69"/>
      <c r="AD782" s="361"/>
      <c r="AE782" s="361"/>
      <c r="AF782" s="320"/>
      <c r="AG782" s="320"/>
      <c r="AH782" s="314" t="str">
        <f>IFERROR(INDEX('Annex 2_Code'!$J$114:$J$126,MATCH('Annex 3_MAFF'!AF782,'Annex 2_Code'!$G$114:$G$126,0)),"")</f>
        <v/>
      </c>
    </row>
    <row r="783" spans="8:34" s="62" customFormat="1" ht="12.75">
      <c r="H783"/>
      <c r="I783" s="576"/>
      <c r="S783" s="1172"/>
      <c r="Y783" s="69"/>
      <c r="AD783" s="361"/>
      <c r="AE783" s="361"/>
      <c r="AF783" s="320"/>
      <c r="AG783" s="320"/>
      <c r="AH783" s="314" t="str">
        <f>IFERROR(INDEX('Annex 2_Code'!$J$114:$J$126,MATCH('Annex 3_MAFF'!AF783,'Annex 2_Code'!$G$114:$G$126,0)),"")</f>
        <v/>
      </c>
    </row>
    <row r="784" spans="8:34" s="62" customFormat="1" ht="12.75">
      <c r="H784"/>
      <c r="I784" s="576"/>
      <c r="S784" s="1172"/>
      <c r="Y784" s="69"/>
      <c r="AD784" s="361"/>
      <c r="AE784" s="361"/>
      <c r="AF784" s="320"/>
      <c r="AG784" s="320"/>
      <c r="AH784" s="314" t="str">
        <f>IFERROR(INDEX('Annex 2_Code'!$J$114:$J$126,MATCH('Annex 3_MAFF'!AF784,'Annex 2_Code'!$G$114:$G$126,0)),"")</f>
        <v/>
      </c>
    </row>
    <row r="785" spans="8:34" s="62" customFormat="1" ht="12.75">
      <c r="H785"/>
      <c r="I785" s="576"/>
      <c r="S785" s="1172"/>
      <c r="Y785" s="69"/>
      <c r="AD785" s="361"/>
      <c r="AE785" s="361"/>
      <c r="AF785" s="320"/>
      <c r="AG785" s="320"/>
      <c r="AH785" s="314" t="str">
        <f>IFERROR(INDEX('Annex 2_Code'!$J$114:$J$126,MATCH('Annex 3_MAFF'!AF785,'Annex 2_Code'!$G$114:$G$126,0)),"")</f>
        <v/>
      </c>
    </row>
    <row r="786" spans="8:34" s="62" customFormat="1" ht="12.75">
      <c r="H786"/>
      <c r="I786" s="576"/>
      <c r="S786" s="1172"/>
      <c r="Y786" s="69"/>
      <c r="AD786" s="361"/>
      <c r="AE786" s="361"/>
      <c r="AF786" s="320"/>
      <c r="AG786" s="320"/>
      <c r="AH786" s="314" t="str">
        <f>IFERROR(INDEX('Annex 2_Code'!$J$114:$J$126,MATCH('Annex 3_MAFF'!AF786,'Annex 2_Code'!$G$114:$G$126,0)),"")</f>
        <v/>
      </c>
    </row>
    <row r="787" spans="8:34" s="62" customFormat="1" ht="12.75">
      <c r="H787"/>
      <c r="I787" s="576"/>
      <c r="S787" s="1172"/>
      <c r="Y787" s="69"/>
      <c r="AD787" s="361"/>
      <c r="AE787" s="361"/>
      <c r="AF787" s="320"/>
      <c r="AG787" s="320"/>
      <c r="AH787" s="314" t="str">
        <f>IFERROR(INDEX('Annex 2_Code'!$J$114:$J$126,MATCH('Annex 3_MAFF'!AF787,'Annex 2_Code'!$G$114:$G$126,0)),"")</f>
        <v/>
      </c>
    </row>
    <row r="788" spans="8:34" s="62" customFormat="1" ht="12.75">
      <c r="H788"/>
      <c r="I788" s="576"/>
      <c r="S788" s="1172"/>
      <c r="Y788" s="69"/>
      <c r="AD788" s="361"/>
      <c r="AE788" s="361"/>
      <c r="AF788" s="320"/>
      <c r="AG788" s="320"/>
      <c r="AH788" s="314" t="str">
        <f>IFERROR(INDEX('Annex 2_Code'!$J$114:$J$126,MATCH('Annex 3_MAFF'!AF788,'Annex 2_Code'!$G$114:$G$126,0)),"")</f>
        <v/>
      </c>
    </row>
    <row r="789" spans="8:34" s="62" customFormat="1" ht="12.75">
      <c r="H789"/>
      <c r="I789" s="576"/>
      <c r="S789" s="1172"/>
      <c r="Y789" s="69"/>
      <c r="AD789" s="361"/>
      <c r="AE789" s="361"/>
      <c r="AF789" s="320"/>
      <c r="AG789" s="320"/>
      <c r="AH789" s="314" t="str">
        <f>IFERROR(INDEX('Annex 2_Code'!$J$114:$J$126,MATCH('Annex 3_MAFF'!AF789,'Annex 2_Code'!$G$114:$G$126,0)),"")</f>
        <v/>
      </c>
    </row>
    <row r="790" spans="8:34" s="62" customFormat="1" ht="12.75">
      <c r="H790"/>
      <c r="I790" s="576"/>
      <c r="S790" s="1172"/>
      <c r="Y790" s="69"/>
      <c r="AD790" s="361"/>
      <c r="AE790" s="361"/>
      <c r="AF790" s="320"/>
      <c r="AG790" s="320"/>
      <c r="AH790" s="314" t="str">
        <f>IFERROR(INDEX('Annex 2_Code'!$J$114:$J$126,MATCH('Annex 3_MAFF'!AF790,'Annex 2_Code'!$G$114:$G$126,0)),"")</f>
        <v/>
      </c>
    </row>
    <row r="791" spans="8:34" s="62" customFormat="1" ht="12.75">
      <c r="H791"/>
      <c r="I791" s="576"/>
      <c r="S791" s="1172"/>
      <c r="Y791" s="69"/>
      <c r="AD791" s="361"/>
      <c r="AE791" s="361"/>
      <c r="AF791" s="320"/>
      <c r="AG791" s="320"/>
      <c r="AH791" s="314" t="str">
        <f>IFERROR(INDEX('Annex 2_Code'!$J$114:$J$126,MATCH('Annex 3_MAFF'!AF791,'Annex 2_Code'!$G$114:$G$126,0)),"")</f>
        <v/>
      </c>
    </row>
    <row r="792" spans="8:34" s="62" customFormat="1" ht="12.75">
      <c r="H792"/>
      <c r="I792" s="576"/>
      <c r="S792" s="1172"/>
      <c r="Y792" s="69"/>
      <c r="AD792" s="361"/>
      <c r="AE792" s="361"/>
      <c r="AF792" s="320"/>
      <c r="AG792" s="320"/>
      <c r="AH792" s="314" t="str">
        <f>IFERROR(INDEX('Annex 2_Code'!$J$114:$J$126,MATCH('Annex 3_MAFF'!AF792,'Annex 2_Code'!$G$114:$G$126,0)),"")</f>
        <v/>
      </c>
    </row>
    <row r="793" spans="8:34" s="62" customFormat="1" ht="12.75">
      <c r="H793"/>
      <c r="I793" s="576"/>
      <c r="S793" s="1172"/>
      <c r="Y793" s="69"/>
      <c r="AD793" s="361"/>
      <c r="AE793" s="361"/>
      <c r="AF793" s="320"/>
      <c r="AG793" s="320"/>
      <c r="AH793" s="314" t="str">
        <f>IFERROR(INDEX('Annex 2_Code'!$J$114:$J$126,MATCH('Annex 3_MAFF'!AF793,'Annex 2_Code'!$G$114:$G$126,0)),"")</f>
        <v/>
      </c>
    </row>
    <row r="794" spans="8:34" s="62" customFormat="1" ht="12.75">
      <c r="H794"/>
      <c r="I794" s="576"/>
      <c r="S794" s="1172"/>
      <c r="Y794" s="69"/>
      <c r="AD794" s="361"/>
      <c r="AE794" s="361"/>
      <c r="AF794" s="320"/>
      <c r="AG794" s="320"/>
      <c r="AH794" s="314" t="str">
        <f>IFERROR(INDEX('Annex 2_Code'!$J$114:$J$126,MATCH('Annex 3_MAFF'!AF794,'Annex 2_Code'!$G$114:$G$126,0)),"")</f>
        <v/>
      </c>
    </row>
    <row r="795" spans="8:34" s="62" customFormat="1" ht="12.75">
      <c r="H795"/>
      <c r="I795" s="576"/>
      <c r="S795" s="1172"/>
      <c r="Y795" s="69"/>
      <c r="AD795" s="361"/>
      <c r="AE795" s="361"/>
      <c r="AF795" s="320"/>
      <c r="AG795" s="320"/>
      <c r="AH795" s="314" t="str">
        <f>IFERROR(INDEX('Annex 2_Code'!$J$114:$J$126,MATCH('Annex 3_MAFF'!AF795,'Annex 2_Code'!$G$114:$G$126,0)),"")</f>
        <v/>
      </c>
    </row>
    <row r="796" spans="8:34" s="62" customFormat="1" ht="12.75">
      <c r="H796"/>
      <c r="I796" s="576"/>
      <c r="S796" s="1172"/>
      <c r="Y796" s="69"/>
      <c r="AD796" s="361"/>
      <c r="AE796" s="361"/>
      <c r="AF796" s="320"/>
      <c r="AG796" s="320"/>
      <c r="AH796" s="314" t="str">
        <f>IFERROR(INDEX('Annex 2_Code'!$J$114:$J$126,MATCH('Annex 3_MAFF'!AF796,'Annex 2_Code'!$G$114:$G$126,0)),"")</f>
        <v/>
      </c>
    </row>
    <row r="797" spans="8:34" s="62" customFormat="1" ht="12.75">
      <c r="H797"/>
      <c r="I797" s="576"/>
      <c r="S797" s="1172"/>
      <c r="Y797" s="69"/>
      <c r="AD797" s="361"/>
      <c r="AE797" s="361"/>
      <c r="AF797" s="320"/>
      <c r="AG797" s="320"/>
      <c r="AH797" s="314" t="str">
        <f>IFERROR(INDEX('Annex 2_Code'!$J$114:$J$126,MATCH('Annex 3_MAFF'!AF797,'Annex 2_Code'!$G$114:$G$126,0)),"")</f>
        <v/>
      </c>
    </row>
    <row r="798" spans="8:34" s="62" customFormat="1" ht="12.75">
      <c r="H798"/>
      <c r="I798" s="576"/>
      <c r="S798" s="1172"/>
      <c r="Y798" s="69"/>
      <c r="AD798" s="361"/>
      <c r="AE798" s="361"/>
      <c r="AF798" s="320"/>
      <c r="AG798" s="320"/>
      <c r="AH798" s="314" t="str">
        <f>IFERROR(INDEX('Annex 2_Code'!$J$114:$J$126,MATCH('Annex 3_MAFF'!AF798,'Annex 2_Code'!$G$114:$G$126,0)),"")</f>
        <v/>
      </c>
    </row>
    <row r="799" spans="8:34" s="62" customFormat="1" ht="12.75">
      <c r="H799"/>
      <c r="I799" s="576"/>
      <c r="S799" s="1172"/>
      <c r="Y799" s="69"/>
      <c r="AD799" s="361"/>
      <c r="AE799" s="361"/>
      <c r="AF799" s="320"/>
      <c r="AG799" s="320"/>
      <c r="AH799" s="314" t="str">
        <f>IFERROR(INDEX('Annex 2_Code'!$J$114:$J$126,MATCH('Annex 3_MAFF'!AF799,'Annex 2_Code'!$G$114:$G$126,0)),"")</f>
        <v/>
      </c>
    </row>
    <row r="800" spans="8:34" s="62" customFormat="1" ht="12.75">
      <c r="H800"/>
      <c r="I800" s="576"/>
      <c r="S800" s="1172"/>
      <c r="Y800" s="69"/>
      <c r="AD800" s="361"/>
      <c r="AE800" s="361"/>
      <c r="AF800" s="320"/>
      <c r="AG800" s="320"/>
      <c r="AH800" s="314" t="str">
        <f>IFERROR(INDEX('Annex 2_Code'!$J$114:$J$126,MATCH('Annex 3_MAFF'!AF800,'Annex 2_Code'!$G$114:$G$126,0)),"")</f>
        <v/>
      </c>
    </row>
    <row r="801" spans="8:34" s="62" customFormat="1" ht="12.75">
      <c r="H801"/>
      <c r="I801" s="576"/>
      <c r="S801" s="1172"/>
      <c r="Y801" s="69"/>
      <c r="AD801" s="361"/>
      <c r="AE801" s="361"/>
      <c r="AF801" s="320"/>
      <c r="AG801" s="320"/>
      <c r="AH801" s="314" t="str">
        <f>IFERROR(INDEX('Annex 2_Code'!$J$114:$J$126,MATCH('Annex 3_MAFF'!AF801,'Annex 2_Code'!$G$114:$G$126,0)),"")</f>
        <v/>
      </c>
    </row>
    <row r="802" spans="8:34" s="62" customFormat="1" ht="12.75">
      <c r="H802"/>
      <c r="I802" s="576"/>
      <c r="S802" s="1172"/>
      <c r="Y802" s="69"/>
      <c r="AD802" s="361"/>
      <c r="AE802" s="361"/>
      <c r="AF802" s="320"/>
      <c r="AG802" s="320"/>
      <c r="AH802" s="314" t="str">
        <f>IFERROR(INDEX('Annex 2_Code'!$J$114:$J$126,MATCH('Annex 3_MAFF'!AF802,'Annex 2_Code'!$G$114:$G$126,0)),"")</f>
        <v/>
      </c>
    </row>
    <row r="803" spans="8:34" s="62" customFormat="1" ht="12.75">
      <c r="H803"/>
      <c r="I803" s="576"/>
      <c r="S803" s="1172"/>
      <c r="Y803" s="69"/>
      <c r="AD803" s="361"/>
      <c r="AE803" s="361"/>
      <c r="AF803" s="320"/>
      <c r="AG803" s="320"/>
      <c r="AH803" s="314" t="str">
        <f>IFERROR(INDEX('Annex 2_Code'!$J$114:$J$126,MATCH('Annex 3_MAFF'!AF803,'Annex 2_Code'!$G$114:$G$126,0)),"")</f>
        <v/>
      </c>
    </row>
    <row r="804" spans="8:34" s="62" customFormat="1" ht="12.75">
      <c r="H804"/>
      <c r="I804" s="576"/>
      <c r="S804" s="1172"/>
      <c r="Y804" s="69"/>
      <c r="AD804" s="361"/>
      <c r="AE804" s="361"/>
      <c r="AF804" s="320"/>
      <c r="AG804" s="320"/>
      <c r="AH804" s="314" t="str">
        <f>IFERROR(INDEX('Annex 2_Code'!$J$114:$J$126,MATCH('Annex 3_MAFF'!AF804,'Annex 2_Code'!$G$114:$G$126,0)),"")</f>
        <v/>
      </c>
    </row>
    <row r="805" spans="8:34" s="62" customFormat="1" ht="12.75">
      <c r="H805"/>
      <c r="I805" s="576"/>
      <c r="S805" s="1172"/>
      <c r="Y805" s="69"/>
      <c r="AD805" s="361"/>
      <c r="AE805" s="361"/>
      <c r="AF805" s="320"/>
      <c r="AG805" s="320"/>
      <c r="AH805" s="314" t="str">
        <f>IFERROR(INDEX('Annex 2_Code'!$J$114:$J$126,MATCH('Annex 3_MAFF'!AF805,'Annex 2_Code'!$G$114:$G$126,0)),"")</f>
        <v/>
      </c>
    </row>
    <row r="806" spans="8:34" s="62" customFormat="1" ht="12.75">
      <c r="H806"/>
      <c r="I806" s="576"/>
      <c r="S806" s="1172"/>
      <c r="Y806" s="69"/>
      <c r="AD806" s="361"/>
      <c r="AE806" s="361"/>
      <c r="AF806" s="320"/>
      <c r="AG806" s="320"/>
      <c r="AH806" s="314" t="str">
        <f>IFERROR(INDEX('Annex 2_Code'!$J$114:$J$126,MATCH('Annex 3_MAFF'!AF806,'Annex 2_Code'!$G$114:$G$126,0)),"")</f>
        <v/>
      </c>
    </row>
    <row r="807" spans="8:34" s="62" customFormat="1" ht="12.75">
      <c r="H807"/>
      <c r="I807" s="576"/>
      <c r="S807" s="1172"/>
      <c r="Y807" s="69"/>
      <c r="AD807" s="361"/>
      <c r="AE807" s="361"/>
      <c r="AF807" s="320"/>
      <c r="AG807" s="320"/>
      <c r="AH807" s="314" t="str">
        <f>IFERROR(INDEX('Annex 2_Code'!$J$114:$J$126,MATCH('Annex 3_MAFF'!AF807,'Annex 2_Code'!$G$114:$G$126,0)),"")</f>
        <v/>
      </c>
    </row>
    <row r="808" spans="8:34" s="62" customFormat="1" ht="12.75">
      <c r="H808"/>
      <c r="I808" s="576"/>
      <c r="S808" s="1172"/>
      <c r="Y808" s="69"/>
      <c r="AD808" s="361"/>
      <c r="AE808" s="361"/>
      <c r="AF808" s="320"/>
      <c r="AG808" s="320"/>
      <c r="AH808" s="314" t="str">
        <f>IFERROR(INDEX('Annex 2_Code'!$J$114:$J$126,MATCH('Annex 3_MAFF'!AF808,'Annex 2_Code'!$G$114:$G$126,0)),"")</f>
        <v/>
      </c>
    </row>
    <row r="809" spans="8:34" s="62" customFormat="1" ht="12.75">
      <c r="H809"/>
      <c r="I809" s="576"/>
      <c r="S809" s="1172"/>
      <c r="Y809" s="69"/>
      <c r="AD809" s="361"/>
      <c r="AE809" s="361"/>
      <c r="AF809" s="320"/>
      <c r="AG809" s="320"/>
      <c r="AH809" s="314" t="str">
        <f>IFERROR(INDEX('Annex 2_Code'!$J$114:$J$126,MATCH('Annex 3_MAFF'!AF809,'Annex 2_Code'!$G$114:$G$126,0)),"")</f>
        <v/>
      </c>
    </row>
    <row r="810" spans="8:34" s="62" customFormat="1" ht="12.75">
      <c r="H810"/>
      <c r="I810" s="576"/>
      <c r="S810" s="1172"/>
      <c r="Y810" s="69"/>
      <c r="AD810" s="361"/>
      <c r="AE810" s="361"/>
      <c r="AF810" s="320"/>
      <c r="AG810" s="320"/>
      <c r="AH810" s="314" t="str">
        <f>IFERROR(INDEX('Annex 2_Code'!$J$114:$J$126,MATCH('Annex 3_MAFF'!AF810,'Annex 2_Code'!$G$114:$G$126,0)),"")</f>
        <v/>
      </c>
    </row>
    <row r="811" spans="8:34" s="62" customFormat="1" ht="12.75">
      <c r="H811"/>
      <c r="I811" s="576"/>
      <c r="S811" s="1172"/>
      <c r="Y811" s="69"/>
      <c r="AD811" s="361"/>
      <c r="AE811" s="361"/>
      <c r="AF811" s="320"/>
      <c r="AG811" s="320"/>
      <c r="AH811" s="314" t="str">
        <f>IFERROR(INDEX('Annex 2_Code'!$J$114:$J$126,MATCH('Annex 3_MAFF'!AF811,'Annex 2_Code'!$G$114:$G$126,0)),"")</f>
        <v/>
      </c>
    </row>
    <row r="812" spans="8:34" s="62" customFormat="1" ht="12.75">
      <c r="H812"/>
      <c r="I812" s="576"/>
      <c r="S812" s="1172"/>
      <c r="Y812" s="69"/>
      <c r="AD812" s="361"/>
      <c r="AE812" s="361"/>
      <c r="AF812" s="320"/>
      <c r="AG812" s="320"/>
      <c r="AH812" s="314" t="str">
        <f>IFERROR(INDEX('Annex 2_Code'!$J$114:$J$126,MATCH('Annex 3_MAFF'!AF812,'Annex 2_Code'!$G$114:$G$126,0)),"")</f>
        <v/>
      </c>
    </row>
    <row r="813" spans="8:34" s="62" customFormat="1" ht="12.75">
      <c r="H813"/>
      <c r="I813" s="576"/>
      <c r="S813" s="1172"/>
      <c r="Y813" s="69"/>
      <c r="AD813" s="361"/>
      <c r="AE813" s="361"/>
      <c r="AF813" s="320"/>
      <c r="AG813" s="320"/>
      <c r="AH813" s="314" t="str">
        <f>IFERROR(INDEX('Annex 2_Code'!$J$114:$J$126,MATCH('Annex 3_MAFF'!AF813,'Annex 2_Code'!$G$114:$G$126,0)),"")</f>
        <v/>
      </c>
    </row>
    <row r="814" spans="8:34" s="62" customFormat="1" ht="12.75">
      <c r="H814"/>
      <c r="I814" s="576"/>
      <c r="S814" s="1172"/>
      <c r="Y814" s="69"/>
      <c r="AD814" s="361"/>
      <c r="AE814" s="361"/>
      <c r="AF814" s="320"/>
      <c r="AG814" s="320"/>
      <c r="AH814" s="314" t="str">
        <f>IFERROR(INDEX('Annex 2_Code'!$J$114:$J$126,MATCH('Annex 3_MAFF'!AF814,'Annex 2_Code'!$G$114:$G$126,0)),"")</f>
        <v/>
      </c>
    </row>
    <row r="815" spans="8:34" s="62" customFormat="1" ht="12.75">
      <c r="H815"/>
      <c r="I815" s="576"/>
      <c r="S815" s="1172"/>
      <c r="Y815" s="69"/>
      <c r="AD815" s="361"/>
      <c r="AE815" s="361"/>
      <c r="AF815" s="320"/>
      <c r="AG815" s="320"/>
      <c r="AH815" s="314" t="str">
        <f>IFERROR(INDEX('Annex 2_Code'!$J$114:$J$126,MATCH('Annex 3_MAFF'!AF815,'Annex 2_Code'!$G$114:$G$126,0)),"")</f>
        <v/>
      </c>
    </row>
    <row r="816" spans="8:34" s="62" customFormat="1" ht="12.75">
      <c r="H816"/>
      <c r="I816" s="576"/>
      <c r="S816" s="1172"/>
      <c r="Y816" s="69"/>
      <c r="AD816" s="361"/>
      <c r="AE816" s="361"/>
      <c r="AF816" s="320"/>
      <c r="AG816" s="320"/>
      <c r="AH816" s="314" t="str">
        <f>IFERROR(INDEX('Annex 2_Code'!$J$114:$J$126,MATCH('Annex 3_MAFF'!AF816,'Annex 2_Code'!$G$114:$G$126,0)),"")</f>
        <v/>
      </c>
    </row>
    <row r="817" spans="8:34" s="62" customFormat="1" ht="12.75">
      <c r="H817"/>
      <c r="I817" s="576"/>
      <c r="S817" s="1172"/>
      <c r="Y817" s="69"/>
      <c r="AD817" s="361"/>
      <c r="AE817" s="361"/>
      <c r="AF817" s="320"/>
      <c r="AG817" s="320"/>
      <c r="AH817" s="314" t="str">
        <f>IFERROR(INDEX('Annex 2_Code'!$J$114:$J$126,MATCH('Annex 3_MAFF'!AF817,'Annex 2_Code'!$G$114:$G$126,0)),"")</f>
        <v/>
      </c>
    </row>
    <row r="818" spans="8:34" s="62" customFormat="1" ht="12.75">
      <c r="H818"/>
      <c r="I818" s="576"/>
      <c r="S818" s="1172"/>
      <c r="Y818" s="69"/>
      <c r="AD818" s="361"/>
      <c r="AE818" s="361"/>
      <c r="AF818" s="320"/>
      <c r="AG818" s="320"/>
      <c r="AH818" s="314" t="str">
        <f>IFERROR(INDEX('Annex 2_Code'!$J$114:$J$126,MATCH('Annex 3_MAFF'!AF818,'Annex 2_Code'!$G$114:$G$126,0)),"")</f>
        <v/>
      </c>
    </row>
    <row r="819" spans="8:34" s="62" customFormat="1" ht="12.75">
      <c r="H819"/>
      <c r="I819" s="576"/>
      <c r="S819" s="1172"/>
      <c r="Y819" s="69"/>
      <c r="AD819" s="361"/>
      <c r="AE819" s="361"/>
      <c r="AF819" s="320"/>
      <c r="AG819" s="320"/>
      <c r="AH819" s="314" t="str">
        <f>IFERROR(INDEX('Annex 2_Code'!$J$114:$J$126,MATCH('Annex 3_MAFF'!AF819,'Annex 2_Code'!$G$114:$G$126,0)),"")</f>
        <v/>
      </c>
    </row>
    <row r="820" spans="8:34" s="62" customFormat="1" ht="12.75">
      <c r="H820"/>
      <c r="I820" s="576"/>
      <c r="S820" s="1172"/>
      <c r="Y820" s="69"/>
      <c r="AD820" s="361"/>
      <c r="AE820" s="361"/>
      <c r="AF820" s="320"/>
      <c r="AG820" s="320"/>
      <c r="AH820" s="314" t="str">
        <f>IFERROR(INDEX('Annex 2_Code'!$J$114:$J$126,MATCH('Annex 3_MAFF'!AF820,'Annex 2_Code'!$G$114:$G$126,0)),"")</f>
        <v/>
      </c>
    </row>
    <row r="821" spans="8:34" s="62" customFormat="1" ht="12.75">
      <c r="H821"/>
      <c r="I821" s="576"/>
      <c r="S821" s="1172"/>
      <c r="Y821" s="69"/>
      <c r="AD821" s="361"/>
      <c r="AE821" s="361"/>
      <c r="AF821" s="320"/>
      <c r="AG821" s="320"/>
      <c r="AH821" s="314" t="str">
        <f>IFERROR(INDEX('Annex 2_Code'!$J$114:$J$126,MATCH('Annex 3_MAFF'!AF821,'Annex 2_Code'!$G$114:$G$126,0)),"")</f>
        <v/>
      </c>
    </row>
    <row r="822" spans="8:34" s="62" customFormat="1" ht="12.75">
      <c r="H822"/>
      <c r="I822" s="576"/>
      <c r="S822" s="1172"/>
      <c r="Y822" s="69"/>
      <c r="AD822" s="361"/>
      <c r="AE822" s="361"/>
      <c r="AF822" s="320"/>
      <c r="AG822" s="320"/>
      <c r="AH822" s="314" t="str">
        <f>IFERROR(INDEX('Annex 2_Code'!$J$114:$J$126,MATCH('Annex 3_MAFF'!AF822,'Annex 2_Code'!$G$114:$G$126,0)),"")</f>
        <v/>
      </c>
    </row>
    <row r="823" spans="8:34" s="62" customFormat="1" ht="12.75">
      <c r="H823"/>
      <c r="I823" s="576"/>
      <c r="S823" s="1172"/>
      <c r="Y823" s="69"/>
      <c r="AD823" s="361"/>
      <c r="AE823" s="361"/>
      <c r="AF823" s="320"/>
      <c r="AG823" s="320"/>
      <c r="AH823" s="314" t="str">
        <f>IFERROR(INDEX('Annex 2_Code'!$J$114:$J$126,MATCH('Annex 3_MAFF'!AF823,'Annex 2_Code'!$G$114:$G$126,0)),"")</f>
        <v/>
      </c>
    </row>
    <row r="824" spans="8:34" s="62" customFormat="1" ht="12.75">
      <c r="H824"/>
      <c r="I824" s="576"/>
      <c r="S824" s="1172"/>
      <c r="Y824" s="69"/>
      <c r="AD824" s="361"/>
      <c r="AE824" s="361"/>
      <c r="AF824" s="320"/>
      <c r="AG824" s="320"/>
      <c r="AH824" s="314" t="str">
        <f>IFERROR(INDEX('Annex 2_Code'!$J$114:$J$126,MATCH('Annex 3_MAFF'!AF824,'Annex 2_Code'!$G$114:$G$126,0)),"")</f>
        <v/>
      </c>
    </row>
    <row r="825" spans="8:34" s="62" customFormat="1" ht="12.75">
      <c r="H825"/>
      <c r="I825" s="576"/>
      <c r="S825" s="1172"/>
      <c r="Y825" s="69"/>
      <c r="AD825" s="361"/>
      <c r="AE825" s="361"/>
      <c r="AF825" s="320"/>
      <c r="AG825" s="320"/>
      <c r="AH825" s="314" t="str">
        <f>IFERROR(INDEX('Annex 2_Code'!$J$114:$J$126,MATCH('Annex 3_MAFF'!AF825,'Annex 2_Code'!$G$114:$G$126,0)),"")</f>
        <v/>
      </c>
    </row>
    <row r="826" spans="8:34" s="62" customFormat="1" ht="12.75">
      <c r="H826"/>
      <c r="I826" s="576"/>
      <c r="S826" s="1172"/>
      <c r="Y826" s="69"/>
      <c r="AD826" s="361"/>
      <c r="AE826" s="361"/>
      <c r="AF826" s="320"/>
      <c r="AG826" s="320"/>
      <c r="AH826" s="314" t="str">
        <f>IFERROR(INDEX('Annex 2_Code'!$J$114:$J$126,MATCH('Annex 3_MAFF'!AF826,'Annex 2_Code'!$G$114:$G$126,0)),"")</f>
        <v/>
      </c>
    </row>
    <row r="827" spans="8:34" s="62" customFormat="1" ht="12.75">
      <c r="H827"/>
      <c r="I827" s="576"/>
      <c r="S827" s="1172"/>
      <c r="Y827" s="69"/>
      <c r="AD827" s="361"/>
      <c r="AE827" s="361"/>
      <c r="AF827" s="320"/>
      <c r="AG827" s="320"/>
      <c r="AH827" s="314" t="str">
        <f>IFERROR(INDEX('Annex 2_Code'!$J$114:$J$126,MATCH('Annex 3_MAFF'!AF827,'Annex 2_Code'!$G$114:$G$126,0)),"")</f>
        <v/>
      </c>
    </row>
    <row r="828" spans="8:34" s="62" customFormat="1" ht="12.75">
      <c r="H828"/>
      <c r="I828" s="576"/>
      <c r="S828" s="1172"/>
      <c r="Y828" s="69"/>
      <c r="AD828" s="361"/>
      <c r="AE828" s="361"/>
      <c r="AF828" s="320"/>
      <c r="AG828" s="320"/>
      <c r="AH828" s="314" t="str">
        <f>IFERROR(INDEX('Annex 2_Code'!$J$114:$J$126,MATCH('Annex 3_MAFF'!AF828,'Annex 2_Code'!$G$114:$G$126,0)),"")</f>
        <v/>
      </c>
    </row>
    <row r="829" spans="8:34" s="62" customFormat="1" ht="12.75">
      <c r="H829"/>
      <c r="I829" s="576"/>
      <c r="S829" s="1172"/>
      <c r="Y829" s="69"/>
      <c r="AD829" s="361"/>
      <c r="AE829" s="361"/>
      <c r="AF829" s="320"/>
      <c r="AG829" s="320"/>
      <c r="AH829" s="314" t="str">
        <f>IFERROR(INDEX('Annex 2_Code'!$J$114:$J$126,MATCH('Annex 3_MAFF'!AF829,'Annex 2_Code'!$G$114:$G$126,0)),"")</f>
        <v/>
      </c>
    </row>
    <row r="830" spans="8:34" s="62" customFormat="1" ht="12.75">
      <c r="H830"/>
      <c r="I830" s="576"/>
      <c r="S830" s="1172"/>
      <c r="Y830" s="69"/>
      <c r="AD830" s="361"/>
      <c r="AE830" s="361"/>
      <c r="AF830" s="320"/>
      <c r="AG830" s="320"/>
      <c r="AH830" s="314" t="str">
        <f>IFERROR(INDEX('Annex 2_Code'!$J$114:$J$126,MATCH('Annex 3_MAFF'!AF830,'Annex 2_Code'!$G$114:$G$126,0)),"")</f>
        <v/>
      </c>
    </row>
    <row r="831" spans="8:34" s="62" customFormat="1" ht="12.75">
      <c r="H831"/>
      <c r="I831" s="576"/>
      <c r="S831" s="1172"/>
      <c r="Y831" s="69"/>
      <c r="AD831" s="361"/>
      <c r="AE831" s="361"/>
      <c r="AF831" s="320"/>
      <c r="AG831" s="320"/>
      <c r="AH831" s="314" t="str">
        <f>IFERROR(INDEX('Annex 2_Code'!$J$114:$J$126,MATCH('Annex 3_MAFF'!AF831,'Annex 2_Code'!$G$114:$G$126,0)),"")</f>
        <v/>
      </c>
    </row>
    <row r="832" spans="8:34" s="62" customFormat="1" ht="12.75">
      <c r="H832"/>
      <c r="I832" s="576"/>
      <c r="S832" s="1172"/>
      <c r="Y832" s="69"/>
      <c r="AD832" s="361"/>
      <c r="AE832" s="361"/>
      <c r="AF832" s="320"/>
      <c r="AG832" s="320"/>
      <c r="AH832" s="314" t="str">
        <f>IFERROR(INDEX('Annex 2_Code'!$J$114:$J$126,MATCH('Annex 3_MAFF'!AF832,'Annex 2_Code'!$G$114:$G$126,0)),"")</f>
        <v/>
      </c>
    </row>
    <row r="833" spans="8:34" s="62" customFormat="1" ht="12.75">
      <c r="H833"/>
      <c r="I833" s="576"/>
      <c r="S833" s="1172"/>
      <c r="Y833" s="69"/>
      <c r="AD833" s="361"/>
      <c r="AE833" s="361"/>
      <c r="AF833" s="320"/>
      <c r="AG833" s="320"/>
      <c r="AH833" s="314" t="str">
        <f>IFERROR(INDEX('Annex 2_Code'!$J$114:$J$126,MATCH('Annex 3_MAFF'!AF833,'Annex 2_Code'!$G$114:$G$126,0)),"")</f>
        <v/>
      </c>
    </row>
    <row r="834" spans="8:34" s="62" customFormat="1" ht="12.75">
      <c r="H834"/>
      <c r="I834" s="576"/>
      <c r="S834" s="1172"/>
      <c r="Y834" s="69"/>
      <c r="AD834" s="361"/>
      <c r="AE834" s="361"/>
      <c r="AF834" s="320"/>
      <c r="AG834" s="320"/>
      <c r="AH834" s="314" t="str">
        <f>IFERROR(INDEX('Annex 2_Code'!$J$114:$J$126,MATCH('Annex 3_MAFF'!AF834,'Annex 2_Code'!$G$114:$G$126,0)),"")</f>
        <v/>
      </c>
    </row>
    <row r="835" spans="8:34" s="62" customFormat="1" ht="12.75">
      <c r="H835"/>
      <c r="I835" s="576"/>
      <c r="S835" s="1172"/>
      <c r="Y835" s="69"/>
      <c r="AD835" s="361"/>
      <c r="AE835" s="361"/>
      <c r="AF835" s="320"/>
      <c r="AG835" s="320"/>
      <c r="AH835" s="314" t="str">
        <f>IFERROR(INDEX('Annex 2_Code'!$J$114:$J$126,MATCH('Annex 3_MAFF'!AF835,'Annex 2_Code'!$G$114:$G$126,0)),"")</f>
        <v/>
      </c>
    </row>
    <row r="836" spans="8:34" s="62" customFormat="1" ht="12.75">
      <c r="H836"/>
      <c r="I836" s="576"/>
      <c r="S836" s="1172"/>
      <c r="Y836" s="69"/>
      <c r="AD836" s="361"/>
      <c r="AE836" s="361"/>
      <c r="AF836" s="320"/>
      <c r="AG836" s="320"/>
      <c r="AH836" s="314" t="str">
        <f>IFERROR(INDEX('Annex 2_Code'!$J$114:$J$126,MATCH('Annex 3_MAFF'!AF836,'Annex 2_Code'!$G$114:$G$126,0)),"")</f>
        <v/>
      </c>
    </row>
    <row r="837" spans="8:34" s="62" customFormat="1" ht="12.75">
      <c r="H837"/>
      <c r="I837" s="576"/>
      <c r="S837" s="1172"/>
      <c r="Y837" s="69"/>
      <c r="AD837" s="361"/>
      <c r="AE837" s="361"/>
      <c r="AF837" s="320"/>
      <c r="AG837" s="320"/>
      <c r="AH837" s="314" t="str">
        <f>IFERROR(INDEX('Annex 2_Code'!$J$114:$J$126,MATCH('Annex 3_MAFF'!AF837,'Annex 2_Code'!$G$114:$G$126,0)),"")</f>
        <v/>
      </c>
    </row>
    <row r="838" spans="8:34" s="62" customFormat="1" ht="12.75">
      <c r="H838"/>
      <c r="I838" s="576"/>
      <c r="S838" s="1172"/>
      <c r="Y838" s="69"/>
      <c r="AD838" s="361"/>
      <c r="AE838" s="361"/>
      <c r="AF838" s="320"/>
      <c r="AG838" s="320"/>
      <c r="AH838" s="314" t="str">
        <f>IFERROR(INDEX('Annex 2_Code'!$J$114:$J$126,MATCH('Annex 3_MAFF'!AF838,'Annex 2_Code'!$G$114:$G$126,0)),"")</f>
        <v/>
      </c>
    </row>
    <row r="839" spans="8:34" s="62" customFormat="1" ht="12.75">
      <c r="H839"/>
      <c r="I839" s="576"/>
      <c r="S839" s="1172"/>
      <c r="Y839" s="69"/>
      <c r="AD839" s="361"/>
      <c r="AE839" s="361"/>
      <c r="AF839" s="320"/>
      <c r="AG839" s="320"/>
      <c r="AH839" s="314" t="str">
        <f>IFERROR(INDEX('Annex 2_Code'!$J$114:$J$126,MATCH('Annex 3_MAFF'!AF839,'Annex 2_Code'!$G$114:$G$126,0)),"")</f>
        <v/>
      </c>
    </row>
    <row r="840" spans="8:34" s="62" customFormat="1" ht="12.75">
      <c r="H840"/>
      <c r="I840" s="576"/>
      <c r="S840" s="1172"/>
      <c r="Y840" s="69"/>
      <c r="AD840" s="361"/>
      <c r="AE840" s="361"/>
      <c r="AF840" s="320"/>
      <c r="AG840" s="320"/>
      <c r="AH840" s="314" t="str">
        <f>IFERROR(INDEX('Annex 2_Code'!$J$114:$J$126,MATCH('Annex 3_MAFF'!AF840,'Annex 2_Code'!$G$114:$G$126,0)),"")</f>
        <v/>
      </c>
    </row>
    <row r="841" spans="8:34" s="62" customFormat="1" ht="12.75">
      <c r="H841"/>
      <c r="I841" s="576"/>
      <c r="S841" s="1172"/>
      <c r="Y841" s="69"/>
      <c r="AD841" s="361"/>
      <c r="AE841" s="361"/>
      <c r="AF841" s="320"/>
      <c r="AG841" s="320"/>
      <c r="AH841" s="314" t="str">
        <f>IFERROR(INDEX('Annex 2_Code'!$J$114:$J$126,MATCH('Annex 3_MAFF'!AF841,'Annex 2_Code'!$G$114:$G$126,0)),"")</f>
        <v/>
      </c>
    </row>
    <row r="842" spans="8:34" s="62" customFormat="1" ht="12.75">
      <c r="H842"/>
      <c r="I842" s="576"/>
      <c r="S842" s="1172"/>
      <c r="Y842" s="69"/>
      <c r="AD842" s="361"/>
      <c r="AE842" s="361"/>
      <c r="AF842" s="320"/>
      <c r="AG842" s="320"/>
      <c r="AH842" s="314" t="str">
        <f>IFERROR(INDEX('Annex 2_Code'!$J$114:$J$126,MATCH('Annex 3_MAFF'!AF842,'Annex 2_Code'!$G$114:$G$126,0)),"")</f>
        <v/>
      </c>
    </row>
    <row r="843" spans="8:34" s="62" customFormat="1" ht="12.75">
      <c r="H843"/>
      <c r="I843" s="576"/>
      <c r="S843" s="1172"/>
      <c r="Y843" s="69"/>
      <c r="AD843" s="361"/>
      <c r="AE843" s="361"/>
      <c r="AF843" s="320"/>
      <c r="AG843" s="320"/>
      <c r="AH843" s="314" t="str">
        <f>IFERROR(INDEX('Annex 2_Code'!$J$114:$J$126,MATCH('Annex 3_MAFF'!AF843,'Annex 2_Code'!$G$114:$G$126,0)),"")</f>
        <v/>
      </c>
    </row>
    <row r="844" spans="8:34" s="62" customFormat="1" ht="12.75">
      <c r="H844"/>
      <c r="I844" s="576"/>
      <c r="S844" s="1172"/>
      <c r="Y844" s="69"/>
      <c r="AD844" s="361"/>
      <c r="AE844" s="361"/>
      <c r="AF844" s="320"/>
      <c r="AG844" s="320"/>
      <c r="AH844" s="314" t="str">
        <f>IFERROR(INDEX('Annex 2_Code'!$J$114:$J$126,MATCH('Annex 3_MAFF'!AF844,'Annex 2_Code'!$G$114:$G$126,0)),"")</f>
        <v/>
      </c>
    </row>
    <row r="845" spans="8:34" s="62" customFormat="1" ht="12.75">
      <c r="H845"/>
      <c r="I845" s="576"/>
      <c r="S845" s="1172"/>
      <c r="Y845" s="69"/>
      <c r="AD845" s="361"/>
      <c r="AE845" s="361"/>
      <c r="AF845" s="320"/>
      <c r="AG845" s="320"/>
      <c r="AH845" s="314" t="str">
        <f>IFERROR(INDEX('Annex 2_Code'!$J$114:$J$126,MATCH('Annex 3_MAFF'!AF845,'Annex 2_Code'!$G$114:$G$126,0)),"")</f>
        <v/>
      </c>
    </row>
    <row r="846" spans="8:34" s="62" customFormat="1" ht="12.75">
      <c r="H846"/>
      <c r="I846" s="576"/>
      <c r="S846" s="1172"/>
      <c r="Y846" s="69"/>
      <c r="AD846" s="361"/>
      <c r="AE846" s="361"/>
      <c r="AF846" s="320"/>
      <c r="AG846" s="320"/>
      <c r="AH846" s="314" t="str">
        <f>IFERROR(INDEX('Annex 2_Code'!$J$114:$J$126,MATCH('Annex 3_MAFF'!AF846,'Annex 2_Code'!$G$114:$G$126,0)),"")</f>
        <v/>
      </c>
    </row>
    <row r="847" spans="8:34" s="62" customFormat="1" ht="12.75">
      <c r="H847"/>
      <c r="I847" s="576"/>
      <c r="S847" s="1172"/>
      <c r="Y847" s="69"/>
      <c r="AD847" s="361"/>
      <c r="AE847" s="361"/>
      <c r="AF847" s="320"/>
      <c r="AG847" s="320"/>
      <c r="AH847" s="314" t="str">
        <f>IFERROR(INDEX('Annex 2_Code'!$J$114:$J$126,MATCH('Annex 3_MAFF'!AF847,'Annex 2_Code'!$G$114:$G$126,0)),"")</f>
        <v/>
      </c>
    </row>
    <row r="848" spans="8:34" s="62" customFormat="1" ht="12.75">
      <c r="H848"/>
      <c r="I848" s="576"/>
      <c r="S848" s="1172"/>
      <c r="Y848" s="69"/>
      <c r="AD848" s="361"/>
      <c r="AE848" s="361"/>
      <c r="AF848" s="320"/>
      <c r="AG848" s="320"/>
      <c r="AH848" s="314" t="str">
        <f>IFERROR(INDEX('Annex 2_Code'!$J$114:$J$126,MATCH('Annex 3_MAFF'!AF848,'Annex 2_Code'!$G$114:$G$126,0)),"")</f>
        <v/>
      </c>
    </row>
    <row r="849" spans="8:34" s="62" customFormat="1" ht="12.75">
      <c r="H849"/>
      <c r="I849" s="576"/>
      <c r="S849" s="1172"/>
      <c r="Y849" s="69"/>
      <c r="AD849" s="361"/>
      <c r="AE849" s="361"/>
      <c r="AF849" s="320"/>
      <c r="AG849" s="320"/>
      <c r="AH849" s="314" t="str">
        <f>IFERROR(INDEX('Annex 2_Code'!$J$114:$J$126,MATCH('Annex 3_MAFF'!AF849,'Annex 2_Code'!$G$114:$G$126,0)),"")</f>
        <v/>
      </c>
    </row>
    <row r="850" spans="8:34" s="62" customFormat="1" ht="12.75">
      <c r="H850"/>
      <c r="I850" s="576"/>
      <c r="S850" s="1172"/>
      <c r="Y850" s="69"/>
      <c r="AD850" s="361"/>
      <c r="AE850" s="361"/>
      <c r="AF850" s="320"/>
      <c r="AG850" s="320"/>
      <c r="AH850" s="314" t="str">
        <f>IFERROR(INDEX('Annex 2_Code'!$J$114:$J$126,MATCH('Annex 3_MAFF'!AF850,'Annex 2_Code'!$G$114:$G$126,0)),"")</f>
        <v/>
      </c>
    </row>
    <row r="851" spans="8:34" s="62" customFormat="1" ht="12.75">
      <c r="H851"/>
      <c r="I851" s="576"/>
      <c r="S851" s="1172"/>
      <c r="Y851" s="69"/>
      <c r="AD851" s="361"/>
      <c r="AE851" s="361"/>
      <c r="AF851" s="320"/>
      <c r="AG851" s="320"/>
      <c r="AH851" s="314" t="str">
        <f>IFERROR(INDEX('Annex 2_Code'!$J$114:$J$126,MATCH('Annex 3_MAFF'!AF851,'Annex 2_Code'!$G$114:$G$126,0)),"")</f>
        <v/>
      </c>
    </row>
    <row r="852" spans="8:34" s="62" customFormat="1" ht="12.75">
      <c r="H852"/>
      <c r="I852" s="576"/>
      <c r="S852" s="1172"/>
      <c r="Y852" s="69"/>
      <c r="AD852" s="361"/>
      <c r="AE852" s="361"/>
      <c r="AF852" s="320"/>
      <c r="AG852" s="320"/>
      <c r="AH852" s="314" t="str">
        <f>IFERROR(INDEX('Annex 2_Code'!$J$114:$J$126,MATCH('Annex 3_MAFF'!AF852,'Annex 2_Code'!$G$114:$G$126,0)),"")</f>
        <v/>
      </c>
    </row>
    <row r="853" spans="8:34" s="62" customFormat="1" ht="12.75">
      <c r="H853"/>
      <c r="I853" s="576"/>
      <c r="S853" s="1172"/>
      <c r="Y853" s="69"/>
      <c r="AD853" s="361"/>
      <c r="AE853" s="361"/>
      <c r="AF853" s="320"/>
      <c r="AG853" s="320"/>
      <c r="AH853" s="314" t="str">
        <f>IFERROR(INDEX('Annex 2_Code'!$J$114:$J$126,MATCH('Annex 3_MAFF'!AF853,'Annex 2_Code'!$G$114:$G$126,0)),"")</f>
        <v/>
      </c>
    </row>
    <row r="854" spans="8:34" s="62" customFormat="1" ht="12.75">
      <c r="H854"/>
      <c r="I854" s="576"/>
      <c r="S854" s="1172"/>
      <c r="Y854" s="69"/>
      <c r="AD854" s="361"/>
      <c r="AE854" s="361"/>
      <c r="AF854" s="320"/>
      <c r="AG854" s="320"/>
      <c r="AH854" s="314" t="str">
        <f>IFERROR(INDEX('Annex 2_Code'!$J$114:$J$126,MATCH('Annex 3_MAFF'!AF854,'Annex 2_Code'!$G$114:$G$126,0)),"")</f>
        <v/>
      </c>
    </row>
    <row r="855" spans="8:34" s="62" customFormat="1" ht="12.75">
      <c r="H855"/>
      <c r="I855" s="576"/>
      <c r="S855" s="1172"/>
      <c r="Y855" s="69"/>
      <c r="AD855" s="361"/>
      <c r="AE855" s="361"/>
      <c r="AF855" s="320"/>
      <c r="AG855" s="320"/>
      <c r="AH855" s="314" t="str">
        <f>IFERROR(INDEX('Annex 2_Code'!$J$114:$J$126,MATCH('Annex 3_MAFF'!AF855,'Annex 2_Code'!$G$114:$G$126,0)),"")</f>
        <v/>
      </c>
    </row>
    <row r="856" spans="8:34" s="62" customFormat="1" ht="12.75">
      <c r="H856"/>
      <c r="I856" s="576"/>
      <c r="S856" s="1172"/>
      <c r="Y856" s="69"/>
      <c r="AD856" s="361"/>
      <c r="AE856" s="361"/>
      <c r="AF856" s="320"/>
      <c r="AG856" s="320"/>
      <c r="AH856" s="314" t="str">
        <f>IFERROR(INDEX('Annex 2_Code'!$J$114:$J$126,MATCH('Annex 3_MAFF'!AF856,'Annex 2_Code'!$G$114:$G$126,0)),"")</f>
        <v/>
      </c>
    </row>
    <row r="857" spans="8:34" s="62" customFormat="1" ht="12.75">
      <c r="H857"/>
      <c r="I857" s="576"/>
      <c r="S857" s="1172"/>
      <c r="Y857" s="69"/>
      <c r="AD857" s="361"/>
      <c r="AE857" s="361"/>
      <c r="AF857" s="320"/>
      <c r="AG857" s="320"/>
      <c r="AH857" s="314" t="str">
        <f>IFERROR(INDEX('Annex 2_Code'!$J$114:$J$126,MATCH('Annex 3_MAFF'!AF857,'Annex 2_Code'!$G$114:$G$126,0)),"")</f>
        <v/>
      </c>
    </row>
    <row r="858" spans="8:34" s="62" customFormat="1" ht="12.75">
      <c r="H858"/>
      <c r="I858" s="576"/>
      <c r="S858" s="1172"/>
      <c r="Y858" s="69"/>
      <c r="AD858" s="361"/>
      <c r="AE858" s="361"/>
      <c r="AF858" s="320"/>
      <c r="AG858" s="320"/>
      <c r="AH858" s="314" t="str">
        <f>IFERROR(INDEX('Annex 2_Code'!$J$114:$J$126,MATCH('Annex 3_MAFF'!AF858,'Annex 2_Code'!$G$114:$G$126,0)),"")</f>
        <v/>
      </c>
    </row>
    <row r="859" spans="8:34" s="62" customFormat="1" ht="12.75">
      <c r="H859"/>
      <c r="I859" s="576"/>
      <c r="S859" s="1172"/>
      <c r="Y859" s="69"/>
      <c r="AD859" s="361"/>
      <c r="AE859" s="361"/>
      <c r="AF859" s="320"/>
      <c r="AG859" s="320"/>
      <c r="AH859" s="314" t="str">
        <f>IFERROR(INDEX('Annex 2_Code'!$J$114:$J$126,MATCH('Annex 3_MAFF'!AF859,'Annex 2_Code'!$G$114:$G$126,0)),"")</f>
        <v/>
      </c>
    </row>
    <row r="860" spans="8:34" s="62" customFormat="1" ht="12.75">
      <c r="H860"/>
      <c r="I860" s="576"/>
      <c r="S860" s="1172"/>
      <c r="Y860" s="69"/>
      <c r="AD860" s="361"/>
      <c r="AE860" s="361"/>
      <c r="AF860" s="320"/>
      <c r="AG860" s="320"/>
      <c r="AH860" s="314" t="str">
        <f>IFERROR(INDEX('Annex 2_Code'!$J$114:$J$126,MATCH('Annex 3_MAFF'!AF860,'Annex 2_Code'!$G$114:$G$126,0)),"")</f>
        <v/>
      </c>
    </row>
    <row r="861" spans="8:34" s="62" customFormat="1" ht="12.75">
      <c r="H861"/>
      <c r="I861" s="576"/>
      <c r="S861" s="1172"/>
      <c r="Y861" s="69"/>
      <c r="AD861" s="361"/>
      <c r="AE861" s="361"/>
      <c r="AF861" s="320"/>
      <c r="AG861" s="320"/>
      <c r="AH861" s="314" t="str">
        <f>IFERROR(INDEX('Annex 2_Code'!$J$114:$J$126,MATCH('Annex 3_MAFF'!AF861,'Annex 2_Code'!$G$114:$G$126,0)),"")</f>
        <v/>
      </c>
    </row>
    <row r="862" spans="8:34" s="62" customFormat="1" ht="12.75">
      <c r="H862"/>
      <c r="I862" s="576"/>
      <c r="S862" s="1172"/>
      <c r="Y862" s="69"/>
      <c r="AD862" s="361"/>
      <c r="AE862" s="361"/>
      <c r="AF862" s="320"/>
      <c r="AG862" s="320"/>
      <c r="AH862" s="314" t="str">
        <f>IFERROR(INDEX('Annex 2_Code'!$J$114:$J$126,MATCH('Annex 3_MAFF'!AF862,'Annex 2_Code'!$G$114:$G$126,0)),"")</f>
        <v/>
      </c>
    </row>
    <row r="863" spans="8:34" s="62" customFormat="1" ht="12.75">
      <c r="H863"/>
      <c r="I863" s="576"/>
      <c r="S863" s="1172"/>
      <c r="Y863" s="69"/>
      <c r="AD863" s="361"/>
      <c r="AE863" s="361"/>
      <c r="AF863" s="320"/>
      <c r="AG863" s="320"/>
      <c r="AH863" s="314" t="str">
        <f>IFERROR(INDEX('Annex 2_Code'!$J$114:$J$126,MATCH('Annex 3_MAFF'!AF863,'Annex 2_Code'!$G$114:$G$126,0)),"")</f>
        <v/>
      </c>
    </row>
    <row r="864" spans="8:34" s="62" customFormat="1" ht="12.75">
      <c r="H864"/>
      <c r="I864" s="576"/>
      <c r="S864" s="1172"/>
      <c r="Y864" s="69"/>
      <c r="AD864" s="361"/>
      <c r="AE864" s="361"/>
      <c r="AF864" s="320"/>
      <c r="AG864" s="320"/>
      <c r="AH864" s="314" t="str">
        <f>IFERROR(INDEX('Annex 2_Code'!$J$114:$J$126,MATCH('Annex 3_MAFF'!AF864,'Annex 2_Code'!$G$114:$G$126,0)),"")</f>
        <v/>
      </c>
    </row>
    <row r="865" spans="8:34" s="62" customFormat="1" ht="12.75">
      <c r="H865"/>
      <c r="I865" s="576"/>
      <c r="S865" s="1172"/>
      <c r="Y865" s="69"/>
      <c r="AD865" s="361"/>
      <c r="AE865" s="361"/>
      <c r="AF865" s="320"/>
      <c r="AG865" s="320"/>
      <c r="AH865" s="314" t="str">
        <f>IFERROR(INDEX('Annex 2_Code'!$J$114:$J$126,MATCH('Annex 3_MAFF'!AF865,'Annex 2_Code'!$G$114:$G$126,0)),"")</f>
        <v/>
      </c>
    </row>
    <row r="866" spans="8:34" s="62" customFormat="1" ht="12.75">
      <c r="H866"/>
      <c r="I866" s="576"/>
      <c r="S866" s="1172"/>
      <c r="Y866" s="69"/>
      <c r="AD866" s="361"/>
      <c r="AE866" s="361"/>
      <c r="AF866" s="320"/>
      <c r="AG866" s="320"/>
      <c r="AH866" s="314" t="str">
        <f>IFERROR(INDEX('Annex 2_Code'!$J$114:$J$126,MATCH('Annex 3_MAFF'!AF866,'Annex 2_Code'!$G$114:$G$126,0)),"")</f>
        <v/>
      </c>
    </row>
    <row r="867" spans="8:34" s="62" customFormat="1" ht="12.75">
      <c r="H867"/>
      <c r="I867" s="576"/>
      <c r="S867" s="1172"/>
      <c r="Y867" s="69"/>
      <c r="AD867" s="361"/>
      <c r="AE867" s="361"/>
      <c r="AF867" s="320"/>
      <c r="AG867" s="320"/>
      <c r="AH867" s="314" t="str">
        <f>IFERROR(INDEX('Annex 2_Code'!$J$114:$J$126,MATCH('Annex 3_MAFF'!AF867,'Annex 2_Code'!$G$114:$G$126,0)),"")</f>
        <v/>
      </c>
    </row>
    <row r="868" spans="8:34" s="62" customFormat="1" ht="12.75">
      <c r="H868"/>
      <c r="I868" s="576"/>
      <c r="S868" s="1172"/>
      <c r="Y868" s="69"/>
      <c r="AD868" s="361"/>
      <c r="AE868" s="361"/>
      <c r="AF868" s="320"/>
      <c r="AG868" s="320"/>
      <c r="AH868" s="314" t="str">
        <f>IFERROR(INDEX('Annex 2_Code'!$J$114:$J$126,MATCH('Annex 3_MAFF'!AF868,'Annex 2_Code'!$G$114:$G$126,0)),"")</f>
        <v/>
      </c>
    </row>
    <row r="869" spans="8:34" s="62" customFormat="1" ht="12.75">
      <c r="H869"/>
      <c r="I869" s="576"/>
      <c r="S869" s="1172"/>
      <c r="Y869" s="69"/>
      <c r="AD869" s="361"/>
      <c r="AE869" s="361"/>
      <c r="AF869" s="320"/>
      <c r="AG869" s="320"/>
      <c r="AH869" s="314" t="str">
        <f>IFERROR(INDEX('Annex 2_Code'!$J$114:$J$126,MATCH('Annex 3_MAFF'!AF869,'Annex 2_Code'!$G$114:$G$126,0)),"")</f>
        <v/>
      </c>
    </row>
    <row r="870" spans="8:34" s="62" customFormat="1" ht="12.75">
      <c r="H870"/>
      <c r="I870" s="576"/>
      <c r="S870" s="1172"/>
      <c r="Y870" s="69"/>
      <c r="AD870" s="361"/>
      <c r="AE870" s="361"/>
      <c r="AF870" s="320"/>
      <c r="AG870" s="320"/>
      <c r="AH870" s="314" t="str">
        <f>IFERROR(INDEX('Annex 2_Code'!$J$114:$J$126,MATCH('Annex 3_MAFF'!AF870,'Annex 2_Code'!$G$114:$G$126,0)),"")</f>
        <v/>
      </c>
    </row>
    <row r="871" spans="8:34" s="62" customFormat="1" ht="12.75">
      <c r="H871"/>
      <c r="I871" s="576"/>
      <c r="S871" s="1172"/>
      <c r="Y871" s="69"/>
      <c r="AD871" s="361"/>
      <c r="AE871" s="361"/>
      <c r="AF871" s="320"/>
      <c r="AG871" s="320"/>
      <c r="AH871" s="314" t="str">
        <f>IFERROR(INDEX('Annex 2_Code'!$J$114:$J$126,MATCH('Annex 3_MAFF'!AF871,'Annex 2_Code'!$G$114:$G$126,0)),"")</f>
        <v/>
      </c>
    </row>
    <row r="872" spans="8:34" s="62" customFormat="1" ht="12.75">
      <c r="H872"/>
      <c r="I872" s="576"/>
      <c r="S872" s="1172"/>
      <c r="Y872" s="69"/>
      <c r="AD872" s="361"/>
      <c r="AE872" s="361"/>
      <c r="AF872" s="320"/>
      <c r="AG872" s="320"/>
      <c r="AH872" s="314" t="str">
        <f>IFERROR(INDEX('Annex 2_Code'!$J$114:$J$126,MATCH('Annex 3_MAFF'!AF872,'Annex 2_Code'!$G$114:$G$126,0)),"")</f>
        <v/>
      </c>
    </row>
    <row r="873" spans="8:34" s="62" customFormat="1" ht="12.75">
      <c r="H873"/>
      <c r="I873" s="576"/>
      <c r="S873" s="1172"/>
      <c r="Y873" s="69"/>
      <c r="AD873" s="361"/>
      <c r="AE873" s="361"/>
      <c r="AF873" s="320"/>
      <c r="AG873" s="320"/>
      <c r="AH873" s="314" t="str">
        <f>IFERROR(INDEX('Annex 2_Code'!$J$114:$J$126,MATCH('Annex 3_MAFF'!AF873,'Annex 2_Code'!$G$114:$G$126,0)),"")</f>
        <v/>
      </c>
    </row>
    <row r="874" spans="8:34" s="62" customFormat="1" ht="12.75">
      <c r="H874"/>
      <c r="I874" s="576"/>
      <c r="S874" s="1172"/>
      <c r="Y874" s="69"/>
      <c r="AD874" s="361"/>
      <c r="AE874" s="361"/>
      <c r="AF874" s="320"/>
      <c r="AG874" s="320"/>
      <c r="AH874" s="314" t="str">
        <f>IFERROR(INDEX('Annex 2_Code'!$J$114:$J$126,MATCH('Annex 3_MAFF'!AF874,'Annex 2_Code'!$G$114:$G$126,0)),"")</f>
        <v/>
      </c>
    </row>
    <row r="875" spans="8:34" s="62" customFormat="1" ht="12.75">
      <c r="H875"/>
      <c r="I875" s="576"/>
      <c r="S875" s="1172"/>
      <c r="Y875" s="69"/>
      <c r="AD875" s="361"/>
      <c r="AE875" s="361"/>
      <c r="AF875" s="320"/>
      <c r="AG875" s="320"/>
      <c r="AH875" s="314" t="str">
        <f>IFERROR(INDEX('Annex 2_Code'!$J$114:$J$126,MATCH('Annex 3_MAFF'!AF875,'Annex 2_Code'!$G$114:$G$126,0)),"")</f>
        <v/>
      </c>
    </row>
    <row r="876" spans="8:34" s="62" customFormat="1" ht="12.75">
      <c r="H876"/>
      <c r="I876" s="576"/>
      <c r="S876" s="1172"/>
      <c r="Y876" s="69"/>
      <c r="AD876" s="361"/>
      <c r="AE876" s="361"/>
      <c r="AF876" s="320"/>
      <c r="AG876" s="320"/>
      <c r="AH876" s="314" t="str">
        <f>IFERROR(INDEX('Annex 2_Code'!$J$114:$J$126,MATCH('Annex 3_MAFF'!AF876,'Annex 2_Code'!$G$114:$G$126,0)),"")</f>
        <v/>
      </c>
    </row>
    <row r="877" spans="8:34" s="62" customFormat="1" ht="12.75">
      <c r="H877"/>
      <c r="I877" s="576"/>
      <c r="S877" s="1172"/>
      <c r="Y877" s="69"/>
      <c r="AD877" s="361"/>
      <c r="AE877" s="361"/>
      <c r="AF877" s="320"/>
      <c r="AG877" s="320"/>
      <c r="AH877" s="314" t="str">
        <f>IFERROR(INDEX('Annex 2_Code'!$J$114:$J$126,MATCH('Annex 3_MAFF'!AF877,'Annex 2_Code'!$G$114:$G$126,0)),"")</f>
        <v/>
      </c>
    </row>
    <row r="878" spans="8:34" s="62" customFormat="1" ht="12.75">
      <c r="H878"/>
      <c r="I878" s="576"/>
      <c r="S878" s="1172"/>
      <c r="Y878" s="69"/>
      <c r="AD878" s="361"/>
      <c r="AE878" s="361"/>
      <c r="AF878" s="320"/>
      <c r="AG878" s="320"/>
      <c r="AH878" s="314" t="str">
        <f>IFERROR(INDEX('Annex 2_Code'!$J$114:$J$126,MATCH('Annex 3_MAFF'!AF878,'Annex 2_Code'!$G$114:$G$126,0)),"")</f>
        <v/>
      </c>
    </row>
    <row r="879" spans="8:34" s="62" customFormat="1" ht="12.75">
      <c r="H879"/>
      <c r="I879" s="576"/>
      <c r="S879" s="1172"/>
      <c r="Y879" s="69"/>
      <c r="AD879" s="361"/>
      <c r="AE879" s="361"/>
      <c r="AF879" s="320"/>
      <c r="AG879" s="320"/>
      <c r="AH879" s="314" t="str">
        <f>IFERROR(INDEX('Annex 2_Code'!$J$114:$J$126,MATCH('Annex 3_MAFF'!AF879,'Annex 2_Code'!$G$114:$G$126,0)),"")</f>
        <v/>
      </c>
    </row>
    <row r="880" spans="8:34" s="62" customFormat="1" ht="12.75">
      <c r="H880"/>
      <c r="I880" s="576"/>
      <c r="S880" s="1172"/>
      <c r="Y880" s="69"/>
      <c r="AD880" s="361"/>
      <c r="AE880" s="361"/>
      <c r="AF880" s="320"/>
      <c r="AG880" s="320"/>
      <c r="AH880" s="314" t="str">
        <f>IFERROR(INDEX('Annex 2_Code'!$J$114:$J$126,MATCH('Annex 3_MAFF'!AF880,'Annex 2_Code'!$G$114:$G$126,0)),"")</f>
        <v/>
      </c>
    </row>
    <row r="881" spans="8:34" s="62" customFormat="1" ht="12.75">
      <c r="H881"/>
      <c r="I881" s="576"/>
      <c r="S881" s="1172"/>
      <c r="Y881" s="69"/>
      <c r="AD881" s="361"/>
      <c r="AE881" s="361"/>
      <c r="AF881" s="320"/>
      <c r="AG881" s="320"/>
      <c r="AH881" s="314" t="str">
        <f>IFERROR(INDEX('Annex 2_Code'!$J$114:$J$126,MATCH('Annex 3_MAFF'!AF881,'Annex 2_Code'!$G$114:$G$126,0)),"")</f>
        <v/>
      </c>
    </row>
    <row r="882" spans="8:34" s="62" customFormat="1" ht="12.75">
      <c r="H882"/>
      <c r="I882" s="576"/>
      <c r="S882" s="1172"/>
      <c r="Y882" s="69"/>
      <c r="AD882" s="361"/>
      <c r="AE882" s="361"/>
      <c r="AF882" s="320"/>
      <c r="AG882" s="320"/>
      <c r="AH882" s="314" t="str">
        <f>IFERROR(INDEX('Annex 2_Code'!$J$114:$J$126,MATCH('Annex 3_MAFF'!AF882,'Annex 2_Code'!$G$114:$G$126,0)),"")</f>
        <v/>
      </c>
    </row>
    <row r="883" spans="8:34" s="62" customFormat="1" ht="12.75">
      <c r="H883"/>
      <c r="I883" s="576"/>
      <c r="S883" s="1172"/>
      <c r="Y883" s="69"/>
      <c r="AD883" s="361"/>
      <c r="AE883" s="361"/>
      <c r="AF883" s="320"/>
      <c r="AG883" s="320"/>
      <c r="AH883" s="314" t="str">
        <f>IFERROR(INDEX('Annex 2_Code'!$J$114:$J$126,MATCH('Annex 3_MAFF'!AF883,'Annex 2_Code'!$G$114:$G$126,0)),"")</f>
        <v/>
      </c>
    </row>
    <row r="884" spans="8:34" s="62" customFormat="1" ht="12.75">
      <c r="H884"/>
      <c r="I884" s="576"/>
      <c r="S884" s="1172"/>
      <c r="Y884" s="69"/>
      <c r="AD884" s="361"/>
      <c r="AE884" s="361"/>
      <c r="AF884" s="320"/>
      <c r="AG884" s="320"/>
      <c r="AH884" s="314" t="str">
        <f>IFERROR(INDEX('Annex 2_Code'!$J$114:$J$126,MATCH('Annex 3_MAFF'!AF884,'Annex 2_Code'!$G$114:$G$126,0)),"")</f>
        <v/>
      </c>
    </row>
    <row r="885" spans="8:34" s="62" customFormat="1" ht="12.75">
      <c r="H885"/>
      <c r="I885" s="576"/>
      <c r="S885" s="1172"/>
      <c r="Y885" s="69"/>
      <c r="AD885" s="361"/>
      <c r="AE885" s="361"/>
      <c r="AF885" s="320"/>
      <c r="AG885" s="320"/>
      <c r="AH885" s="314" t="str">
        <f>IFERROR(INDEX('Annex 2_Code'!$J$114:$J$126,MATCH('Annex 3_MAFF'!AF885,'Annex 2_Code'!$G$114:$G$126,0)),"")</f>
        <v/>
      </c>
    </row>
    <row r="886" spans="8:34" s="62" customFormat="1" ht="12.75">
      <c r="H886"/>
      <c r="I886" s="576"/>
      <c r="S886" s="1172"/>
      <c r="Y886" s="69"/>
      <c r="AD886" s="361"/>
      <c r="AE886" s="361"/>
      <c r="AF886" s="320"/>
      <c r="AG886" s="320"/>
      <c r="AH886" s="314" t="str">
        <f>IFERROR(INDEX('Annex 2_Code'!$J$114:$J$126,MATCH('Annex 3_MAFF'!AF886,'Annex 2_Code'!$G$114:$G$126,0)),"")</f>
        <v/>
      </c>
    </row>
    <row r="887" spans="8:34" s="62" customFormat="1" ht="12.75">
      <c r="H887"/>
      <c r="I887" s="576"/>
      <c r="S887" s="1172"/>
      <c r="Y887" s="69"/>
      <c r="AD887" s="361"/>
      <c r="AE887" s="361"/>
      <c r="AF887" s="320"/>
      <c r="AG887" s="320"/>
      <c r="AH887" s="314" t="str">
        <f>IFERROR(INDEX('Annex 2_Code'!$J$114:$J$126,MATCH('Annex 3_MAFF'!AF887,'Annex 2_Code'!$G$114:$G$126,0)),"")</f>
        <v/>
      </c>
    </row>
    <row r="888" spans="8:34" s="62" customFormat="1" ht="12.75">
      <c r="H888"/>
      <c r="I888" s="576"/>
      <c r="S888" s="1172"/>
      <c r="Y888" s="69"/>
      <c r="AD888" s="361"/>
      <c r="AE888" s="361"/>
      <c r="AF888" s="320"/>
      <c r="AG888" s="320"/>
      <c r="AH888" s="314" t="str">
        <f>IFERROR(INDEX('Annex 2_Code'!$J$114:$J$126,MATCH('Annex 3_MAFF'!AF888,'Annex 2_Code'!$G$114:$G$126,0)),"")</f>
        <v/>
      </c>
    </row>
    <row r="889" spans="8:34" s="62" customFormat="1" ht="12.75">
      <c r="H889"/>
      <c r="I889" s="576"/>
      <c r="S889" s="1172"/>
      <c r="Y889" s="69"/>
      <c r="AD889" s="361"/>
      <c r="AE889" s="361"/>
      <c r="AF889" s="320"/>
      <c r="AG889" s="320"/>
      <c r="AH889" s="314" t="str">
        <f>IFERROR(INDEX('Annex 2_Code'!$J$114:$J$126,MATCH('Annex 3_MAFF'!AF889,'Annex 2_Code'!$G$114:$G$126,0)),"")</f>
        <v/>
      </c>
    </row>
    <row r="890" spans="8:34" s="62" customFormat="1" ht="12.75">
      <c r="H890"/>
      <c r="I890" s="576"/>
      <c r="S890" s="1172"/>
      <c r="Y890" s="69"/>
      <c r="AD890" s="361"/>
      <c r="AE890" s="361"/>
      <c r="AF890" s="320"/>
      <c r="AG890" s="320"/>
      <c r="AH890" s="314" t="str">
        <f>IFERROR(INDEX('Annex 2_Code'!$J$114:$J$126,MATCH('Annex 3_MAFF'!AF890,'Annex 2_Code'!$G$114:$G$126,0)),"")</f>
        <v/>
      </c>
    </row>
    <row r="891" spans="8:34" s="62" customFormat="1" ht="12.75">
      <c r="H891"/>
      <c r="I891" s="576"/>
      <c r="S891" s="1172"/>
      <c r="Y891" s="69"/>
      <c r="AD891" s="361"/>
      <c r="AE891" s="361"/>
      <c r="AF891" s="320"/>
      <c r="AG891" s="320"/>
      <c r="AH891" s="314" t="str">
        <f>IFERROR(INDEX('Annex 2_Code'!$J$114:$J$126,MATCH('Annex 3_MAFF'!AF891,'Annex 2_Code'!$G$114:$G$126,0)),"")</f>
        <v/>
      </c>
    </row>
    <row r="892" spans="8:34" s="62" customFormat="1" ht="12.75">
      <c r="H892"/>
      <c r="I892" s="576"/>
      <c r="S892" s="1172"/>
      <c r="Y892" s="69"/>
      <c r="AD892" s="361"/>
      <c r="AE892" s="361"/>
      <c r="AF892" s="320"/>
      <c r="AG892" s="320"/>
      <c r="AH892" s="314" t="str">
        <f>IFERROR(INDEX('Annex 2_Code'!$J$114:$J$126,MATCH('Annex 3_MAFF'!AF892,'Annex 2_Code'!$G$114:$G$126,0)),"")</f>
        <v/>
      </c>
    </row>
    <row r="893" spans="8:34" s="62" customFormat="1" ht="12.75">
      <c r="H893"/>
      <c r="I893" s="576"/>
      <c r="S893" s="1172"/>
      <c r="Y893" s="69"/>
      <c r="AD893" s="361"/>
      <c r="AE893" s="361"/>
      <c r="AF893" s="320"/>
      <c r="AG893" s="320"/>
      <c r="AH893" s="314" t="str">
        <f>IFERROR(INDEX('Annex 2_Code'!$J$114:$J$126,MATCH('Annex 3_MAFF'!AF893,'Annex 2_Code'!$G$114:$G$126,0)),"")</f>
        <v/>
      </c>
    </row>
    <row r="894" spans="8:34" s="62" customFormat="1" ht="12.75">
      <c r="H894"/>
      <c r="I894" s="576"/>
      <c r="S894" s="1172"/>
      <c r="Y894" s="69"/>
      <c r="AD894" s="361"/>
      <c r="AE894" s="361"/>
      <c r="AF894" s="320"/>
      <c r="AG894" s="320"/>
      <c r="AH894" s="314" t="str">
        <f>IFERROR(INDEX('Annex 2_Code'!$J$114:$J$126,MATCH('Annex 3_MAFF'!AF894,'Annex 2_Code'!$G$114:$G$126,0)),"")</f>
        <v/>
      </c>
    </row>
    <row r="895" spans="8:34" s="62" customFormat="1" ht="12.75">
      <c r="H895"/>
      <c r="I895" s="576"/>
      <c r="S895" s="1172"/>
      <c r="Y895" s="69"/>
      <c r="AD895" s="361"/>
      <c r="AE895" s="361"/>
      <c r="AF895" s="320"/>
      <c r="AG895" s="320"/>
      <c r="AH895" s="314" t="str">
        <f>IFERROR(INDEX('Annex 2_Code'!$J$114:$J$126,MATCH('Annex 3_MAFF'!AF895,'Annex 2_Code'!$G$114:$G$126,0)),"")</f>
        <v/>
      </c>
    </row>
    <row r="896" spans="8:34" s="62" customFormat="1" ht="12.75">
      <c r="H896"/>
      <c r="I896" s="576"/>
      <c r="S896" s="1172"/>
      <c r="Y896" s="69"/>
      <c r="AD896" s="361"/>
      <c r="AE896" s="361"/>
      <c r="AF896" s="320"/>
      <c r="AG896" s="320"/>
      <c r="AH896" s="314" t="str">
        <f>IFERROR(INDEX('Annex 2_Code'!$J$114:$J$126,MATCH('Annex 3_MAFF'!AF896,'Annex 2_Code'!$G$114:$G$126,0)),"")</f>
        <v/>
      </c>
    </row>
    <row r="897" spans="8:34" s="62" customFormat="1" ht="12.75">
      <c r="H897"/>
      <c r="I897" s="576"/>
      <c r="S897" s="1172"/>
      <c r="Y897" s="69"/>
      <c r="AD897" s="361"/>
      <c r="AE897" s="361"/>
      <c r="AF897" s="320"/>
      <c r="AG897" s="320"/>
      <c r="AH897" s="314" t="str">
        <f>IFERROR(INDEX('Annex 2_Code'!$J$114:$J$126,MATCH('Annex 3_MAFF'!AF897,'Annex 2_Code'!$G$114:$G$126,0)),"")</f>
        <v/>
      </c>
    </row>
    <row r="898" spans="8:34" s="62" customFormat="1" ht="12.75">
      <c r="H898"/>
      <c r="I898" s="576"/>
      <c r="S898" s="1172"/>
      <c r="Y898" s="69"/>
      <c r="AD898" s="361"/>
      <c r="AE898" s="361"/>
      <c r="AF898" s="320"/>
      <c r="AG898" s="320"/>
      <c r="AH898" s="314" t="str">
        <f>IFERROR(INDEX('Annex 2_Code'!$J$114:$J$126,MATCH('Annex 3_MAFF'!AF898,'Annex 2_Code'!$G$114:$G$126,0)),"")</f>
        <v/>
      </c>
    </row>
    <row r="899" spans="8:34" s="62" customFormat="1" ht="12.75">
      <c r="H899"/>
      <c r="I899" s="576"/>
      <c r="S899" s="1172"/>
      <c r="Y899" s="69"/>
      <c r="AD899" s="361"/>
      <c r="AE899" s="361"/>
      <c r="AF899" s="320"/>
      <c r="AG899" s="320"/>
      <c r="AH899" s="314" t="str">
        <f>IFERROR(INDEX('Annex 2_Code'!$J$114:$J$126,MATCH('Annex 3_MAFF'!AF899,'Annex 2_Code'!$G$114:$G$126,0)),"")</f>
        <v/>
      </c>
    </row>
    <row r="900" spans="8:34" s="62" customFormat="1" ht="12.75">
      <c r="H900"/>
      <c r="I900" s="576"/>
      <c r="S900" s="1172"/>
      <c r="Y900" s="69"/>
      <c r="AD900" s="361"/>
      <c r="AE900" s="361"/>
      <c r="AF900" s="320"/>
      <c r="AG900" s="320"/>
      <c r="AH900" s="314" t="str">
        <f>IFERROR(INDEX('Annex 2_Code'!$J$114:$J$126,MATCH('Annex 3_MAFF'!AF900,'Annex 2_Code'!$G$114:$G$126,0)),"")</f>
        <v/>
      </c>
    </row>
    <row r="901" spans="8:34" s="62" customFormat="1" ht="12.75">
      <c r="H901"/>
      <c r="I901" s="576"/>
      <c r="S901" s="1172"/>
      <c r="Y901" s="69"/>
      <c r="AD901" s="361"/>
      <c r="AE901" s="361"/>
      <c r="AF901" s="320"/>
      <c r="AG901" s="320"/>
      <c r="AH901" s="314" t="str">
        <f>IFERROR(INDEX('Annex 2_Code'!$J$114:$J$126,MATCH('Annex 3_MAFF'!AF901,'Annex 2_Code'!$G$114:$G$126,0)),"")</f>
        <v/>
      </c>
    </row>
    <row r="902" spans="8:34" s="62" customFormat="1" ht="12.75">
      <c r="H902"/>
      <c r="I902" s="576"/>
      <c r="S902" s="1172"/>
      <c r="Y902" s="69"/>
      <c r="AD902" s="361"/>
      <c r="AE902" s="361"/>
      <c r="AF902" s="320"/>
      <c r="AG902" s="320"/>
      <c r="AH902" s="314" t="str">
        <f>IFERROR(INDEX('Annex 2_Code'!$J$114:$J$126,MATCH('Annex 3_MAFF'!AF902,'Annex 2_Code'!$G$114:$G$126,0)),"")</f>
        <v/>
      </c>
    </row>
    <row r="903" spans="8:34" s="62" customFormat="1" ht="12.75">
      <c r="H903"/>
      <c r="I903" s="576"/>
      <c r="S903" s="1172"/>
      <c r="Y903" s="69"/>
      <c r="AD903" s="361"/>
      <c r="AE903" s="361"/>
      <c r="AF903" s="320"/>
      <c r="AG903" s="320"/>
      <c r="AH903" s="314" t="str">
        <f>IFERROR(INDEX('Annex 2_Code'!$J$114:$J$126,MATCH('Annex 3_MAFF'!AF903,'Annex 2_Code'!$G$114:$G$126,0)),"")</f>
        <v/>
      </c>
    </row>
    <row r="904" spans="8:34" s="62" customFormat="1" ht="12.75">
      <c r="H904"/>
      <c r="I904" s="576"/>
      <c r="S904" s="1172"/>
      <c r="Y904" s="69"/>
      <c r="AD904" s="361"/>
      <c r="AE904" s="361"/>
      <c r="AF904" s="320"/>
      <c r="AG904" s="320"/>
      <c r="AH904" s="314" t="str">
        <f>IFERROR(INDEX('Annex 2_Code'!$J$114:$J$126,MATCH('Annex 3_MAFF'!AF904,'Annex 2_Code'!$G$114:$G$126,0)),"")</f>
        <v/>
      </c>
    </row>
    <row r="905" spans="8:34" s="62" customFormat="1" ht="12.75">
      <c r="H905"/>
      <c r="I905" s="576"/>
      <c r="S905" s="1172"/>
      <c r="Y905" s="69"/>
      <c r="AD905" s="361"/>
      <c r="AE905" s="361"/>
      <c r="AF905" s="320"/>
      <c r="AG905" s="320"/>
      <c r="AH905" s="314" t="str">
        <f>IFERROR(INDEX('Annex 2_Code'!$J$114:$J$126,MATCH('Annex 3_MAFF'!AF905,'Annex 2_Code'!$G$114:$G$126,0)),"")</f>
        <v/>
      </c>
    </row>
    <row r="906" spans="8:34" s="62" customFormat="1" ht="12.75">
      <c r="H906"/>
      <c r="I906" s="576"/>
      <c r="S906" s="1172"/>
      <c r="Y906" s="69"/>
      <c r="AD906" s="361"/>
      <c r="AE906" s="361"/>
      <c r="AF906" s="320"/>
      <c r="AG906" s="320"/>
      <c r="AH906" s="314" t="str">
        <f>IFERROR(INDEX('Annex 2_Code'!$J$114:$J$126,MATCH('Annex 3_MAFF'!AF906,'Annex 2_Code'!$G$114:$G$126,0)),"")</f>
        <v/>
      </c>
    </row>
    <row r="907" spans="8:34" s="62" customFormat="1" ht="12.75">
      <c r="H907"/>
      <c r="I907" s="576"/>
      <c r="S907" s="1172"/>
      <c r="Y907" s="69"/>
      <c r="AD907" s="361"/>
      <c r="AE907" s="361"/>
      <c r="AF907" s="320"/>
      <c r="AG907" s="320"/>
      <c r="AH907" s="314" t="str">
        <f>IFERROR(INDEX('Annex 2_Code'!$J$114:$J$126,MATCH('Annex 3_MAFF'!AF907,'Annex 2_Code'!$G$114:$G$126,0)),"")</f>
        <v/>
      </c>
    </row>
    <row r="908" spans="8:34" s="62" customFormat="1" ht="12.75">
      <c r="H908"/>
      <c r="I908" s="576"/>
      <c r="S908" s="1172"/>
      <c r="Y908" s="69"/>
      <c r="AD908" s="361"/>
      <c r="AE908" s="361"/>
      <c r="AF908" s="320"/>
      <c r="AG908" s="320"/>
      <c r="AH908" s="314" t="str">
        <f>IFERROR(INDEX('Annex 2_Code'!$J$114:$J$126,MATCH('Annex 3_MAFF'!AF908,'Annex 2_Code'!$G$114:$G$126,0)),"")</f>
        <v/>
      </c>
    </row>
    <row r="909" spans="8:34" s="62" customFormat="1" ht="12.75">
      <c r="H909"/>
      <c r="I909" s="576"/>
      <c r="S909" s="1172"/>
      <c r="Y909" s="69"/>
      <c r="AD909" s="361"/>
      <c r="AE909" s="361"/>
      <c r="AF909" s="320"/>
      <c r="AG909" s="320"/>
      <c r="AH909" s="314" t="str">
        <f>IFERROR(INDEX('Annex 2_Code'!$J$114:$J$126,MATCH('Annex 3_MAFF'!AF909,'Annex 2_Code'!$G$114:$G$126,0)),"")</f>
        <v/>
      </c>
    </row>
    <row r="910" spans="8:34" s="62" customFormat="1" ht="12.75">
      <c r="H910"/>
      <c r="I910" s="576"/>
      <c r="S910" s="1172"/>
      <c r="Y910" s="69"/>
      <c r="AD910" s="361"/>
      <c r="AE910" s="361"/>
      <c r="AF910" s="320"/>
      <c r="AG910" s="320"/>
      <c r="AH910" s="314" t="str">
        <f>IFERROR(INDEX('Annex 2_Code'!$J$114:$J$126,MATCH('Annex 3_MAFF'!AF910,'Annex 2_Code'!$G$114:$G$126,0)),"")</f>
        <v/>
      </c>
    </row>
    <row r="911" spans="8:34" s="62" customFormat="1" ht="12.75">
      <c r="H911"/>
      <c r="I911" s="576"/>
      <c r="S911" s="1172"/>
      <c r="Y911" s="69"/>
      <c r="AD911" s="361"/>
      <c r="AE911" s="361"/>
      <c r="AF911" s="320"/>
      <c r="AG911" s="320"/>
      <c r="AH911" s="314" t="str">
        <f>IFERROR(INDEX('Annex 2_Code'!$J$114:$J$126,MATCH('Annex 3_MAFF'!AF911,'Annex 2_Code'!$G$114:$G$126,0)),"")</f>
        <v/>
      </c>
    </row>
    <row r="912" spans="8:34" s="62" customFormat="1" ht="12.75">
      <c r="H912"/>
      <c r="I912" s="576"/>
      <c r="S912" s="1172"/>
      <c r="Y912" s="69"/>
      <c r="AD912" s="361"/>
      <c r="AE912" s="361"/>
      <c r="AF912" s="320"/>
      <c r="AG912" s="320"/>
      <c r="AH912" s="314" t="str">
        <f>IFERROR(INDEX('Annex 2_Code'!$J$114:$J$126,MATCH('Annex 3_MAFF'!AF912,'Annex 2_Code'!$G$114:$G$126,0)),"")</f>
        <v/>
      </c>
    </row>
    <row r="913" spans="8:34" s="62" customFormat="1" ht="12.75">
      <c r="H913"/>
      <c r="I913" s="576"/>
      <c r="S913" s="1172"/>
      <c r="Y913" s="69"/>
      <c r="AD913" s="361"/>
      <c r="AE913" s="361"/>
      <c r="AF913" s="320"/>
      <c r="AG913" s="320"/>
      <c r="AH913" s="314" t="str">
        <f>IFERROR(INDEX('Annex 2_Code'!$J$114:$J$126,MATCH('Annex 3_MAFF'!AF913,'Annex 2_Code'!$G$114:$G$126,0)),"")</f>
        <v/>
      </c>
    </row>
    <row r="914" spans="8:34" s="62" customFormat="1" ht="12.75">
      <c r="H914"/>
      <c r="I914" s="576"/>
      <c r="S914" s="1172"/>
      <c r="Y914" s="69"/>
      <c r="AD914" s="361"/>
      <c r="AE914" s="361"/>
      <c r="AF914" s="320"/>
      <c r="AG914" s="320"/>
      <c r="AH914" s="314" t="str">
        <f>IFERROR(INDEX('Annex 2_Code'!$J$114:$J$126,MATCH('Annex 3_MAFF'!AF914,'Annex 2_Code'!$G$114:$G$126,0)),"")</f>
        <v/>
      </c>
    </row>
    <row r="915" spans="8:34" s="62" customFormat="1" ht="12.75">
      <c r="H915"/>
      <c r="I915" s="576"/>
      <c r="S915" s="1172"/>
      <c r="Y915" s="69"/>
      <c r="AD915" s="361"/>
      <c r="AE915" s="361"/>
      <c r="AF915" s="320"/>
      <c r="AG915" s="320"/>
      <c r="AH915" s="314" t="str">
        <f>IFERROR(INDEX('Annex 2_Code'!$J$114:$J$126,MATCH('Annex 3_MAFF'!AF915,'Annex 2_Code'!$G$114:$G$126,0)),"")</f>
        <v/>
      </c>
    </row>
    <row r="916" spans="8:34" s="62" customFormat="1" ht="12.75">
      <c r="H916"/>
      <c r="I916" s="576"/>
      <c r="S916" s="1172"/>
      <c r="Y916" s="69"/>
      <c r="AD916" s="361"/>
      <c r="AE916" s="361"/>
      <c r="AF916" s="320"/>
      <c r="AG916" s="320"/>
      <c r="AH916" s="314" t="str">
        <f>IFERROR(INDEX('Annex 2_Code'!$J$114:$J$126,MATCH('Annex 3_MAFF'!AF916,'Annex 2_Code'!$G$114:$G$126,0)),"")</f>
        <v/>
      </c>
    </row>
    <row r="917" spans="8:34" s="62" customFormat="1" ht="12.75">
      <c r="H917"/>
      <c r="I917" s="576"/>
      <c r="S917" s="1172"/>
      <c r="Y917" s="69"/>
      <c r="AD917" s="361"/>
      <c r="AE917" s="361"/>
      <c r="AF917" s="320"/>
      <c r="AG917" s="320"/>
      <c r="AH917" s="314" t="str">
        <f>IFERROR(INDEX('Annex 2_Code'!$J$114:$J$126,MATCH('Annex 3_MAFF'!AF917,'Annex 2_Code'!$G$114:$G$126,0)),"")</f>
        <v/>
      </c>
    </row>
    <row r="918" spans="8:34" s="62" customFormat="1" ht="12.75">
      <c r="H918"/>
      <c r="I918" s="576"/>
      <c r="S918" s="1172"/>
      <c r="Y918" s="69"/>
      <c r="AD918" s="361"/>
      <c r="AE918" s="361"/>
      <c r="AF918" s="320"/>
      <c r="AG918" s="320"/>
      <c r="AH918" s="314" t="str">
        <f>IFERROR(INDEX('Annex 2_Code'!$J$114:$J$126,MATCH('Annex 3_MAFF'!AF918,'Annex 2_Code'!$G$114:$G$126,0)),"")</f>
        <v/>
      </c>
    </row>
    <row r="919" spans="8:34" s="62" customFormat="1" ht="12.75">
      <c r="H919"/>
      <c r="I919" s="576"/>
      <c r="S919" s="1172"/>
      <c r="Y919" s="69"/>
      <c r="AD919" s="361"/>
      <c r="AE919" s="361"/>
      <c r="AF919" s="320"/>
      <c r="AG919" s="320"/>
      <c r="AH919" s="314" t="str">
        <f>IFERROR(INDEX('Annex 2_Code'!$J$114:$J$126,MATCH('Annex 3_MAFF'!AF919,'Annex 2_Code'!$G$114:$G$126,0)),"")</f>
        <v/>
      </c>
    </row>
    <row r="920" spans="8:34" s="62" customFormat="1" ht="12.75">
      <c r="H920"/>
      <c r="I920" s="576"/>
      <c r="S920" s="1172"/>
      <c r="Y920" s="69"/>
      <c r="AD920" s="361"/>
      <c r="AE920" s="361"/>
      <c r="AF920" s="320"/>
      <c r="AG920" s="320"/>
      <c r="AH920" s="314" t="str">
        <f>IFERROR(INDEX('Annex 2_Code'!$J$114:$J$126,MATCH('Annex 3_MAFF'!AF920,'Annex 2_Code'!$G$114:$G$126,0)),"")</f>
        <v/>
      </c>
    </row>
    <row r="921" spans="8:34" s="62" customFormat="1" ht="12.75">
      <c r="H921"/>
      <c r="I921" s="576"/>
      <c r="S921" s="1172"/>
      <c r="Y921" s="69"/>
      <c r="AD921" s="361"/>
      <c r="AE921" s="361"/>
      <c r="AF921" s="320"/>
      <c r="AG921" s="320"/>
      <c r="AH921" s="314" t="str">
        <f>IFERROR(INDEX('Annex 2_Code'!$J$114:$J$126,MATCH('Annex 3_MAFF'!AF921,'Annex 2_Code'!$G$114:$G$126,0)),"")</f>
        <v/>
      </c>
    </row>
    <row r="922" spans="8:34" s="62" customFormat="1" ht="12.75">
      <c r="H922"/>
      <c r="I922" s="576"/>
      <c r="S922" s="1172"/>
      <c r="Y922" s="69"/>
      <c r="AD922" s="361"/>
      <c r="AE922" s="361"/>
      <c r="AF922" s="320"/>
      <c r="AG922" s="320"/>
      <c r="AH922" s="314" t="str">
        <f>IFERROR(INDEX('Annex 2_Code'!$J$114:$J$126,MATCH('Annex 3_MAFF'!AF922,'Annex 2_Code'!$G$114:$G$126,0)),"")</f>
        <v/>
      </c>
    </row>
    <row r="923" spans="8:34" s="62" customFormat="1" ht="12.75">
      <c r="H923"/>
      <c r="I923" s="576"/>
      <c r="S923" s="1172"/>
      <c r="Y923" s="69"/>
      <c r="AD923" s="361"/>
      <c r="AE923" s="361"/>
      <c r="AF923" s="320"/>
      <c r="AG923" s="320"/>
      <c r="AH923" s="314" t="str">
        <f>IFERROR(INDEX('Annex 2_Code'!$J$114:$J$126,MATCH('Annex 3_MAFF'!AF923,'Annex 2_Code'!$G$114:$G$126,0)),"")</f>
        <v/>
      </c>
    </row>
    <row r="924" spans="8:34" s="62" customFormat="1" ht="12.75">
      <c r="H924"/>
      <c r="I924" s="576"/>
      <c r="S924" s="1172"/>
      <c r="Y924" s="69"/>
      <c r="AD924" s="361"/>
      <c r="AE924" s="361"/>
      <c r="AF924" s="320"/>
      <c r="AG924" s="320"/>
      <c r="AH924" s="314" t="str">
        <f>IFERROR(INDEX('Annex 2_Code'!$J$114:$J$126,MATCH('Annex 3_MAFF'!AF924,'Annex 2_Code'!$G$114:$G$126,0)),"")</f>
        <v/>
      </c>
    </row>
    <row r="925" spans="8:34" s="62" customFormat="1" ht="12.75">
      <c r="H925"/>
      <c r="I925" s="576"/>
      <c r="S925" s="1172"/>
      <c r="Y925" s="69"/>
      <c r="AD925" s="361"/>
      <c r="AE925" s="361"/>
      <c r="AF925" s="320"/>
      <c r="AG925" s="320"/>
      <c r="AH925" s="314" t="str">
        <f>IFERROR(INDEX('Annex 2_Code'!$J$114:$J$126,MATCH('Annex 3_MAFF'!AF925,'Annex 2_Code'!$G$114:$G$126,0)),"")</f>
        <v/>
      </c>
    </row>
    <row r="926" spans="8:34" s="62" customFormat="1" ht="12.75">
      <c r="H926"/>
      <c r="I926" s="576"/>
      <c r="S926" s="1172"/>
      <c r="Y926" s="69"/>
      <c r="AD926" s="361"/>
      <c r="AE926" s="361"/>
      <c r="AF926" s="320"/>
      <c r="AG926" s="320"/>
      <c r="AH926" s="314" t="str">
        <f>IFERROR(INDEX('Annex 2_Code'!$J$114:$J$126,MATCH('Annex 3_MAFF'!AF926,'Annex 2_Code'!$G$114:$G$126,0)),"")</f>
        <v/>
      </c>
    </row>
    <row r="927" spans="8:34" s="62" customFormat="1" ht="12.75">
      <c r="H927"/>
      <c r="I927" s="576"/>
      <c r="S927" s="1172"/>
      <c r="Y927" s="69"/>
      <c r="AD927" s="361"/>
      <c r="AE927" s="361"/>
      <c r="AF927" s="320"/>
      <c r="AG927" s="320"/>
      <c r="AH927" s="314" t="str">
        <f>IFERROR(INDEX('Annex 2_Code'!$J$114:$J$126,MATCH('Annex 3_MAFF'!AF927,'Annex 2_Code'!$G$114:$G$126,0)),"")</f>
        <v/>
      </c>
    </row>
    <row r="928" spans="8:34" s="62" customFormat="1" ht="12.75">
      <c r="H928"/>
      <c r="I928" s="576"/>
      <c r="S928" s="1172"/>
      <c r="Y928" s="69"/>
      <c r="AD928" s="361"/>
      <c r="AE928" s="361"/>
      <c r="AF928" s="320"/>
      <c r="AG928" s="320"/>
      <c r="AH928" s="314" t="str">
        <f>IFERROR(INDEX('Annex 2_Code'!$J$114:$J$126,MATCH('Annex 3_MAFF'!AF928,'Annex 2_Code'!$G$114:$G$126,0)),"")</f>
        <v/>
      </c>
    </row>
    <row r="929" spans="8:34" s="62" customFormat="1" ht="12.75">
      <c r="H929"/>
      <c r="I929" s="576"/>
      <c r="S929" s="1172"/>
      <c r="Y929" s="69"/>
      <c r="AD929" s="361"/>
      <c r="AE929" s="361"/>
      <c r="AF929" s="320"/>
      <c r="AG929" s="320"/>
      <c r="AH929" s="314" t="str">
        <f>IFERROR(INDEX('Annex 2_Code'!$J$114:$J$126,MATCH('Annex 3_MAFF'!AF929,'Annex 2_Code'!$G$114:$G$126,0)),"")</f>
        <v/>
      </c>
    </row>
    <row r="930" spans="8:34" s="62" customFormat="1" ht="12.75">
      <c r="H930"/>
      <c r="I930" s="576"/>
      <c r="S930" s="1172"/>
      <c r="Y930" s="69"/>
      <c r="AD930" s="361"/>
      <c r="AE930" s="361"/>
      <c r="AF930" s="320"/>
      <c r="AG930" s="320"/>
      <c r="AH930" s="314" t="str">
        <f>IFERROR(INDEX('Annex 2_Code'!$J$114:$J$126,MATCH('Annex 3_MAFF'!AF930,'Annex 2_Code'!$G$114:$G$126,0)),"")</f>
        <v/>
      </c>
    </row>
    <row r="931" spans="8:34" s="62" customFormat="1" ht="12.75">
      <c r="H931"/>
      <c r="I931" s="576"/>
      <c r="S931" s="1172"/>
      <c r="Y931" s="69"/>
      <c r="AD931" s="361"/>
      <c r="AE931" s="361"/>
      <c r="AF931" s="320"/>
      <c r="AG931" s="320"/>
      <c r="AH931" s="314" t="str">
        <f>IFERROR(INDEX('Annex 2_Code'!$J$114:$J$126,MATCH('Annex 3_MAFF'!AF931,'Annex 2_Code'!$G$114:$G$126,0)),"")</f>
        <v/>
      </c>
    </row>
    <row r="932" spans="8:34" s="62" customFormat="1" ht="12.75">
      <c r="H932"/>
      <c r="I932" s="576"/>
      <c r="S932" s="1172"/>
      <c r="Y932" s="69"/>
      <c r="AD932" s="361"/>
      <c r="AE932" s="361"/>
      <c r="AF932" s="320"/>
      <c r="AG932" s="320"/>
      <c r="AH932" s="314" t="str">
        <f>IFERROR(INDEX('Annex 2_Code'!$J$114:$J$126,MATCH('Annex 3_MAFF'!AF932,'Annex 2_Code'!$G$114:$G$126,0)),"")</f>
        <v/>
      </c>
    </row>
    <row r="933" spans="8:34" s="62" customFormat="1" ht="12.75">
      <c r="H933"/>
      <c r="I933" s="576"/>
      <c r="S933" s="1172"/>
      <c r="Y933" s="69"/>
      <c r="AD933" s="361"/>
      <c r="AE933" s="361"/>
      <c r="AF933" s="320"/>
      <c r="AG933" s="320"/>
      <c r="AH933" s="314" t="str">
        <f>IFERROR(INDEX('Annex 2_Code'!$J$114:$J$126,MATCH('Annex 3_MAFF'!AF933,'Annex 2_Code'!$G$114:$G$126,0)),"")</f>
        <v/>
      </c>
    </row>
    <row r="934" spans="8:34" s="62" customFormat="1" ht="12.75">
      <c r="H934"/>
      <c r="I934" s="576"/>
      <c r="S934" s="1172"/>
      <c r="Y934" s="69"/>
      <c r="AD934" s="361"/>
      <c r="AE934" s="361"/>
      <c r="AF934" s="320"/>
      <c r="AG934" s="320"/>
      <c r="AH934" s="314" t="str">
        <f>IFERROR(INDEX('Annex 2_Code'!$J$114:$J$126,MATCH('Annex 3_MAFF'!AF934,'Annex 2_Code'!$G$114:$G$126,0)),"")</f>
        <v/>
      </c>
    </row>
    <row r="935" spans="8:34" s="62" customFormat="1" ht="12.75">
      <c r="H935"/>
      <c r="I935" s="576"/>
      <c r="S935" s="1172"/>
      <c r="Y935" s="69"/>
      <c r="AD935" s="361"/>
      <c r="AE935" s="361"/>
      <c r="AF935" s="320"/>
      <c r="AG935" s="320"/>
      <c r="AH935" s="314" t="str">
        <f>IFERROR(INDEX('Annex 2_Code'!$J$114:$J$126,MATCH('Annex 3_MAFF'!AF935,'Annex 2_Code'!$G$114:$G$126,0)),"")</f>
        <v/>
      </c>
    </row>
    <row r="936" spans="8:34" s="62" customFormat="1" ht="12.75">
      <c r="H936"/>
      <c r="I936" s="576"/>
      <c r="S936" s="1172"/>
      <c r="Y936" s="69"/>
      <c r="AD936" s="361"/>
      <c r="AE936" s="361"/>
      <c r="AF936" s="320"/>
      <c r="AG936" s="320"/>
      <c r="AH936" s="314" t="str">
        <f>IFERROR(INDEX('Annex 2_Code'!$J$114:$J$126,MATCH('Annex 3_MAFF'!AF936,'Annex 2_Code'!$G$114:$G$126,0)),"")</f>
        <v/>
      </c>
    </row>
    <row r="937" spans="8:34" s="62" customFormat="1" ht="12.75">
      <c r="H937"/>
      <c r="I937" s="576"/>
      <c r="S937" s="1172"/>
      <c r="Y937" s="69"/>
      <c r="AD937" s="361"/>
      <c r="AE937" s="361"/>
      <c r="AF937" s="320"/>
      <c r="AG937" s="320"/>
      <c r="AH937" s="314" t="str">
        <f>IFERROR(INDEX('Annex 2_Code'!$J$114:$J$126,MATCH('Annex 3_MAFF'!AF937,'Annex 2_Code'!$G$114:$G$126,0)),"")</f>
        <v/>
      </c>
    </row>
    <row r="938" spans="8:34" s="62" customFormat="1" ht="12.75">
      <c r="H938"/>
      <c r="I938" s="576"/>
      <c r="S938" s="1172"/>
      <c r="Y938" s="69"/>
      <c r="AD938" s="361"/>
      <c r="AE938" s="361"/>
      <c r="AF938" s="320"/>
      <c r="AG938" s="320"/>
      <c r="AH938" s="314" t="str">
        <f>IFERROR(INDEX('Annex 2_Code'!$J$114:$J$126,MATCH('Annex 3_MAFF'!AF938,'Annex 2_Code'!$G$114:$G$126,0)),"")</f>
        <v/>
      </c>
    </row>
    <row r="939" spans="8:34" s="62" customFormat="1" ht="12.75">
      <c r="H939"/>
      <c r="I939" s="576"/>
      <c r="S939" s="1172"/>
      <c r="Y939" s="69"/>
      <c r="AD939" s="361"/>
      <c r="AE939" s="361"/>
      <c r="AF939" s="320"/>
      <c r="AG939" s="320"/>
      <c r="AH939" s="314" t="str">
        <f>IFERROR(INDEX('Annex 2_Code'!$J$114:$J$126,MATCH('Annex 3_MAFF'!AF939,'Annex 2_Code'!$G$114:$G$126,0)),"")</f>
        <v/>
      </c>
    </row>
    <row r="940" spans="8:34" s="62" customFormat="1" ht="12.75">
      <c r="H940"/>
      <c r="I940" s="576"/>
      <c r="S940" s="1172"/>
      <c r="Y940" s="69"/>
      <c r="AD940" s="361"/>
      <c r="AE940" s="361"/>
      <c r="AF940" s="320"/>
      <c r="AG940" s="320"/>
      <c r="AH940" s="314" t="str">
        <f>IFERROR(INDEX('Annex 2_Code'!$J$114:$J$126,MATCH('Annex 3_MAFF'!AF940,'Annex 2_Code'!$G$114:$G$126,0)),"")</f>
        <v/>
      </c>
    </row>
    <row r="941" spans="8:34" s="62" customFormat="1" ht="12.75">
      <c r="H941"/>
      <c r="I941" s="576"/>
      <c r="S941" s="1172"/>
      <c r="Y941" s="69"/>
      <c r="AD941" s="361"/>
      <c r="AE941" s="361"/>
      <c r="AF941" s="320"/>
      <c r="AG941" s="320"/>
      <c r="AH941" s="314" t="str">
        <f>IFERROR(INDEX('Annex 2_Code'!$J$114:$J$126,MATCH('Annex 3_MAFF'!AF941,'Annex 2_Code'!$G$114:$G$126,0)),"")</f>
        <v/>
      </c>
    </row>
    <row r="942" spans="8:34" s="62" customFormat="1" ht="12.75">
      <c r="H942"/>
      <c r="I942" s="576"/>
      <c r="S942" s="1172"/>
      <c r="Y942" s="69"/>
      <c r="AD942" s="361"/>
      <c r="AE942" s="361"/>
      <c r="AF942" s="320"/>
      <c r="AG942" s="320"/>
      <c r="AH942" s="314" t="str">
        <f>IFERROR(INDEX('Annex 2_Code'!$J$114:$J$126,MATCH('Annex 3_MAFF'!AF942,'Annex 2_Code'!$G$114:$G$126,0)),"")</f>
        <v/>
      </c>
    </row>
    <row r="943" spans="8:34" s="62" customFormat="1" ht="12.75">
      <c r="H943"/>
      <c r="I943" s="576"/>
      <c r="S943" s="1172"/>
      <c r="Y943" s="69"/>
      <c r="AD943" s="361"/>
      <c r="AE943" s="361"/>
      <c r="AF943" s="320"/>
      <c r="AG943" s="320"/>
      <c r="AH943" s="314" t="str">
        <f>IFERROR(INDEX('Annex 2_Code'!$J$114:$J$126,MATCH('Annex 3_MAFF'!AF943,'Annex 2_Code'!$G$114:$G$126,0)),"")</f>
        <v/>
      </c>
    </row>
    <row r="944" spans="8:34" s="62" customFormat="1" ht="12.75">
      <c r="H944"/>
      <c r="I944" s="576"/>
      <c r="S944" s="1172"/>
      <c r="Y944" s="69"/>
      <c r="AD944" s="361"/>
      <c r="AE944" s="361"/>
      <c r="AF944" s="320"/>
      <c r="AG944" s="320"/>
      <c r="AH944" s="314" t="str">
        <f>IFERROR(INDEX('Annex 2_Code'!$J$114:$J$126,MATCH('Annex 3_MAFF'!AF944,'Annex 2_Code'!$G$114:$G$126,0)),"")</f>
        <v/>
      </c>
    </row>
    <row r="945" spans="8:34" s="62" customFormat="1" ht="12.75">
      <c r="H945"/>
      <c r="I945" s="576"/>
      <c r="S945" s="1172"/>
      <c r="Y945" s="69"/>
      <c r="AD945" s="361"/>
      <c r="AE945" s="361"/>
      <c r="AF945" s="320"/>
      <c r="AG945" s="320"/>
      <c r="AH945" s="314" t="str">
        <f>IFERROR(INDEX('Annex 2_Code'!$J$114:$J$126,MATCH('Annex 3_MAFF'!AF945,'Annex 2_Code'!$G$114:$G$126,0)),"")</f>
        <v/>
      </c>
    </row>
    <row r="946" spans="8:34" s="62" customFormat="1" ht="12.75">
      <c r="H946"/>
      <c r="I946" s="576"/>
      <c r="S946" s="1172"/>
      <c r="Y946" s="69"/>
      <c r="AD946" s="361"/>
      <c r="AE946" s="361"/>
      <c r="AF946" s="320"/>
      <c r="AG946" s="320"/>
      <c r="AH946" s="314" t="str">
        <f>IFERROR(INDEX('Annex 2_Code'!$J$114:$J$126,MATCH('Annex 3_MAFF'!AF946,'Annex 2_Code'!$G$114:$G$126,0)),"")</f>
        <v/>
      </c>
    </row>
    <row r="947" spans="8:34" s="62" customFormat="1" ht="12.75">
      <c r="H947"/>
      <c r="I947" s="576"/>
      <c r="S947" s="1172"/>
      <c r="Y947" s="69"/>
      <c r="AD947" s="361"/>
      <c r="AE947" s="361"/>
      <c r="AF947" s="320"/>
      <c r="AG947" s="320"/>
      <c r="AH947" s="314" t="str">
        <f>IFERROR(INDEX('Annex 2_Code'!$J$114:$J$126,MATCH('Annex 3_MAFF'!AF947,'Annex 2_Code'!$G$114:$G$126,0)),"")</f>
        <v/>
      </c>
    </row>
    <row r="948" spans="8:34" s="62" customFormat="1" ht="12.75">
      <c r="H948"/>
      <c r="I948" s="576"/>
      <c r="S948" s="1172"/>
      <c r="Y948" s="69"/>
      <c r="AD948" s="361"/>
      <c r="AE948" s="361"/>
      <c r="AF948" s="320"/>
      <c r="AG948" s="320"/>
      <c r="AH948" s="314" t="str">
        <f>IFERROR(INDEX('Annex 2_Code'!$J$114:$J$126,MATCH('Annex 3_MAFF'!AF948,'Annex 2_Code'!$G$114:$G$126,0)),"")</f>
        <v/>
      </c>
    </row>
    <row r="949" spans="8:34" s="62" customFormat="1" ht="12.75">
      <c r="H949"/>
      <c r="I949" s="576"/>
      <c r="S949" s="1172"/>
      <c r="Y949" s="69"/>
      <c r="AD949" s="361"/>
      <c r="AE949" s="361"/>
      <c r="AF949" s="320"/>
      <c r="AG949" s="320"/>
      <c r="AH949" s="314" t="str">
        <f>IFERROR(INDEX('Annex 2_Code'!$J$114:$J$126,MATCH('Annex 3_MAFF'!AF949,'Annex 2_Code'!$G$114:$G$126,0)),"")</f>
        <v/>
      </c>
    </row>
    <row r="950" spans="8:34" s="62" customFormat="1" ht="12.75">
      <c r="H950"/>
      <c r="I950" s="576"/>
      <c r="S950" s="1172"/>
      <c r="Y950" s="69"/>
      <c r="AD950" s="361"/>
      <c r="AE950" s="361"/>
      <c r="AF950" s="320"/>
      <c r="AG950" s="320"/>
      <c r="AH950" s="314" t="str">
        <f>IFERROR(INDEX('Annex 2_Code'!$J$114:$J$126,MATCH('Annex 3_MAFF'!AF950,'Annex 2_Code'!$G$114:$G$126,0)),"")</f>
        <v/>
      </c>
    </row>
    <row r="951" spans="8:34" s="62" customFormat="1" ht="12.75">
      <c r="H951"/>
      <c r="I951" s="576"/>
      <c r="S951" s="1172"/>
      <c r="Y951" s="69"/>
      <c r="AD951" s="361"/>
      <c r="AE951" s="361"/>
      <c r="AF951" s="320"/>
      <c r="AG951" s="320"/>
      <c r="AH951" s="314" t="str">
        <f>IFERROR(INDEX('Annex 2_Code'!$J$114:$J$126,MATCH('Annex 3_MAFF'!AF951,'Annex 2_Code'!$G$114:$G$126,0)),"")</f>
        <v/>
      </c>
    </row>
    <row r="952" spans="8:34" s="62" customFormat="1" ht="12.75">
      <c r="H952"/>
      <c r="I952" s="576"/>
      <c r="S952" s="1172"/>
      <c r="Y952" s="69"/>
      <c r="AD952" s="361"/>
      <c r="AE952" s="361"/>
      <c r="AF952" s="320"/>
      <c r="AG952" s="320"/>
      <c r="AH952" s="314" t="str">
        <f>IFERROR(INDEX('Annex 2_Code'!$J$114:$J$126,MATCH('Annex 3_MAFF'!AF952,'Annex 2_Code'!$G$114:$G$126,0)),"")</f>
        <v/>
      </c>
    </row>
    <row r="953" spans="8:34" s="62" customFormat="1" ht="12.75">
      <c r="H953"/>
      <c r="I953" s="576"/>
      <c r="S953" s="1172"/>
      <c r="Y953" s="69"/>
      <c r="AD953" s="361"/>
      <c r="AE953" s="361"/>
      <c r="AF953" s="320"/>
      <c r="AG953" s="320"/>
      <c r="AH953" s="314" t="str">
        <f>IFERROR(INDEX('Annex 2_Code'!$J$114:$J$126,MATCH('Annex 3_MAFF'!AF953,'Annex 2_Code'!$G$114:$G$126,0)),"")</f>
        <v/>
      </c>
    </row>
    <row r="954" spans="8:34" s="62" customFormat="1" ht="12.75">
      <c r="H954"/>
      <c r="I954" s="576"/>
      <c r="S954" s="1172"/>
      <c r="Y954" s="69"/>
      <c r="AD954" s="361"/>
      <c r="AE954" s="361"/>
      <c r="AF954" s="320"/>
      <c r="AG954" s="320"/>
      <c r="AH954" s="314" t="str">
        <f>IFERROR(INDEX('Annex 2_Code'!$J$114:$J$126,MATCH('Annex 3_MAFF'!AF954,'Annex 2_Code'!$G$114:$G$126,0)),"")</f>
        <v/>
      </c>
    </row>
    <row r="955" spans="8:34" s="62" customFormat="1" ht="12.75">
      <c r="H955"/>
      <c r="I955" s="576"/>
      <c r="S955" s="1172"/>
      <c r="Y955" s="69"/>
      <c r="AD955" s="361"/>
      <c r="AE955" s="361"/>
      <c r="AF955" s="320"/>
      <c r="AG955" s="320"/>
      <c r="AH955" s="314" t="str">
        <f>IFERROR(INDEX('Annex 2_Code'!$J$114:$J$126,MATCH('Annex 3_MAFF'!AF955,'Annex 2_Code'!$G$114:$G$126,0)),"")</f>
        <v/>
      </c>
    </row>
    <row r="956" spans="8:34" s="62" customFormat="1" ht="12.75">
      <c r="H956"/>
      <c r="I956" s="576"/>
      <c r="S956" s="1172"/>
      <c r="Y956" s="69"/>
      <c r="AD956" s="361"/>
      <c r="AE956" s="361"/>
      <c r="AF956" s="320"/>
      <c r="AG956" s="320"/>
      <c r="AH956" s="314" t="str">
        <f>IFERROR(INDEX('Annex 2_Code'!$J$114:$J$126,MATCH('Annex 3_MAFF'!AF956,'Annex 2_Code'!$G$114:$G$126,0)),"")</f>
        <v/>
      </c>
    </row>
    <row r="957" spans="8:34" s="62" customFormat="1" ht="12.75">
      <c r="H957"/>
      <c r="I957" s="576"/>
      <c r="S957" s="1172"/>
      <c r="Y957" s="69"/>
      <c r="AD957" s="361"/>
      <c r="AE957" s="361"/>
      <c r="AF957" s="320"/>
      <c r="AG957" s="320"/>
      <c r="AH957" s="314" t="str">
        <f>IFERROR(INDEX('Annex 2_Code'!$J$114:$J$126,MATCH('Annex 3_MAFF'!AF957,'Annex 2_Code'!$G$114:$G$126,0)),"")</f>
        <v/>
      </c>
    </row>
    <row r="958" spans="8:34" s="62" customFormat="1" ht="12.75">
      <c r="H958"/>
      <c r="I958" s="576"/>
      <c r="S958" s="1172"/>
      <c r="Y958" s="69"/>
      <c r="AD958" s="361"/>
      <c r="AE958" s="361"/>
      <c r="AF958" s="320"/>
      <c r="AG958" s="320"/>
      <c r="AH958" s="314" t="str">
        <f>IFERROR(INDEX('Annex 2_Code'!$J$114:$J$126,MATCH('Annex 3_MAFF'!AF958,'Annex 2_Code'!$G$114:$G$126,0)),"")</f>
        <v/>
      </c>
    </row>
    <row r="959" spans="8:34" s="62" customFormat="1" ht="12.75">
      <c r="H959"/>
      <c r="I959" s="576"/>
      <c r="S959" s="1172"/>
      <c r="Y959" s="69"/>
      <c r="AD959" s="361"/>
      <c r="AE959" s="361"/>
      <c r="AF959" s="320"/>
      <c r="AG959" s="320"/>
      <c r="AH959" s="314" t="str">
        <f>IFERROR(INDEX('Annex 2_Code'!$J$114:$J$126,MATCH('Annex 3_MAFF'!AF959,'Annex 2_Code'!$G$114:$G$126,0)),"")</f>
        <v/>
      </c>
    </row>
    <row r="960" spans="8:34" s="62" customFormat="1" ht="12.75">
      <c r="H960"/>
      <c r="I960" s="576"/>
      <c r="S960" s="1172"/>
      <c r="Y960" s="69"/>
      <c r="AD960" s="361"/>
      <c r="AE960" s="361"/>
      <c r="AF960" s="320"/>
      <c r="AG960" s="320"/>
      <c r="AH960" s="314" t="str">
        <f>IFERROR(INDEX('Annex 2_Code'!$J$114:$J$126,MATCH('Annex 3_MAFF'!AF960,'Annex 2_Code'!$G$114:$G$126,0)),"")</f>
        <v/>
      </c>
    </row>
    <row r="961" spans="8:34" s="62" customFormat="1" ht="12.75">
      <c r="H961"/>
      <c r="I961" s="576"/>
      <c r="S961" s="1172"/>
      <c r="Y961" s="69"/>
      <c r="AD961" s="361"/>
      <c r="AE961" s="361"/>
      <c r="AF961" s="320"/>
      <c r="AG961" s="320"/>
      <c r="AH961" s="314" t="str">
        <f>IFERROR(INDEX('Annex 2_Code'!$J$114:$J$126,MATCH('Annex 3_MAFF'!AF961,'Annex 2_Code'!$G$114:$G$126,0)),"")</f>
        <v/>
      </c>
    </row>
    <row r="962" spans="8:34" s="62" customFormat="1" ht="12.75">
      <c r="H962"/>
      <c r="I962" s="576"/>
      <c r="S962" s="1172"/>
      <c r="Y962" s="69"/>
      <c r="AD962" s="361"/>
      <c r="AE962" s="361"/>
      <c r="AF962" s="320"/>
      <c r="AG962" s="320"/>
      <c r="AH962" s="314" t="str">
        <f>IFERROR(INDEX('Annex 2_Code'!$J$114:$J$126,MATCH('Annex 3_MAFF'!AF962,'Annex 2_Code'!$G$114:$G$126,0)),"")</f>
        <v/>
      </c>
    </row>
    <row r="963" spans="8:34" s="62" customFormat="1" ht="12.75">
      <c r="H963"/>
      <c r="I963" s="576"/>
      <c r="S963" s="1172"/>
      <c r="Y963" s="69"/>
      <c r="AD963" s="361"/>
      <c r="AE963" s="361"/>
      <c r="AF963" s="320"/>
      <c r="AG963" s="320"/>
      <c r="AH963" s="314" t="str">
        <f>IFERROR(INDEX('Annex 2_Code'!$J$114:$J$126,MATCH('Annex 3_MAFF'!AF963,'Annex 2_Code'!$G$114:$G$126,0)),"")</f>
        <v/>
      </c>
    </row>
    <row r="964" spans="8:34" s="62" customFormat="1" ht="12.75">
      <c r="H964"/>
      <c r="I964" s="576"/>
      <c r="S964" s="1172"/>
      <c r="Y964" s="69"/>
      <c r="AD964" s="361"/>
      <c r="AE964" s="361"/>
      <c r="AF964" s="320"/>
      <c r="AG964" s="320"/>
      <c r="AH964" s="314" t="str">
        <f>IFERROR(INDEX('Annex 2_Code'!$J$114:$J$126,MATCH('Annex 3_MAFF'!AF964,'Annex 2_Code'!$G$114:$G$126,0)),"")</f>
        <v/>
      </c>
    </row>
    <row r="965" spans="8:34" s="62" customFormat="1" ht="12.75">
      <c r="H965"/>
      <c r="I965" s="576"/>
      <c r="S965" s="1172"/>
      <c r="Y965" s="69"/>
      <c r="AD965" s="361"/>
      <c r="AE965" s="361"/>
      <c r="AF965" s="320"/>
      <c r="AG965" s="320"/>
      <c r="AH965" s="314" t="str">
        <f>IFERROR(INDEX('Annex 2_Code'!$J$114:$J$126,MATCH('Annex 3_MAFF'!AF965,'Annex 2_Code'!$G$114:$G$126,0)),"")</f>
        <v/>
      </c>
    </row>
    <row r="966" spans="8:34" s="62" customFormat="1" ht="12.75">
      <c r="H966"/>
      <c r="I966" s="576"/>
      <c r="S966" s="1172"/>
      <c r="Y966" s="69"/>
      <c r="AD966" s="361"/>
      <c r="AE966" s="361"/>
      <c r="AF966" s="320"/>
      <c r="AG966" s="320"/>
      <c r="AH966" s="314" t="str">
        <f>IFERROR(INDEX('Annex 2_Code'!$J$114:$J$126,MATCH('Annex 3_MAFF'!AF966,'Annex 2_Code'!$G$114:$G$126,0)),"")</f>
        <v/>
      </c>
    </row>
    <row r="967" spans="8:34" s="62" customFormat="1" ht="12.75">
      <c r="H967"/>
      <c r="I967" s="576"/>
      <c r="S967" s="1172"/>
      <c r="Y967" s="69"/>
      <c r="AD967" s="361"/>
      <c r="AE967" s="361"/>
      <c r="AF967" s="320"/>
      <c r="AG967" s="320"/>
      <c r="AH967" s="314" t="str">
        <f>IFERROR(INDEX('Annex 2_Code'!$J$114:$J$126,MATCH('Annex 3_MAFF'!AF967,'Annex 2_Code'!$G$114:$G$126,0)),"")</f>
        <v/>
      </c>
    </row>
    <row r="968" spans="8:34" s="62" customFormat="1" ht="12.75">
      <c r="H968"/>
      <c r="I968" s="576"/>
      <c r="S968" s="1172"/>
      <c r="Y968" s="69"/>
      <c r="AD968" s="361"/>
      <c r="AE968" s="361"/>
      <c r="AF968" s="320"/>
      <c r="AG968" s="320"/>
      <c r="AH968" s="314" t="str">
        <f>IFERROR(INDEX('Annex 2_Code'!$J$114:$J$126,MATCH('Annex 3_MAFF'!AF968,'Annex 2_Code'!$G$114:$G$126,0)),"")</f>
        <v/>
      </c>
    </row>
    <row r="969" spans="8:34" s="62" customFormat="1" ht="12.75">
      <c r="H969"/>
      <c r="I969" s="576"/>
      <c r="S969" s="1172"/>
      <c r="Y969" s="69"/>
      <c r="AD969" s="361"/>
      <c r="AE969" s="361"/>
      <c r="AF969" s="320"/>
      <c r="AG969" s="320"/>
      <c r="AH969" s="314" t="str">
        <f>IFERROR(INDEX('Annex 2_Code'!$J$114:$J$126,MATCH('Annex 3_MAFF'!AF969,'Annex 2_Code'!$G$114:$G$126,0)),"")</f>
        <v/>
      </c>
    </row>
    <row r="970" spans="8:34" s="62" customFormat="1" ht="12.75">
      <c r="H970"/>
      <c r="I970" s="576"/>
      <c r="S970" s="1172"/>
      <c r="Y970" s="69"/>
      <c r="AD970" s="361"/>
      <c r="AE970" s="361"/>
      <c r="AF970" s="320"/>
      <c r="AG970" s="320"/>
      <c r="AH970" s="314" t="str">
        <f>IFERROR(INDEX('Annex 2_Code'!$J$114:$J$126,MATCH('Annex 3_MAFF'!AF970,'Annex 2_Code'!$G$114:$G$126,0)),"")</f>
        <v/>
      </c>
    </row>
    <row r="971" spans="8:34" s="62" customFormat="1" ht="12.75">
      <c r="H971"/>
      <c r="I971" s="576"/>
      <c r="S971" s="1172"/>
      <c r="Y971" s="69"/>
      <c r="AD971" s="361"/>
      <c r="AE971" s="361"/>
      <c r="AF971" s="320"/>
      <c r="AG971" s="320"/>
      <c r="AH971" s="314" t="str">
        <f>IFERROR(INDEX('Annex 2_Code'!$J$114:$J$126,MATCH('Annex 3_MAFF'!AF971,'Annex 2_Code'!$G$114:$G$126,0)),"")</f>
        <v/>
      </c>
    </row>
    <row r="972" spans="8:34" s="62" customFormat="1" ht="12.75">
      <c r="H972"/>
      <c r="I972" s="576"/>
      <c r="S972" s="1172"/>
      <c r="Y972" s="69"/>
      <c r="AD972" s="361"/>
      <c r="AE972" s="361"/>
      <c r="AF972" s="320"/>
      <c r="AG972" s="320"/>
      <c r="AH972" s="314" t="str">
        <f>IFERROR(INDEX('Annex 2_Code'!$J$114:$J$126,MATCH('Annex 3_MAFF'!AF972,'Annex 2_Code'!$G$114:$G$126,0)),"")</f>
        <v/>
      </c>
    </row>
    <row r="973" spans="8:34" s="62" customFormat="1" ht="12.75">
      <c r="H973"/>
      <c r="I973" s="576"/>
      <c r="S973" s="1172"/>
      <c r="Y973" s="69"/>
      <c r="AD973" s="361"/>
      <c r="AE973" s="361"/>
      <c r="AF973" s="320"/>
      <c r="AG973" s="320"/>
      <c r="AH973" s="314" t="str">
        <f>IFERROR(INDEX('Annex 2_Code'!$J$114:$J$126,MATCH('Annex 3_MAFF'!AF973,'Annex 2_Code'!$G$114:$G$126,0)),"")</f>
        <v/>
      </c>
    </row>
    <row r="974" spans="8:34" s="62" customFormat="1" ht="12.75">
      <c r="H974"/>
      <c r="I974" s="576"/>
      <c r="S974" s="1172"/>
      <c r="Y974" s="69"/>
      <c r="AD974" s="361"/>
      <c r="AE974" s="361"/>
      <c r="AF974" s="320"/>
      <c r="AG974" s="320"/>
      <c r="AH974" s="314" t="str">
        <f>IFERROR(INDEX('Annex 2_Code'!$J$114:$J$126,MATCH('Annex 3_MAFF'!AF974,'Annex 2_Code'!$G$114:$G$126,0)),"")</f>
        <v/>
      </c>
    </row>
    <row r="975" spans="8:34" s="62" customFormat="1" ht="12.75">
      <c r="H975"/>
      <c r="I975" s="576"/>
      <c r="S975" s="1172"/>
      <c r="Y975" s="69"/>
      <c r="AD975" s="361"/>
      <c r="AE975" s="361"/>
      <c r="AF975" s="320"/>
      <c r="AG975" s="320"/>
      <c r="AH975" s="314" t="str">
        <f>IFERROR(INDEX('Annex 2_Code'!$J$114:$J$126,MATCH('Annex 3_MAFF'!AF975,'Annex 2_Code'!$G$114:$G$126,0)),"")</f>
        <v/>
      </c>
    </row>
    <row r="976" spans="8:34" s="62" customFormat="1" ht="12.75">
      <c r="H976"/>
      <c r="I976" s="576"/>
      <c r="S976" s="1172"/>
      <c r="Y976" s="69"/>
      <c r="AD976" s="361"/>
      <c r="AE976" s="361"/>
      <c r="AF976" s="320"/>
      <c r="AG976" s="320"/>
      <c r="AH976" s="314" t="str">
        <f>IFERROR(INDEX('Annex 2_Code'!$J$114:$J$126,MATCH('Annex 3_MAFF'!AF976,'Annex 2_Code'!$G$114:$G$126,0)),"")</f>
        <v/>
      </c>
    </row>
    <row r="977" spans="8:34" s="62" customFormat="1" ht="12.75">
      <c r="H977"/>
      <c r="I977" s="576"/>
      <c r="S977" s="1172"/>
      <c r="Y977" s="69"/>
      <c r="AD977" s="361"/>
      <c r="AE977" s="361"/>
      <c r="AF977" s="320"/>
      <c r="AG977" s="320"/>
      <c r="AH977" s="314" t="str">
        <f>IFERROR(INDEX('Annex 2_Code'!$J$114:$J$126,MATCH('Annex 3_MAFF'!AF977,'Annex 2_Code'!$G$114:$G$126,0)),"")</f>
        <v/>
      </c>
    </row>
    <row r="978" spans="8:34" s="62" customFormat="1" ht="12.75">
      <c r="H978"/>
      <c r="I978" s="576"/>
      <c r="S978" s="1172"/>
      <c r="Y978" s="69"/>
      <c r="AD978" s="361"/>
      <c r="AE978" s="361"/>
      <c r="AF978" s="320"/>
      <c r="AG978" s="320"/>
      <c r="AH978" s="314" t="str">
        <f>IFERROR(INDEX('Annex 2_Code'!$J$114:$J$126,MATCH('Annex 3_MAFF'!AF978,'Annex 2_Code'!$G$114:$G$126,0)),"")</f>
        <v/>
      </c>
    </row>
    <row r="979" spans="8:34" s="62" customFormat="1" ht="12.75">
      <c r="H979"/>
      <c r="I979" s="576"/>
      <c r="S979" s="1172"/>
      <c r="Y979" s="69"/>
      <c r="AD979" s="361"/>
      <c r="AE979" s="361"/>
      <c r="AF979" s="320"/>
      <c r="AG979" s="320"/>
      <c r="AH979" s="314" t="str">
        <f>IFERROR(INDEX('Annex 2_Code'!$J$114:$J$126,MATCH('Annex 3_MAFF'!AF979,'Annex 2_Code'!$G$114:$G$126,0)),"")</f>
        <v/>
      </c>
    </row>
    <row r="980" spans="8:34" s="62" customFormat="1" ht="12.75">
      <c r="H980"/>
      <c r="I980" s="576"/>
      <c r="S980" s="1172"/>
      <c r="Y980" s="69"/>
      <c r="AD980" s="361"/>
      <c r="AE980" s="361"/>
      <c r="AF980" s="320"/>
      <c r="AG980" s="320"/>
      <c r="AH980" s="314" t="str">
        <f>IFERROR(INDEX('Annex 2_Code'!$J$114:$J$126,MATCH('Annex 3_MAFF'!AF980,'Annex 2_Code'!$G$114:$G$126,0)),"")</f>
        <v/>
      </c>
    </row>
    <row r="981" spans="8:34" s="62" customFormat="1" ht="12.75">
      <c r="H981"/>
      <c r="I981" s="576"/>
      <c r="S981" s="1172"/>
      <c r="Y981" s="69"/>
      <c r="AD981" s="361"/>
      <c r="AE981" s="361"/>
      <c r="AF981" s="320"/>
      <c r="AG981" s="320"/>
      <c r="AH981" s="314" t="str">
        <f>IFERROR(INDEX('Annex 2_Code'!$J$114:$J$126,MATCH('Annex 3_MAFF'!AF981,'Annex 2_Code'!$G$114:$G$126,0)),"")</f>
        <v/>
      </c>
    </row>
    <row r="982" spans="8:34" s="62" customFormat="1" ht="12.75">
      <c r="H982"/>
      <c r="I982" s="576"/>
      <c r="S982" s="1172"/>
      <c r="Y982" s="69"/>
      <c r="AD982" s="361"/>
      <c r="AE982" s="361"/>
      <c r="AF982" s="320"/>
      <c r="AG982" s="320"/>
      <c r="AH982" s="314" t="str">
        <f>IFERROR(INDEX('Annex 2_Code'!$J$114:$J$126,MATCH('Annex 3_MAFF'!AF982,'Annex 2_Code'!$G$114:$G$126,0)),"")</f>
        <v/>
      </c>
    </row>
    <row r="983" spans="8:34" s="62" customFormat="1" ht="12.75">
      <c r="H983"/>
      <c r="I983" s="576"/>
      <c r="S983" s="1172"/>
      <c r="Y983" s="69"/>
      <c r="AD983" s="361"/>
      <c r="AE983" s="361"/>
      <c r="AF983" s="320"/>
      <c r="AG983" s="320"/>
      <c r="AH983" s="314" t="str">
        <f>IFERROR(INDEX('Annex 2_Code'!$J$114:$J$126,MATCH('Annex 3_MAFF'!AF983,'Annex 2_Code'!$G$114:$G$126,0)),"")</f>
        <v/>
      </c>
    </row>
    <row r="984" spans="8:34" s="62" customFormat="1" ht="12.75">
      <c r="H984"/>
      <c r="I984" s="576"/>
      <c r="S984" s="1172"/>
      <c r="Y984" s="69"/>
      <c r="AD984" s="361"/>
      <c r="AE984" s="361"/>
      <c r="AF984" s="320"/>
      <c r="AG984" s="320"/>
      <c r="AH984" s="314" t="str">
        <f>IFERROR(INDEX('Annex 2_Code'!$J$114:$J$126,MATCH('Annex 3_MAFF'!AF984,'Annex 2_Code'!$G$114:$G$126,0)),"")</f>
        <v/>
      </c>
    </row>
    <row r="985" spans="8:34" s="62" customFormat="1" ht="12.75">
      <c r="H985"/>
      <c r="I985" s="576"/>
      <c r="S985" s="1172"/>
      <c r="Y985" s="69"/>
      <c r="AD985" s="361"/>
      <c r="AE985" s="361"/>
      <c r="AF985" s="320"/>
      <c r="AG985" s="320"/>
      <c r="AH985" s="314" t="str">
        <f>IFERROR(INDEX('Annex 2_Code'!$J$114:$J$126,MATCH('Annex 3_MAFF'!AF985,'Annex 2_Code'!$G$114:$G$126,0)),"")</f>
        <v/>
      </c>
    </row>
    <row r="986" spans="8:34" s="62" customFormat="1" ht="12.75">
      <c r="H986"/>
      <c r="I986" s="576"/>
      <c r="S986" s="1172"/>
      <c r="Y986" s="69"/>
      <c r="AD986" s="361"/>
      <c r="AE986" s="361"/>
      <c r="AF986" s="320"/>
      <c r="AG986" s="320"/>
      <c r="AH986" s="314" t="str">
        <f>IFERROR(INDEX('Annex 2_Code'!$J$114:$J$126,MATCH('Annex 3_MAFF'!AF986,'Annex 2_Code'!$G$114:$G$126,0)),"")</f>
        <v/>
      </c>
    </row>
    <row r="987" spans="8:34" s="62" customFormat="1" ht="12.75">
      <c r="H987"/>
      <c r="I987" s="576"/>
      <c r="S987" s="1172"/>
      <c r="Y987" s="69"/>
      <c r="AD987" s="361"/>
      <c r="AE987" s="361"/>
      <c r="AF987" s="320"/>
      <c r="AG987" s="320"/>
      <c r="AH987" s="314" t="str">
        <f>IFERROR(INDEX('Annex 2_Code'!$J$114:$J$126,MATCH('Annex 3_MAFF'!AF987,'Annex 2_Code'!$G$114:$G$126,0)),"")</f>
        <v/>
      </c>
    </row>
    <row r="988" spans="8:34" s="62" customFormat="1" ht="12.75">
      <c r="H988"/>
      <c r="I988" s="576"/>
      <c r="S988" s="1172"/>
      <c r="Y988" s="69"/>
      <c r="AD988" s="361"/>
      <c r="AE988" s="361"/>
      <c r="AF988" s="320"/>
      <c r="AG988" s="320"/>
      <c r="AH988" s="314" t="str">
        <f>IFERROR(INDEX('Annex 2_Code'!$J$114:$J$126,MATCH('Annex 3_MAFF'!AF988,'Annex 2_Code'!$G$114:$G$126,0)),"")</f>
        <v/>
      </c>
    </row>
    <row r="989" spans="8:34" s="62" customFormat="1" ht="12.75">
      <c r="H989"/>
      <c r="I989" s="576"/>
      <c r="S989" s="1172"/>
      <c r="Y989" s="69"/>
      <c r="AD989" s="361"/>
      <c r="AE989" s="361"/>
      <c r="AF989" s="320"/>
      <c r="AG989" s="320"/>
      <c r="AH989" s="314" t="str">
        <f>IFERROR(INDEX('Annex 2_Code'!$J$114:$J$126,MATCH('Annex 3_MAFF'!AF989,'Annex 2_Code'!$G$114:$G$126,0)),"")</f>
        <v/>
      </c>
    </row>
    <row r="990" spans="8:34" s="62" customFormat="1" ht="12.75">
      <c r="H990"/>
      <c r="I990" s="576"/>
      <c r="S990" s="1172"/>
      <c r="Y990" s="69"/>
      <c r="AD990" s="361"/>
      <c r="AE990" s="361"/>
      <c r="AF990" s="320"/>
      <c r="AG990" s="320"/>
      <c r="AH990" s="314" t="str">
        <f>IFERROR(INDEX('Annex 2_Code'!$J$114:$J$126,MATCH('Annex 3_MAFF'!AF990,'Annex 2_Code'!$G$114:$G$126,0)),"")</f>
        <v/>
      </c>
    </row>
    <row r="991" spans="8:34" s="62" customFormat="1" ht="12.75">
      <c r="H991"/>
      <c r="I991" s="576"/>
      <c r="S991" s="1172"/>
      <c r="Y991" s="69"/>
      <c r="AD991" s="361"/>
      <c r="AE991" s="361"/>
      <c r="AF991" s="320"/>
      <c r="AG991" s="320"/>
      <c r="AH991" s="314" t="str">
        <f>IFERROR(INDEX('Annex 2_Code'!$J$114:$J$126,MATCH('Annex 3_MAFF'!AF991,'Annex 2_Code'!$G$114:$G$126,0)),"")</f>
        <v/>
      </c>
    </row>
    <row r="992" spans="8:34" s="62" customFormat="1" ht="12.75">
      <c r="H992"/>
      <c r="I992" s="576"/>
      <c r="S992" s="1172"/>
      <c r="Y992" s="69"/>
      <c r="AD992" s="361"/>
      <c r="AE992" s="361"/>
      <c r="AF992" s="320"/>
      <c r="AG992" s="320"/>
      <c r="AH992" s="314" t="str">
        <f>IFERROR(INDEX('Annex 2_Code'!$J$114:$J$126,MATCH('Annex 3_MAFF'!AF992,'Annex 2_Code'!$G$114:$G$126,0)),"")</f>
        <v/>
      </c>
    </row>
    <row r="993" spans="8:34" s="62" customFormat="1" ht="12.75">
      <c r="H993"/>
      <c r="I993" s="576"/>
      <c r="S993" s="1172"/>
      <c r="Y993" s="69"/>
      <c r="AD993" s="361"/>
      <c r="AE993" s="361"/>
      <c r="AF993" s="320"/>
      <c r="AG993" s="320"/>
      <c r="AH993" s="314" t="str">
        <f>IFERROR(INDEX('Annex 2_Code'!$J$114:$J$126,MATCH('Annex 3_MAFF'!AF993,'Annex 2_Code'!$G$114:$G$126,0)),"")</f>
        <v/>
      </c>
    </row>
    <row r="994" spans="8:34" s="62" customFormat="1" ht="12.75">
      <c r="H994"/>
      <c r="I994" s="576"/>
      <c r="S994" s="1172"/>
      <c r="Y994" s="69"/>
      <c r="AD994" s="361"/>
      <c r="AE994" s="361"/>
      <c r="AF994" s="320"/>
      <c r="AG994" s="320"/>
      <c r="AH994" s="314" t="str">
        <f>IFERROR(INDEX('Annex 2_Code'!$J$114:$J$126,MATCH('Annex 3_MAFF'!AF994,'Annex 2_Code'!$G$114:$G$126,0)),"")</f>
        <v/>
      </c>
    </row>
    <row r="995" spans="8:34" s="62" customFormat="1" ht="12.75">
      <c r="H995"/>
      <c r="I995" s="576"/>
      <c r="S995" s="1172"/>
      <c r="Y995" s="69"/>
      <c r="AD995" s="361"/>
      <c r="AE995" s="361"/>
      <c r="AF995" s="320"/>
      <c r="AG995" s="320"/>
      <c r="AH995" s="314" t="str">
        <f>IFERROR(INDEX('Annex 2_Code'!$J$114:$J$126,MATCH('Annex 3_MAFF'!AF995,'Annex 2_Code'!$G$114:$G$126,0)),"")</f>
        <v/>
      </c>
    </row>
    <row r="996" spans="8:34" s="62" customFormat="1" ht="12.75">
      <c r="H996"/>
      <c r="I996" s="576"/>
      <c r="S996" s="1172"/>
      <c r="Y996" s="69"/>
      <c r="AD996" s="361"/>
      <c r="AE996" s="361"/>
      <c r="AF996" s="320"/>
      <c r="AG996" s="320"/>
      <c r="AH996" s="314" t="str">
        <f>IFERROR(INDEX('Annex 2_Code'!$J$114:$J$126,MATCH('Annex 3_MAFF'!AF996,'Annex 2_Code'!$G$114:$G$126,0)),"")</f>
        <v/>
      </c>
    </row>
    <row r="997" spans="8:34" s="62" customFormat="1" ht="12.75">
      <c r="H997"/>
      <c r="I997" s="576"/>
      <c r="S997" s="1172"/>
      <c r="Y997" s="69"/>
      <c r="AD997" s="361"/>
      <c r="AE997" s="361"/>
      <c r="AF997" s="320"/>
      <c r="AG997" s="320"/>
      <c r="AH997" s="314" t="str">
        <f>IFERROR(INDEX('Annex 2_Code'!$J$114:$J$126,MATCH('Annex 3_MAFF'!AF997,'Annex 2_Code'!$G$114:$G$126,0)),"")</f>
        <v/>
      </c>
    </row>
    <row r="998" spans="8:34" s="62" customFormat="1" ht="12.75">
      <c r="H998"/>
      <c r="I998" s="576"/>
      <c r="S998" s="1172"/>
      <c r="Y998" s="69"/>
      <c r="AD998" s="361"/>
      <c r="AE998" s="361"/>
      <c r="AF998" s="320"/>
      <c r="AG998" s="320"/>
      <c r="AH998" s="314" t="str">
        <f>IFERROR(INDEX('Annex 2_Code'!$J$114:$J$126,MATCH('Annex 3_MAFF'!AF998,'Annex 2_Code'!$G$114:$G$126,0)),"")</f>
        <v/>
      </c>
    </row>
    <row r="999" spans="8:34" s="62" customFormat="1" ht="12.75">
      <c r="H999"/>
      <c r="I999" s="576"/>
      <c r="S999" s="1172"/>
      <c r="Y999" s="69"/>
      <c r="AD999" s="361"/>
      <c r="AE999" s="361"/>
      <c r="AF999" s="320"/>
      <c r="AG999" s="320"/>
      <c r="AH999" s="314" t="str">
        <f>IFERROR(INDEX('Annex 2_Code'!$J$114:$J$126,MATCH('Annex 3_MAFF'!AF999,'Annex 2_Code'!$G$114:$G$126,0)),"")</f>
        <v/>
      </c>
    </row>
    <row r="1000" spans="8:34" s="62" customFormat="1" ht="12.75">
      <c r="H1000"/>
      <c r="I1000" s="576"/>
      <c r="S1000" s="1172"/>
      <c r="Y1000" s="69"/>
      <c r="AD1000" s="361"/>
      <c r="AE1000" s="361"/>
      <c r="AF1000" s="320"/>
      <c r="AG1000" s="320"/>
      <c r="AH1000" s="314" t="str">
        <f>IFERROR(INDEX('Annex 2_Code'!$J$114:$J$126,MATCH('Annex 3_MAFF'!AF1000,'Annex 2_Code'!$G$114:$G$126,0)),"")</f>
        <v/>
      </c>
    </row>
    <row r="1001" spans="8:34" s="62" customFormat="1" ht="12.75">
      <c r="H1001"/>
      <c r="I1001" s="576"/>
      <c r="S1001" s="1172"/>
      <c r="Y1001" s="69"/>
      <c r="AD1001" s="361"/>
      <c r="AE1001" s="361"/>
      <c r="AF1001" s="320"/>
      <c r="AG1001" s="320"/>
      <c r="AH1001" s="314" t="str">
        <f>IFERROR(INDEX('Annex 2_Code'!$J$114:$J$126,MATCH('Annex 3_MAFF'!AF1001,'Annex 2_Code'!$G$114:$G$126,0)),"")</f>
        <v/>
      </c>
    </row>
    <row r="1002" spans="8:34" s="62" customFormat="1" ht="12.75">
      <c r="H1002"/>
      <c r="I1002" s="576"/>
      <c r="S1002" s="1172"/>
      <c r="Y1002" s="69"/>
      <c r="AD1002" s="361"/>
      <c r="AE1002" s="361"/>
      <c r="AF1002" s="320"/>
      <c r="AG1002" s="320"/>
      <c r="AH1002" s="314" t="str">
        <f>IFERROR(INDEX('Annex 2_Code'!$J$114:$J$126,MATCH('Annex 3_MAFF'!AF1002,'Annex 2_Code'!$G$114:$G$126,0)),"")</f>
        <v/>
      </c>
    </row>
    <row r="1003" spans="8:34" s="62" customFormat="1" ht="12.75">
      <c r="H1003"/>
      <c r="I1003" s="576"/>
      <c r="S1003" s="1172"/>
      <c r="Y1003" s="69"/>
      <c r="AD1003" s="361"/>
      <c r="AE1003" s="361"/>
      <c r="AF1003" s="320"/>
      <c r="AG1003" s="320"/>
      <c r="AH1003" s="314" t="str">
        <f>IFERROR(INDEX('Annex 2_Code'!$J$114:$J$126,MATCH('Annex 3_MAFF'!AF1003,'Annex 2_Code'!$G$114:$G$126,0)),"")</f>
        <v/>
      </c>
    </row>
    <row r="1004" spans="8:34" s="62" customFormat="1" ht="12.75">
      <c r="H1004"/>
      <c r="I1004" s="576"/>
      <c r="S1004" s="1172"/>
      <c r="Y1004" s="69"/>
      <c r="AD1004" s="361"/>
      <c r="AE1004" s="361"/>
      <c r="AF1004" s="320"/>
      <c r="AG1004" s="320"/>
      <c r="AH1004" s="314" t="str">
        <f>IFERROR(INDEX('Annex 2_Code'!$J$114:$J$126,MATCH('Annex 3_MAFF'!AF1004,'Annex 2_Code'!$G$114:$G$126,0)),"")</f>
        <v/>
      </c>
    </row>
    <row r="1005" spans="8:34" s="62" customFormat="1" ht="12.75">
      <c r="H1005"/>
      <c r="I1005" s="576"/>
      <c r="S1005" s="1172"/>
      <c r="Y1005" s="69"/>
      <c r="AD1005" s="361"/>
      <c r="AE1005" s="361"/>
      <c r="AF1005" s="320"/>
      <c r="AG1005" s="320"/>
      <c r="AH1005" s="314" t="str">
        <f>IFERROR(INDEX('Annex 2_Code'!$J$114:$J$126,MATCH('Annex 3_MAFF'!AF1005,'Annex 2_Code'!$G$114:$G$126,0)),"")</f>
        <v/>
      </c>
    </row>
    <row r="1006" spans="8:34" s="62" customFormat="1" ht="12.75">
      <c r="H1006"/>
      <c r="I1006" s="576"/>
      <c r="S1006" s="1172"/>
      <c r="Y1006" s="69"/>
      <c r="AD1006" s="361"/>
      <c r="AE1006" s="361"/>
      <c r="AF1006" s="320"/>
      <c r="AG1006" s="320"/>
      <c r="AH1006" s="314" t="str">
        <f>IFERROR(INDEX('Annex 2_Code'!$J$114:$J$126,MATCH('Annex 3_MAFF'!AF1006,'Annex 2_Code'!$G$114:$G$126,0)),"")</f>
        <v/>
      </c>
    </row>
    <row r="1007" spans="8:34" s="62" customFormat="1" ht="12.75">
      <c r="H1007"/>
      <c r="I1007" s="576"/>
      <c r="S1007" s="1172"/>
      <c r="Y1007" s="69"/>
      <c r="AD1007" s="361"/>
      <c r="AE1007" s="361"/>
      <c r="AF1007" s="320"/>
      <c r="AG1007" s="320"/>
      <c r="AH1007" s="314" t="str">
        <f>IFERROR(INDEX('Annex 2_Code'!$J$114:$J$126,MATCH('Annex 3_MAFF'!AF1007,'Annex 2_Code'!$G$114:$G$126,0)),"")</f>
        <v/>
      </c>
    </row>
    <row r="1008" spans="8:34" s="62" customFormat="1" ht="12.75">
      <c r="H1008"/>
      <c r="I1008" s="576"/>
      <c r="S1008" s="1172"/>
      <c r="Y1008" s="69"/>
      <c r="AD1008" s="361"/>
      <c r="AE1008" s="361"/>
      <c r="AF1008" s="320"/>
      <c r="AG1008" s="320"/>
      <c r="AH1008" s="314" t="str">
        <f>IFERROR(INDEX('Annex 2_Code'!$J$114:$J$126,MATCH('Annex 3_MAFF'!AF1008,'Annex 2_Code'!$G$114:$G$126,0)),"")</f>
        <v/>
      </c>
    </row>
    <row r="1009" spans="8:34" s="62" customFormat="1" ht="12.75">
      <c r="H1009"/>
      <c r="I1009" s="576"/>
      <c r="S1009" s="1172"/>
      <c r="Y1009" s="69"/>
      <c r="AD1009" s="361"/>
      <c r="AE1009" s="361"/>
      <c r="AF1009" s="320"/>
      <c r="AG1009" s="320"/>
      <c r="AH1009" s="314" t="str">
        <f>IFERROR(INDEX('Annex 2_Code'!$J$114:$J$126,MATCH('Annex 3_MAFF'!AF1009,'Annex 2_Code'!$G$114:$G$126,0)),"")</f>
        <v/>
      </c>
    </row>
    <row r="1010" spans="8:34" s="62" customFormat="1" ht="12.75">
      <c r="H1010"/>
      <c r="I1010" s="576"/>
      <c r="S1010" s="1172"/>
      <c r="Y1010" s="69"/>
      <c r="AD1010" s="361"/>
      <c r="AE1010" s="361"/>
      <c r="AF1010" s="320"/>
      <c r="AG1010" s="320"/>
      <c r="AH1010" s="314" t="str">
        <f>IFERROR(INDEX('Annex 2_Code'!$J$114:$J$126,MATCH('Annex 3_MAFF'!AF1010,'Annex 2_Code'!$G$114:$G$126,0)),"")</f>
        <v/>
      </c>
    </row>
    <row r="1011" spans="8:34" s="62" customFormat="1" ht="12.75">
      <c r="H1011"/>
      <c r="I1011" s="576"/>
      <c r="S1011" s="1172"/>
      <c r="Y1011" s="69"/>
      <c r="AD1011" s="361"/>
      <c r="AE1011" s="361"/>
      <c r="AF1011" s="320"/>
      <c r="AG1011" s="320"/>
      <c r="AH1011" s="314" t="str">
        <f>IFERROR(INDEX('Annex 2_Code'!$J$114:$J$126,MATCH('Annex 3_MAFF'!AF1011,'Annex 2_Code'!$G$114:$G$126,0)),"")</f>
        <v/>
      </c>
    </row>
    <row r="1012" spans="8:34" s="62" customFormat="1" ht="12.75">
      <c r="H1012"/>
      <c r="I1012" s="576"/>
      <c r="S1012" s="1172"/>
      <c r="Y1012" s="69"/>
      <c r="AD1012" s="361"/>
      <c r="AE1012" s="361"/>
      <c r="AF1012" s="320"/>
      <c r="AG1012" s="320"/>
      <c r="AH1012" s="314" t="str">
        <f>IFERROR(INDEX('Annex 2_Code'!$J$114:$J$126,MATCH('Annex 3_MAFF'!AF1012,'Annex 2_Code'!$G$114:$G$126,0)),"")</f>
        <v/>
      </c>
    </row>
    <row r="1013" spans="8:34" s="62" customFormat="1" ht="12.75">
      <c r="H1013"/>
      <c r="I1013" s="576"/>
      <c r="S1013" s="1172"/>
      <c r="Y1013" s="69"/>
      <c r="AD1013" s="361"/>
      <c r="AE1013" s="361"/>
      <c r="AF1013" s="320"/>
      <c r="AG1013" s="320"/>
      <c r="AH1013" s="314" t="str">
        <f>IFERROR(INDEX('Annex 2_Code'!$J$114:$J$126,MATCH('Annex 3_MAFF'!AF1013,'Annex 2_Code'!$G$114:$G$126,0)),"")</f>
        <v/>
      </c>
    </row>
    <row r="1014" spans="8:34" s="62" customFormat="1" ht="12.75">
      <c r="H1014"/>
      <c r="I1014" s="576"/>
      <c r="S1014" s="1172"/>
      <c r="Y1014" s="69"/>
      <c r="AD1014" s="361"/>
      <c r="AE1014" s="361"/>
      <c r="AF1014" s="320"/>
      <c r="AG1014" s="320"/>
      <c r="AH1014" s="314" t="str">
        <f>IFERROR(INDEX('Annex 2_Code'!$J$114:$J$126,MATCH('Annex 3_MAFF'!AF1014,'Annex 2_Code'!$G$114:$G$126,0)),"")</f>
        <v/>
      </c>
    </row>
    <row r="1015" spans="8:34" s="62" customFormat="1" ht="12.75">
      <c r="H1015"/>
      <c r="I1015" s="576"/>
      <c r="S1015" s="1172"/>
      <c r="Y1015" s="69"/>
      <c r="AD1015" s="361"/>
      <c r="AE1015" s="361"/>
      <c r="AF1015" s="320"/>
      <c r="AG1015" s="320"/>
      <c r="AH1015" s="314" t="str">
        <f>IFERROR(INDEX('Annex 2_Code'!$J$114:$J$126,MATCH('Annex 3_MAFF'!AF1015,'Annex 2_Code'!$G$114:$G$126,0)),"")</f>
        <v/>
      </c>
    </row>
    <row r="1016" spans="8:34" s="62" customFormat="1" ht="12.75">
      <c r="H1016"/>
      <c r="I1016" s="576"/>
      <c r="S1016" s="1172"/>
      <c r="Y1016" s="69"/>
      <c r="AD1016" s="361"/>
      <c r="AE1016" s="361"/>
      <c r="AF1016" s="320"/>
      <c r="AG1016" s="320"/>
      <c r="AH1016" s="314" t="str">
        <f>IFERROR(INDEX('Annex 2_Code'!$J$114:$J$126,MATCH('Annex 3_MAFF'!AF1016,'Annex 2_Code'!$G$114:$G$126,0)),"")</f>
        <v/>
      </c>
    </row>
    <row r="1017" spans="8:34" s="62" customFormat="1" ht="12.75">
      <c r="H1017"/>
      <c r="I1017" s="576"/>
      <c r="S1017" s="1172"/>
      <c r="Y1017" s="69"/>
      <c r="AD1017" s="361"/>
      <c r="AE1017" s="361"/>
      <c r="AF1017" s="320"/>
      <c r="AG1017" s="320"/>
      <c r="AH1017" s="314" t="str">
        <f>IFERROR(INDEX('Annex 2_Code'!$J$114:$J$126,MATCH('Annex 3_MAFF'!AF1017,'Annex 2_Code'!$G$114:$G$126,0)),"")</f>
        <v/>
      </c>
    </row>
    <row r="1018" spans="8:34" s="62" customFormat="1" ht="12.75">
      <c r="H1018"/>
      <c r="I1018" s="576"/>
      <c r="S1018" s="1172"/>
      <c r="Y1018" s="69"/>
      <c r="AD1018" s="361"/>
      <c r="AE1018" s="361"/>
      <c r="AF1018" s="320"/>
      <c r="AG1018" s="320"/>
      <c r="AH1018" s="314" t="str">
        <f>IFERROR(INDEX('Annex 2_Code'!$J$114:$J$126,MATCH('Annex 3_MAFF'!AF1018,'Annex 2_Code'!$G$114:$G$126,0)),"")</f>
        <v/>
      </c>
    </row>
    <row r="1019" spans="8:34" s="62" customFormat="1" ht="12.75">
      <c r="H1019"/>
      <c r="I1019" s="576"/>
      <c r="S1019" s="1172"/>
      <c r="Y1019" s="69"/>
      <c r="AD1019" s="361"/>
      <c r="AE1019" s="361"/>
      <c r="AF1019" s="320"/>
      <c r="AG1019" s="320"/>
      <c r="AH1019" s="314" t="str">
        <f>IFERROR(INDEX('Annex 2_Code'!$J$114:$J$126,MATCH('Annex 3_MAFF'!AF1019,'Annex 2_Code'!$G$114:$G$126,0)),"")</f>
        <v/>
      </c>
    </row>
    <row r="1020" spans="8:34" s="62" customFormat="1" ht="12.75">
      <c r="H1020"/>
      <c r="I1020" s="576"/>
      <c r="S1020" s="1172"/>
      <c r="Y1020" s="69"/>
      <c r="AD1020" s="361"/>
      <c r="AE1020" s="361"/>
      <c r="AF1020" s="320"/>
      <c r="AG1020" s="320"/>
      <c r="AH1020" s="314" t="str">
        <f>IFERROR(INDEX('Annex 2_Code'!$J$114:$J$126,MATCH('Annex 3_MAFF'!AF1020,'Annex 2_Code'!$G$114:$G$126,0)),"")</f>
        <v/>
      </c>
    </row>
    <row r="1021" spans="8:34" s="62" customFormat="1" ht="12.75">
      <c r="H1021"/>
      <c r="I1021" s="576"/>
      <c r="S1021" s="1172"/>
      <c r="Y1021" s="69"/>
      <c r="AD1021" s="361"/>
      <c r="AE1021" s="361"/>
      <c r="AF1021" s="320"/>
      <c r="AG1021" s="320"/>
      <c r="AH1021" s="314" t="str">
        <f>IFERROR(INDEX('Annex 2_Code'!$J$114:$J$126,MATCH('Annex 3_MAFF'!AF1021,'Annex 2_Code'!$G$114:$G$126,0)),"")</f>
        <v/>
      </c>
    </row>
    <row r="1022" spans="8:34" s="62" customFormat="1" ht="12.75">
      <c r="H1022"/>
      <c r="I1022" s="576"/>
      <c r="S1022" s="1172"/>
      <c r="Y1022" s="69"/>
      <c r="AD1022" s="361"/>
      <c r="AE1022" s="361"/>
      <c r="AF1022" s="320"/>
      <c r="AG1022" s="320"/>
      <c r="AH1022" s="314" t="str">
        <f>IFERROR(INDEX('Annex 2_Code'!$J$114:$J$126,MATCH('Annex 3_MAFF'!AF1022,'Annex 2_Code'!$G$114:$G$126,0)),"")</f>
        <v/>
      </c>
    </row>
    <row r="1023" spans="8:34" s="62" customFormat="1" ht="12.75">
      <c r="H1023"/>
      <c r="I1023" s="576"/>
      <c r="S1023" s="1172"/>
      <c r="Y1023" s="69"/>
      <c r="AD1023" s="361"/>
      <c r="AE1023" s="361"/>
      <c r="AF1023" s="320"/>
      <c r="AG1023" s="320"/>
      <c r="AH1023" s="314" t="str">
        <f>IFERROR(INDEX('Annex 2_Code'!$J$114:$J$126,MATCH('Annex 3_MAFF'!AF1023,'Annex 2_Code'!$G$114:$G$126,0)),"")</f>
        <v/>
      </c>
    </row>
    <row r="1024" spans="8:34" s="62" customFormat="1" ht="12.75">
      <c r="H1024"/>
      <c r="I1024" s="576"/>
      <c r="S1024" s="1172"/>
      <c r="Y1024" s="69"/>
      <c r="AD1024" s="361"/>
      <c r="AE1024" s="361"/>
      <c r="AF1024" s="320"/>
      <c r="AG1024" s="320"/>
      <c r="AH1024" s="314" t="str">
        <f>IFERROR(INDEX('Annex 2_Code'!$J$114:$J$126,MATCH('Annex 3_MAFF'!AF1024,'Annex 2_Code'!$G$114:$G$126,0)),"")</f>
        <v/>
      </c>
    </row>
    <row r="1025" spans="8:34" s="62" customFormat="1" ht="12.75">
      <c r="H1025"/>
      <c r="I1025" s="576"/>
      <c r="S1025" s="1172"/>
      <c r="Y1025" s="69"/>
      <c r="AD1025" s="361"/>
      <c r="AE1025" s="361"/>
      <c r="AF1025" s="320"/>
      <c r="AG1025" s="320"/>
      <c r="AH1025" s="314" t="str">
        <f>IFERROR(INDEX('Annex 2_Code'!$J$114:$J$126,MATCH('Annex 3_MAFF'!AF1025,'Annex 2_Code'!$G$114:$G$126,0)),"")</f>
        <v/>
      </c>
    </row>
    <row r="1026" spans="8:34" s="62" customFormat="1" ht="12.75">
      <c r="H1026"/>
      <c r="I1026" s="576"/>
      <c r="S1026" s="1172"/>
      <c r="Y1026" s="69"/>
      <c r="AD1026" s="361"/>
      <c r="AE1026" s="361"/>
      <c r="AF1026" s="320"/>
      <c r="AG1026" s="320"/>
      <c r="AH1026" s="314" t="str">
        <f>IFERROR(INDEX('Annex 2_Code'!$J$114:$J$126,MATCH('Annex 3_MAFF'!AF1026,'Annex 2_Code'!$G$114:$G$126,0)),"")</f>
        <v/>
      </c>
    </row>
    <row r="1027" spans="8:34" s="62" customFormat="1" ht="12.75">
      <c r="H1027"/>
      <c r="I1027" s="576"/>
      <c r="S1027" s="1172"/>
      <c r="Y1027" s="69"/>
      <c r="AD1027" s="361"/>
      <c r="AE1027" s="361"/>
      <c r="AF1027" s="320"/>
      <c r="AG1027" s="320"/>
      <c r="AH1027" s="314" t="str">
        <f>IFERROR(INDEX('Annex 2_Code'!$J$114:$J$126,MATCH('Annex 3_MAFF'!AF1027,'Annex 2_Code'!$G$114:$G$126,0)),"")</f>
        <v/>
      </c>
    </row>
    <row r="1028" spans="8:34" s="62" customFormat="1" ht="12.75">
      <c r="H1028"/>
      <c r="I1028" s="576"/>
      <c r="S1028" s="1172"/>
      <c r="Y1028" s="69"/>
      <c r="AD1028" s="361"/>
      <c r="AE1028" s="361"/>
      <c r="AF1028" s="320"/>
      <c r="AG1028" s="320"/>
      <c r="AH1028" s="314" t="str">
        <f>IFERROR(INDEX('Annex 2_Code'!$J$114:$J$126,MATCH('Annex 3_MAFF'!AF1028,'Annex 2_Code'!$G$114:$G$126,0)),"")</f>
        <v/>
      </c>
    </row>
    <row r="1029" spans="8:34" s="62" customFormat="1" ht="12.75">
      <c r="H1029"/>
      <c r="I1029" s="576"/>
      <c r="S1029" s="1172"/>
      <c r="Y1029" s="69"/>
      <c r="AD1029" s="361"/>
      <c r="AE1029" s="361"/>
      <c r="AF1029" s="320"/>
      <c r="AG1029" s="320"/>
      <c r="AH1029" s="314" t="str">
        <f>IFERROR(INDEX('Annex 2_Code'!$J$114:$J$126,MATCH('Annex 3_MAFF'!AF1029,'Annex 2_Code'!$G$114:$G$126,0)),"")</f>
        <v/>
      </c>
    </row>
    <row r="1030" spans="8:34" s="62" customFormat="1" ht="12.75">
      <c r="H1030"/>
      <c r="I1030" s="576"/>
      <c r="S1030" s="1172"/>
      <c r="Y1030" s="69"/>
      <c r="AD1030" s="361"/>
      <c r="AE1030" s="361"/>
      <c r="AF1030" s="320"/>
      <c r="AG1030" s="320"/>
      <c r="AH1030" s="314" t="str">
        <f>IFERROR(INDEX('Annex 2_Code'!$J$114:$J$126,MATCH('Annex 3_MAFF'!AF1030,'Annex 2_Code'!$G$114:$G$126,0)),"")</f>
        <v/>
      </c>
    </row>
    <row r="1031" spans="8:34" s="62" customFormat="1" ht="12.75">
      <c r="H1031"/>
      <c r="I1031" s="576"/>
      <c r="S1031" s="1172"/>
      <c r="Y1031" s="69"/>
      <c r="AD1031" s="361"/>
      <c r="AE1031" s="361"/>
      <c r="AF1031" s="320"/>
      <c r="AG1031" s="320"/>
      <c r="AH1031" s="314" t="str">
        <f>IFERROR(INDEX('Annex 2_Code'!$J$114:$J$126,MATCH('Annex 3_MAFF'!AF1031,'Annex 2_Code'!$G$114:$G$126,0)),"")</f>
        <v/>
      </c>
    </row>
    <row r="1032" spans="8:34" s="62" customFormat="1" ht="12.75">
      <c r="H1032"/>
      <c r="I1032" s="576"/>
      <c r="S1032" s="1172"/>
      <c r="Y1032" s="69"/>
      <c r="AD1032" s="361"/>
      <c r="AE1032" s="361"/>
      <c r="AF1032" s="320"/>
      <c r="AG1032" s="320"/>
      <c r="AH1032" s="314" t="str">
        <f>IFERROR(INDEX('Annex 2_Code'!$J$114:$J$126,MATCH('Annex 3_MAFF'!AF1032,'Annex 2_Code'!$G$114:$G$126,0)),"")</f>
        <v/>
      </c>
    </row>
    <row r="1033" spans="8:34" s="62" customFormat="1" ht="12.75">
      <c r="H1033"/>
      <c r="I1033" s="576"/>
      <c r="S1033" s="1172"/>
      <c r="Y1033" s="69"/>
      <c r="AD1033" s="361"/>
      <c r="AE1033" s="361"/>
      <c r="AF1033" s="320"/>
      <c r="AG1033" s="320"/>
      <c r="AH1033" s="314" t="str">
        <f>IFERROR(INDEX('Annex 2_Code'!$J$114:$J$126,MATCH('Annex 3_MAFF'!AF1033,'Annex 2_Code'!$G$114:$G$126,0)),"")</f>
        <v/>
      </c>
    </row>
    <row r="1034" spans="8:34" s="62" customFormat="1" ht="12.75">
      <c r="H1034"/>
      <c r="I1034" s="576"/>
      <c r="S1034" s="1172"/>
      <c r="Y1034" s="69"/>
      <c r="AD1034" s="361"/>
      <c r="AE1034" s="361"/>
      <c r="AF1034" s="320"/>
      <c r="AG1034" s="320"/>
      <c r="AH1034" s="314" t="str">
        <f>IFERROR(INDEX('Annex 2_Code'!$J$114:$J$126,MATCH('Annex 3_MAFF'!AF1034,'Annex 2_Code'!$G$114:$G$126,0)),"")</f>
        <v/>
      </c>
    </row>
    <row r="1035" spans="8:34" s="62" customFormat="1" ht="12.75">
      <c r="H1035"/>
      <c r="I1035" s="576"/>
      <c r="S1035" s="1172"/>
      <c r="Y1035" s="69"/>
      <c r="AD1035" s="361"/>
      <c r="AE1035" s="361"/>
      <c r="AF1035" s="320"/>
      <c r="AG1035" s="320"/>
      <c r="AH1035" s="314" t="str">
        <f>IFERROR(INDEX('Annex 2_Code'!$J$114:$J$126,MATCH('Annex 3_MAFF'!AF1035,'Annex 2_Code'!$G$114:$G$126,0)),"")</f>
        <v/>
      </c>
    </row>
    <row r="1036" spans="8:34" s="62" customFormat="1" ht="12.75">
      <c r="H1036"/>
      <c r="I1036" s="576"/>
      <c r="S1036" s="1172"/>
      <c r="Y1036" s="69"/>
      <c r="AD1036" s="361"/>
      <c r="AE1036" s="361"/>
      <c r="AF1036" s="320"/>
      <c r="AG1036" s="320"/>
      <c r="AH1036" s="314" t="str">
        <f>IFERROR(INDEX('Annex 2_Code'!$J$114:$J$126,MATCH('Annex 3_MAFF'!AF1036,'Annex 2_Code'!$G$114:$G$126,0)),"")</f>
        <v/>
      </c>
    </row>
    <row r="1037" spans="8:34" s="62" customFormat="1" ht="12.75">
      <c r="H1037"/>
      <c r="I1037" s="576"/>
      <c r="S1037" s="1172"/>
      <c r="Y1037" s="69"/>
      <c r="AD1037" s="361"/>
      <c r="AE1037" s="361"/>
      <c r="AF1037" s="320"/>
      <c r="AG1037" s="320"/>
      <c r="AH1037" s="314" t="str">
        <f>IFERROR(INDEX('Annex 2_Code'!$J$114:$J$126,MATCH('Annex 3_MAFF'!AF1037,'Annex 2_Code'!$G$114:$G$126,0)),"")</f>
        <v/>
      </c>
    </row>
    <row r="1038" spans="8:34" s="62" customFormat="1" ht="12.75">
      <c r="H1038"/>
      <c r="I1038" s="576"/>
      <c r="S1038" s="1172"/>
      <c r="Y1038" s="69"/>
      <c r="AD1038" s="361"/>
      <c r="AE1038" s="361"/>
      <c r="AF1038" s="320"/>
      <c r="AG1038" s="320"/>
      <c r="AH1038" s="314" t="str">
        <f>IFERROR(INDEX('Annex 2_Code'!$J$114:$J$126,MATCH('Annex 3_MAFF'!AF1038,'Annex 2_Code'!$G$114:$G$126,0)),"")</f>
        <v/>
      </c>
    </row>
    <row r="1039" spans="8:34" s="62" customFormat="1" ht="12.75">
      <c r="H1039"/>
      <c r="I1039" s="576"/>
      <c r="S1039" s="1172"/>
      <c r="Y1039" s="69"/>
      <c r="AD1039" s="361"/>
      <c r="AE1039" s="361"/>
      <c r="AF1039" s="320"/>
      <c r="AG1039" s="320"/>
      <c r="AH1039" s="314" t="str">
        <f>IFERROR(INDEX('Annex 2_Code'!$J$114:$J$126,MATCH('Annex 3_MAFF'!AF1039,'Annex 2_Code'!$G$114:$G$126,0)),"")</f>
        <v/>
      </c>
    </row>
    <row r="1040" spans="8:34" s="62" customFormat="1" ht="12.75">
      <c r="H1040"/>
      <c r="I1040" s="576"/>
      <c r="S1040" s="1172"/>
      <c r="Y1040" s="69"/>
      <c r="AD1040" s="361"/>
      <c r="AE1040" s="361"/>
      <c r="AF1040" s="320"/>
      <c r="AG1040" s="320"/>
      <c r="AH1040" s="314" t="str">
        <f>IFERROR(INDEX('Annex 2_Code'!$J$114:$J$126,MATCH('Annex 3_MAFF'!AF1040,'Annex 2_Code'!$G$114:$G$126,0)),"")</f>
        <v/>
      </c>
    </row>
    <row r="1041" spans="8:34" s="62" customFormat="1" ht="12.75">
      <c r="H1041"/>
      <c r="I1041" s="576"/>
      <c r="S1041" s="1172"/>
      <c r="Y1041" s="69"/>
      <c r="AD1041" s="361"/>
      <c r="AE1041" s="361"/>
      <c r="AF1041" s="320"/>
      <c r="AG1041" s="320"/>
      <c r="AH1041" s="314" t="str">
        <f>IFERROR(INDEX('Annex 2_Code'!$J$114:$J$126,MATCH('Annex 3_MAFF'!AF1041,'Annex 2_Code'!$G$114:$G$126,0)),"")</f>
        <v/>
      </c>
    </row>
    <row r="1042" spans="8:34" s="62" customFormat="1" ht="12.75">
      <c r="H1042"/>
      <c r="I1042" s="576"/>
      <c r="S1042" s="1172"/>
      <c r="Y1042" s="69"/>
      <c r="AD1042" s="361"/>
      <c r="AE1042" s="361"/>
      <c r="AF1042" s="320"/>
      <c r="AG1042" s="320"/>
      <c r="AH1042" s="314" t="str">
        <f>IFERROR(INDEX('Annex 2_Code'!$J$114:$J$126,MATCH('Annex 3_MAFF'!AF1042,'Annex 2_Code'!$G$114:$G$126,0)),"")</f>
        <v/>
      </c>
    </row>
    <row r="1043" spans="8:34" s="62" customFormat="1" ht="12.75">
      <c r="H1043"/>
      <c r="I1043" s="576"/>
      <c r="S1043" s="1172"/>
      <c r="Y1043" s="69"/>
      <c r="AD1043" s="361"/>
      <c r="AE1043" s="361"/>
      <c r="AF1043" s="320"/>
      <c r="AG1043" s="320"/>
      <c r="AH1043" s="314" t="str">
        <f>IFERROR(INDEX('Annex 2_Code'!$J$114:$J$126,MATCH('Annex 3_MAFF'!AF1043,'Annex 2_Code'!$G$114:$G$126,0)),"")</f>
        <v/>
      </c>
    </row>
    <row r="1044" spans="8:34" s="62" customFormat="1" ht="12.75">
      <c r="H1044"/>
      <c r="I1044" s="576"/>
      <c r="S1044" s="1172"/>
      <c r="Y1044" s="69"/>
      <c r="AD1044" s="361"/>
      <c r="AE1044" s="361"/>
      <c r="AF1044" s="320"/>
      <c r="AG1044" s="320"/>
      <c r="AH1044" s="314" t="str">
        <f>IFERROR(INDEX('Annex 2_Code'!$J$114:$J$126,MATCH('Annex 3_MAFF'!AF1044,'Annex 2_Code'!$G$114:$G$126,0)),"")</f>
        <v/>
      </c>
    </row>
    <row r="1045" spans="8:34" s="62" customFormat="1" ht="12.75">
      <c r="H1045"/>
      <c r="I1045" s="576"/>
      <c r="S1045" s="1172"/>
      <c r="Y1045" s="69"/>
      <c r="AD1045" s="361"/>
      <c r="AE1045" s="361"/>
      <c r="AF1045" s="320"/>
      <c r="AG1045" s="320"/>
      <c r="AH1045" s="314" t="str">
        <f>IFERROR(INDEX('Annex 2_Code'!$J$114:$J$126,MATCH('Annex 3_MAFF'!AF1045,'Annex 2_Code'!$G$114:$G$126,0)),"")</f>
        <v/>
      </c>
    </row>
    <row r="1046" spans="8:34" s="62" customFormat="1" ht="12.75">
      <c r="H1046"/>
      <c r="I1046" s="576"/>
      <c r="S1046" s="1172"/>
      <c r="Y1046" s="69"/>
      <c r="AD1046" s="361"/>
      <c r="AE1046" s="361"/>
      <c r="AF1046" s="320"/>
      <c r="AG1046" s="320"/>
      <c r="AH1046" s="314" t="str">
        <f>IFERROR(INDEX('Annex 2_Code'!$J$114:$J$126,MATCH('Annex 3_MAFF'!AF1046,'Annex 2_Code'!$G$114:$G$126,0)),"")</f>
        <v/>
      </c>
    </row>
    <row r="1047" spans="8:34" s="62" customFormat="1" ht="12.75">
      <c r="H1047"/>
      <c r="I1047" s="576"/>
      <c r="S1047" s="1172"/>
      <c r="Y1047" s="69"/>
      <c r="AD1047" s="361"/>
      <c r="AE1047" s="361"/>
      <c r="AF1047" s="320"/>
      <c r="AG1047" s="320"/>
      <c r="AH1047" s="314" t="str">
        <f>IFERROR(INDEX('Annex 2_Code'!$J$114:$J$126,MATCH('Annex 3_MAFF'!AF1047,'Annex 2_Code'!$G$114:$G$126,0)),"")</f>
        <v/>
      </c>
    </row>
    <row r="1048" spans="8:34" s="62" customFormat="1" ht="12.75">
      <c r="H1048"/>
      <c r="I1048" s="576"/>
      <c r="S1048" s="1172"/>
      <c r="Y1048" s="69"/>
      <c r="AD1048" s="361"/>
      <c r="AE1048" s="361"/>
      <c r="AF1048" s="320"/>
      <c r="AG1048" s="320"/>
      <c r="AH1048" s="314" t="str">
        <f>IFERROR(INDEX('Annex 2_Code'!$J$114:$J$126,MATCH('Annex 3_MAFF'!AF1048,'Annex 2_Code'!$G$114:$G$126,0)),"")</f>
        <v/>
      </c>
    </row>
    <row r="1049" spans="8:34" s="62" customFormat="1" ht="12.75">
      <c r="H1049"/>
      <c r="I1049" s="576"/>
      <c r="S1049" s="1172"/>
      <c r="Y1049" s="69"/>
      <c r="AD1049" s="361"/>
      <c r="AE1049" s="361"/>
      <c r="AF1049" s="320"/>
      <c r="AG1049" s="320"/>
      <c r="AH1049" s="314" t="str">
        <f>IFERROR(INDEX('Annex 2_Code'!$J$114:$J$126,MATCH('Annex 3_MAFF'!AF1049,'Annex 2_Code'!$G$114:$G$126,0)),"")</f>
        <v/>
      </c>
    </row>
    <row r="1050" spans="8:34" s="62" customFormat="1" ht="12.75">
      <c r="H1050"/>
      <c r="I1050" s="576"/>
      <c r="S1050" s="1172"/>
      <c r="Y1050" s="69"/>
      <c r="AD1050" s="361"/>
      <c r="AE1050" s="361"/>
      <c r="AF1050" s="320"/>
      <c r="AG1050" s="320"/>
      <c r="AH1050" s="314" t="str">
        <f>IFERROR(INDEX('Annex 2_Code'!$J$114:$J$126,MATCH('Annex 3_MAFF'!AF1050,'Annex 2_Code'!$G$114:$G$126,0)),"")</f>
        <v/>
      </c>
    </row>
    <row r="1051" spans="8:34" s="62" customFormat="1" ht="12.75">
      <c r="H1051"/>
      <c r="I1051" s="576"/>
      <c r="S1051" s="1172"/>
      <c r="Y1051" s="69"/>
      <c r="AD1051" s="361"/>
      <c r="AE1051" s="361"/>
      <c r="AF1051" s="320"/>
      <c r="AG1051" s="320"/>
      <c r="AH1051" s="314" t="str">
        <f>IFERROR(INDEX('Annex 2_Code'!$J$114:$J$126,MATCH('Annex 3_MAFF'!AF1051,'Annex 2_Code'!$G$114:$G$126,0)),"")</f>
        <v/>
      </c>
    </row>
    <row r="1052" spans="8:34" s="62" customFormat="1" ht="12.75">
      <c r="H1052"/>
      <c r="I1052" s="576"/>
      <c r="S1052" s="1172"/>
      <c r="Y1052" s="69"/>
      <c r="AD1052" s="361"/>
      <c r="AE1052" s="361"/>
      <c r="AF1052" s="320"/>
      <c r="AG1052" s="320"/>
      <c r="AH1052" s="314" t="str">
        <f>IFERROR(INDEX('Annex 2_Code'!$J$114:$J$126,MATCH('Annex 3_MAFF'!AF1052,'Annex 2_Code'!$G$114:$G$126,0)),"")</f>
        <v/>
      </c>
    </row>
    <row r="1053" spans="8:34" s="62" customFormat="1" ht="12.75">
      <c r="H1053"/>
      <c r="I1053" s="576"/>
      <c r="S1053" s="1172"/>
      <c r="Y1053" s="69"/>
      <c r="AD1053" s="361"/>
      <c r="AE1053" s="361"/>
      <c r="AF1053" s="320"/>
      <c r="AG1053" s="320"/>
      <c r="AH1053" s="314" t="str">
        <f>IFERROR(INDEX('Annex 2_Code'!$J$114:$J$126,MATCH('Annex 3_MAFF'!AF1053,'Annex 2_Code'!$G$114:$G$126,0)),"")</f>
        <v/>
      </c>
    </row>
    <row r="1054" spans="8:34" s="62" customFormat="1" ht="12.75">
      <c r="H1054"/>
      <c r="I1054" s="576"/>
      <c r="S1054" s="1172"/>
      <c r="Y1054" s="69"/>
      <c r="AD1054" s="361"/>
      <c r="AE1054" s="361"/>
      <c r="AF1054" s="320"/>
      <c r="AG1054" s="320"/>
      <c r="AH1054" s="314" t="str">
        <f>IFERROR(INDEX('Annex 2_Code'!$J$114:$J$126,MATCH('Annex 3_MAFF'!AF1054,'Annex 2_Code'!$G$114:$G$126,0)),"")</f>
        <v/>
      </c>
    </row>
    <row r="1055" spans="8:34" s="62" customFormat="1" ht="12.75">
      <c r="H1055"/>
      <c r="I1055" s="576"/>
      <c r="S1055" s="1172"/>
      <c r="Y1055" s="69"/>
      <c r="AD1055" s="361"/>
      <c r="AE1055" s="361"/>
      <c r="AF1055" s="320"/>
      <c r="AG1055" s="320"/>
      <c r="AH1055" s="314" t="str">
        <f>IFERROR(INDEX('Annex 2_Code'!$J$114:$J$126,MATCH('Annex 3_MAFF'!AF1055,'Annex 2_Code'!$G$114:$G$126,0)),"")</f>
        <v/>
      </c>
    </row>
    <row r="1056" spans="8:34" s="62" customFormat="1" ht="12.75">
      <c r="H1056"/>
      <c r="I1056" s="576"/>
      <c r="S1056" s="1172"/>
      <c r="Y1056" s="69"/>
      <c r="AD1056" s="361"/>
      <c r="AE1056" s="361"/>
      <c r="AF1056" s="320"/>
      <c r="AG1056" s="320"/>
      <c r="AH1056" s="314" t="str">
        <f>IFERROR(INDEX('Annex 2_Code'!$J$114:$J$126,MATCH('Annex 3_MAFF'!AF1056,'Annex 2_Code'!$G$114:$G$126,0)),"")</f>
        <v/>
      </c>
    </row>
    <row r="1057" spans="8:34" s="62" customFormat="1" ht="12.75">
      <c r="H1057"/>
      <c r="I1057" s="576"/>
      <c r="S1057" s="1172"/>
      <c r="Y1057" s="69"/>
      <c r="AD1057" s="361"/>
      <c r="AE1057" s="361"/>
      <c r="AF1057" s="320"/>
      <c r="AG1057" s="320"/>
      <c r="AH1057" s="314" t="str">
        <f>IFERROR(INDEX('Annex 2_Code'!$J$114:$J$126,MATCH('Annex 3_MAFF'!AF1057,'Annex 2_Code'!$G$114:$G$126,0)),"")</f>
        <v/>
      </c>
    </row>
    <row r="1058" spans="8:34" s="62" customFormat="1" ht="12.75">
      <c r="H1058"/>
      <c r="I1058" s="576"/>
      <c r="S1058" s="1172"/>
      <c r="Y1058" s="69"/>
      <c r="AD1058" s="361"/>
      <c r="AE1058" s="361"/>
      <c r="AF1058" s="320"/>
      <c r="AG1058" s="320"/>
      <c r="AH1058" s="314" t="str">
        <f>IFERROR(INDEX('Annex 2_Code'!$J$114:$J$126,MATCH('Annex 3_MAFF'!AF1058,'Annex 2_Code'!$G$114:$G$126,0)),"")</f>
        <v/>
      </c>
    </row>
    <row r="1059" spans="8:34" s="62" customFormat="1" ht="12.75">
      <c r="H1059"/>
      <c r="I1059" s="576"/>
      <c r="S1059" s="1172"/>
      <c r="Y1059" s="69"/>
      <c r="AD1059" s="361"/>
      <c r="AE1059" s="361"/>
      <c r="AF1059" s="320"/>
      <c r="AG1059" s="320"/>
      <c r="AH1059" s="314" t="str">
        <f>IFERROR(INDEX('Annex 2_Code'!$J$114:$J$126,MATCH('Annex 3_MAFF'!AF1059,'Annex 2_Code'!$G$114:$G$126,0)),"")</f>
        <v/>
      </c>
    </row>
    <row r="1060" spans="8:34" s="62" customFormat="1" ht="12.75">
      <c r="H1060"/>
      <c r="I1060" s="576"/>
      <c r="S1060" s="1172"/>
      <c r="Y1060" s="69"/>
      <c r="AD1060" s="361"/>
      <c r="AE1060" s="361"/>
      <c r="AF1060" s="320"/>
      <c r="AG1060" s="320"/>
      <c r="AH1060" s="314" t="str">
        <f>IFERROR(INDEX('Annex 2_Code'!$J$114:$J$126,MATCH('Annex 3_MAFF'!AF1060,'Annex 2_Code'!$G$114:$G$126,0)),"")</f>
        <v/>
      </c>
    </row>
    <row r="1061" spans="8:34" s="62" customFormat="1" ht="12.75">
      <c r="H1061"/>
      <c r="I1061" s="576"/>
      <c r="S1061" s="1172"/>
      <c r="Y1061" s="69"/>
      <c r="AD1061" s="361"/>
      <c r="AE1061" s="361"/>
      <c r="AF1061" s="320"/>
      <c r="AG1061" s="320"/>
      <c r="AH1061" s="314" t="str">
        <f>IFERROR(INDEX('Annex 2_Code'!$J$114:$J$126,MATCH('Annex 3_MAFF'!AF1061,'Annex 2_Code'!$G$114:$G$126,0)),"")</f>
        <v/>
      </c>
    </row>
    <row r="1062" spans="8:34" s="62" customFormat="1" ht="12.75">
      <c r="H1062"/>
      <c r="I1062" s="576"/>
      <c r="S1062" s="1172"/>
      <c r="Y1062" s="69"/>
      <c r="AD1062" s="361"/>
      <c r="AE1062" s="361"/>
      <c r="AF1062" s="320"/>
      <c r="AG1062" s="320"/>
      <c r="AH1062" s="314" t="str">
        <f>IFERROR(INDEX('Annex 2_Code'!$J$114:$J$126,MATCH('Annex 3_MAFF'!AF1062,'Annex 2_Code'!$G$114:$G$126,0)),"")</f>
        <v/>
      </c>
    </row>
    <row r="1063" spans="8:34" s="62" customFormat="1" ht="12.75">
      <c r="H1063"/>
      <c r="I1063" s="576"/>
      <c r="S1063" s="1172"/>
      <c r="Y1063" s="69"/>
      <c r="AD1063" s="361"/>
      <c r="AE1063" s="361"/>
      <c r="AF1063" s="320"/>
      <c r="AG1063" s="320"/>
      <c r="AH1063" s="314" t="str">
        <f>IFERROR(INDEX('Annex 2_Code'!$J$114:$J$126,MATCH('Annex 3_MAFF'!AF1063,'Annex 2_Code'!$G$114:$G$126,0)),"")</f>
        <v/>
      </c>
    </row>
    <row r="1064" spans="8:34" s="62" customFormat="1" ht="12.75">
      <c r="H1064"/>
      <c r="I1064" s="576"/>
      <c r="S1064" s="1172"/>
      <c r="Y1064" s="69"/>
      <c r="AD1064" s="361"/>
      <c r="AE1064" s="361"/>
      <c r="AF1064" s="320"/>
      <c r="AG1064" s="320"/>
      <c r="AH1064" s="314" t="str">
        <f>IFERROR(INDEX('Annex 2_Code'!$J$114:$J$126,MATCH('Annex 3_MAFF'!AF1064,'Annex 2_Code'!$G$114:$G$126,0)),"")</f>
        <v/>
      </c>
    </row>
    <row r="1065" spans="8:34" s="62" customFormat="1" ht="12.75">
      <c r="H1065"/>
      <c r="I1065" s="576"/>
      <c r="S1065" s="1172"/>
      <c r="Y1065" s="69"/>
      <c r="AD1065" s="361"/>
      <c r="AE1065" s="361"/>
      <c r="AF1065" s="320"/>
      <c r="AG1065" s="320"/>
      <c r="AH1065" s="314" t="str">
        <f>IFERROR(INDEX('Annex 2_Code'!$J$114:$J$126,MATCH('Annex 3_MAFF'!AF1065,'Annex 2_Code'!$G$114:$G$126,0)),"")</f>
        <v/>
      </c>
    </row>
    <row r="1066" spans="8:34" s="62" customFormat="1" ht="12.75">
      <c r="H1066"/>
      <c r="I1066" s="576"/>
      <c r="S1066" s="1172"/>
      <c r="Y1066" s="69"/>
      <c r="AD1066" s="361"/>
      <c r="AE1066" s="361"/>
      <c r="AF1066" s="320"/>
      <c r="AG1066" s="320"/>
      <c r="AH1066" s="314" t="str">
        <f>IFERROR(INDEX('Annex 2_Code'!$J$114:$J$126,MATCH('Annex 3_MAFF'!AF1066,'Annex 2_Code'!$G$114:$G$126,0)),"")</f>
        <v/>
      </c>
    </row>
    <row r="1067" spans="8:34" s="62" customFormat="1" ht="12.75">
      <c r="H1067"/>
      <c r="I1067" s="576"/>
      <c r="S1067" s="1172"/>
      <c r="Y1067" s="69"/>
      <c r="AD1067" s="361"/>
      <c r="AE1067" s="361"/>
      <c r="AF1067" s="320"/>
      <c r="AG1067" s="320"/>
      <c r="AH1067" s="314" t="str">
        <f>IFERROR(INDEX('Annex 2_Code'!$J$114:$J$126,MATCH('Annex 3_MAFF'!AF1067,'Annex 2_Code'!$G$114:$G$126,0)),"")</f>
        <v/>
      </c>
    </row>
    <row r="1068" spans="8:34" s="62" customFormat="1" ht="12.75">
      <c r="H1068"/>
      <c r="I1068" s="576"/>
      <c r="S1068" s="1172"/>
      <c r="Y1068" s="69"/>
      <c r="AD1068" s="361"/>
      <c r="AE1068" s="361"/>
      <c r="AF1068" s="320"/>
      <c r="AG1068" s="320"/>
      <c r="AH1068" s="314" t="str">
        <f>IFERROR(INDEX('Annex 2_Code'!$J$114:$J$126,MATCH('Annex 3_MAFF'!AF1068,'Annex 2_Code'!$G$114:$G$126,0)),"")</f>
        <v/>
      </c>
    </row>
    <row r="1069" spans="8:34" s="62" customFormat="1" ht="12.75">
      <c r="H1069"/>
      <c r="I1069" s="576"/>
      <c r="S1069" s="1172"/>
      <c r="Y1069" s="69"/>
      <c r="AD1069" s="361"/>
      <c r="AE1069" s="361"/>
      <c r="AF1069" s="320"/>
      <c r="AG1069" s="320"/>
      <c r="AH1069" s="314" t="str">
        <f>IFERROR(INDEX('Annex 2_Code'!$J$114:$J$126,MATCH('Annex 3_MAFF'!AF1069,'Annex 2_Code'!$G$114:$G$126,0)),"")</f>
        <v/>
      </c>
    </row>
    <row r="1070" spans="8:34" s="62" customFormat="1" ht="12.75">
      <c r="H1070"/>
      <c r="I1070" s="576"/>
      <c r="S1070" s="1172"/>
      <c r="Y1070" s="69"/>
      <c r="AD1070" s="361"/>
      <c r="AE1070" s="361"/>
      <c r="AF1070" s="320"/>
      <c r="AG1070" s="320"/>
      <c r="AH1070" s="314" t="str">
        <f>IFERROR(INDEX('Annex 2_Code'!$J$114:$J$126,MATCH('Annex 3_MAFF'!AF1070,'Annex 2_Code'!$G$114:$G$126,0)),"")</f>
        <v/>
      </c>
    </row>
    <row r="1071" spans="8:34" s="62" customFormat="1" ht="12.75">
      <c r="H1071"/>
      <c r="I1071" s="576"/>
      <c r="S1071" s="1172"/>
      <c r="Y1071" s="69"/>
      <c r="AD1071" s="361"/>
      <c r="AE1071" s="361"/>
      <c r="AF1071" s="320"/>
      <c r="AG1071" s="320"/>
      <c r="AH1071" s="314" t="str">
        <f>IFERROR(INDEX('Annex 2_Code'!$J$114:$J$126,MATCH('Annex 3_MAFF'!AF1071,'Annex 2_Code'!$G$114:$G$126,0)),"")</f>
        <v/>
      </c>
    </row>
    <row r="1072" spans="8:34" s="62" customFormat="1" ht="12.75">
      <c r="H1072"/>
      <c r="I1072" s="576"/>
      <c r="S1072" s="1172"/>
      <c r="Y1072" s="69"/>
      <c r="AD1072" s="361"/>
      <c r="AE1072" s="361"/>
      <c r="AF1072" s="320"/>
      <c r="AG1072" s="320"/>
      <c r="AH1072" s="314" t="str">
        <f>IFERROR(INDEX('Annex 2_Code'!$J$114:$J$126,MATCH('Annex 3_MAFF'!AF1072,'Annex 2_Code'!$G$114:$G$126,0)),"")</f>
        <v/>
      </c>
    </row>
    <row r="1073" spans="8:34" s="62" customFormat="1" ht="12.75">
      <c r="H1073"/>
      <c r="I1073" s="576"/>
      <c r="S1073" s="1172"/>
      <c r="Y1073" s="69"/>
      <c r="AD1073" s="361"/>
      <c r="AE1073" s="361"/>
      <c r="AF1073" s="320"/>
      <c r="AG1073" s="320"/>
      <c r="AH1073" s="314" t="str">
        <f>IFERROR(INDEX('Annex 2_Code'!$J$114:$J$126,MATCH('Annex 3_MAFF'!AF1073,'Annex 2_Code'!$G$114:$G$126,0)),"")</f>
        <v/>
      </c>
    </row>
    <row r="1074" spans="8:34" s="62" customFormat="1" ht="12.75">
      <c r="H1074"/>
      <c r="I1074" s="576"/>
      <c r="S1074" s="1172"/>
      <c r="Y1074" s="69"/>
      <c r="AD1074" s="361"/>
      <c r="AE1074" s="361"/>
      <c r="AF1074" s="320"/>
      <c r="AG1074" s="320"/>
      <c r="AH1074" s="314" t="str">
        <f>IFERROR(INDEX('Annex 2_Code'!$J$114:$J$126,MATCH('Annex 3_MAFF'!AF1074,'Annex 2_Code'!$G$114:$G$126,0)),"")</f>
        <v/>
      </c>
    </row>
    <row r="1075" spans="8:34" s="62" customFormat="1" ht="12.75">
      <c r="H1075"/>
      <c r="I1075" s="576"/>
      <c r="S1075" s="1172"/>
      <c r="Y1075" s="69"/>
      <c r="AD1075" s="361"/>
      <c r="AE1075" s="361"/>
      <c r="AF1075" s="320"/>
      <c r="AG1075" s="320"/>
      <c r="AH1075" s="314" t="str">
        <f>IFERROR(INDEX('Annex 2_Code'!$J$114:$J$126,MATCH('Annex 3_MAFF'!AF1075,'Annex 2_Code'!$G$114:$G$126,0)),"")</f>
        <v/>
      </c>
    </row>
    <row r="1076" spans="8:34" s="62" customFormat="1" ht="12.75">
      <c r="H1076"/>
      <c r="I1076" s="576"/>
      <c r="S1076" s="1172"/>
      <c r="Y1076" s="69"/>
      <c r="AD1076" s="361"/>
      <c r="AE1076" s="361"/>
      <c r="AF1076" s="320"/>
      <c r="AG1076" s="320"/>
      <c r="AH1076" s="314" t="str">
        <f>IFERROR(INDEX('Annex 2_Code'!$J$114:$J$126,MATCH('Annex 3_MAFF'!AF1076,'Annex 2_Code'!$G$114:$G$126,0)),"")</f>
        <v/>
      </c>
    </row>
    <row r="1077" spans="8:34" s="62" customFormat="1" ht="12.75">
      <c r="H1077"/>
      <c r="I1077" s="576"/>
      <c r="S1077" s="1172"/>
      <c r="Y1077" s="69"/>
      <c r="AD1077" s="361"/>
      <c r="AE1077" s="361"/>
      <c r="AF1077" s="320"/>
      <c r="AG1077" s="320"/>
      <c r="AH1077" s="314" t="str">
        <f>IFERROR(INDEX('Annex 2_Code'!$J$114:$J$126,MATCH('Annex 3_MAFF'!AF1077,'Annex 2_Code'!$G$114:$G$126,0)),"")</f>
        <v/>
      </c>
    </row>
    <row r="1078" spans="8:34" s="62" customFormat="1" ht="12.75">
      <c r="H1078"/>
      <c r="I1078" s="576"/>
      <c r="S1078" s="1172"/>
      <c r="Y1078" s="69"/>
      <c r="AD1078" s="361"/>
      <c r="AE1078" s="361"/>
      <c r="AF1078" s="320"/>
      <c r="AG1078" s="320"/>
      <c r="AH1078" s="314" t="str">
        <f>IFERROR(INDEX('Annex 2_Code'!$J$114:$J$126,MATCH('Annex 3_MAFF'!AF1078,'Annex 2_Code'!$G$114:$G$126,0)),"")</f>
        <v/>
      </c>
    </row>
    <row r="1079" spans="8:34" s="62" customFormat="1" ht="12.75">
      <c r="H1079"/>
      <c r="I1079" s="576"/>
      <c r="S1079" s="1172"/>
      <c r="Y1079" s="69"/>
      <c r="AD1079" s="361"/>
      <c r="AE1079" s="361"/>
      <c r="AF1079" s="320"/>
      <c r="AG1079" s="320"/>
      <c r="AH1079" s="314" t="str">
        <f>IFERROR(INDEX('Annex 2_Code'!$J$114:$J$126,MATCH('Annex 3_MAFF'!AF1079,'Annex 2_Code'!$G$114:$G$126,0)),"")</f>
        <v/>
      </c>
    </row>
    <row r="1080" spans="8:34" s="62" customFormat="1" ht="12.75">
      <c r="H1080"/>
      <c r="I1080" s="576"/>
      <c r="S1080" s="1172"/>
      <c r="Y1080" s="69"/>
      <c r="AD1080" s="361"/>
      <c r="AE1080" s="361"/>
      <c r="AF1080" s="320"/>
      <c r="AG1080" s="320"/>
      <c r="AH1080" s="314" t="str">
        <f>IFERROR(INDEX('Annex 2_Code'!$J$114:$J$126,MATCH('Annex 3_MAFF'!AF1080,'Annex 2_Code'!$G$114:$G$126,0)),"")</f>
        <v/>
      </c>
    </row>
    <row r="1081" spans="8:34" s="62" customFormat="1" ht="12.75">
      <c r="H1081"/>
      <c r="I1081" s="576"/>
      <c r="S1081" s="1172"/>
      <c r="Y1081" s="69"/>
      <c r="AD1081" s="361"/>
      <c r="AE1081" s="361"/>
      <c r="AF1081" s="320"/>
      <c r="AG1081" s="320"/>
      <c r="AH1081" s="314" t="str">
        <f>IFERROR(INDEX('Annex 2_Code'!$J$114:$J$126,MATCH('Annex 3_MAFF'!AF1081,'Annex 2_Code'!$G$114:$G$126,0)),"")</f>
        <v/>
      </c>
    </row>
    <row r="1082" spans="8:34" s="62" customFormat="1" ht="12.75">
      <c r="H1082"/>
      <c r="I1082" s="576"/>
      <c r="S1082" s="1172"/>
      <c r="Y1082" s="69"/>
      <c r="AD1082" s="361"/>
      <c r="AE1082" s="361"/>
      <c r="AF1082" s="320"/>
      <c r="AG1082" s="320"/>
      <c r="AH1082" s="314" t="str">
        <f>IFERROR(INDEX('Annex 2_Code'!$J$114:$J$126,MATCH('Annex 3_MAFF'!AF1082,'Annex 2_Code'!$G$114:$G$126,0)),"")</f>
        <v/>
      </c>
    </row>
    <row r="1083" spans="8:34" s="62" customFormat="1" ht="12.75">
      <c r="H1083"/>
      <c r="I1083" s="576"/>
      <c r="S1083" s="1172"/>
      <c r="Y1083" s="69"/>
      <c r="AD1083" s="361"/>
      <c r="AE1083" s="361"/>
      <c r="AF1083" s="320"/>
      <c r="AG1083" s="320"/>
      <c r="AH1083" s="314" t="str">
        <f>IFERROR(INDEX('Annex 2_Code'!$J$114:$J$126,MATCH('Annex 3_MAFF'!AF1083,'Annex 2_Code'!$G$114:$G$126,0)),"")</f>
        <v/>
      </c>
    </row>
    <row r="1084" spans="8:34" s="62" customFormat="1" ht="12.75">
      <c r="H1084"/>
      <c r="I1084" s="576"/>
      <c r="S1084" s="1172"/>
      <c r="Y1084" s="69"/>
      <c r="AD1084" s="361"/>
      <c r="AE1084" s="361"/>
      <c r="AF1084" s="320"/>
      <c r="AG1084" s="320"/>
      <c r="AH1084" s="314" t="str">
        <f>IFERROR(INDEX('Annex 2_Code'!$J$114:$J$126,MATCH('Annex 3_MAFF'!AF1084,'Annex 2_Code'!$G$114:$G$126,0)),"")</f>
        <v/>
      </c>
    </row>
    <row r="1085" spans="8:34" s="62" customFormat="1" ht="12.75">
      <c r="H1085"/>
      <c r="I1085" s="576"/>
      <c r="S1085" s="1172"/>
      <c r="Y1085" s="69"/>
      <c r="AD1085" s="361"/>
      <c r="AE1085" s="361"/>
      <c r="AF1085" s="320"/>
      <c r="AG1085" s="320"/>
      <c r="AH1085" s="314" t="str">
        <f>IFERROR(INDEX('Annex 2_Code'!$J$114:$J$126,MATCH('Annex 3_MAFF'!AF1085,'Annex 2_Code'!$G$114:$G$126,0)),"")</f>
        <v/>
      </c>
    </row>
    <row r="1086" spans="8:34" s="62" customFormat="1" ht="12.75">
      <c r="H1086"/>
      <c r="I1086" s="576"/>
      <c r="S1086" s="1172"/>
      <c r="Y1086" s="69"/>
      <c r="AD1086" s="361"/>
      <c r="AE1086" s="361"/>
      <c r="AF1086" s="320"/>
      <c r="AG1086" s="320"/>
      <c r="AH1086" s="314" t="str">
        <f>IFERROR(INDEX('Annex 2_Code'!$J$114:$J$126,MATCH('Annex 3_MAFF'!AF1086,'Annex 2_Code'!$G$114:$G$126,0)),"")</f>
        <v/>
      </c>
    </row>
    <row r="1087" spans="8:34" s="62" customFormat="1" ht="12.75">
      <c r="H1087"/>
      <c r="I1087" s="576"/>
      <c r="S1087" s="1172"/>
      <c r="Y1087" s="69"/>
      <c r="AD1087" s="361"/>
      <c r="AE1087" s="361"/>
      <c r="AF1087" s="320"/>
      <c r="AG1087" s="320"/>
      <c r="AH1087" s="314" t="str">
        <f>IFERROR(INDEX('Annex 2_Code'!$J$114:$J$126,MATCH('Annex 3_MAFF'!AF1087,'Annex 2_Code'!$G$114:$G$126,0)),"")</f>
        <v/>
      </c>
    </row>
    <row r="1088" spans="8:34" s="62" customFormat="1" ht="12.75">
      <c r="H1088"/>
      <c r="I1088" s="576"/>
      <c r="S1088" s="1172"/>
      <c r="Y1088" s="69"/>
      <c r="AD1088" s="361"/>
      <c r="AE1088" s="361"/>
      <c r="AF1088" s="320"/>
      <c r="AG1088" s="320"/>
      <c r="AH1088" s="314" t="str">
        <f>IFERROR(INDEX('Annex 2_Code'!$J$114:$J$126,MATCH('Annex 3_MAFF'!AF1088,'Annex 2_Code'!$G$114:$G$126,0)),"")</f>
        <v/>
      </c>
    </row>
    <row r="1089" spans="8:34" s="62" customFormat="1" ht="12.75">
      <c r="H1089"/>
      <c r="I1089" s="576"/>
      <c r="S1089" s="1172"/>
      <c r="Y1089" s="69"/>
      <c r="AD1089" s="361"/>
      <c r="AE1089" s="361"/>
      <c r="AF1089" s="320"/>
      <c r="AG1089" s="320"/>
      <c r="AH1089" s="314" t="str">
        <f>IFERROR(INDEX('Annex 2_Code'!$J$114:$J$126,MATCH('Annex 3_MAFF'!AF1089,'Annex 2_Code'!$G$114:$G$126,0)),"")</f>
        <v/>
      </c>
    </row>
    <row r="1090" spans="8:34" s="62" customFormat="1" ht="12.75">
      <c r="H1090"/>
      <c r="I1090" s="576"/>
      <c r="S1090" s="1172"/>
      <c r="Y1090" s="69"/>
      <c r="AD1090" s="361"/>
      <c r="AE1090" s="361"/>
      <c r="AF1090" s="320"/>
      <c r="AG1090" s="320"/>
      <c r="AH1090" s="314" t="str">
        <f>IFERROR(INDEX('Annex 2_Code'!$J$114:$J$126,MATCH('Annex 3_MAFF'!AF1090,'Annex 2_Code'!$G$114:$G$126,0)),"")</f>
        <v/>
      </c>
    </row>
    <row r="1091" spans="8:34" s="62" customFormat="1" ht="12.75">
      <c r="H1091"/>
      <c r="I1091" s="576"/>
      <c r="S1091" s="1172"/>
      <c r="Y1091" s="69"/>
      <c r="AD1091" s="361"/>
      <c r="AE1091" s="361"/>
      <c r="AF1091" s="320"/>
      <c r="AG1091" s="320"/>
      <c r="AH1091" s="314" t="str">
        <f>IFERROR(INDEX('Annex 2_Code'!$J$114:$J$126,MATCH('Annex 3_MAFF'!AF1091,'Annex 2_Code'!$G$114:$G$126,0)),"")</f>
        <v/>
      </c>
    </row>
    <row r="1092" spans="8:34" s="62" customFormat="1" ht="12.75">
      <c r="H1092"/>
      <c r="I1092" s="576"/>
      <c r="S1092" s="1172"/>
      <c r="Y1092" s="69"/>
      <c r="AD1092" s="361"/>
      <c r="AE1092" s="361"/>
      <c r="AF1092" s="320"/>
      <c r="AG1092" s="320"/>
      <c r="AH1092" s="314" t="str">
        <f>IFERROR(INDEX('Annex 2_Code'!$J$114:$J$126,MATCH('Annex 3_MAFF'!AF1092,'Annex 2_Code'!$G$114:$G$126,0)),"")</f>
        <v/>
      </c>
    </row>
    <row r="1093" spans="8:34" s="62" customFormat="1" ht="12.75">
      <c r="H1093"/>
      <c r="I1093" s="576"/>
      <c r="S1093" s="1172"/>
      <c r="Y1093" s="69"/>
      <c r="AD1093" s="361"/>
      <c r="AE1093" s="361"/>
      <c r="AF1093" s="320"/>
      <c r="AG1093" s="320"/>
      <c r="AH1093" s="314" t="str">
        <f>IFERROR(INDEX('Annex 2_Code'!$J$114:$J$126,MATCH('Annex 3_MAFF'!AF1093,'Annex 2_Code'!$G$114:$G$126,0)),"")</f>
        <v/>
      </c>
    </row>
    <row r="1094" spans="8:34" s="62" customFormat="1" ht="12.75">
      <c r="H1094"/>
      <c r="I1094" s="576"/>
      <c r="S1094" s="1172"/>
      <c r="Y1094" s="69"/>
      <c r="AD1094" s="361"/>
      <c r="AE1094" s="361"/>
      <c r="AF1094" s="320"/>
      <c r="AG1094" s="320"/>
      <c r="AH1094" s="314" t="str">
        <f>IFERROR(INDEX('Annex 2_Code'!$J$114:$J$126,MATCH('Annex 3_MAFF'!AF1094,'Annex 2_Code'!$G$114:$G$126,0)),"")</f>
        <v/>
      </c>
    </row>
    <row r="1095" spans="8:34" s="62" customFormat="1" ht="12.75">
      <c r="H1095"/>
      <c r="I1095" s="576"/>
      <c r="S1095" s="1172"/>
      <c r="Y1095" s="69"/>
      <c r="AD1095" s="361"/>
      <c r="AE1095" s="361"/>
      <c r="AF1095" s="320"/>
      <c r="AG1095" s="320"/>
      <c r="AH1095" s="314" t="str">
        <f>IFERROR(INDEX('Annex 2_Code'!$J$114:$J$126,MATCH('Annex 3_MAFF'!AF1095,'Annex 2_Code'!$G$114:$G$126,0)),"")</f>
        <v/>
      </c>
    </row>
    <row r="1096" spans="8:34" s="62" customFormat="1" ht="12.75">
      <c r="H1096"/>
      <c r="I1096" s="576"/>
      <c r="S1096" s="1172"/>
      <c r="Y1096" s="69"/>
      <c r="AD1096" s="361"/>
      <c r="AE1096" s="361"/>
      <c r="AF1096" s="320"/>
      <c r="AG1096" s="320"/>
      <c r="AH1096" s="314" t="str">
        <f>IFERROR(INDEX('Annex 2_Code'!$J$114:$J$126,MATCH('Annex 3_MAFF'!AF1096,'Annex 2_Code'!$G$114:$G$126,0)),"")</f>
        <v/>
      </c>
    </row>
    <row r="1097" spans="8:34" s="62" customFormat="1" ht="12.75">
      <c r="H1097"/>
      <c r="I1097" s="576"/>
      <c r="S1097" s="1172"/>
      <c r="Y1097" s="69"/>
      <c r="AD1097" s="361"/>
      <c r="AE1097" s="361"/>
      <c r="AF1097" s="320"/>
      <c r="AG1097" s="320"/>
      <c r="AH1097" s="314" t="str">
        <f>IFERROR(INDEX('Annex 2_Code'!$J$114:$J$126,MATCH('Annex 3_MAFF'!AF1097,'Annex 2_Code'!$G$114:$G$126,0)),"")</f>
        <v/>
      </c>
    </row>
    <row r="1098" spans="8:34" s="62" customFormat="1" ht="12.75">
      <c r="H1098"/>
      <c r="I1098" s="576"/>
      <c r="S1098" s="1172"/>
      <c r="Y1098" s="69"/>
      <c r="AD1098" s="361"/>
      <c r="AE1098" s="361"/>
      <c r="AF1098" s="320"/>
      <c r="AG1098" s="320"/>
      <c r="AH1098" s="314" t="str">
        <f>IFERROR(INDEX('Annex 2_Code'!$J$114:$J$126,MATCH('Annex 3_MAFF'!AF1098,'Annex 2_Code'!$G$114:$G$126,0)),"")</f>
        <v/>
      </c>
    </row>
    <row r="1099" spans="8:34" s="62" customFormat="1" ht="12.75">
      <c r="H1099"/>
      <c r="I1099" s="576"/>
      <c r="S1099" s="1172"/>
      <c r="Y1099" s="69"/>
      <c r="AD1099" s="361"/>
      <c r="AE1099" s="361"/>
      <c r="AF1099" s="320"/>
      <c r="AG1099" s="320"/>
      <c r="AH1099" s="314" t="str">
        <f>IFERROR(INDEX('Annex 2_Code'!$J$114:$J$126,MATCH('Annex 3_MAFF'!AF1099,'Annex 2_Code'!$G$114:$G$126,0)),"")</f>
        <v/>
      </c>
    </row>
    <row r="1100" spans="8:34" s="62" customFormat="1" ht="12.75">
      <c r="H1100"/>
      <c r="I1100" s="576"/>
      <c r="S1100" s="1172"/>
      <c r="Y1100" s="69"/>
      <c r="AD1100" s="361"/>
      <c r="AE1100" s="361"/>
      <c r="AF1100" s="320"/>
      <c r="AG1100" s="320"/>
      <c r="AH1100" s="314" t="str">
        <f>IFERROR(INDEX('Annex 2_Code'!$J$114:$J$126,MATCH('Annex 3_MAFF'!AF1100,'Annex 2_Code'!$G$114:$G$126,0)),"")</f>
        <v/>
      </c>
    </row>
    <row r="1101" spans="8:34" s="62" customFormat="1" ht="12.75">
      <c r="H1101"/>
      <c r="I1101" s="576"/>
      <c r="S1101" s="1172"/>
      <c r="Y1101" s="69"/>
      <c r="AD1101" s="361"/>
      <c r="AE1101" s="361"/>
      <c r="AF1101" s="320"/>
      <c r="AG1101" s="320"/>
      <c r="AH1101" s="314" t="str">
        <f>IFERROR(INDEX('Annex 2_Code'!$J$114:$J$126,MATCH('Annex 3_MAFF'!AF1101,'Annex 2_Code'!$G$114:$G$126,0)),"")</f>
        <v/>
      </c>
    </row>
    <row r="1102" spans="8:34" s="62" customFormat="1" ht="12.75">
      <c r="H1102"/>
      <c r="I1102" s="576"/>
      <c r="S1102" s="1172"/>
      <c r="Y1102" s="69"/>
      <c r="AD1102" s="361"/>
      <c r="AE1102" s="361"/>
      <c r="AF1102" s="320"/>
      <c r="AG1102" s="320"/>
      <c r="AH1102" s="314" t="str">
        <f>IFERROR(INDEX('Annex 2_Code'!$J$114:$J$126,MATCH('Annex 3_MAFF'!AF1102,'Annex 2_Code'!$G$114:$G$126,0)),"")</f>
        <v/>
      </c>
    </row>
    <row r="1103" spans="8:34" s="62" customFormat="1" ht="12.75">
      <c r="H1103"/>
      <c r="I1103" s="576"/>
      <c r="S1103" s="1172"/>
      <c r="Y1103" s="69"/>
      <c r="AD1103" s="361"/>
      <c r="AE1103" s="361"/>
      <c r="AF1103" s="320"/>
      <c r="AG1103" s="320"/>
      <c r="AH1103" s="314" t="str">
        <f>IFERROR(INDEX('Annex 2_Code'!$J$114:$J$126,MATCH('Annex 3_MAFF'!AF1103,'Annex 2_Code'!$G$114:$G$126,0)),"")</f>
        <v/>
      </c>
    </row>
    <row r="1104" spans="8:34" s="62" customFormat="1" ht="12.75">
      <c r="H1104"/>
      <c r="I1104" s="576"/>
      <c r="S1104" s="1172"/>
      <c r="Y1104" s="69"/>
      <c r="AD1104" s="361"/>
      <c r="AE1104" s="361"/>
      <c r="AF1104" s="320"/>
      <c r="AG1104" s="320"/>
      <c r="AH1104" s="314" t="str">
        <f>IFERROR(INDEX('Annex 2_Code'!$J$114:$J$126,MATCH('Annex 3_MAFF'!AF1104,'Annex 2_Code'!$G$114:$G$126,0)),"")</f>
        <v/>
      </c>
    </row>
    <row r="1105" spans="8:34" s="62" customFormat="1" ht="12.75">
      <c r="H1105"/>
      <c r="I1105" s="576"/>
      <c r="S1105" s="1172"/>
      <c r="Y1105" s="69"/>
      <c r="AD1105" s="361"/>
      <c r="AE1105" s="361"/>
      <c r="AF1105" s="320"/>
      <c r="AG1105" s="320"/>
      <c r="AH1105" s="314" t="str">
        <f>IFERROR(INDEX('Annex 2_Code'!$J$114:$J$126,MATCH('Annex 3_MAFF'!AF1105,'Annex 2_Code'!$G$114:$G$126,0)),"")</f>
        <v/>
      </c>
    </row>
    <row r="1106" spans="8:34" s="62" customFormat="1" ht="12.75">
      <c r="H1106"/>
      <c r="I1106" s="576"/>
      <c r="S1106" s="1172"/>
      <c r="Y1106" s="69"/>
      <c r="AD1106" s="361"/>
      <c r="AE1106" s="361"/>
      <c r="AF1106" s="320"/>
      <c r="AG1106" s="320"/>
      <c r="AH1106" s="314" t="str">
        <f>IFERROR(INDEX('Annex 2_Code'!$J$114:$J$126,MATCH('Annex 3_MAFF'!AF1106,'Annex 2_Code'!$G$114:$G$126,0)),"")</f>
        <v/>
      </c>
    </row>
    <row r="1107" spans="8:34" s="62" customFormat="1" ht="12.75">
      <c r="H1107"/>
      <c r="I1107" s="576"/>
      <c r="S1107" s="1172"/>
      <c r="Y1107" s="69"/>
      <c r="AD1107" s="361"/>
      <c r="AE1107" s="361"/>
      <c r="AF1107" s="320"/>
      <c r="AG1107" s="320"/>
      <c r="AH1107" s="314" t="str">
        <f>IFERROR(INDEX('Annex 2_Code'!$J$114:$J$126,MATCH('Annex 3_MAFF'!AF1107,'Annex 2_Code'!$G$114:$G$126,0)),"")</f>
        <v/>
      </c>
    </row>
    <row r="1108" spans="8:34" s="62" customFormat="1" ht="12.75">
      <c r="H1108"/>
      <c r="I1108" s="576"/>
      <c r="S1108" s="1172"/>
      <c r="Y1108" s="69"/>
      <c r="AD1108" s="361"/>
      <c r="AE1108" s="361"/>
      <c r="AF1108" s="320"/>
      <c r="AG1108" s="320"/>
      <c r="AH1108" s="314" t="str">
        <f>IFERROR(INDEX('Annex 2_Code'!$J$114:$J$126,MATCH('Annex 3_MAFF'!AF1108,'Annex 2_Code'!$G$114:$G$126,0)),"")</f>
        <v/>
      </c>
    </row>
    <row r="1109" spans="8:34" s="62" customFormat="1" ht="12.75">
      <c r="H1109"/>
      <c r="I1109" s="576"/>
      <c r="S1109" s="1172"/>
      <c r="Y1109" s="69"/>
      <c r="AD1109" s="361"/>
      <c r="AE1109" s="361"/>
      <c r="AF1109" s="320"/>
      <c r="AG1109" s="320"/>
      <c r="AH1109" s="314" t="str">
        <f>IFERROR(INDEX('Annex 2_Code'!$J$114:$J$126,MATCH('Annex 3_MAFF'!AF1109,'Annex 2_Code'!$G$114:$G$126,0)),"")</f>
        <v/>
      </c>
    </row>
    <row r="1110" spans="8:34" s="62" customFormat="1" ht="12.75">
      <c r="H1110"/>
      <c r="I1110" s="576"/>
      <c r="S1110" s="1172"/>
      <c r="Y1110" s="69"/>
      <c r="AD1110" s="361"/>
      <c r="AE1110" s="361"/>
      <c r="AF1110" s="320"/>
      <c r="AG1110" s="320"/>
      <c r="AH1110" s="314" t="str">
        <f>IFERROR(INDEX('Annex 2_Code'!$J$114:$J$126,MATCH('Annex 3_MAFF'!AF1110,'Annex 2_Code'!$G$114:$G$126,0)),"")</f>
        <v/>
      </c>
    </row>
    <row r="1111" spans="8:34" s="62" customFormat="1" ht="12.75">
      <c r="H1111"/>
      <c r="I1111" s="576"/>
      <c r="S1111" s="1172"/>
      <c r="Y1111" s="69"/>
      <c r="AD1111" s="361"/>
      <c r="AE1111" s="361"/>
      <c r="AF1111" s="320"/>
      <c r="AG1111" s="320"/>
      <c r="AH1111" s="314" t="str">
        <f>IFERROR(INDEX('Annex 2_Code'!$J$114:$J$126,MATCH('Annex 3_MAFF'!AF1111,'Annex 2_Code'!$G$114:$G$126,0)),"")</f>
        <v/>
      </c>
    </row>
    <row r="1112" spans="8:34" s="62" customFormat="1" ht="12.75">
      <c r="H1112"/>
      <c r="I1112" s="576"/>
      <c r="S1112" s="1172"/>
      <c r="Y1112" s="69"/>
      <c r="AD1112" s="361"/>
      <c r="AE1112" s="361"/>
      <c r="AF1112" s="320"/>
      <c r="AG1112" s="320"/>
      <c r="AH1112" s="314" t="str">
        <f>IFERROR(INDEX('Annex 2_Code'!$J$114:$J$126,MATCH('Annex 3_MAFF'!AF1112,'Annex 2_Code'!$G$114:$G$126,0)),"")</f>
        <v/>
      </c>
    </row>
    <row r="1113" spans="8:34" s="62" customFormat="1" ht="12.75">
      <c r="H1113"/>
      <c r="I1113" s="576"/>
      <c r="S1113" s="1172"/>
      <c r="Y1113" s="69"/>
      <c r="AD1113" s="361"/>
      <c r="AE1113" s="361"/>
      <c r="AF1113" s="320"/>
      <c r="AG1113" s="320"/>
      <c r="AH1113" s="314" t="str">
        <f>IFERROR(INDEX('Annex 2_Code'!$J$114:$J$126,MATCH('Annex 3_MAFF'!AF1113,'Annex 2_Code'!$G$114:$G$126,0)),"")</f>
        <v/>
      </c>
    </row>
    <row r="1114" spans="8:34" s="62" customFormat="1" ht="12.75">
      <c r="H1114"/>
      <c r="I1114" s="576"/>
      <c r="S1114" s="1172"/>
      <c r="Y1114" s="69"/>
      <c r="AD1114" s="361"/>
      <c r="AE1114" s="361"/>
      <c r="AF1114" s="320"/>
      <c r="AG1114" s="320"/>
      <c r="AH1114" s="314" t="str">
        <f>IFERROR(INDEX('Annex 2_Code'!$J$114:$J$126,MATCH('Annex 3_MAFF'!AF1114,'Annex 2_Code'!$G$114:$G$126,0)),"")</f>
        <v/>
      </c>
    </row>
    <row r="1115" spans="8:34" s="62" customFormat="1" ht="12.75">
      <c r="H1115"/>
      <c r="I1115" s="576"/>
      <c r="S1115" s="1172"/>
      <c r="Y1115" s="69"/>
      <c r="AD1115" s="361"/>
      <c r="AE1115" s="361"/>
      <c r="AF1115" s="320"/>
      <c r="AG1115" s="320"/>
      <c r="AH1115" s="314" t="str">
        <f>IFERROR(INDEX('Annex 2_Code'!$J$114:$J$126,MATCH('Annex 3_MAFF'!AF1115,'Annex 2_Code'!$G$114:$G$126,0)),"")</f>
        <v/>
      </c>
    </row>
    <row r="1116" spans="8:34" s="62" customFormat="1" ht="12.75">
      <c r="H1116"/>
      <c r="I1116" s="576"/>
      <c r="S1116" s="1172"/>
      <c r="Y1116" s="69"/>
      <c r="AD1116" s="361"/>
      <c r="AE1116" s="361"/>
      <c r="AF1116" s="320"/>
      <c r="AG1116" s="320"/>
      <c r="AH1116" s="314" t="str">
        <f>IFERROR(INDEX('Annex 2_Code'!$J$114:$J$126,MATCH('Annex 3_MAFF'!AF1116,'Annex 2_Code'!$G$114:$G$126,0)),"")</f>
        <v/>
      </c>
    </row>
    <row r="1117" spans="8:34" s="62" customFormat="1" ht="12.75">
      <c r="H1117"/>
      <c r="I1117" s="576"/>
      <c r="S1117" s="1172"/>
      <c r="Y1117" s="69"/>
      <c r="AD1117" s="361"/>
      <c r="AE1117" s="361"/>
      <c r="AF1117" s="320"/>
      <c r="AG1117" s="320"/>
      <c r="AH1117" s="314" t="str">
        <f>IFERROR(INDEX('Annex 2_Code'!$J$114:$J$126,MATCH('Annex 3_MAFF'!AF1117,'Annex 2_Code'!$G$114:$G$126,0)),"")</f>
        <v/>
      </c>
    </row>
    <row r="1118" spans="8:34" s="62" customFormat="1" ht="12.75">
      <c r="H1118"/>
      <c r="I1118" s="576"/>
      <c r="S1118" s="1172"/>
      <c r="Y1118" s="69"/>
      <c r="AD1118" s="361"/>
      <c r="AE1118" s="361"/>
      <c r="AF1118" s="320"/>
      <c r="AG1118" s="320"/>
      <c r="AH1118" s="314" t="str">
        <f>IFERROR(INDEX('Annex 2_Code'!$J$114:$J$126,MATCH('Annex 3_MAFF'!AF1118,'Annex 2_Code'!$G$114:$G$126,0)),"")</f>
        <v/>
      </c>
    </row>
    <row r="1119" spans="8:34" s="62" customFormat="1" ht="12.75">
      <c r="H1119"/>
      <c r="I1119" s="576"/>
      <c r="S1119" s="1172"/>
      <c r="Y1119" s="69"/>
      <c r="AD1119" s="361"/>
      <c r="AE1119" s="361"/>
      <c r="AF1119" s="320"/>
      <c r="AG1119" s="320"/>
      <c r="AH1119" s="314" t="str">
        <f>IFERROR(INDEX('Annex 2_Code'!$J$114:$J$126,MATCH('Annex 3_MAFF'!AF1119,'Annex 2_Code'!$G$114:$G$126,0)),"")</f>
        <v/>
      </c>
    </row>
    <row r="1120" spans="8:34" s="62" customFormat="1" ht="12.75">
      <c r="H1120"/>
      <c r="I1120" s="576"/>
      <c r="S1120" s="1172"/>
      <c r="Y1120" s="69"/>
      <c r="AD1120" s="361"/>
      <c r="AE1120" s="361"/>
      <c r="AF1120" s="320"/>
      <c r="AG1120" s="320"/>
      <c r="AH1120" s="314" t="str">
        <f>IFERROR(INDEX('Annex 2_Code'!$J$114:$J$126,MATCH('Annex 3_MAFF'!AF1120,'Annex 2_Code'!$G$114:$G$126,0)),"")</f>
        <v/>
      </c>
    </row>
    <row r="1121" spans="8:34" s="62" customFormat="1" ht="12.75">
      <c r="H1121"/>
      <c r="I1121" s="576"/>
      <c r="S1121" s="1172"/>
      <c r="Y1121" s="69"/>
      <c r="AD1121" s="361"/>
      <c r="AE1121" s="361"/>
      <c r="AF1121" s="320"/>
      <c r="AG1121" s="320"/>
      <c r="AH1121" s="314" t="str">
        <f>IFERROR(INDEX('Annex 2_Code'!$J$114:$J$126,MATCH('Annex 3_MAFF'!AF1121,'Annex 2_Code'!$G$114:$G$126,0)),"")</f>
        <v/>
      </c>
    </row>
    <row r="1122" spans="8:34" s="62" customFormat="1" ht="12.75">
      <c r="H1122"/>
      <c r="I1122" s="576"/>
      <c r="S1122" s="1172"/>
      <c r="Y1122" s="69"/>
      <c r="AD1122" s="361"/>
      <c r="AE1122" s="361"/>
      <c r="AF1122" s="320"/>
      <c r="AG1122" s="320"/>
      <c r="AH1122" s="314" t="str">
        <f>IFERROR(INDEX('Annex 2_Code'!$J$114:$J$126,MATCH('Annex 3_MAFF'!AF1122,'Annex 2_Code'!$G$114:$G$126,0)),"")</f>
        <v/>
      </c>
    </row>
    <row r="1123" spans="8:34" s="62" customFormat="1" ht="12.75">
      <c r="H1123"/>
      <c r="I1123" s="576"/>
      <c r="S1123" s="1172"/>
      <c r="Y1123" s="69"/>
      <c r="AD1123" s="361"/>
      <c r="AE1123" s="361"/>
      <c r="AF1123" s="320"/>
      <c r="AG1123" s="320"/>
      <c r="AH1123" s="314" t="str">
        <f>IFERROR(INDEX('Annex 2_Code'!$J$114:$J$126,MATCH('Annex 3_MAFF'!AF1123,'Annex 2_Code'!$G$114:$G$126,0)),"")</f>
        <v/>
      </c>
    </row>
    <row r="1124" spans="8:34" s="62" customFormat="1" ht="12.75">
      <c r="H1124"/>
      <c r="I1124" s="576"/>
      <c r="S1124" s="1172"/>
      <c r="Y1124" s="69"/>
      <c r="AD1124" s="361"/>
      <c r="AE1124" s="361"/>
      <c r="AF1124" s="320"/>
      <c r="AG1124" s="320"/>
      <c r="AH1124" s="314" t="str">
        <f>IFERROR(INDEX('Annex 2_Code'!$J$114:$J$126,MATCH('Annex 3_MAFF'!AF1124,'Annex 2_Code'!$G$114:$G$126,0)),"")</f>
        <v/>
      </c>
    </row>
    <row r="1125" spans="8:34" s="62" customFormat="1" ht="12.75">
      <c r="H1125"/>
      <c r="I1125" s="576"/>
      <c r="S1125" s="1172"/>
      <c r="Y1125" s="69"/>
      <c r="AD1125" s="361"/>
      <c r="AE1125" s="361"/>
      <c r="AF1125" s="320"/>
      <c r="AG1125" s="320"/>
      <c r="AH1125" s="314" t="str">
        <f>IFERROR(INDEX('Annex 2_Code'!$J$114:$J$126,MATCH('Annex 3_MAFF'!AF1125,'Annex 2_Code'!$G$114:$G$126,0)),"")</f>
        <v/>
      </c>
    </row>
    <row r="1126" spans="8:34" s="62" customFormat="1" ht="12.75">
      <c r="H1126"/>
      <c r="I1126" s="576"/>
      <c r="S1126" s="1172"/>
      <c r="Y1126" s="69"/>
      <c r="AD1126" s="361"/>
      <c r="AE1126" s="361"/>
      <c r="AF1126" s="320"/>
      <c r="AG1126" s="320"/>
      <c r="AH1126" s="314" t="str">
        <f>IFERROR(INDEX('Annex 2_Code'!$J$114:$J$126,MATCH('Annex 3_MAFF'!AF1126,'Annex 2_Code'!$G$114:$G$126,0)),"")</f>
        <v/>
      </c>
    </row>
    <row r="1127" spans="8:34" s="62" customFormat="1" ht="12.75">
      <c r="H1127"/>
      <c r="I1127" s="576"/>
      <c r="S1127" s="1172"/>
      <c r="Y1127" s="69"/>
      <c r="AD1127" s="361"/>
      <c r="AE1127" s="361"/>
      <c r="AF1127" s="320"/>
      <c r="AG1127" s="320"/>
      <c r="AH1127" s="314" t="str">
        <f>IFERROR(INDEX('Annex 2_Code'!$J$114:$J$126,MATCH('Annex 3_MAFF'!AF1127,'Annex 2_Code'!$G$114:$G$126,0)),"")</f>
        <v/>
      </c>
    </row>
    <row r="1128" spans="8:34" s="62" customFormat="1" ht="12.75">
      <c r="H1128"/>
      <c r="I1128" s="576"/>
      <c r="S1128" s="1172"/>
      <c r="Y1128" s="69"/>
      <c r="AD1128" s="361"/>
      <c r="AE1128" s="361"/>
      <c r="AF1128" s="320"/>
      <c r="AG1128" s="320"/>
      <c r="AH1128" s="314" t="str">
        <f>IFERROR(INDEX('Annex 2_Code'!$J$114:$J$126,MATCH('Annex 3_MAFF'!AF1128,'Annex 2_Code'!$G$114:$G$126,0)),"")</f>
        <v/>
      </c>
    </row>
    <row r="1129" spans="8:34" s="62" customFormat="1" ht="12.75">
      <c r="H1129"/>
      <c r="I1129" s="576"/>
      <c r="S1129" s="1172"/>
      <c r="Y1129" s="69"/>
      <c r="AD1129" s="361"/>
      <c r="AE1129" s="361"/>
      <c r="AF1129" s="320"/>
      <c r="AG1129" s="320"/>
      <c r="AH1129" s="314" t="str">
        <f>IFERROR(INDEX('Annex 2_Code'!$J$114:$J$126,MATCH('Annex 3_MAFF'!AF1129,'Annex 2_Code'!$G$114:$G$126,0)),"")</f>
        <v/>
      </c>
    </row>
    <row r="1130" spans="8:34" s="62" customFormat="1" ht="12.75">
      <c r="H1130"/>
      <c r="I1130" s="576"/>
      <c r="S1130" s="1172"/>
      <c r="Y1130" s="69"/>
      <c r="AD1130" s="361"/>
      <c r="AE1130" s="361"/>
      <c r="AF1130" s="320"/>
      <c r="AG1130" s="320"/>
      <c r="AH1130" s="314" t="str">
        <f>IFERROR(INDEX('Annex 2_Code'!$J$114:$J$126,MATCH('Annex 3_MAFF'!AF1130,'Annex 2_Code'!$G$114:$G$126,0)),"")</f>
        <v/>
      </c>
    </row>
    <row r="1131" spans="8:34" s="62" customFormat="1" ht="12.75">
      <c r="H1131"/>
      <c r="I1131" s="576"/>
      <c r="S1131" s="1172"/>
      <c r="Y1131" s="69"/>
      <c r="AD1131" s="361"/>
      <c r="AE1131" s="361"/>
      <c r="AF1131" s="320"/>
      <c r="AG1131" s="320"/>
      <c r="AH1131" s="314" t="str">
        <f>IFERROR(INDEX('Annex 2_Code'!$J$114:$J$126,MATCH('Annex 3_MAFF'!AF1131,'Annex 2_Code'!$G$114:$G$126,0)),"")</f>
        <v/>
      </c>
    </row>
    <row r="1132" spans="8:34" s="62" customFormat="1" ht="12.75">
      <c r="H1132"/>
      <c r="I1132" s="576"/>
      <c r="S1132" s="1172"/>
      <c r="Y1132" s="69"/>
      <c r="AD1132" s="361"/>
      <c r="AE1132" s="361"/>
      <c r="AF1132" s="320"/>
      <c r="AG1132" s="320"/>
      <c r="AH1132" s="314" t="str">
        <f>IFERROR(INDEX('Annex 2_Code'!$J$114:$J$126,MATCH('Annex 3_MAFF'!AF1132,'Annex 2_Code'!$G$114:$G$126,0)),"")</f>
        <v/>
      </c>
    </row>
    <row r="1133" spans="8:34" s="62" customFormat="1" ht="12.75">
      <c r="H1133"/>
      <c r="I1133" s="576"/>
      <c r="S1133" s="1172"/>
      <c r="Y1133" s="69"/>
      <c r="AD1133" s="361"/>
      <c r="AE1133" s="361"/>
      <c r="AF1133" s="320"/>
      <c r="AG1133" s="320"/>
      <c r="AH1133" s="314" t="str">
        <f>IFERROR(INDEX('Annex 2_Code'!$J$114:$J$126,MATCH('Annex 3_MAFF'!AF1133,'Annex 2_Code'!$G$114:$G$126,0)),"")</f>
        <v/>
      </c>
    </row>
    <row r="1134" spans="8:34" s="62" customFormat="1" ht="12.75">
      <c r="H1134"/>
      <c r="I1134" s="576"/>
      <c r="S1134" s="1172"/>
      <c r="Y1134" s="69"/>
      <c r="AD1134" s="361"/>
      <c r="AE1134" s="361"/>
      <c r="AF1134" s="320"/>
      <c r="AG1134" s="320"/>
      <c r="AH1134" s="314" t="str">
        <f>IFERROR(INDEX('Annex 2_Code'!$J$114:$J$126,MATCH('Annex 3_MAFF'!AF1134,'Annex 2_Code'!$G$114:$G$126,0)),"")</f>
        <v/>
      </c>
    </row>
    <row r="1135" spans="8:34" s="62" customFormat="1" ht="12.75">
      <c r="H1135"/>
      <c r="I1135" s="576"/>
      <c r="S1135" s="1172"/>
      <c r="Y1135" s="69"/>
      <c r="AD1135" s="361"/>
      <c r="AE1135" s="361"/>
      <c r="AF1135" s="320"/>
      <c r="AG1135" s="320"/>
      <c r="AH1135" s="314" t="str">
        <f>IFERROR(INDEX('Annex 2_Code'!$J$114:$J$126,MATCH('Annex 3_MAFF'!AF1135,'Annex 2_Code'!$G$114:$G$126,0)),"")</f>
        <v/>
      </c>
    </row>
    <row r="1136" spans="8:34" s="62" customFormat="1" ht="12.75">
      <c r="H1136"/>
      <c r="I1136" s="576"/>
      <c r="S1136" s="1172"/>
      <c r="Y1136" s="69"/>
      <c r="AD1136" s="361"/>
      <c r="AE1136" s="361"/>
      <c r="AF1136" s="320"/>
      <c r="AG1136" s="320"/>
      <c r="AH1136" s="314" t="str">
        <f>IFERROR(INDEX('Annex 2_Code'!$J$114:$J$126,MATCH('Annex 3_MAFF'!AF1136,'Annex 2_Code'!$G$114:$G$126,0)),"")</f>
        <v/>
      </c>
    </row>
    <row r="1137" spans="8:34" s="62" customFormat="1" ht="12.75">
      <c r="H1137"/>
      <c r="I1137" s="576"/>
      <c r="S1137" s="1172"/>
      <c r="Y1137" s="69"/>
      <c r="AD1137" s="361"/>
      <c r="AE1137" s="361"/>
      <c r="AF1137" s="320"/>
      <c r="AG1137" s="320"/>
      <c r="AH1137" s="314" t="str">
        <f>IFERROR(INDEX('Annex 2_Code'!$J$114:$J$126,MATCH('Annex 3_MAFF'!AF1137,'Annex 2_Code'!$G$114:$G$126,0)),"")</f>
        <v/>
      </c>
    </row>
    <row r="1138" spans="8:34" s="62" customFormat="1" ht="12.75">
      <c r="H1138"/>
      <c r="I1138" s="576"/>
      <c r="S1138" s="1172"/>
      <c r="Y1138" s="69"/>
      <c r="AD1138" s="361"/>
      <c r="AE1138" s="361"/>
      <c r="AF1138" s="320"/>
      <c r="AG1138" s="320"/>
      <c r="AH1138" s="314" t="str">
        <f>IFERROR(INDEX('Annex 2_Code'!$J$114:$J$126,MATCH('Annex 3_MAFF'!AF1138,'Annex 2_Code'!$G$114:$G$126,0)),"")</f>
        <v/>
      </c>
    </row>
    <row r="1139" spans="8:34" s="62" customFormat="1" ht="12.75">
      <c r="H1139"/>
      <c r="I1139" s="576"/>
      <c r="S1139" s="1172"/>
      <c r="Y1139" s="69"/>
      <c r="AD1139" s="361"/>
      <c r="AE1139" s="361"/>
      <c r="AF1139" s="320"/>
      <c r="AG1139" s="320"/>
      <c r="AH1139" s="314" t="str">
        <f>IFERROR(INDEX('Annex 2_Code'!$J$114:$J$126,MATCH('Annex 3_MAFF'!AF1139,'Annex 2_Code'!$G$114:$G$126,0)),"")</f>
        <v/>
      </c>
    </row>
    <row r="1140" spans="8:34" s="62" customFormat="1" ht="12.75">
      <c r="H1140"/>
      <c r="I1140" s="576"/>
      <c r="S1140" s="1172"/>
      <c r="Y1140" s="69"/>
      <c r="AD1140" s="361"/>
      <c r="AE1140" s="361"/>
      <c r="AF1140" s="320"/>
      <c r="AG1140" s="320"/>
      <c r="AH1140" s="314" t="str">
        <f>IFERROR(INDEX('Annex 2_Code'!$J$114:$J$126,MATCH('Annex 3_MAFF'!AF1140,'Annex 2_Code'!$G$114:$G$126,0)),"")</f>
        <v/>
      </c>
    </row>
    <row r="1141" spans="8:34" s="62" customFormat="1" ht="12.75">
      <c r="H1141"/>
      <c r="I1141" s="576"/>
      <c r="S1141" s="1172"/>
      <c r="Y1141" s="69"/>
      <c r="AD1141" s="361"/>
      <c r="AE1141" s="361"/>
      <c r="AF1141" s="320"/>
      <c r="AG1141" s="320"/>
      <c r="AH1141" s="314" t="str">
        <f>IFERROR(INDEX('Annex 2_Code'!$J$114:$J$126,MATCH('Annex 3_MAFF'!AF1141,'Annex 2_Code'!$G$114:$G$126,0)),"")</f>
        <v/>
      </c>
    </row>
    <row r="1142" spans="8:34" s="62" customFormat="1" ht="12.75">
      <c r="H1142"/>
      <c r="I1142" s="576"/>
      <c r="S1142" s="1172"/>
      <c r="Y1142" s="69"/>
      <c r="AD1142" s="361"/>
      <c r="AE1142" s="361"/>
      <c r="AF1142" s="320"/>
      <c r="AG1142" s="320"/>
      <c r="AH1142" s="314" t="str">
        <f>IFERROR(INDEX('Annex 2_Code'!$J$114:$J$126,MATCH('Annex 3_MAFF'!AF1142,'Annex 2_Code'!$G$114:$G$126,0)),"")</f>
        <v/>
      </c>
    </row>
    <row r="1143" spans="8:34" s="62" customFormat="1" ht="12.75">
      <c r="H1143"/>
      <c r="I1143" s="576"/>
      <c r="S1143" s="1172"/>
      <c r="Y1143" s="69"/>
      <c r="AD1143" s="361"/>
      <c r="AE1143" s="361"/>
      <c r="AF1143" s="320"/>
      <c r="AG1143" s="320"/>
      <c r="AH1143" s="314" t="str">
        <f>IFERROR(INDEX('Annex 2_Code'!$J$114:$J$126,MATCH('Annex 3_MAFF'!AF1143,'Annex 2_Code'!$G$114:$G$126,0)),"")</f>
        <v/>
      </c>
    </row>
    <row r="1144" spans="8:34" s="62" customFormat="1" ht="12.75">
      <c r="H1144"/>
      <c r="I1144" s="576"/>
      <c r="S1144" s="1172"/>
      <c r="Y1144" s="69"/>
      <c r="AD1144" s="361"/>
      <c r="AE1144" s="361"/>
      <c r="AF1144" s="320"/>
      <c r="AG1144" s="320"/>
      <c r="AH1144" s="314" t="str">
        <f>IFERROR(INDEX('Annex 2_Code'!$J$114:$J$126,MATCH('Annex 3_MAFF'!AF1144,'Annex 2_Code'!$G$114:$G$126,0)),"")</f>
        <v/>
      </c>
    </row>
    <row r="1145" spans="8:34" s="62" customFormat="1" ht="12.75">
      <c r="H1145"/>
      <c r="I1145" s="576"/>
      <c r="S1145" s="1172"/>
      <c r="Y1145" s="69"/>
      <c r="AD1145" s="361"/>
      <c r="AE1145" s="361"/>
      <c r="AF1145" s="320"/>
      <c r="AG1145" s="320"/>
      <c r="AH1145" s="314" t="str">
        <f>IFERROR(INDEX('Annex 2_Code'!$J$114:$J$126,MATCH('Annex 3_MAFF'!AF1145,'Annex 2_Code'!$G$114:$G$126,0)),"")</f>
        <v/>
      </c>
    </row>
    <row r="1146" spans="8:34" s="62" customFormat="1" ht="12.75">
      <c r="H1146"/>
      <c r="I1146" s="576"/>
      <c r="S1146" s="1172"/>
      <c r="Y1146" s="69"/>
      <c r="AD1146" s="361"/>
      <c r="AE1146" s="361"/>
      <c r="AF1146" s="320"/>
      <c r="AG1146" s="320"/>
      <c r="AH1146" s="314" t="str">
        <f>IFERROR(INDEX('Annex 2_Code'!$J$114:$J$126,MATCH('Annex 3_MAFF'!AF1146,'Annex 2_Code'!$G$114:$G$126,0)),"")</f>
        <v/>
      </c>
    </row>
    <row r="1147" spans="8:34" s="62" customFormat="1" ht="12.75">
      <c r="H1147"/>
      <c r="I1147" s="576"/>
      <c r="S1147" s="1172"/>
      <c r="Y1147" s="69"/>
      <c r="AD1147" s="361"/>
      <c r="AE1147" s="361"/>
      <c r="AF1147" s="320"/>
      <c r="AG1147" s="320"/>
      <c r="AH1147" s="314" t="str">
        <f>IFERROR(INDEX('Annex 2_Code'!$J$114:$J$126,MATCH('Annex 3_MAFF'!AF1147,'Annex 2_Code'!$G$114:$G$126,0)),"")</f>
        <v/>
      </c>
    </row>
    <row r="1148" spans="8:34" s="62" customFormat="1" ht="12.75">
      <c r="H1148"/>
      <c r="I1148" s="576"/>
      <c r="S1148" s="1172"/>
      <c r="Y1148" s="69"/>
      <c r="AD1148" s="361"/>
      <c r="AE1148" s="361"/>
      <c r="AF1148" s="320"/>
      <c r="AG1148" s="320"/>
      <c r="AH1148" s="314" t="str">
        <f>IFERROR(INDEX('Annex 2_Code'!$J$114:$J$126,MATCH('Annex 3_MAFF'!AF1148,'Annex 2_Code'!$G$114:$G$126,0)),"")</f>
        <v/>
      </c>
    </row>
    <row r="1149" spans="8:34" s="62" customFormat="1" ht="12.75">
      <c r="H1149"/>
      <c r="I1149" s="576"/>
      <c r="S1149" s="1172"/>
      <c r="Y1149" s="69"/>
      <c r="AD1149" s="361"/>
      <c r="AE1149" s="361"/>
      <c r="AF1149" s="320"/>
      <c r="AG1149" s="320"/>
      <c r="AH1149" s="314" t="str">
        <f>IFERROR(INDEX('Annex 2_Code'!$J$114:$J$126,MATCH('Annex 3_MAFF'!AF1149,'Annex 2_Code'!$G$114:$G$126,0)),"")</f>
        <v/>
      </c>
    </row>
    <row r="1150" spans="8:34" s="62" customFormat="1" ht="12.75">
      <c r="H1150"/>
      <c r="I1150" s="576"/>
      <c r="S1150" s="1172"/>
      <c r="Y1150" s="69"/>
      <c r="AD1150" s="361"/>
      <c r="AE1150" s="361"/>
      <c r="AF1150" s="320"/>
      <c r="AG1150" s="320"/>
      <c r="AH1150" s="314" t="str">
        <f>IFERROR(INDEX('Annex 2_Code'!$J$114:$J$126,MATCH('Annex 3_MAFF'!AF1150,'Annex 2_Code'!$G$114:$G$126,0)),"")</f>
        <v/>
      </c>
    </row>
    <row r="1151" spans="8:34" s="62" customFormat="1" ht="12.75">
      <c r="H1151"/>
      <c r="I1151" s="576"/>
      <c r="S1151" s="1172"/>
      <c r="Y1151" s="69"/>
      <c r="AD1151" s="361"/>
      <c r="AE1151" s="361"/>
      <c r="AF1151" s="320"/>
      <c r="AG1151" s="320"/>
      <c r="AH1151" s="314" t="str">
        <f>IFERROR(INDEX('Annex 2_Code'!$J$114:$J$126,MATCH('Annex 3_MAFF'!AF1151,'Annex 2_Code'!$G$114:$G$126,0)),"")</f>
        <v/>
      </c>
    </row>
    <row r="1152" spans="8:34" s="62" customFormat="1" ht="12.75">
      <c r="H1152"/>
      <c r="I1152" s="576"/>
      <c r="S1152" s="1172"/>
      <c r="Y1152" s="69"/>
      <c r="AD1152" s="361"/>
      <c r="AE1152" s="361"/>
      <c r="AF1152" s="320"/>
      <c r="AG1152" s="320"/>
      <c r="AH1152" s="314" t="str">
        <f>IFERROR(INDEX('Annex 2_Code'!$J$114:$J$126,MATCH('Annex 3_MAFF'!AF1152,'Annex 2_Code'!$G$114:$G$126,0)),"")</f>
        <v/>
      </c>
    </row>
    <row r="1153" spans="8:34" s="62" customFormat="1" ht="12.75">
      <c r="H1153"/>
      <c r="I1153" s="576"/>
      <c r="S1153" s="1172"/>
      <c r="Y1153" s="69"/>
      <c r="AD1153" s="361"/>
      <c r="AE1153" s="361"/>
      <c r="AF1153" s="320"/>
      <c r="AG1153" s="320"/>
      <c r="AH1153" s="314" t="str">
        <f>IFERROR(INDEX('Annex 2_Code'!$J$114:$J$126,MATCH('Annex 3_MAFF'!AF1153,'Annex 2_Code'!$G$114:$G$126,0)),"")</f>
        <v/>
      </c>
    </row>
    <row r="1154" spans="8:34" s="62" customFormat="1" ht="12.75">
      <c r="H1154"/>
      <c r="I1154" s="576"/>
      <c r="S1154" s="1172"/>
      <c r="Y1154" s="69"/>
      <c r="AD1154" s="361"/>
      <c r="AE1154" s="361"/>
      <c r="AF1154" s="320"/>
      <c r="AG1154" s="320"/>
      <c r="AH1154" s="314" t="str">
        <f>IFERROR(INDEX('Annex 2_Code'!$J$114:$J$126,MATCH('Annex 3_MAFF'!AF1154,'Annex 2_Code'!$G$114:$G$126,0)),"")</f>
        <v/>
      </c>
    </row>
    <row r="1155" spans="8:34" s="62" customFormat="1" ht="12.75">
      <c r="H1155"/>
      <c r="I1155" s="576"/>
      <c r="S1155" s="1172"/>
      <c r="Y1155" s="69"/>
      <c r="AD1155" s="361"/>
      <c r="AE1155" s="361"/>
      <c r="AF1155" s="320"/>
      <c r="AG1155" s="320"/>
      <c r="AH1155" s="314" t="str">
        <f>IFERROR(INDEX('Annex 2_Code'!$J$114:$J$126,MATCH('Annex 3_MAFF'!AF1155,'Annex 2_Code'!$G$114:$G$126,0)),"")</f>
        <v/>
      </c>
    </row>
    <row r="1156" spans="8:34" s="62" customFormat="1" ht="12.75">
      <c r="H1156"/>
      <c r="I1156" s="576"/>
      <c r="S1156" s="1172"/>
      <c r="Y1156" s="69"/>
      <c r="AD1156" s="361"/>
      <c r="AE1156" s="361"/>
      <c r="AF1156" s="320"/>
      <c r="AG1156" s="320"/>
      <c r="AH1156" s="314" t="str">
        <f>IFERROR(INDEX('Annex 2_Code'!$J$114:$J$126,MATCH('Annex 3_MAFF'!AF1156,'Annex 2_Code'!$G$114:$G$126,0)),"")</f>
        <v/>
      </c>
    </row>
    <row r="1157" spans="8:34" s="62" customFormat="1" ht="12.75">
      <c r="H1157"/>
      <c r="I1157" s="576"/>
      <c r="S1157" s="1172"/>
      <c r="Y1157" s="69"/>
      <c r="AD1157" s="361"/>
      <c r="AE1157" s="361"/>
      <c r="AF1157" s="320"/>
      <c r="AG1157" s="320"/>
      <c r="AH1157" s="314" t="str">
        <f>IFERROR(INDEX('Annex 2_Code'!$J$114:$J$126,MATCH('Annex 3_MAFF'!AF1157,'Annex 2_Code'!$G$114:$G$126,0)),"")</f>
        <v/>
      </c>
    </row>
    <row r="1158" spans="8:34" s="62" customFormat="1" ht="12.75">
      <c r="H1158"/>
      <c r="I1158" s="576"/>
      <c r="S1158" s="1172"/>
      <c r="Y1158" s="69"/>
      <c r="AD1158" s="361"/>
      <c r="AE1158" s="361"/>
      <c r="AF1158" s="320"/>
      <c r="AG1158" s="320"/>
      <c r="AH1158" s="314" t="str">
        <f>IFERROR(INDEX('Annex 2_Code'!$J$114:$J$126,MATCH('Annex 3_MAFF'!AF1158,'Annex 2_Code'!$G$114:$G$126,0)),"")</f>
        <v/>
      </c>
    </row>
    <row r="1159" spans="8:34" s="62" customFormat="1" ht="12.75">
      <c r="H1159"/>
      <c r="I1159" s="576"/>
      <c r="S1159" s="1172"/>
      <c r="Y1159" s="69"/>
      <c r="AD1159" s="361"/>
      <c r="AE1159" s="361"/>
      <c r="AF1159" s="320"/>
      <c r="AG1159" s="320"/>
      <c r="AH1159" s="314" t="str">
        <f>IFERROR(INDEX('Annex 2_Code'!$J$114:$J$126,MATCH('Annex 3_MAFF'!AF1159,'Annex 2_Code'!$G$114:$G$126,0)),"")</f>
        <v/>
      </c>
    </row>
    <row r="1160" spans="8:34" s="62" customFormat="1" ht="12.75">
      <c r="H1160"/>
      <c r="I1160" s="576"/>
      <c r="S1160" s="1172"/>
      <c r="Y1160" s="69"/>
      <c r="AD1160" s="361"/>
      <c r="AE1160" s="361"/>
      <c r="AF1160" s="320"/>
      <c r="AG1160" s="320"/>
      <c r="AH1160" s="314" t="str">
        <f>IFERROR(INDEX('Annex 2_Code'!$J$114:$J$126,MATCH('Annex 3_MAFF'!AF1160,'Annex 2_Code'!$G$114:$G$126,0)),"")</f>
        <v/>
      </c>
    </row>
    <row r="1161" spans="8:34" s="62" customFormat="1" ht="12.75">
      <c r="H1161"/>
      <c r="I1161" s="576"/>
      <c r="S1161" s="1172"/>
      <c r="Y1161" s="69"/>
      <c r="AD1161" s="361"/>
      <c r="AE1161" s="361"/>
      <c r="AF1161" s="320"/>
      <c r="AG1161" s="320"/>
      <c r="AH1161" s="314" t="str">
        <f>IFERROR(INDEX('Annex 2_Code'!$J$114:$J$126,MATCH('Annex 3_MAFF'!AF1161,'Annex 2_Code'!$G$114:$G$126,0)),"")</f>
        <v/>
      </c>
    </row>
    <row r="1162" spans="8:34" s="62" customFormat="1" ht="12.75">
      <c r="H1162"/>
      <c r="I1162" s="576"/>
      <c r="S1162" s="1172"/>
      <c r="Y1162" s="69"/>
      <c r="AD1162" s="361"/>
      <c r="AE1162" s="361"/>
      <c r="AF1162" s="320"/>
      <c r="AG1162" s="320"/>
      <c r="AH1162" s="314" t="str">
        <f>IFERROR(INDEX('Annex 2_Code'!$J$114:$J$126,MATCH('Annex 3_MAFF'!AF1162,'Annex 2_Code'!$G$114:$G$126,0)),"")</f>
        <v/>
      </c>
    </row>
    <row r="1163" spans="8:34" s="62" customFormat="1" ht="12.75">
      <c r="H1163"/>
      <c r="I1163" s="576"/>
      <c r="S1163" s="1172"/>
      <c r="Y1163" s="69"/>
      <c r="AD1163" s="361"/>
      <c r="AE1163" s="361"/>
      <c r="AF1163" s="320"/>
      <c r="AG1163" s="320"/>
      <c r="AH1163" s="314" t="str">
        <f>IFERROR(INDEX('Annex 2_Code'!$J$114:$J$126,MATCH('Annex 3_MAFF'!AF1163,'Annex 2_Code'!$G$114:$G$126,0)),"")</f>
        <v/>
      </c>
    </row>
    <row r="1164" spans="8:34" s="62" customFormat="1" ht="12.75">
      <c r="H1164"/>
      <c r="I1164" s="576"/>
      <c r="S1164" s="1172"/>
      <c r="Y1164" s="69"/>
      <c r="AD1164" s="361"/>
      <c r="AE1164" s="361"/>
      <c r="AF1164" s="320"/>
      <c r="AG1164" s="320"/>
      <c r="AH1164" s="314" t="str">
        <f>IFERROR(INDEX('Annex 2_Code'!$J$114:$J$126,MATCH('Annex 3_MAFF'!AF1164,'Annex 2_Code'!$G$114:$G$126,0)),"")</f>
        <v/>
      </c>
    </row>
    <row r="1165" spans="8:34" s="62" customFormat="1" ht="12.75">
      <c r="H1165"/>
      <c r="I1165" s="576"/>
      <c r="S1165" s="1172"/>
      <c r="Y1165" s="69"/>
      <c r="AD1165" s="361"/>
      <c r="AE1165" s="361"/>
      <c r="AF1165" s="320"/>
      <c r="AG1165" s="320"/>
      <c r="AH1165" s="314" t="str">
        <f>IFERROR(INDEX('Annex 2_Code'!$J$114:$J$126,MATCH('Annex 3_MAFF'!AF1165,'Annex 2_Code'!$G$114:$G$126,0)),"")</f>
        <v/>
      </c>
    </row>
    <row r="1166" spans="8:34" s="62" customFormat="1" ht="12.75">
      <c r="H1166"/>
      <c r="I1166" s="576"/>
      <c r="S1166" s="1172"/>
      <c r="Y1166" s="69"/>
      <c r="AD1166" s="361"/>
      <c r="AE1166" s="361"/>
      <c r="AF1166" s="320"/>
      <c r="AG1166" s="320"/>
      <c r="AH1166" s="314" t="str">
        <f>IFERROR(INDEX('Annex 2_Code'!$J$114:$J$126,MATCH('Annex 3_MAFF'!AF1166,'Annex 2_Code'!$G$114:$G$126,0)),"")</f>
        <v/>
      </c>
    </row>
    <row r="1167" spans="8:34" s="62" customFormat="1" ht="12.75">
      <c r="H1167"/>
      <c r="I1167" s="576"/>
      <c r="S1167" s="1172"/>
      <c r="Y1167" s="69"/>
      <c r="AD1167" s="361"/>
      <c r="AE1167" s="361"/>
      <c r="AF1167" s="320"/>
      <c r="AG1167" s="320"/>
      <c r="AH1167" s="314" t="str">
        <f>IFERROR(INDEX('Annex 2_Code'!$J$114:$J$126,MATCH('Annex 3_MAFF'!AF1167,'Annex 2_Code'!$G$114:$G$126,0)),"")</f>
        <v/>
      </c>
    </row>
    <row r="1168" spans="8:34" s="62" customFormat="1" ht="12.75">
      <c r="H1168"/>
      <c r="I1168" s="576"/>
      <c r="S1168" s="1172"/>
      <c r="Y1168" s="69"/>
      <c r="AD1168" s="361"/>
      <c r="AE1168" s="361"/>
      <c r="AF1168" s="320"/>
      <c r="AG1168" s="320"/>
      <c r="AH1168" s="314" t="str">
        <f>IFERROR(INDEX('Annex 2_Code'!$J$114:$J$126,MATCH('Annex 3_MAFF'!AF1168,'Annex 2_Code'!$G$114:$G$126,0)),"")</f>
        <v/>
      </c>
    </row>
    <row r="1169" spans="8:34" s="62" customFormat="1" ht="12.75">
      <c r="H1169"/>
      <c r="I1169" s="576"/>
      <c r="S1169" s="1172"/>
      <c r="Y1169" s="69"/>
      <c r="AD1169" s="361"/>
      <c r="AE1169" s="361"/>
      <c r="AF1169" s="320"/>
      <c r="AG1169" s="320"/>
      <c r="AH1169" s="314" t="str">
        <f>IFERROR(INDEX('Annex 2_Code'!$J$114:$J$126,MATCH('Annex 3_MAFF'!AF1169,'Annex 2_Code'!$G$114:$G$126,0)),"")</f>
        <v/>
      </c>
    </row>
    <row r="1170" spans="8:34" s="62" customFormat="1" ht="12.75">
      <c r="H1170"/>
      <c r="I1170" s="576"/>
      <c r="S1170" s="1172"/>
      <c r="Y1170" s="69"/>
      <c r="AD1170" s="361"/>
      <c r="AE1170" s="361"/>
      <c r="AF1170" s="320"/>
      <c r="AG1170" s="320"/>
      <c r="AH1170" s="314" t="str">
        <f>IFERROR(INDEX('Annex 2_Code'!$J$114:$J$126,MATCH('Annex 3_MAFF'!AF1170,'Annex 2_Code'!$G$114:$G$126,0)),"")</f>
        <v/>
      </c>
    </row>
    <row r="1171" spans="8:34" s="62" customFormat="1" ht="12.75">
      <c r="H1171"/>
      <c r="I1171" s="576"/>
      <c r="S1171" s="1172"/>
      <c r="Y1171" s="69"/>
      <c r="AD1171" s="361"/>
      <c r="AE1171" s="361"/>
      <c r="AF1171" s="320"/>
      <c r="AG1171" s="320"/>
      <c r="AH1171" s="314" t="str">
        <f>IFERROR(INDEX('Annex 2_Code'!$J$114:$J$126,MATCH('Annex 3_MAFF'!AF1171,'Annex 2_Code'!$G$114:$G$126,0)),"")</f>
        <v/>
      </c>
    </row>
    <row r="1172" spans="8:34" s="62" customFormat="1" ht="12.75">
      <c r="H1172"/>
      <c r="I1172" s="576"/>
      <c r="S1172" s="1172"/>
      <c r="Y1172" s="69"/>
      <c r="AD1172" s="361"/>
      <c r="AE1172" s="361"/>
      <c r="AF1172" s="320"/>
      <c r="AG1172" s="320"/>
      <c r="AH1172" s="314" t="str">
        <f>IFERROR(INDEX('Annex 2_Code'!$J$114:$J$126,MATCH('Annex 3_MAFF'!AF1172,'Annex 2_Code'!$G$114:$G$126,0)),"")</f>
        <v/>
      </c>
    </row>
    <row r="1173" spans="8:34" s="62" customFormat="1" ht="12.75">
      <c r="H1173"/>
      <c r="I1173" s="576"/>
      <c r="S1173" s="1172"/>
      <c r="Y1173" s="69"/>
      <c r="AD1173" s="361"/>
      <c r="AE1173" s="361"/>
      <c r="AF1173" s="320"/>
      <c r="AG1173" s="320"/>
      <c r="AH1173" s="314" t="str">
        <f>IFERROR(INDEX('Annex 2_Code'!$J$114:$J$126,MATCH('Annex 3_MAFF'!AF1173,'Annex 2_Code'!$G$114:$G$126,0)),"")</f>
        <v/>
      </c>
    </row>
    <row r="1174" spans="8:34" s="62" customFormat="1" ht="12.75">
      <c r="H1174"/>
      <c r="I1174" s="576"/>
      <c r="S1174" s="1172"/>
      <c r="Y1174" s="69"/>
      <c r="AD1174" s="361"/>
      <c r="AE1174" s="361"/>
      <c r="AF1174" s="320"/>
      <c r="AG1174" s="320"/>
      <c r="AH1174" s="314" t="str">
        <f>IFERROR(INDEX('Annex 2_Code'!$J$114:$J$126,MATCH('Annex 3_MAFF'!AF1174,'Annex 2_Code'!$G$114:$G$126,0)),"")</f>
        <v/>
      </c>
    </row>
    <row r="1175" spans="8:34" s="62" customFormat="1" ht="12.75">
      <c r="H1175"/>
      <c r="I1175" s="576"/>
      <c r="S1175" s="1172"/>
      <c r="Y1175" s="69"/>
      <c r="AD1175" s="361"/>
      <c r="AE1175" s="361"/>
      <c r="AF1175" s="320"/>
      <c r="AG1175" s="320"/>
      <c r="AH1175" s="314" t="str">
        <f>IFERROR(INDEX('Annex 2_Code'!$J$114:$J$126,MATCH('Annex 3_MAFF'!AF1175,'Annex 2_Code'!$G$114:$G$126,0)),"")</f>
        <v/>
      </c>
    </row>
    <row r="1176" spans="8:34" s="62" customFormat="1" ht="12.75">
      <c r="H1176"/>
      <c r="I1176" s="576"/>
      <c r="S1176" s="1172"/>
      <c r="Y1176" s="69"/>
      <c r="AD1176" s="361"/>
      <c r="AE1176" s="361"/>
      <c r="AF1176" s="320"/>
      <c r="AG1176" s="320"/>
      <c r="AH1176" s="314" t="str">
        <f>IFERROR(INDEX('Annex 2_Code'!$J$114:$J$126,MATCH('Annex 3_MAFF'!AF1176,'Annex 2_Code'!$G$114:$G$126,0)),"")</f>
        <v/>
      </c>
    </row>
    <row r="1177" spans="8:34" s="62" customFormat="1" ht="12.75">
      <c r="I1177" s="576"/>
      <c r="S1177" s="1172"/>
      <c r="Y1177" s="69"/>
      <c r="AD1177" s="361"/>
      <c r="AE1177" s="361"/>
      <c r="AF1177" s="320"/>
      <c r="AG1177" s="320"/>
      <c r="AH1177" s="314" t="str">
        <f>IFERROR(INDEX('Annex 2_Code'!$J$114:$J$126,MATCH('Annex 3_MAFF'!AF1177,'Annex 2_Code'!$G$114:$G$126,0)),"")</f>
        <v/>
      </c>
    </row>
    <row r="1178" spans="8:34" s="62" customFormat="1" ht="12.75">
      <c r="I1178" s="576"/>
      <c r="S1178" s="1172"/>
      <c r="Y1178" s="69"/>
      <c r="AD1178" s="361"/>
      <c r="AE1178" s="361"/>
      <c r="AF1178" s="320"/>
      <c r="AG1178" s="320"/>
      <c r="AH1178" s="314" t="str">
        <f>IFERROR(INDEX('Annex 2_Code'!$J$114:$J$126,MATCH('Annex 3_MAFF'!AF1178,'Annex 2_Code'!$G$114:$G$126,0)),"")</f>
        <v/>
      </c>
    </row>
    <row r="1179" spans="8:34" s="62" customFormat="1" ht="12.75">
      <c r="I1179" s="576"/>
      <c r="S1179" s="1172"/>
      <c r="Y1179" s="69"/>
      <c r="AD1179" s="361"/>
      <c r="AE1179" s="361"/>
      <c r="AF1179" s="320"/>
      <c r="AG1179" s="320"/>
      <c r="AH1179" s="314" t="str">
        <f>IFERROR(INDEX('Annex 2_Code'!$J$114:$J$126,MATCH('Annex 3_MAFF'!AF1179,'Annex 2_Code'!$G$114:$G$126,0)),"")</f>
        <v/>
      </c>
    </row>
    <row r="1180" spans="8:34" s="62" customFormat="1" ht="12.75">
      <c r="I1180" s="576"/>
      <c r="S1180" s="1172"/>
      <c r="Y1180" s="69"/>
      <c r="AD1180" s="361"/>
      <c r="AE1180" s="361"/>
      <c r="AF1180" s="320"/>
      <c r="AG1180" s="320"/>
      <c r="AH1180" s="314" t="str">
        <f>IFERROR(INDEX('Annex 2_Code'!$J$114:$J$126,MATCH('Annex 3_MAFF'!AF1180,'Annex 2_Code'!$G$114:$G$126,0)),"")</f>
        <v/>
      </c>
    </row>
    <row r="1181" spans="8:34" s="62" customFormat="1" ht="12.75">
      <c r="I1181" s="576"/>
      <c r="S1181" s="1172"/>
      <c r="Y1181" s="69"/>
      <c r="AD1181" s="361"/>
      <c r="AE1181" s="361"/>
      <c r="AF1181" s="320"/>
      <c r="AG1181" s="320"/>
      <c r="AH1181" s="314" t="str">
        <f>IFERROR(INDEX('Annex 2_Code'!$J$114:$J$126,MATCH('Annex 3_MAFF'!AF1181,'Annex 2_Code'!$G$114:$G$126,0)),"")</f>
        <v/>
      </c>
    </row>
    <row r="1182" spans="8:34" s="62" customFormat="1" ht="12.75">
      <c r="I1182" s="576"/>
      <c r="S1182" s="1172"/>
      <c r="Y1182" s="69"/>
      <c r="AD1182" s="361"/>
      <c r="AE1182" s="361"/>
      <c r="AF1182" s="320"/>
      <c r="AG1182" s="320"/>
      <c r="AH1182" s="314" t="str">
        <f>IFERROR(INDEX('Annex 2_Code'!$J$114:$J$126,MATCH('Annex 3_MAFF'!AF1182,'Annex 2_Code'!$G$114:$G$126,0)),"")</f>
        <v/>
      </c>
    </row>
    <row r="1183" spans="8:34" s="62" customFormat="1" ht="12.75">
      <c r="I1183" s="576"/>
      <c r="S1183" s="1172"/>
      <c r="Y1183" s="69"/>
      <c r="AD1183" s="361"/>
      <c r="AE1183" s="361"/>
      <c r="AF1183" s="320"/>
      <c r="AG1183" s="320"/>
      <c r="AH1183" s="314" t="str">
        <f>IFERROR(INDEX('Annex 2_Code'!$J$114:$J$126,MATCH('Annex 3_MAFF'!AF1183,'Annex 2_Code'!$G$114:$G$126,0)),"")</f>
        <v/>
      </c>
    </row>
    <row r="1184" spans="8:34" s="62" customFormat="1" ht="12.75">
      <c r="I1184" s="576"/>
      <c r="S1184" s="1172"/>
      <c r="Y1184" s="69"/>
      <c r="AD1184" s="361"/>
      <c r="AE1184" s="361"/>
      <c r="AF1184" s="320"/>
      <c r="AG1184" s="320"/>
      <c r="AH1184" s="314" t="str">
        <f>IFERROR(INDEX('Annex 2_Code'!$J$114:$J$126,MATCH('Annex 3_MAFF'!AF1184,'Annex 2_Code'!$G$114:$G$126,0)),"")</f>
        <v/>
      </c>
    </row>
    <row r="1185" spans="9:34" s="62" customFormat="1" ht="12.75">
      <c r="I1185" s="576"/>
      <c r="S1185" s="1172"/>
      <c r="Y1185" s="69"/>
      <c r="AD1185" s="361"/>
      <c r="AE1185" s="361"/>
      <c r="AF1185" s="320"/>
      <c r="AG1185" s="320"/>
      <c r="AH1185" s="314" t="str">
        <f>IFERROR(INDEX('Annex 2_Code'!$J$114:$J$126,MATCH('Annex 3_MAFF'!AF1185,'Annex 2_Code'!$G$114:$G$126,0)),"")</f>
        <v/>
      </c>
    </row>
    <row r="1186" spans="9:34" s="62" customFormat="1" ht="12.75">
      <c r="I1186" s="576"/>
      <c r="S1186" s="1172"/>
      <c r="Y1186" s="69"/>
      <c r="AD1186" s="361"/>
      <c r="AE1186" s="361"/>
      <c r="AF1186" s="320"/>
      <c r="AG1186" s="320"/>
      <c r="AH1186" s="314" t="str">
        <f>IFERROR(INDEX('Annex 2_Code'!$J$114:$J$126,MATCH('Annex 3_MAFF'!AF1186,'Annex 2_Code'!$G$114:$G$126,0)),"")</f>
        <v/>
      </c>
    </row>
    <row r="1187" spans="9:34" s="62" customFormat="1" ht="12.75">
      <c r="I1187" s="576"/>
      <c r="S1187" s="1172"/>
      <c r="Y1187" s="69"/>
      <c r="AD1187" s="361"/>
      <c r="AE1187" s="361"/>
      <c r="AF1187" s="320"/>
      <c r="AG1187" s="320"/>
      <c r="AH1187" s="314" t="str">
        <f>IFERROR(INDEX('Annex 2_Code'!$J$114:$J$126,MATCH('Annex 3_MAFF'!AF1187,'Annex 2_Code'!$G$114:$G$126,0)),"")</f>
        <v/>
      </c>
    </row>
    <row r="1188" spans="9:34" s="62" customFormat="1" ht="12.75">
      <c r="I1188" s="576"/>
      <c r="S1188" s="1172"/>
      <c r="Y1188" s="69"/>
      <c r="AD1188" s="361"/>
      <c r="AE1188" s="361"/>
      <c r="AF1188" s="320"/>
      <c r="AG1188" s="320"/>
      <c r="AH1188" s="314" t="str">
        <f>IFERROR(INDEX('Annex 2_Code'!$J$114:$J$126,MATCH('Annex 3_MAFF'!AF1188,'Annex 2_Code'!$G$114:$G$126,0)),"")</f>
        <v/>
      </c>
    </row>
    <row r="1189" spans="9:34" s="62" customFormat="1" ht="12.75">
      <c r="I1189" s="576"/>
      <c r="S1189" s="1172"/>
      <c r="Y1189" s="69"/>
      <c r="AD1189" s="361"/>
      <c r="AE1189" s="361"/>
      <c r="AF1189" s="320"/>
      <c r="AG1189" s="320"/>
      <c r="AH1189" s="314" t="str">
        <f>IFERROR(INDEX('Annex 2_Code'!$J$114:$J$126,MATCH('Annex 3_MAFF'!AF1189,'Annex 2_Code'!$G$114:$G$126,0)),"")</f>
        <v/>
      </c>
    </row>
    <row r="1190" spans="9:34" s="62" customFormat="1" ht="12.75">
      <c r="I1190" s="576"/>
      <c r="S1190" s="1172"/>
      <c r="Y1190" s="69"/>
      <c r="AD1190" s="361"/>
      <c r="AE1190" s="361"/>
      <c r="AF1190" s="320"/>
      <c r="AG1190" s="320"/>
      <c r="AH1190" s="314" t="str">
        <f>IFERROR(INDEX('Annex 2_Code'!$J$114:$J$126,MATCH('Annex 3_MAFF'!AF1190,'Annex 2_Code'!$G$114:$G$126,0)),"")</f>
        <v/>
      </c>
    </row>
    <row r="1191" spans="9:34" s="62" customFormat="1" ht="12.75">
      <c r="I1191" s="576"/>
      <c r="S1191" s="1172"/>
      <c r="Y1191" s="69"/>
      <c r="AD1191" s="361"/>
      <c r="AE1191" s="361"/>
      <c r="AF1191" s="320"/>
      <c r="AG1191" s="320"/>
      <c r="AH1191" s="314" t="str">
        <f>IFERROR(INDEX('Annex 2_Code'!$J$114:$J$126,MATCH('Annex 3_MAFF'!AF1191,'Annex 2_Code'!$G$114:$G$126,0)),"")</f>
        <v/>
      </c>
    </row>
    <row r="1192" spans="9:34" s="62" customFormat="1" ht="12.75">
      <c r="I1192" s="576"/>
      <c r="S1192" s="1172"/>
      <c r="Y1192" s="69"/>
      <c r="AD1192" s="361"/>
      <c r="AE1192" s="361"/>
      <c r="AF1192" s="320"/>
      <c r="AG1192" s="320"/>
      <c r="AH1192" s="314" t="str">
        <f>IFERROR(INDEX('Annex 2_Code'!$J$114:$J$126,MATCH('Annex 3_MAFF'!AF1192,'Annex 2_Code'!$G$114:$G$126,0)),"")</f>
        <v/>
      </c>
    </row>
    <row r="1193" spans="9:34" s="62" customFormat="1" ht="12.75">
      <c r="I1193" s="576"/>
      <c r="S1193" s="1172"/>
      <c r="Y1193" s="69"/>
      <c r="AD1193" s="361"/>
      <c r="AE1193" s="361"/>
      <c r="AF1193" s="320"/>
      <c r="AG1193" s="320"/>
      <c r="AH1193" s="314" t="str">
        <f>IFERROR(INDEX('Annex 2_Code'!$J$114:$J$126,MATCH('Annex 3_MAFF'!AF1193,'Annex 2_Code'!$G$114:$G$126,0)),"")</f>
        <v/>
      </c>
    </row>
    <row r="1194" spans="9:34" s="62" customFormat="1" ht="12.75">
      <c r="I1194" s="576"/>
      <c r="S1194" s="1172"/>
      <c r="Y1194" s="69"/>
      <c r="AD1194" s="361"/>
      <c r="AE1194" s="361"/>
      <c r="AF1194" s="320"/>
      <c r="AG1194" s="320"/>
      <c r="AH1194" s="314" t="str">
        <f>IFERROR(INDEX('Annex 2_Code'!$J$114:$J$126,MATCH('Annex 3_MAFF'!AF1194,'Annex 2_Code'!$G$114:$G$126,0)),"")</f>
        <v/>
      </c>
    </row>
    <row r="1195" spans="9:34" s="62" customFormat="1" ht="12.75">
      <c r="I1195" s="576"/>
      <c r="S1195" s="1172"/>
      <c r="Y1195" s="69"/>
      <c r="AD1195" s="361"/>
      <c r="AE1195" s="361"/>
      <c r="AF1195" s="320"/>
      <c r="AG1195" s="320"/>
      <c r="AH1195" s="314" t="str">
        <f>IFERROR(INDEX('Annex 2_Code'!$J$114:$J$126,MATCH('Annex 3_MAFF'!AF1195,'Annex 2_Code'!$G$114:$G$126,0)),"")</f>
        <v/>
      </c>
    </row>
    <row r="1196" spans="9:34" s="62" customFormat="1" ht="12.75">
      <c r="I1196" s="576"/>
      <c r="S1196" s="1172"/>
      <c r="Y1196" s="69"/>
      <c r="AD1196" s="361"/>
      <c r="AE1196" s="361"/>
      <c r="AF1196" s="320"/>
      <c r="AG1196" s="320"/>
      <c r="AH1196" s="314" t="str">
        <f>IFERROR(INDEX('Annex 2_Code'!$J$114:$J$126,MATCH('Annex 3_MAFF'!AF1196,'Annex 2_Code'!$G$114:$G$126,0)),"")</f>
        <v/>
      </c>
    </row>
    <row r="1197" spans="9:34" s="62" customFormat="1" ht="12.75">
      <c r="I1197" s="576"/>
      <c r="S1197" s="1172"/>
      <c r="Y1197" s="69"/>
      <c r="AD1197" s="361"/>
      <c r="AE1197" s="361"/>
      <c r="AF1197" s="320"/>
      <c r="AG1197" s="320"/>
      <c r="AH1197" s="314" t="str">
        <f>IFERROR(INDEX('Annex 2_Code'!$J$114:$J$126,MATCH('Annex 3_MAFF'!AF1197,'Annex 2_Code'!$G$114:$G$126,0)),"")</f>
        <v/>
      </c>
    </row>
    <row r="1198" spans="9:34" s="62" customFormat="1" ht="12.75">
      <c r="I1198" s="576"/>
      <c r="S1198" s="1172"/>
      <c r="Y1198" s="69"/>
      <c r="AD1198" s="361"/>
      <c r="AE1198" s="361"/>
      <c r="AF1198" s="320"/>
      <c r="AG1198" s="320"/>
      <c r="AH1198" s="314" t="str">
        <f>IFERROR(INDEX('Annex 2_Code'!$J$114:$J$126,MATCH('Annex 3_MAFF'!AF1198,'Annex 2_Code'!$G$114:$G$126,0)),"")</f>
        <v/>
      </c>
    </row>
    <row r="1199" spans="9:34" s="62" customFormat="1" ht="12.75">
      <c r="I1199" s="576"/>
      <c r="S1199" s="1172"/>
      <c r="Y1199" s="69"/>
      <c r="AD1199" s="361"/>
      <c r="AE1199" s="361"/>
      <c r="AF1199" s="320"/>
      <c r="AG1199" s="320"/>
      <c r="AH1199" s="314" t="str">
        <f>IFERROR(INDEX('Annex 2_Code'!$J$114:$J$126,MATCH('Annex 3_MAFF'!AF1199,'Annex 2_Code'!$G$114:$G$126,0)),"")</f>
        <v/>
      </c>
    </row>
    <row r="1200" spans="9:34" s="62" customFormat="1" ht="12.75">
      <c r="I1200" s="576"/>
      <c r="S1200" s="1172"/>
      <c r="Y1200" s="69"/>
      <c r="AD1200" s="361"/>
      <c r="AE1200" s="361"/>
      <c r="AF1200" s="320"/>
      <c r="AG1200" s="320"/>
      <c r="AH1200" s="314" t="str">
        <f>IFERROR(INDEX('Annex 2_Code'!$J$114:$J$126,MATCH('Annex 3_MAFF'!AF1200,'Annex 2_Code'!$G$114:$G$126,0)),"")</f>
        <v/>
      </c>
    </row>
    <row r="1201" spans="1:38" ht="12.75">
      <c r="A1201" s="62"/>
      <c r="B1201" s="62"/>
      <c r="C1201" s="62"/>
      <c r="H1201" s="62"/>
      <c r="I1201" s="576"/>
      <c r="S1201" s="1172"/>
      <c r="T1201" s="62"/>
      <c r="U1201" s="62"/>
      <c r="V1201" s="62"/>
      <c r="W1201" s="62"/>
      <c r="X1201" s="62"/>
      <c r="AH1201" s="314" t="str">
        <f>IFERROR(INDEX('Annex 2_Code'!$J$114:$J$126,MATCH('Annex 3_MAFF'!AF1201,'Annex 2_Code'!$G$114:$G$126,0)),"")</f>
        <v/>
      </c>
      <c r="AI1201" s="62"/>
      <c r="AK1201" s="62"/>
      <c r="AL1201" s="62"/>
    </row>
    <row r="1202" spans="1:38" ht="12.75">
      <c r="A1202" s="62"/>
      <c r="B1202" s="62"/>
      <c r="C1202" s="62"/>
      <c r="H1202" s="62"/>
      <c r="I1202" s="576"/>
      <c r="S1202" s="1172"/>
      <c r="T1202" s="62"/>
      <c r="U1202" s="62"/>
      <c r="V1202" s="62"/>
      <c r="W1202" s="62"/>
      <c r="X1202" s="62"/>
      <c r="AH1202" s="314" t="str">
        <f>IFERROR(INDEX('Annex 2_Code'!$J$114:$J$126,MATCH('Annex 3_MAFF'!AF1202,'Annex 2_Code'!$G$114:$G$126,0)),"")</f>
        <v/>
      </c>
      <c r="AI1202" s="62"/>
      <c r="AK1202" s="62"/>
      <c r="AL1202" s="62"/>
    </row>
    <row r="1203" spans="1:38" ht="12.75">
      <c r="A1203" s="62"/>
      <c r="B1203" s="62"/>
      <c r="C1203" s="62"/>
      <c r="H1203" s="62"/>
      <c r="I1203" s="576"/>
      <c r="S1203" s="1172"/>
      <c r="T1203" s="62"/>
      <c r="U1203" s="62"/>
      <c r="V1203" s="62"/>
      <c r="W1203" s="62"/>
      <c r="X1203" s="62"/>
      <c r="AH1203" s="314" t="str">
        <f>IFERROR(INDEX('Annex 2_Code'!$J$114:$J$126,MATCH('Annex 3_MAFF'!AF1203,'Annex 2_Code'!$G$114:$G$126,0)),"")</f>
        <v/>
      </c>
      <c r="AI1203" s="62"/>
      <c r="AK1203" s="62"/>
      <c r="AL1203" s="62"/>
    </row>
    <row r="1204" spans="1:38" ht="12.75">
      <c r="A1204" s="62"/>
      <c r="B1204" s="62"/>
      <c r="C1204" s="62"/>
      <c r="H1204" s="62"/>
      <c r="I1204" s="576"/>
      <c r="S1204" s="1172"/>
      <c r="T1204" s="62"/>
      <c r="U1204" s="62"/>
      <c r="V1204" s="62"/>
      <c r="W1204" s="62"/>
      <c r="X1204" s="62"/>
      <c r="AH1204" s="314" t="str">
        <f>IFERROR(INDEX('Annex 2_Code'!$J$114:$J$126,MATCH('Annex 3_MAFF'!AF1204,'Annex 2_Code'!$G$114:$G$126,0)),"")</f>
        <v/>
      </c>
      <c r="AI1204" s="62"/>
      <c r="AK1204" s="62"/>
      <c r="AL1204" s="62"/>
    </row>
    <row r="1205" spans="1:38" ht="12.75">
      <c r="A1205" s="62"/>
      <c r="B1205" s="62"/>
      <c r="C1205" s="62"/>
      <c r="H1205" s="62"/>
      <c r="I1205" s="576"/>
      <c r="S1205" s="1172"/>
      <c r="T1205" s="62"/>
      <c r="U1205" s="62"/>
      <c r="V1205" s="62"/>
      <c r="W1205" s="62"/>
      <c r="X1205" s="62"/>
      <c r="AH1205" s="314" t="str">
        <f>IFERROR(INDEX('Annex 2_Code'!$J$114:$J$126,MATCH('Annex 3_MAFF'!AF1205,'Annex 2_Code'!$G$114:$G$126,0)),"")</f>
        <v/>
      </c>
      <c r="AI1205" s="62"/>
      <c r="AK1205" s="62"/>
      <c r="AL1205" s="62"/>
    </row>
    <row r="1206" spans="1:38" ht="12.75">
      <c r="A1206" s="62"/>
      <c r="B1206" s="62"/>
      <c r="C1206" s="62"/>
      <c r="H1206" s="62"/>
      <c r="I1206" s="576"/>
      <c r="S1206" s="1172"/>
      <c r="T1206" s="62"/>
      <c r="U1206" s="62"/>
      <c r="V1206" s="62"/>
      <c r="W1206" s="62"/>
      <c r="X1206" s="62"/>
      <c r="AH1206" s="314" t="str">
        <f>IFERROR(INDEX('Annex 2_Code'!$J$114:$J$126,MATCH('Annex 3_MAFF'!AF1206,'Annex 2_Code'!$G$114:$G$126,0)),"")</f>
        <v/>
      </c>
      <c r="AI1206" s="62"/>
      <c r="AK1206" s="62"/>
      <c r="AL1206" s="62"/>
    </row>
    <row r="1207" spans="1:38" ht="12.75">
      <c r="A1207" s="62"/>
      <c r="B1207" s="62"/>
      <c r="C1207" s="62"/>
      <c r="H1207" s="62"/>
      <c r="I1207" s="576"/>
      <c r="S1207" s="1172"/>
      <c r="T1207" s="62"/>
      <c r="U1207" s="62"/>
      <c r="V1207" s="62"/>
      <c r="W1207" s="62"/>
      <c r="X1207" s="62"/>
      <c r="AH1207" s="314" t="str">
        <f>IFERROR(INDEX('Annex 2_Code'!$J$114:$J$126,MATCH('Annex 3_MAFF'!AF1207,'Annex 2_Code'!$G$114:$G$126,0)),"")</f>
        <v/>
      </c>
      <c r="AI1207" s="62"/>
      <c r="AK1207" s="62"/>
      <c r="AL1207" s="62"/>
    </row>
    <row r="1208" spans="1:38" ht="5.85" customHeight="1"/>
  </sheetData>
  <sortState xmlns:xlrd2="http://schemas.microsoft.com/office/spreadsheetml/2017/richdata2" ref="H580:H1110">
    <sortCondition ref="H580:H1110"/>
  </sortState>
  <mergeCells count="46">
    <mergeCell ref="B5:B6"/>
    <mergeCell ref="F42:G42"/>
    <mergeCell ref="D9:G9"/>
    <mergeCell ref="C5:C6"/>
    <mergeCell ref="F34:G34"/>
    <mergeCell ref="D8:G8"/>
    <mergeCell ref="D4:G4"/>
    <mergeCell ref="E117:G117"/>
    <mergeCell ref="D95:I95"/>
    <mergeCell ref="D13:G13"/>
    <mergeCell ref="I5:I6"/>
    <mergeCell ref="H5:H6"/>
    <mergeCell ref="D33:G33"/>
    <mergeCell ref="E432:G432"/>
    <mergeCell ref="F515:G515"/>
    <mergeCell ref="F513:G513"/>
    <mergeCell ref="D430:G430"/>
    <mergeCell ref="F545:G545"/>
    <mergeCell ref="E507:G507"/>
    <mergeCell ref="F508:G508"/>
    <mergeCell ref="E510:G510"/>
    <mergeCell ref="F516:G516"/>
    <mergeCell ref="D160:G160"/>
    <mergeCell ref="F189:G189"/>
    <mergeCell ref="F594:G594"/>
    <mergeCell ref="F596:G596"/>
    <mergeCell ref="F546:G546"/>
    <mergeCell ref="E548:G548"/>
    <mergeCell ref="F549:G549"/>
    <mergeCell ref="F551:G551"/>
    <mergeCell ref="E556:G556"/>
    <mergeCell ref="F552:G552"/>
    <mergeCell ref="D271:E271"/>
    <mergeCell ref="D316:G316"/>
    <mergeCell ref="D315:G315"/>
    <mergeCell ref="E593:G593"/>
    <mergeCell ref="D411:G411"/>
    <mergeCell ref="F419:G419"/>
    <mergeCell ref="D355:G355"/>
    <mergeCell ref="F161:G161"/>
    <mergeCell ref="D188:G188"/>
    <mergeCell ref="D276:G276"/>
    <mergeCell ref="D273:E273"/>
    <mergeCell ref="D354:G354"/>
    <mergeCell ref="D272:E272"/>
    <mergeCell ref="F249:G249"/>
  </mergeCells>
  <phoneticPr fontId="71" type="noConversion"/>
  <printOptions horizontalCentered="1" headings="1"/>
  <pageMargins left="0.39370078740157483" right="0.39370078740157483" top="0.59055118110236227" bottom="0.39370078740157483" header="0.31496062992125984" footer="0.31496062992125984"/>
  <pageSetup paperSize="9" scale="20" fitToHeight="0" orientation="landscape" cellComments="asDisplayed" horizontalDpi="360" verticalDpi="360" r:id="rId1"/>
  <headerFooter>
    <oddHeader>&amp;L&amp;"Arial,Italic"&amp;12&amp;K002060CFAVC&amp;R&amp;"Arial,Italic"&amp;12AWPB 2023
Annex 4c</oddHeader>
    <oddFooter>&amp;R&amp;"Calibri,Italic"&amp;12Annex 4c - Page &amp;P</oddFooter>
  </headerFooter>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0000000}">
          <x14:formula1>
            <xm:f>'Annex 2_Code'!$G$114:$G$131</xm:f>
          </x14:formula1>
          <xm:sqref>AF149:AF156 AF276 AF355:AF373 AF158:AF160 AF7:AF31 AF33:AF96 AF284 AF404:AF408 AF101:AF147 AF286:AF293 AF162:AF234 AF237:AF247 AF250:AF269 AF271:AF273 AF278 AF281 AF376:AF395 AF333:AF339 AF341:AF343 AF295:AF331 AF345:AF352 AF398:AF401 AF411:AF602</xm:sqref>
        </x14:dataValidation>
        <x14:dataValidation type="list" allowBlank="1" showInputMessage="1" showErrorMessage="1" error="Please choose from the list" xr:uid="{00000000-0002-0000-0300-000001000000}">
          <x14:formula1>
            <xm:f>'C:\D:\MAFF\Agribusiness\AWPB 2021\[10052020_Second_Draft_CFAFV_AWPB2021_Accepted_format_by_MEF_Neat.xlsx]Annex 2'!#REF!</xm:f>
          </x14:formula1>
          <xm:sqref>C565:C591 C483 C277:C280 C32 C302 C500:C504 C282:C283 C285</xm:sqref>
        </x14:dataValidation>
        <x14:dataValidation type="list" allowBlank="1" showInputMessage="1" showErrorMessage="1" xr:uid="{00000000-0002-0000-0300-000002000000}">
          <x14:formula1>
            <xm:f>'C:\D:\MAFF\Agribusiness\AWPB 2021\[3_Final_Draft_CFAFV_AWPB2021_Accepted_format_by_MEF_3_Sept_2020 (HH)_09.10.20.xlsx]Annex 2'!#REF!</xm:f>
          </x14:formula1>
          <xm:sqref>AF277 AF280 AF285 AF32 AF282:AF283 AF270 AF332 AF340 AF353:AF354 AF294 AF274:AF275 AF157 AF148 AF235:AF236 AF248:AF249 AF344</xm:sqref>
        </x14:dataValidation>
        <x14:dataValidation type="list" allowBlank="1" showInputMessage="1" showErrorMessage="1" xr:uid="{00000000-0002-0000-0300-000003000000}">
          <x14:formula1>
            <xm:f>'Annex 2_Code'!$G$114:$G$126</xm:f>
          </x14:formula1>
          <xm:sqref>AF603:AF1097</xm:sqref>
        </x14:dataValidation>
        <x14:dataValidation type="list" allowBlank="1" showInputMessage="1" showErrorMessage="1" error="Please choose from the list" xr:uid="{00000000-0002-0000-0300-000004000000}">
          <x14:formula1>
            <xm:f>'Annex 2_Code'!$G$37:$G$98</xm:f>
          </x14:formula1>
          <xm:sqref>C373 B435:B437 C286 C126:C127 C187:C198 C33:C34 C276 C147 C343 C331 C339 C313:C316 C353:C356 C157:C160 C41:C42 C62 C117:C118 C12:C22 C592:C602 C7:C10 C505:C564 C134:C135 C68:C96 C101:C102 C499 C484:C495 C411:C482</xm:sqref>
        </x14:dataValidation>
        <x14:dataValidation type="list" allowBlank="1" showInputMessage="1" showErrorMessage="1" error="Please choose from the list" xr:uid="{00000000-0002-0000-0300-000005000000}">
          <x14:formula1>
            <xm:f>'[Final_DRAFT_CFACV_AWPB2023_MAFF_MOWRAM_MRD_By_Dr_Edit_28_01_23_last.xlsx]Annex 2_Code'!#REF!</xm:f>
          </x14:formula1>
          <xm:sqref>C11</xm:sqref>
        </x14:dataValidation>
        <x14:dataValidation type="list" allowBlank="1" showInputMessage="1" showErrorMessage="1" error="Please choose from the list" xr:uid="{00000000-0002-0000-0300-000006000000}">
          <x14:formula1>
            <xm:f>'E:\SBK-CFAVC\DARA-2023\AWPB-2024\Final Consolidation\From PD\[First DRAFT CFACV AWPB2024 MAFF SCS 07 Dec 2023 PD_Reth Updated Gender.xlsx]Annex 2_Code'!#REF!</xm:f>
          </x14:formula1>
          <xm:sqref>C496:C498</xm:sqref>
        </x14:dataValidation>
        <x14:dataValidation type="list" allowBlank="1" showInputMessage="1" showErrorMessage="1" xr:uid="{00000000-0002-0000-0300-000007000000}">
          <x14:formula1>
            <xm:f>'Annex 2_Code'!$G$8:$G$33</xm:f>
          </x14:formula1>
          <xm:sqref>AG7:AG1134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BR158"/>
  <sheetViews>
    <sheetView showGridLines="0" topLeftCell="E81" zoomScale="80" zoomScaleNormal="80" zoomScaleSheetLayoutView="70" workbookViewId="0">
      <selection activeCell="R100" sqref="R100:V100"/>
    </sheetView>
  </sheetViews>
  <sheetFormatPr defaultColWidth="9.140625" defaultRowHeight="12.75"/>
  <cols>
    <col min="1" max="1" width="5.28515625" style="2" customWidth="1"/>
    <col min="2" max="2" width="6.5703125" style="528" customWidth="1"/>
    <col min="3" max="3" width="8.140625" style="528" customWidth="1"/>
    <col min="4" max="4" width="13.140625" style="2" customWidth="1"/>
    <col min="5" max="5" width="8.85546875" style="2" customWidth="1"/>
    <col min="6" max="6" width="10.42578125" style="2" customWidth="1"/>
    <col min="7" max="8" width="12.7109375" style="308" customWidth="1"/>
    <col min="9" max="9" width="16.85546875" style="308" customWidth="1"/>
    <col min="10" max="10" width="7" style="308" customWidth="1"/>
    <col min="11" max="11" width="8.85546875" style="308" customWidth="1"/>
    <col min="12" max="12" width="11" style="308" customWidth="1"/>
    <col min="13" max="14" width="8.5703125" style="308" customWidth="1"/>
    <col min="15" max="15" width="7.42578125" style="308" customWidth="1"/>
    <col min="16" max="17" width="8.5703125" style="308" customWidth="1"/>
    <col min="18" max="18" width="11.42578125" style="308" customWidth="1"/>
    <col min="19" max="19" width="11.140625" style="308" customWidth="1"/>
    <col min="20" max="20" width="11.85546875" style="308" customWidth="1"/>
    <col min="21" max="21" width="12.5703125" style="308" customWidth="1"/>
    <col min="22" max="22" width="14.85546875" style="245" customWidth="1"/>
    <col min="23" max="23" width="1.85546875" style="5" customWidth="1"/>
    <col min="24" max="25" width="6.7109375" style="5" customWidth="1"/>
    <col min="26" max="26" width="7.140625" style="5" customWidth="1"/>
    <col min="27" max="27" width="6.5703125" style="5" customWidth="1"/>
    <col min="28" max="28" width="6.85546875" style="5" customWidth="1"/>
    <col min="29" max="29" width="1.85546875" style="2" customWidth="1"/>
    <col min="30" max="30" width="10.85546875" style="23" bestFit="1" customWidth="1"/>
    <col min="31" max="31" width="9.5703125" style="24" bestFit="1" customWidth="1"/>
    <col min="32" max="32" width="9.85546875" style="24" bestFit="1" customWidth="1"/>
    <col min="33" max="33" width="8.140625" style="24" bestFit="1" customWidth="1"/>
    <col min="34" max="34" width="12.85546875" style="24" bestFit="1" customWidth="1"/>
    <col min="35" max="35" width="9.28515625" style="24" bestFit="1" customWidth="1"/>
    <col min="36" max="38" width="11.5703125" style="24" bestFit="1" customWidth="1"/>
    <col min="39" max="39" width="7" style="24" customWidth="1"/>
    <col min="40" max="42" width="7.7109375" style="24" customWidth="1"/>
    <col min="43" max="43" width="6.7109375" style="24" customWidth="1"/>
    <col min="44" max="45" width="7.7109375" style="24" customWidth="1"/>
    <col min="46" max="46" width="8" style="24" customWidth="1"/>
    <col min="47" max="47" width="8.5703125" style="24" hidden="1" customWidth="1"/>
    <col min="48" max="49" width="7.7109375" style="24" hidden="1" customWidth="1"/>
    <col min="50" max="50" width="8.140625" style="24" hidden="1" customWidth="1"/>
    <col min="51" max="51" width="10.28515625" style="4" customWidth="1"/>
    <col min="52" max="52" width="9.140625" style="308" customWidth="1"/>
    <col min="53" max="53" width="21.7109375" style="308" customWidth="1"/>
    <col min="54" max="54" width="21.28515625" style="308" customWidth="1"/>
    <col min="55" max="55" width="17.140625" style="308" customWidth="1"/>
    <col min="56" max="56" width="14.140625" style="308" customWidth="1"/>
    <col min="57" max="57" width="9.140625" style="308"/>
    <col min="58" max="16384" width="9.140625" style="2"/>
  </cols>
  <sheetData>
    <row r="1" spans="1:70" s="22" customFormat="1">
      <c r="B1" s="52"/>
      <c r="C1" s="52"/>
      <c r="D1" s="53" t="s">
        <v>57</v>
      </c>
      <c r="E1" s="52"/>
      <c r="F1" s="52"/>
      <c r="G1" s="52"/>
      <c r="H1" s="52"/>
      <c r="I1" s="52"/>
      <c r="J1" s="52"/>
      <c r="K1" s="52"/>
      <c r="L1" s="52"/>
      <c r="M1" s="52"/>
      <c r="N1" s="52"/>
      <c r="O1" s="52"/>
      <c r="P1" s="52"/>
      <c r="Q1" s="52"/>
      <c r="R1" s="52"/>
      <c r="S1" s="52"/>
      <c r="T1" s="52"/>
      <c r="U1" s="52"/>
      <c r="V1" s="204"/>
      <c r="W1" s="29"/>
      <c r="X1" s="29"/>
      <c r="Y1" s="29"/>
      <c r="Z1" s="29"/>
      <c r="AA1" s="29"/>
      <c r="AB1" s="29"/>
      <c r="AC1" s="52"/>
      <c r="AD1" s="52"/>
      <c r="AE1" s="28"/>
      <c r="AF1" s="28"/>
      <c r="AG1" s="28"/>
      <c r="AH1" s="28"/>
      <c r="AI1" s="28"/>
      <c r="AJ1" s="28"/>
      <c r="AK1" s="28"/>
      <c r="AL1" s="28"/>
      <c r="AM1" s="28"/>
      <c r="AN1" s="28"/>
      <c r="AO1" s="28"/>
      <c r="AP1" s="28"/>
      <c r="AQ1" s="28"/>
      <c r="AR1" s="28"/>
      <c r="AS1" s="28"/>
      <c r="AT1" s="28"/>
      <c r="AU1" s="28"/>
      <c r="AV1" s="28"/>
      <c r="AW1" s="28"/>
      <c r="AX1" s="28"/>
      <c r="AY1" s="53"/>
      <c r="AZ1" s="52"/>
      <c r="BA1" s="308"/>
      <c r="BB1" s="308"/>
      <c r="BC1" s="308"/>
      <c r="BD1" s="308"/>
      <c r="BE1" s="308"/>
    </row>
    <row r="2" spans="1:70" s="22" customFormat="1">
      <c r="B2" s="52"/>
      <c r="C2" s="52"/>
      <c r="D2" s="53" t="s">
        <v>1295</v>
      </c>
      <c r="E2" s="52"/>
      <c r="F2" s="52"/>
      <c r="G2" s="52"/>
      <c r="H2" s="52"/>
      <c r="I2" s="52"/>
      <c r="J2" s="52"/>
      <c r="K2" s="52"/>
      <c r="L2" s="52"/>
      <c r="M2" s="52"/>
      <c r="N2" s="52"/>
      <c r="O2" s="52"/>
      <c r="P2" s="52"/>
      <c r="Q2" s="52"/>
      <c r="R2" s="52"/>
      <c r="S2" s="52"/>
      <c r="T2" s="52"/>
      <c r="U2" s="52"/>
      <c r="V2" s="204"/>
      <c r="W2" s="30"/>
      <c r="X2" s="30"/>
      <c r="Y2" s="30"/>
      <c r="Z2" s="30"/>
      <c r="AA2" s="30"/>
      <c r="AB2" s="30"/>
      <c r="AC2" s="52"/>
      <c r="AD2" s="52"/>
      <c r="AE2" s="28"/>
      <c r="AF2" s="28"/>
      <c r="AG2" s="28"/>
      <c r="AH2" s="28"/>
      <c r="AI2" s="28"/>
      <c r="AJ2" s="28"/>
      <c r="AK2" s="28"/>
      <c r="AL2" s="28"/>
      <c r="AM2" s="28"/>
      <c r="AN2" s="28"/>
      <c r="AO2" s="28"/>
      <c r="AP2" s="28"/>
      <c r="AQ2" s="28"/>
      <c r="AR2" s="28"/>
      <c r="AS2" s="28"/>
      <c r="AT2" s="28"/>
      <c r="AU2" s="28"/>
      <c r="AV2" s="28"/>
      <c r="AW2" s="28"/>
      <c r="AX2" s="28"/>
      <c r="AY2" s="53"/>
      <c r="AZ2" s="52"/>
      <c r="BA2" s="308"/>
      <c r="BB2" s="308"/>
      <c r="BC2" s="308"/>
      <c r="BD2" s="308"/>
      <c r="BE2" s="308"/>
    </row>
    <row r="3" spans="1:70" s="22" customFormat="1">
      <c r="B3" s="52"/>
      <c r="C3" s="52"/>
      <c r="D3" s="53" t="s">
        <v>62</v>
      </c>
      <c r="E3" s="52"/>
      <c r="F3" s="52"/>
      <c r="G3" s="52"/>
      <c r="H3" s="52"/>
      <c r="I3" s="52"/>
      <c r="J3" s="52"/>
      <c r="K3" s="52"/>
      <c r="L3" s="52"/>
      <c r="M3" s="52"/>
      <c r="N3" s="52"/>
      <c r="O3" s="52"/>
      <c r="P3" s="52"/>
      <c r="Q3" s="52"/>
      <c r="R3" s="52"/>
      <c r="S3" s="52"/>
      <c r="T3" s="52"/>
      <c r="U3" s="52"/>
      <c r="V3" s="204"/>
      <c r="W3" s="27"/>
      <c r="X3" s="27"/>
      <c r="Y3" s="27"/>
      <c r="Z3" s="27"/>
      <c r="AA3" s="27"/>
      <c r="AB3" s="27"/>
      <c r="AC3" s="52"/>
      <c r="AD3" s="52"/>
      <c r="AE3" s="28"/>
      <c r="AF3" s="28"/>
      <c r="AG3" s="28"/>
      <c r="AH3" s="28"/>
      <c r="AI3" s="28"/>
      <c r="AJ3" s="28"/>
      <c r="AK3" s="28"/>
      <c r="AL3" s="28"/>
      <c r="AM3" s="28"/>
      <c r="AN3" s="28"/>
      <c r="AO3" s="28"/>
      <c r="AP3" s="28"/>
      <c r="AQ3" s="28"/>
      <c r="AR3" s="28"/>
      <c r="AS3" s="28"/>
      <c r="AT3" s="28"/>
      <c r="AU3" s="28"/>
      <c r="AV3" s="28"/>
      <c r="AW3" s="28"/>
      <c r="AX3" s="28"/>
      <c r="AY3" s="53"/>
      <c r="AZ3" s="52"/>
      <c r="BA3" s="308"/>
      <c r="BB3" s="308"/>
      <c r="BC3" s="308" t="s">
        <v>377</v>
      </c>
      <c r="BD3" s="308"/>
      <c r="BE3" s="308"/>
    </row>
    <row r="4" spans="1:70" ht="13.5" thickBot="1">
      <c r="B4" s="52"/>
      <c r="C4" s="52"/>
      <c r="D4" s="52"/>
      <c r="E4" s="52"/>
      <c r="F4" s="52"/>
      <c r="G4" s="52"/>
      <c r="H4" s="52"/>
      <c r="I4" s="52"/>
      <c r="J4" s="52"/>
      <c r="K4" s="52"/>
      <c r="L4" s="52"/>
      <c r="M4" s="52"/>
      <c r="N4" s="52"/>
      <c r="O4" s="52"/>
      <c r="P4" s="52"/>
      <c r="Q4" s="52"/>
      <c r="R4" s="52"/>
      <c r="S4" s="52"/>
      <c r="T4" s="52"/>
      <c r="U4" s="52"/>
      <c r="V4" s="204"/>
      <c r="W4" s="27"/>
      <c r="X4" s="27"/>
      <c r="Y4" s="27"/>
      <c r="Z4" s="27"/>
      <c r="AA4" s="27"/>
      <c r="AB4" s="27"/>
      <c r="AC4" s="52"/>
      <c r="AD4" s="52"/>
      <c r="AE4" s="28"/>
      <c r="AF4" s="28"/>
      <c r="AG4" s="28"/>
      <c r="AH4" s="28"/>
      <c r="AI4" s="28"/>
      <c r="AJ4" s="28"/>
      <c r="AK4" s="28"/>
      <c r="AL4" s="28"/>
      <c r="AM4" s="28"/>
      <c r="AN4" s="28"/>
      <c r="AO4" s="28"/>
      <c r="AP4" s="28"/>
      <c r="AQ4" s="28"/>
      <c r="AR4" s="28"/>
      <c r="AS4" s="28"/>
      <c r="AT4" s="28"/>
      <c r="AU4" s="28"/>
      <c r="AV4" s="28"/>
      <c r="AW4" s="28"/>
      <c r="AX4" s="28"/>
      <c r="AY4" s="53"/>
      <c r="AZ4" s="52"/>
    </row>
    <row r="5" spans="1:70" s="308" customFormat="1" ht="16.5" customHeight="1">
      <c r="A5" s="2670" t="s">
        <v>0</v>
      </c>
      <c r="B5" s="2670" t="s">
        <v>384</v>
      </c>
      <c r="C5" s="301"/>
      <c r="D5" s="302"/>
      <c r="E5" s="303"/>
      <c r="F5" s="303"/>
      <c r="G5" s="1927"/>
      <c r="H5" s="1927"/>
      <c r="I5" s="1927"/>
      <c r="J5" s="1927"/>
      <c r="K5" s="2672" t="s">
        <v>1</v>
      </c>
      <c r="L5" s="301"/>
      <c r="M5" s="370"/>
      <c r="N5" s="371"/>
      <c r="O5" s="371"/>
      <c r="P5" s="371"/>
      <c r="Q5" s="372"/>
      <c r="R5" s="370"/>
      <c r="S5" s="371"/>
      <c r="T5" s="371"/>
      <c r="U5" s="371"/>
      <c r="V5" s="372"/>
      <c r="W5" s="1927"/>
      <c r="X5" s="370"/>
      <c r="Y5" s="371"/>
      <c r="Z5" s="371"/>
      <c r="AA5" s="371"/>
      <c r="AB5" s="372"/>
      <c r="AC5" s="198"/>
      <c r="AD5" s="2675" t="s">
        <v>388</v>
      </c>
      <c r="AE5" s="2676"/>
      <c r="AF5" s="2676"/>
      <c r="AG5" s="2676"/>
      <c r="AH5" s="2676"/>
      <c r="AI5" s="2661" t="s">
        <v>1296</v>
      </c>
      <c r="AJ5" s="2662"/>
      <c r="AK5" s="2662"/>
      <c r="AL5" s="2663"/>
      <c r="AM5" s="2661" t="s">
        <v>1297</v>
      </c>
      <c r="AN5" s="2662"/>
      <c r="AO5" s="2662"/>
      <c r="AP5" s="2663"/>
      <c r="AQ5" s="2661" t="s">
        <v>38</v>
      </c>
      <c r="AR5" s="2662"/>
      <c r="AS5" s="2662"/>
      <c r="AT5" s="2663"/>
      <c r="AU5" s="1954"/>
      <c r="AV5" s="1954"/>
      <c r="AW5" s="1954"/>
      <c r="AX5" s="1954"/>
      <c r="AY5" s="2664" t="s">
        <v>139</v>
      </c>
      <c r="AZ5" s="2665"/>
      <c r="BA5" s="1576"/>
      <c r="BB5" s="1577"/>
      <c r="BC5" s="1577"/>
      <c r="BD5" s="1577"/>
    </row>
    <row r="6" spans="1:70" s="308" customFormat="1" ht="29.25" customHeight="1">
      <c r="A6" s="2671"/>
      <c r="B6" s="2671"/>
      <c r="C6" s="1926" t="s">
        <v>313</v>
      </c>
      <c r="D6" s="2668"/>
      <c r="E6" s="2669"/>
      <c r="F6" s="2669"/>
      <c r="G6" s="265" t="s">
        <v>5</v>
      </c>
      <c r="H6" s="265"/>
      <c r="I6" s="265"/>
      <c r="J6" s="265"/>
      <c r="K6" s="2673"/>
      <c r="L6" s="1926" t="s">
        <v>136</v>
      </c>
      <c r="M6" s="373" t="s">
        <v>2</v>
      </c>
      <c r="N6" s="374"/>
      <c r="O6" s="374"/>
      <c r="P6" s="374"/>
      <c r="Q6" s="375"/>
      <c r="R6" s="373" t="s">
        <v>137</v>
      </c>
      <c r="S6" s="374"/>
      <c r="T6" s="374"/>
      <c r="U6" s="374"/>
      <c r="V6" s="375"/>
      <c r="W6" s="223"/>
      <c r="X6" s="373" t="s">
        <v>160</v>
      </c>
      <c r="Y6" s="374"/>
      <c r="Z6" s="374"/>
      <c r="AA6" s="374"/>
      <c r="AB6" s="375"/>
      <c r="AC6" s="48"/>
      <c r="AD6" s="465" t="s">
        <v>24</v>
      </c>
      <c r="AE6" s="466" t="s">
        <v>59</v>
      </c>
      <c r="AF6" s="468" t="s">
        <v>59</v>
      </c>
      <c r="AG6" s="468" t="s">
        <v>39</v>
      </c>
      <c r="AH6" s="468" t="s">
        <v>12</v>
      </c>
      <c r="AI6" s="2661" t="s">
        <v>24</v>
      </c>
      <c r="AJ6" s="2662"/>
      <c r="AK6" s="2662"/>
      <c r="AL6" s="2663"/>
      <c r="AM6" s="1955" t="s">
        <v>37</v>
      </c>
      <c r="AN6" s="1956"/>
      <c r="AO6" s="1956"/>
      <c r="AP6" s="1957"/>
      <c r="AQ6" s="1958" t="s">
        <v>38</v>
      </c>
      <c r="AR6" s="1958"/>
      <c r="AS6" s="1958"/>
      <c r="AT6" s="1958"/>
      <c r="AU6" s="1958" t="s">
        <v>138</v>
      </c>
      <c r="AV6" s="1958"/>
      <c r="AW6" s="1958"/>
      <c r="AX6" s="1958"/>
      <c r="AY6" s="2666"/>
      <c r="AZ6" s="2667"/>
      <c r="BA6" s="472" t="s">
        <v>369</v>
      </c>
      <c r="BB6" s="1578" t="s">
        <v>368</v>
      </c>
      <c r="BC6" s="1578" t="s">
        <v>283</v>
      </c>
      <c r="BD6" s="1578" t="s">
        <v>370</v>
      </c>
    </row>
    <row r="7" spans="1:70" s="308" customFormat="1" ht="17.25" customHeight="1" thickBot="1">
      <c r="A7" s="263"/>
      <c r="B7" s="2645"/>
      <c r="C7" s="263"/>
      <c r="D7" s="304"/>
      <c r="E7" s="305"/>
      <c r="F7" s="305"/>
      <c r="G7" s="224"/>
      <c r="H7" s="224"/>
      <c r="I7" s="224"/>
      <c r="J7" s="224"/>
      <c r="K7" s="2674"/>
      <c r="L7" s="488"/>
      <c r="M7" s="225" t="s">
        <v>6</v>
      </c>
      <c r="N7" s="226" t="s">
        <v>7</v>
      </c>
      <c r="O7" s="226" t="s">
        <v>8</v>
      </c>
      <c r="P7" s="226" t="s">
        <v>9</v>
      </c>
      <c r="Q7" s="227" t="s">
        <v>10</v>
      </c>
      <c r="R7" s="226" t="s">
        <v>6</v>
      </c>
      <c r="S7" s="226" t="s">
        <v>7</v>
      </c>
      <c r="T7" s="226" t="s">
        <v>8</v>
      </c>
      <c r="U7" s="226" t="s">
        <v>9</v>
      </c>
      <c r="V7" s="228" t="s">
        <v>10</v>
      </c>
      <c r="W7" s="226"/>
      <c r="X7" s="381" t="s">
        <v>24</v>
      </c>
      <c r="Y7" s="382" t="s">
        <v>37</v>
      </c>
      <c r="Z7" s="382" t="s">
        <v>38</v>
      </c>
      <c r="AA7" s="382" t="s">
        <v>39</v>
      </c>
      <c r="AB7" s="383" t="s">
        <v>40</v>
      </c>
      <c r="AC7" s="229"/>
      <c r="AD7" s="413" t="s">
        <v>26</v>
      </c>
      <c r="AE7" s="1579" t="s">
        <v>26</v>
      </c>
      <c r="AF7" s="1579" t="s">
        <v>60</v>
      </c>
      <c r="AG7" s="1579"/>
      <c r="AH7" s="230" t="s">
        <v>40</v>
      </c>
      <c r="AI7" s="1959" t="s">
        <v>6</v>
      </c>
      <c r="AJ7" s="1959" t="s">
        <v>7</v>
      </c>
      <c r="AK7" s="1959" t="s">
        <v>8</v>
      </c>
      <c r="AL7" s="1959" t="s">
        <v>9</v>
      </c>
      <c r="AM7" s="1959" t="s">
        <v>6</v>
      </c>
      <c r="AN7" s="1959" t="s">
        <v>7</v>
      </c>
      <c r="AO7" s="1959" t="s">
        <v>8</v>
      </c>
      <c r="AP7" s="1959" t="s">
        <v>9</v>
      </c>
      <c r="AQ7" s="1959" t="s">
        <v>6</v>
      </c>
      <c r="AR7" s="1959" t="s">
        <v>7</v>
      </c>
      <c r="AS7" s="1959" t="s">
        <v>8</v>
      </c>
      <c r="AT7" s="1959" t="s">
        <v>9</v>
      </c>
      <c r="AU7" s="1959" t="s">
        <v>6</v>
      </c>
      <c r="AV7" s="1959" t="s">
        <v>7</v>
      </c>
      <c r="AW7" s="1959" t="s">
        <v>8</v>
      </c>
      <c r="AX7" s="1959" t="s">
        <v>9</v>
      </c>
      <c r="AY7" s="1960"/>
      <c r="AZ7" s="1960"/>
      <c r="BA7" s="1580"/>
      <c r="BB7" s="1036"/>
      <c r="BC7" s="1036"/>
      <c r="BD7" s="1581"/>
    </row>
    <row r="8" spans="1:70" s="199" customFormat="1" ht="15">
      <c r="A8" s="364"/>
      <c r="B8" s="525"/>
      <c r="C8" s="364"/>
      <c r="D8" s="231" t="s">
        <v>140</v>
      </c>
      <c r="E8" s="232"/>
      <c r="F8" s="232"/>
      <c r="G8" s="232"/>
      <c r="H8" s="232"/>
      <c r="I8" s="232"/>
      <c r="J8" s="232"/>
      <c r="K8" s="489"/>
      <c r="L8" s="489"/>
      <c r="M8" s="415"/>
      <c r="N8" s="416"/>
      <c r="O8" s="1582"/>
      <c r="P8" s="1582"/>
      <c r="Q8" s="1582"/>
      <c r="R8" s="417"/>
      <c r="S8" s="418"/>
      <c r="T8" s="418"/>
      <c r="U8" s="418"/>
      <c r="V8" s="419"/>
      <c r="W8" s="1583"/>
      <c r="X8" s="420"/>
      <c r="Y8" s="421"/>
      <c r="Z8" s="421"/>
      <c r="AA8" s="421"/>
      <c r="AB8" s="422"/>
      <c r="AC8" s="1582"/>
      <c r="AD8" s="414"/>
      <c r="AE8" s="233"/>
      <c r="AF8" s="233"/>
      <c r="AG8" s="233"/>
      <c r="AH8" s="234"/>
      <c r="AI8" s="233"/>
      <c r="AJ8" s="233"/>
      <c r="AK8" s="233"/>
      <c r="AL8" s="233"/>
      <c r="AM8" s="235"/>
      <c r="AN8" s="233"/>
      <c r="AO8" s="233"/>
      <c r="AP8" s="234"/>
      <c r="AQ8" s="233"/>
      <c r="AR8" s="233"/>
      <c r="AS8" s="233"/>
      <c r="AT8" s="233"/>
      <c r="AU8" s="235"/>
      <c r="AV8" s="233"/>
      <c r="AW8" s="233"/>
      <c r="AX8" s="234"/>
      <c r="AY8" s="414"/>
      <c r="AZ8" s="234"/>
      <c r="BA8" s="1584"/>
      <c r="BB8" s="1048"/>
      <c r="BC8" s="314" t="str">
        <f>IFERROR(INDEX('[11]Annex 2_Code'!$J$122:$J$134,MATCH(#REF!,'[11]Annex 2_Code'!$G$122:$G$134,0)),"")</f>
        <v/>
      </c>
      <c r="BD8" s="1049"/>
      <c r="BE8" s="308"/>
      <c r="BF8" s="308"/>
      <c r="BG8" s="308"/>
      <c r="BH8" s="308"/>
      <c r="BI8" s="308"/>
      <c r="BJ8" s="308"/>
      <c r="BK8" s="308"/>
      <c r="BL8" s="308"/>
      <c r="BM8" s="308"/>
      <c r="BN8" s="308"/>
      <c r="BO8" s="308"/>
      <c r="BP8" s="308"/>
      <c r="BQ8" s="308"/>
      <c r="BR8" s="308"/>
    </row>
    <row r="9" spans="1:70" s="308" customFormat="1" ht="15">
      <c r="A9" s="365"/>
      <c r="B9" s="526"/>
      <c r="C9" s="365"/>
      <c r="D9" s="236" t="s">
        <v>115</v>
      </c>
      <c r="E9" s="237"/>
      <c r="F9" s="237"/>
      <c r="G9" s="237"/>
      <c r="H9" s="237"/>
      <c r="I9" s="237"/>
      <c r="J9" s="237"/>
      <c r="K9" s="490"/>
      <c r="L9" s="490"/>
      <c r="M9" s="398"/>
      <c r="N9" s="399"/>
      <c r="O9" s="400"/>
      <c r="P9" s="400"/>
      <c r="Q9" s="401"/>
      <c r="R9" s="405"/>
      <c r="S9" s="400"/>
      <c r="T9" s="400"/>
      <c r="U9" s="400"/>
      <c r="V9" s="406"/>
      <c r="W9" s="423"/>
      <c r="X9" s="410"/>
      <c r="Y9" s="411"/>
      <c r="Z9" s="411"/>
      <c r="AA9" s="411"/>
      <c r="AB9" s="412"/>
      <c r="AC9" s="400"/>
      <c r="AD9" s="405"/>
      <c r="AE9" s="424"/>
      <c r="AF9" s="424"/>
      <c r="AG9" s="424"/>
      <c r="AH9" s="425"/>
      <c r="AI9" s="424"/>
      <c r="AJ9" s="424"/>
      <c r="AK9" s="424"/>
      <c r="AL9" s="424"/>
      <c r="AM9" s="426"/>
      <c r="AN9" s="424"/>
      <c r="AO9" s="424"/>
      <c r="AP9" s="425"/>
      <c r="AQ9" s="424"/>
      <c r="AR9" s="424"/>
      <c r="AS9" s="424"/>
      <c r="AT9" s="424"/>
      <c r="AU9" s="426"/>
      <c r="AV9" s="424"/>
      <c r="AW9" s="424"/>
      <c r="AX9" s="425"/>
      <c r="AY9" s="1585"/>
      <c r="AZ9" s="1586"/>
      <c r="BA9" s="1584"/>
      <c r="BB9" s="1048"/>
      <c r="BC9" s="314" t="str">
        <f>IFERROR(INDEX('[11]Annex 2_Code'!$J$122:$J$134,MATCH(#REF!,'[11]Annex 2_Code'!$G$122:$G$134,0)),"")</f>
        <v/>
      </c>
      <c r="BD9" s="1049"/>
    </row>
    <row r="10" spans="1:70" s="203" customFormat="1" ht="15">
      <c r="A10" s="531" t="s">
        <v>22</v>
      </c>
      <c r="B10" s="531" t="str">
        <f t="shared" ref="B10:B43" si="0">IF(ISNUMBER(FIND("-",C10,1))=FALSE,LEFT(C10,LEN(C10)),LEFT(C10,(FIND("-",C10,1))-1))</f>
        <v>CW12</v>
      </c>
      <c r="C10" s="367" t="s">
        <v>316</v>
      </c>
      <c r="D10" s="473"/>
      <c r="E10" s="1592" t="s">
        <v>1298</v>
      </c>
      <c r="F10" s="1592"/>
      <c r="G10" s="2"/>
      <c r="H10" s="1592"/>
      <c r="I10" s="1592"/>
      <c r="J10" s="26"/>
      <c r="K10" s="491" t="s">
        <v>380</v>
      </c>
      <c r="L10" s="474">
        <v>620.20000000000005</v>
      </c>
      <c r="M10" s="556">
        <v>0</v>
      </c>
      <c r="N10" s="556">
        <v>0</v>
      </c>
      <c r="O10" s="1587">
        <v>0</v>
      </c>
      <c r="P10" s="1587">
        <v>0.1</v>
      </c>
      <c r="Q10" s="79">
        <f>SUM(M10:P10)</f>
        <v>0.1</v>
      </c>
      <c r="R10" s="385">
        <f t="shared" ref="R10:U13" si="1">ROUND($L10*M10,2)</f>
        <v>0</v>
      </c>
      <c r="S10" s="386">
        <f t="shared" si="1"/>
        <v>0</v>
      </c>
      <c r="T10" s="386">
        <f t="shared" si="1"/>
        <v>0</v>
      </c>
      <c r="U10" s="386">
        <f t="shared" si="1"/>
        <v>62.02</v>
      </c>
      <c r="V10" s="384">
        <f>SUM(R10:U10)</f>
        <v>62.02</v>
      </c>
      <c r="W10" s="29"/>
      <c r="X10" s="551">
        <f>IFERROR(INDEX('[11]Annex 2_Code'!I$8:I$33,MATCH('Annex 4_MoWRAM'!$BB10,'[11]Annex 2_Code'!$G$8:$G$33,0)),"")</f>
        <v>0.76827006604510995</v>
      </c>
      <c r="Y10" s="552">
        <f>IFERROR(INDEX('[11]Annex 2_Code'!J$8:J$33,MATCH('Annex 4_MoWRAM'!$BB10,'[11]Annex 2_Code'!$G$8:$G$33,0)),"")</f>
        <v>0.12645069473218948</v>
      </c>
      <c r="Z10" s="552">
        <f>IFERROR(INDEX('[11]Annex 2_Code'!K$8:K$33,MATCH('Annex 4_MoWRAM'!$BB10,'[11]Annex 2_Code'!$G$8:$G$33,0)),"")</f>
        <v>0.10527923922270058</v>
      </c>
      <c r="AA10" s="552">
        <f>IFERROR(INDEX('[11]Annex 2_Code'!L$8:L$33,MATCH('Annex 4_MoWRAM'!$BB10,'[11]Annex 2_Code'!$G$8:$G$33,0)),"")</f>
        <v>0</v>
      </c>
      <c r="AB10" s="553">
        <f>IFERROR(INDEX('[11]Annex 2_Code'!M$8:M$33,MATCH('Annex 4_MoWRAM'!$BB10,'[11]Annex 2_Code'!$G$8:$G$33,0)),"")</f>
        <v>0</v>
      </c>
      <c r="AC10" s="1588"/>
      <c r="AD10" s="547">
        <f t="shared" ref="AD10:AH33" si="2">IFERROR($V10*X10,"")</f>
        <v>47.648109496117719</v>
      </c>
      <c r="AE10" s="79">
        <f t="shared" si="2"/>
        <v>7.8424720872903917</v>
      </c>
      <c r="AF10" s="79">
        <f t="shared" si="2"/>
        <v>6.5294184165918905</v>
      </c>
      <c r="AG10" s="79">
        <f t="shared" si="2"/>
        <v>0</v>
      </c>
      <c r="AH10" s="549">
        <f t="shared" si="2"/>
        <v>0</v>
      </c>
      <c r="AI10" s="548">
        <f>R10*$X10</f>
        <v>0</v>
      </c>
      <c r="AJ10" s="74">
        <f>S10*$X10</f>
        <v>0</v>
      </c>
      <c r="AK10" s="74">
        <f>T10*$X10</f>
        <v>0</v>
      </c>
      <c r="AL10" s="544">
        <f>U10*$X10</f>
        <v>47.648109496117719</v>
      </c>
      <c r="AM10" s="548">
        <f t="shared" ref="AM10:AP13" si="3">$Y10*R10</f>
        <v>0</v>
      </c>
      <c r="AN10" s="74">
        <f t="shared" si="3"/>
        <v>0</v>
      </c>
      <c r="AO10" s="74">
        <f t="shared" si="3"/>
        <v>0</v>
      </c>
      <c r="AP10" s="544">
        <f t="shared" si="3"/>
        <v>7.8424720872903917</v>
      </c>
      <c r="AQ10" s="548">
        <f>$Z10*R10</f>
        <v>0</v>
      </c>
      <c r="AR10" s="74">
        <f>$Z10*S10</f>
        <v>0</v>
      </c>
      <c r="AS10" s="74">
        <f>$Z10*T10</f>
        <v>0</v>
      </c>
      <c r="AT10" s="544">
        <f>$Z10*U10</f>
        <v>6.5294184165918905</v>
      </c>
      <c r="AU10" s="546">
        <f t="shared" ref="AU10:AX13" si="4">$AA10*M10</f>
        <v>0</v>
      </c>
      <c r="AV10" s="202">
        <f t="shared" si="4"/>
        <v>0</v>
      </c>
      <c r="AW10" s="202">
        <f t="shared" si="4"/>
        <v>0</v>
      </c>
      <c r="AX10" s="545">
        <f t="shared" si="4"/>
        <v>0</v>
      </c>
      <c r="AY10" s="550">
        <f t="shared" ref="AY10:AY13" si="5">SUM(AD10:AH10)</f>
        <v>62.019999999999996</v>
      </c>
      <c r="AZ10" s="537" t="str">
        <f t="shared" ref="AZ10:AZ65" si="6">IF(V10=AY10,"Correct","Incorrect")</f>
        <v>Correct</v>
      </c>
      <c r="BA10" s="1584" t="s">
        <v>285</v>
      </c>
      <c r="BB10" s="1048" t="s">
        <v>178</v>
      </c>
      <c r="BC10" s="314" t="str">
        <f>IFERROR(INDEX('[11]Annex 2_Code'!$J$122:$J$139,MATCH('Annex 4_MoWRAM'!BA10,'[11]Annex 2_Code'!$G$122:$G$139,0)),"")</f>
        <v>MOWRAM</v>
      </c>
      <c r="BD10" s="1084" t="str">
        <f t="shared" ref="BD10:BD13" si="7">IF(ISNUMBER(FIND("-",BC10,1))=FALSE,LEFT(BC10,LEN(BC10)),LEFT(BC10,(FIND("-",BC10,1))-1))</f>
        <v>MOWRAM</v>
      </c>
      <c r="BE10" s="308"/>
      <c r="BF10" s="308"/>
      <c r="BG10" s="308"/>
      <c r="BH10" s="308"/>
      <c r="BI10" s="308"/>
      <c r="BJ10" s="308"/>
      <c r="BK10" s="308"/>
      <c r="BL10" s="308"/>
      <c r="BM10" s="308"/>
      <c r="BN10" s="308"/>
      <c r="BO10" s="308"/>
      <c r="BP10" s="308"/>
      <c r="BQ10" s="308"/>
      <c r="BR10" s="308"/>
    </row>
    <row r="11" spans="1:70" s="203" customFormat="1" ht="15">
      <c r="A11" s="531" t="s">
        <v>22</v>
      </c>
      <c r="B11" s="531" t="s">
        <v>142</v>
      </c>
      <c r="C11" s="367" t="s">
        <v>343</v>
      </c>
      <c r="D11" s="473"/>
      <c r="E11" s="1592" t="s">
        <v>1299</v>
      </c>
      <c r="F11" s="1592"/>
      <c r="G11" s="2"/>
      <c r="H11" s="1592"/>
      <c r="I11" s="1592"/>
      <c r="J11" s="26"/>
      <c r="K11" s="491" t="s">
        <v>380</v>
      </c>
      <c r="L11" s="474">
        <v>265</v>
      </c>
      <c r="M11" s="556">
        <v>0</v>
      </c>
      <c r="N11" s="556">
        <v>0.25</v>
      </c>
      <c r="O11" s="1587">
        <v>0.3</v>
      </c>
      <c r="P11" s="1587">
        <v>0.35</v>
      </c>
      <c r="Q11" s="79">
        <f>SUM(M11:P11)</f>
        <v>0.9</v>
      </c>
      <c r="R11" s="385"/>
      <c r="S11" s="386">
        <f t="shared" si="1"/>
        <v>66.25</v>
      </c>
      <c r="T11" s="386">
        <f t="shared" si="1"/>
        <v>79.5</v>
      </c>
      <c r="U11" s="386">
        <f t="shared" si="1"/>
        <v>92.75</v>
      </c>
      <c r="V11" s="384">
        <f>SUM(R11:U11)</f>
        <v>238.5</v>
      </c>
      <c r="W11" s="29"/>
      <c r="X11" s="551">
        <f>IFERROR(INDEX('[11]Annex 2_Code'!I$8:I$33,MATCH('Annex 4_MoWRAM'!$BB11,'[11]Annex 2_Code'!$G$8:$G$33,0)),"")</f>
        <v>0.76827006604510995</v>
      </c>
      <c r="Y11" s="552">
        <f>IFERROR(INDEX('[11]Annex 2_Code'!J$8:J$33,MATCH('Annex 4_MoWRAM'!$BB11,'[11]Annex 2_Code'!$G$8:$G$33,0)),"")</f>
        <v>0.12645069473218948</v>
      </c>
      <c r="Z11" s="552">
        <f>IFERROR(INDEX('[11]Annex 2_Code'!K$8:K$33,MATCH('Annex 4_MoWRAM'!$BB11,'[11]Annex 2_Code'!$G$8:$G$33,0)),"")</f>
        <v>0.10527923922270058</v>
      </c>
      <c r="AA11" s="552">
        <f>IFERROR(INDEX('[11]Annex 2_Code'!L$8:L$33,MATCH('Annex 4_MoWRAM'!$BB11,'[11]Annex 2_Code'!$G$8:$G$33,0)),"")</f>
        <v>0</v>
      </c>
      <c r="AB11" s="553">
        <f>IFERROR(INDEX('[11]Annex 2_Code'!M$8:M$33,MATCH('Annex 4_MoWRAM'!$BB11,'[11]Annex 2_Code'!$G$8:$G$33,0)),"")</f>
        <v>0</v>
      </c>
      <c r="AC11" s="1588"/>
      <c r="AD11" s="547">
        <f t="shared" si="2"/>
        <v>183.23241075175872</v>
      </c>
      <c r="AE11" s="79">
        <f t="shared" si="2"/>
        <v>30.15849069362719</v>
      </c>
      <c r="AF11" s="79">
        <f t="shared" si="2"/>
        <v>25.109098554614089</v>
      </c>
      <c r="AG11" s="79">
        <f t="shared" si="2"/>
        <v>0</v>
      </c>
      <c r="AH11" s="549">
        <f t="shared" si="2"/>
        <v>0</v>
      </c>
      <c r="AI11" s="548">
        <f t="shared" ref="AI11:AL13" si="8">R11*$X11</f>
        <v>0</v>
      </c>
      <c r="AJ11" s="74">
        <f t="shared" si="8"/>
        <v>50.897891875488533</v>
      </c>
      <c r="AK11" s="74">
        <f t="shared" si="8"/>
        <v>61.077470250586238</v>
      </c>
      <c r="AL11" s="544">
        <f t="shared" si="8"/>
        <v>71.25704862568395</v>
      </c>
      <c r="AM11" s="548">
        <f t="shared" si="3"/>
        <v>0</v>
      </c>
      <c r="AN11" s="74">
        <f t="shared" si="3"/>
        <v>8.3773585260075532</v>
      </c>
      <c r="AO11" s="74">
        <f t="shared" si="3"/>
        <v>10.052830231209063</v>
      </c>
      <c r="AP11" s="544">
        <f t="shared" si="3"/>
        <v>11.728301936410574</v>
      </c>
      <c r="AQ11" s="548">
        <f t="shared" ref="AQ11:AT13" si="9">$Z11*R11</f>
        <v>0</v>
      </c>
      <c r="AR11" s="74">
        <f t="shared" si="9"/>
        <v>6.9747495985039132</v>
      </c>
      <c r="AS11" s="74">
        <f t="shared" si="9"/>
        <v>8.3696995182046958</v>
      </c>
      <c r="AT11" s="544">
        <f t="shared" si="9"/>
        <v>9.7646494379054793</v>
      </c>
      <c r="AU11" s="546">
        <f t="shared" si="4"/>
        <v>0</v>
      </c>
      <c r="AV11" s="202">
        <f t="shared" si="4"/>
        <v>0</v>
      </c>
      <c r="AW11" s="202">
        <f t="shared" si="4"/>
        <v>0</v>
      </c>
      <c r="AX11" s="545">
        <f t="shared" si="4"/>
        <v>0</v>
      </c>
      <c r="AY11" s="550">
        <f>SUM(AD11:AH11)</f>
        <v>238.5</v>
      </c>
      <c r="AZ11" s="537" t="str">
        <f t="shared" si="6"/>
        <v>Correct</v>
      </c>
      <c r="BA11" s="1584" t="s">
        <v>285</v>
      </c>
      <c r="BB11" s="1048" t="s">
        <v>178</v>
      </c>
      <c r="BC11" s="314" t="str">
        <f>IFERROR(INDEX('[11]Annex 2_Code'!$J$122:$J$139,MATCH('Annex 4_MoWRAM'!BA11,'[11]Annex 2_Code'!$G$122:$G$139,0)),"")</f>
        <v>MOWRAM</v>
      </c>
      <c r="BD11" s="1084" t="str">
        <f t="shared" si="7"/>
        <v>MOWRAM</v>
      </c>
      <c r="BE11" s="308"/>
      <c r="BF11" s="308"/>
      <c r="BG11" s="308"/>
      <c r="BH11" s="308"/>
      <c r="BI11" s="308"/>
      <c r="BJ11" s="308"/>
      <c r="BK11" s="308"/>
      <c r="BL11" s="308"/>
      <c r="BM11" s="308"/>
      <c r="BN11" s="308"/>
      <c r="BO11" s="308"/>
      <c r="BP11" s="308"/>
      <c r="BQ11" s="308"/>
      <c r="BR11" s="308"/>
    </row>
    <row r="12" spans="1:70" s="203" customFormat="1" ht="15">
      <c r="A12" s="1589" t="s">
        <v>22</v>
      </c>
      <c r="B12" s="1589" t="str">
        <f>IF(ISNUMBER(FIND("-",C12,1))=FALSE,LEFT(C12,LEN(C12)),LEFT(C12,(FIND("-",C12,1))-1))</f>
        <v>CW12</v>
      </c>
      <c r="C12" s="1590" t="s">
        <v>342</v>
      </c>
      <c r="D12" s="473"/>
      <c r="E12" s="1592" t="s">
        <v>1300</v>
      </c>
      <c r="F12" s="1592"/>
      <c r="G12" s="2"/>
      <c r="H12" s="1592"/>
      <c r="I12" s="1592"/>
      <c r="J12" s="26"/>
      <c r="K12" s="491" t="s">
        <v>380</v>
      </c>
      <c r="L12" s="474">
        <v>2630</v>
      </c>
      <c r="M12" s="556">
        <v>0</v>
      </c>
      <c r="N12" s="556">
        <v>0.25</v>
      </c>
      <c r="O12" s="1587">
        <v>0.3</v>
      </c>
      <c r="P12" s="1587">
        <v>0.35</v>
      </c>
      <c r="Q12" s="79">
        <f>SUM(M12:P12)</f>
        <v>0.9</v>
      </c>
      <c r="R12" s="385">
        <f>ROUND($L12*M12,2)</f>
        <v>0</v>
      </c>
      <c r="S12" s="386">
        <f>ROUND($L12*N12,2)</f>
        <v>657.5</v>
      </c>
      <c r="T12" s="386">
        <f>ROUND($L12*O12,2)</f>
        <v>789</v>
      </c>
      <c r="U12" s="386">
        <f>ROUND($L12*P12,2)</f>
        <v>920.5</v>
      </c>
      <c r="V12" s="384">
        <f>SUM(R12:U12)</f>
        <v>2367</v>
      </c>
      <c r="W12" s="29"/>
      <c r="X12" s="551">
        <f>IFERROR(INDEX('[11]Annex 2_Code'!I$8:I$33,MATCH('Annex 4_MoWRAM'!$BB12,'[11]Annex 2_Code'!$G$8:$G$33,0)),"")</f>
        <v>0.76827006604510995</v>
      </c>
      <c r="Y12" s="552">
        <f>IFERROR(INDEX('[11]Annex 2_Code'!J$8:J$33,MATCH('Annex 4_MoWRAM'!$BB12,'[11]Annex 2_Code'!$G$8:$G$33,0)),"")</f>
        <v>0.12645069473218948</v>
      </c>
      <c r="Z12" s="552">
        <f>IFERROR(INDEX('[11]Annex 2_Code'!K$8:K$33,MATCH('Annex 4_MoWRAM'!$BB12,'[11]Annex 2_Code'!$G$8:$G$33,0)),"")</f>
        <v>0.10527923922270058</v>
      </c>
      <c r="AA12" s="552">
        <f>IFERROR(INDEX('[11]Annex 2_Code'!L$8:L$33,MATCH('Annex 4_MoWRAM'!$BB12,'[11]Annex 2_Code'!$G$8:$G$33,0)),"")</f>
        <v>0</v>
      </c>
      <c r="AB12" s="553">
        <f>IFERROR(INDEX('[11]Annex 2_Code'!M$8:M$33,MATCH('Annex 4_MoWRAM'!$BB12,'[11]Annex 2_Code'!$G$8:$G$33,0)),"")</f>
        <v>0</v>
      </c>
      <c r="AC12" s="1588"/>
      <c r="AD12" s="547">
        <f>IFERROR($V12*X12,"")</f>
        <v>1818.4952463287752</v>
      </c>
      <c r="AE12" s="79">
        <f>IFERROR($V12*Y12,"")</f>
        <v>299.30879443109251</v>
      </c>
      <c r="AF12" s="79">
        <f>IFERROR($V12*Z12,"")</f>
        <v>249.19595924013225</v>
      </c>
      <c r="AG12" s="79">
        <f>IFERROR($V12*AA12,"")</f>
        <v>0</v>
      </c>
      <c r="AH12" s="549">
        <f>IFERROR($V12*AB12,"")</f>
        <v>0</v>
      </c>
      <c r="AI12" s="548">
        <f>R12*$X12</f>
        <v>0</v>
      </c>
      <c r="AJ12" s="74">
        <f>S12*$X12</f>
        <v>505.13756842465978</v>
      </c>
      <c r="AK12" s="74">
        <f>T12*$X12</f>
        <v>606.16508210959171</v>
      </c>
      <c r="AL12" s="544">
        <f>U12*$X12</f>
        <v>707.19259579452375</v>
      </c>
      <c r="AM12" s="548">
        <f>$Y12*R12</f>
        <v>0</v>
      </c>
      <c r="AN12" s="74">
        <f>$Y12*S12</f>
        <v>83.141331786414582</v>
      </c>
      <c r="AO12" s="74">
        <f>$Y12*T12</f>
        <v>99.769598143697493</v>
      </c>
      <c r="AP12" s="544">
        <f>$Y12*U12</f>
        <v>116.39786450098042</v>
      </c>
      <c r="AQ12" s="548">
        <f>$Z12*R12</f>
        <v>0</v>
      </c>
      <c r="AR12" s="74">
        <f>$Z12*S12</f>
        <v>69.221099788925628</v>
      </c>
      <c r="AS12" s="74">
        <f>$Z12*T12</f>
        <v>83.065319746710756</v>
      </c>
      <c r="AT12" s="544">
        <f>$Z12*U12</f>
        <v>96.909539704495884</v>
      </c>
      <c r="AU12" s="546">
        <f>$AA12*M12</f>
        <v>0</v>
      </c>
      <c r="AV12" s="202">
        <f>$AA12*N12</f>
        <v>0</v>
      </c>
      <c r="AW12" s="202">
        <f>$AA12*O12</f>
        <v>0</v>
      </c>
      <c r="AX12" s="545">
        <f>$AA12*P12</f>
        <v>0</v>
      </c>
      <c r="AY12" s="550">
        <f>SUM(AD12:AH12)</f>
        <v>2367</v>
      </c>
      <c r="AZ12" s="537" t="str">
        <f>IF(V12=AY12,"Correct","Incorrect")</f>
        <v>Correct</v>
      </c>
      <c r="BA12" s="1584" t="s">
        <v>285</v>
      </c>
      <c r="BB12" s="1048" t="s">
        <v>178</v>
      </c>
      <c r="BC12" s="314" t="str">
        <f>IFERROR(INDEX('[11]Annex 2_Code'!$J$122:$J$139,MATCH('Annex 4_MoWRAM'!BA12,'[11]Annex 2_Code'!$G$122:$G$139,0)),"")</f>
        <v>MOWRAM</v>
      </c>
      <c r="BD12" s="1084" t="str">
        <f>IF(ISNUMBER(FIND("-",BC12,1))=FALSE,LEFT(BC12,LEN(BC12)),LEFT(BC12,(FIND("-",BC12,1))-1))</f>
        <v>MOWRAM</v>
      </c>
      <c r="BE12" s="308"/>
      <c r="BF12" s="308"/>
      <c r="BG12" s="308"/>
      <c r="BH12" s="308"/>
      <c r="BI12" s="308"/>
      <c r="BJ12" s="308"/>
      <c r="BK12" s="308"/>
      <c r="BL12" s="308"/>
      <c r="BM12" s="308"/>
      <c r="BN12" s="308"/>
      <c r="BO12" s="308"/>
      <c r="BP12" s="308"/>
      <c r="BQ12" s="308"/>
      <c r="BR12" s="308"/>
    </row>
    <row r="13" spans="1:70" s="203" customFormat="1" ht="15">
      <c r="A13" s="1589" t="s">
        <v>22</v>
      </c>
      <c r="B13" s="1589" t="str">
        <f t="shared" si="0"/>
        <v>CW12</v>
      </c>
      <c r="C13" s="1590" t="s">
        <v>318</v>
      </c>
      <c r="D13" s="473"/>
      <c r="E13" s="1592" t="s">
        <v>1301</v>
      </c>
      <c r="F13" s="1592"/>
      <c r="G13" s="2"/>
      <c r="H13" s="1592"/>
      <c r="I13" s="1592"/>
      <c r="J13" s="26"/>
      <c r="K13" s="491" t="s">
        <v>380</v>
      </c>
      <c r="L13" s="474">
        <v>2520</v>
      </c>
      <c r="M13" s="556">
        <v>0</v>
      </c>
      <c r="N13" s="556">
        <v>0.25</v>
      </c>
      <c r="O13" s="1587">
        <v>0.3</v>
      </c>
      <c r="P13" s="1587">
        <v>0.35</v>
      </c>
      <c r="Q13" s="79">
        <f>SUM(M13:P13)</f>
        <v>0.9</v>
      </c>
      <c r="R13" s="385">
        <f t="shared" si="1"/>
        <v>0</v>
      </c>
      <c r="S13" s="386">
        <f t="shared" si="1"/>
        <v>630</v>
      </c>
      <c r="T13" s="386">
        <f t="shared" si="1"/>
        <v>756</v>
      </c>
      <c r="U13" s="386">
        <f t="shared" si="1"/>
        <v>882</v>
      </c>
      <c r="V13" s="384">
        <f>SUM(R13:U13)</f>
        <v>2268</v>
      </c>
      <c r="W13" s="29"/>
      <c r="X13" s="551">
        <f>IFERROR(INDEX('[11]Annex 2_Code'!I$8:I$33,MATCH('Annex 4_MoWRAM'!$BB13,'[11]Annex 2_Code'!$G$8:$G$33,0)),"")</f>
        <v>0.76827006604510995</v>
      </c>
      <c r="Y13" s="552">
        <f>IFERROR(INDEX('[11]Annex 2_Code'!J$8:J$33,MATCH('Annex 4_MoWRAM'!$BB13,'[11]Annex 2_Code'!$G$8:$G$33,0)),"")</f>
        <v>0.12645069473218948</v>
      </c>
      <c r="Z13" s="552">
        <f>IFERROR(INDEX('[11]Annex 2_Code'!K$8:K$33,MATCH('Annex 4_MoWRAM'!$BB13,'[11]Annex 2_Code'!$G$8:$G$33,0)),"")</f>
        <v>0.10527923922270058</v>
      </c>
      <c r="AA13" s="552">
        <f>IFERROR(INDEX('[11]Annex 2_Code'!L$8:L$33,MATCH('Annex 4_MoWRAM'!$BB13,'[11]Annex 2_Code'!$G$8:$G$33,0)),"")</f>
        <v>0</v>
      </c>
      <c r="AB13" s="553">
        <f>IFERROR(INDEX('[11]Annex 2_Code'!M$8:M$33,MATCH('Annex 4_MoWRAM'!$BB13,'[11]Annex 2_Code'!$G$8:$G$33,0)),"")</f>
        <v>0</v>
      </c>
      <c r="AC13" s="1588"/>
      <c r="AD13" s="547">
        <f t="shared" si="2"/>
        <v>1742.4365097903094</v>
      </c>
      <c r="AE13" s="79">
        <f t="shared" si="2"/>
        <v>286.79017565260574</v>
      </c>
      <c r="AF13" s="79">
        <f t="shared" si="2"/>
        <v>238.77331455708492</v>
      </c>
      <c r="AG13" s="79">
        <f t="shared" si="2"/>
        <v>0</v>
      </c>
      <c r="AH13" s="549">
        <f t="shared" si="2"/>
        <v>0</v>
      </c>
      <c r="AI13" s="548">
        <f t="shared" si="8"/>
        <v>0</v>
      </c>
      <c r="AJ13" s="74">
        <f t="shared" si="8"/>
        <v>484.01014160841925</v>
      </c>
      <c r="AK13" s="74">
        <f t="shared" si="8"/>
        <v>580.8121699301031</v>
      </c>
      <c r="AL13" s="544">
        <f t="shared" si="8"/>
        <v>677.614198251787</v>
      </c>
      <c r="AM13" s="548">
        <f t="shared" si="3"/>
        <v>0</v>
      </c>
      <c r="AN13" s="74">
        <f t="shared" si="3"/>
        <v>79.663937681279364</v>
      </c>
      <c r="AO13" s="74">
        <f t="shared" si="3"/>
        <v>95.596725217535251</v>
      </c>
      <c r="AP13" s="544">
        <f t="shared" si="3"/>
        <v>111.52951275379112</v>
      </c>
      <c r="AQ13" s="548">
        <f t="shared" si="9"/>
        <v>0</v>
      </c>
      <c r="AR13" s="74">
        <f t="shared" si="9"/>
        <v>66.325920710301361</v>
      </c>
      <c r="AS13" s="74">
        <f t="shared" si="9"/>
        <v>79.591104852361639</v>
      </c>
      <c r="AT13" s="544">
        <f t="shared" si="9"/>
        <v>92.856288994421902</v>
      </c>
      <c r="AU13" s="546">
        <f t="shared" si="4"/>
        <v>0</v>
      </c>
      <c r="AV13" s="202">
        <f t="shared" si="4"/>
        <v>0</v>
      </c>
      <c r="AW13" s="202">
        <f t="shared" si="4"/>
        <v>0</v>
      </c>
      <c r="AX13" s="545">
        <f t="shared" si="4"/>
        <v>0</v>
      </c>
      <c r="AY13" s="550">
        <f t="shared" si="5"/>
        <v>2268</v>
      </c>
      <c r="AZ13" s="537" t="str">
        <f t="shared" si="6"/>
        <v>Correct</v>
      </c>
      <c r="BA13" s="1584" t="s">
        <v>285</v>
      </c>
      <c r="BB13" s="1048" t="s">
        <v>178</v>
      </c>
      <c r="BC13" s="314" t="str">
        <f>IFERROR(INDEX('[11]Annex 2_Code'!$J$122:$J$139,MATCH('Annex 4_MoWRAM'!BA13,'[11]Annex 2_Code'!$G$122:$G$139,0)),"")</f>
        <v>MOWRAM</v>
      </c>
      <c r="BD13" s="1084" t="str">
        <f t="shared" si="7"/>
        <v>MOWRAM</v>
      </c>
      <c r="BE13" s="308"/>
      <c r="BF13" s="308"/>
      <c r="BG13" s="308"/>
      <c r="BH13" s="308"/>
      <c r="BI13" s="308"/>
      <c r="BJ13" s="308"/>
      <c r="BK13" s="308"/>
      <c r="BL13" s="308"/>
      <c r="BM13" s="308"/>
      <c r="BN13" s="308"/>
      <c r="BO13" s="308"/>
      <c r="BP13" s="308"/>
      <c r="BQ13" s="308"/>
      <c r="BR13" s="308"/>
    </row>
    <row r="14" spans="1:70" s="203" customFormat="1" ht="3" customHeight="1">
      <c r="A14" s="531"/>
      <c r="B14" s="531" t="str">
        <f t="shared" si="0"/>
        <v/>
      </c>
      <c r="C14" s="367"/>
      <c r="D14" s="240"/>
      <c r="E14" s="26"/>
      <c r="F14" s="26"/>
      <c r="G14" s="26"/>
      <c r="H14" s="26"/>
      <c r="I14" s="26"/>
      <c r="J14" s="26"/>
      <c r="K14" s="492"/>
      <c r="L14" s="196"/>
      <c r="M14" s="394"/>
      <c r="N14" s="556"/>
      <c r="O14" s="1587"/>
      <c r="P14" s="1587"/>
      <c r="Q14" s="549"/>
      <c r="R14" s="385"/>
      <c r="S14" s="386"/>
      <c r="T14" s="386"/>
      <c r="U14" s="386"/>
      <c r="V14" s="384"/>
      <c r="W14" s="29"/>
      <c r="X14" s="551"/>
      <c r="Y14" s="552"/>
      <c r="Z14" s="552"/>
      <c r="AA14" s="552"/>
      <c r="AB14" s="553"/>
      <c r="AC14" s="1588"/>
      <c r="AD14" s="547"/>
      <c r="AE14" s="79"/>
      <c r="AF14" s="79"/>
      <c r="AG14" s="79"/>
      <c r="AH14" s="549"/>
      <c r="AI14" s="74"/>
      <c r="AJ14" s="74"/>
      <c r="AK14" s="74"/>
      <c r="AL14" s="74"/>
      <c r="AM14" s="548"/>
      <c r="AN14" s="74"/>
      <c r="AO14" s="74"/>
      <c r="AP14" s="544"/>
      <c r="AQ14" s="74"/>
      <c r="AR14" s="74"/>
      <c r="AS14" s="74"/>
      <c r="AT14" s="74"/>
      <c r="AU14" s="546"/>
      <c r="AV14" s="202"/>
      <c r="AW14" s="202"/>
      <c r="AX14" s="545"/>
      <c r="AY14" s="1591"/>
      <c r="AZ14" s="537"/>
      <c r="BA14" s="1584"/>
      <c r="BB14" s="1048"/>
      <c r="BC14" s="314"/>
      <c r="BD14" s="1084"/>
      <c r="BE14" s="308"/>
      <c r="BF14" s="308"/>
      <c r="BG14" s="308"/>
      <c r="BH14" s="308"/>
      <c r="BI14" s="308"/>
      <c r="BJ14" s="308"/>
      <c r="BK14" s="308"/>
      <c r="BL14" s="308"/>
      <c r="BM14" s="308"/>
      <c r="BN14" s="308"/>
      <c r="BO14" s="308"/>
      <c r="BP14" s="308"/>
      <c r="BQ14" s="308"/>
      <c r="BR14" s="308"/>
    </row>
    <row r="15" spans="1:70" s="308" customFormat="1" ht="15">
      <c r="A15" s="532" t="str">
        <f>IF(ISNUMBER(FIND("-",B15,1))=FALSE,LEFT(B15,LEN(B15)),LEFT(B15,(FIND("-",B15,1))-1))</f>
        <v/>
      </c>
      <c r="B15" s="533" t="str">
        <f t="shared" si="0"/>
        <v/>
      </c>
      <c r="C15" s="532"/>
      <c r="D15" s="236" t="s">
        <v>116</v>
      </c>
      <c r="E15" s="237"/>
      <c r="F15" s="237"/>
      <c r="G15" s="237"/>
      <c r="H15" s="237"/>
      <c r="I15" s="237"/>
      <c r="J15" s="237"/>
      <c r="K15" s="490"/>
      <c r="L15" s="490"/>
      <c r="M15" s="200"/>
      <c r="N15" s="50"/>
      <c r="O15" s="31"/>
      <c r="P15" s="31"/>
      <c r="Q15" s="201"/>
      <c r="R15" s="385"/>
      <c r="S15" s="386"/>
      <c r="T15" s="386"/>
      <c r="U15" s="386"/>
      <c r="V15" s="384"/>
      <c r="W15" s="32"/>
      <c r="X15" s="551" t="str">
        <f>IFERROR(INDEX('[11]Annex 2_Code'!I$8:I$33,MATCH('Annex 4_MoWRAM'!$BB15,'[11]Annex 2_Code'!$G$8:$G$33,0)),"")</f>
        <v/>
      </c>
      <c r="Y15" s="552" t="str">
        <f>IFERROR(INDEX('[11]Annex 2_Code'!J$8:J$33,MATCH('Annex 4_MoWRAM'!$BB15,'[11]Annex 2_Code'!$G$8:$G$33,0)),"")</f>
        <v/>
      </c>
      <c r="Z15" s="552" t="str">
        <f>IFERROR(INDEX('[11]Annex 2_Code'!K$8:K$33,MATCH('Annex 4_MoWRAM'!$BB15,'[11]Annex 2_Code'!$G$8:$G$33,0)),"")</f>
        <v/>
      </c>
      <c r="AA15" s="552" t="str">
        <f>IFERROR(INDEX('[11]Annex 2_Code'!L$8:L$33,MATCH('Annex 4_MoWRAM'!$BB15,'[11]Annex 2_Code'!$G$8:$G$33,0)),"")</f>
        <v/>
      </c>
      <c r="AB15" s="553" t="str">
        <f>IFERROR(INDEX('[11]Annex 2_Code'!M$8:M$33,MATCH('Annex 4_MoWRAM'!$BB15,'[11]Annex 2_Code'!$G$8:$G$33,0)),"")</f>
        <v/>
      </c>
      <c r="AC15" s="31"/>
      <c r="AD15" s="547"/>
      <c r="AE15" s="79"/>
      <c r="AF15" s="79"/>
      <c r="AG15" s="79"/>
      <c r="AH15" s="549"/>
      <c r="AI15" s="202"/>
      <c r="AJ15" s="202"/>
      <c r="AK15" s="202"/>
      <c r="AL15" s="202"/>
      <c r="AM15" s="546"/>
      <c r="AN15" s="202"/>
      <c r="AO15" s="202"/>
      <c r="AP15" s="545"/>
      <c r="AQ15" s="202"/>
      <c r="AR15" s="202"/>
      <c r="AS15" s="202"/>
      <c r="AT15" s="202"/>
      <c r="AU15" s="546"/>
      <c r="AV15" s="202"/>
      <c r="AW15" s="202"/>
      <c r="AX15" s="545"/>
      <c r="AY15" s="1591"/>
      <c r="AZ15" s="537"/>
      <c r="BA15" s="1584"/>
      <c r="BB15" s="1048"/>
      <c r="BC15" s="314">
        <f>IFERROR(INDEX('[11]Annex 2_Code'!$J$122:$J$139,MATCH('Annex 4_MoWRAM'!BA15,'[11]Annex 2_Code'!$G$122:$G$139,0)),"")</f>
        <v>0</v>
      </c>
      <c r="BD15" s="1084" t="str">
        <f t="shared" ref="BD15:BD25" si="10">IF(ISNUMBER(FIND("-",BC15,1))=FALSE,LEFT(BC15,LEN(BC15)),LEFT(BC15,(FIND("-",BC15,1))-1))</f>
        <v>0</v>
      </c>
    </row>
    <row r="16" spans="1:70" s="308" customFormat="1" ht="15">
      <c r="A16" s="1589" t="s">
        <v>22</v>
      </c>
      <c r="B16" s="1589" t="str">
        <f t="shared" si="0"/>
        <v>CW15</v>
      </c>
      <c r="C16" s="1590" t="s">
        <v>400</v>
      </c>
      <c r="D16" s="473"/>
      <c r="E16" s="1592" t="s">
        <v>1302</v>
      </c>
      <c r="F16" s="1592"/>
      <c r="G16" s="2"/>
      <c r="H16" s="1592"/>
      <c r="I16" s="1592"/>
      <c r="J16" s="26"/>
      <c r="K16" s="491" t="s">
        <v>380</v>
      </c>
      <c r="L16" s="555">
        <v>1450</v>
      </c>
      <c r="M16" s="556">
        <v>0</v>
      </c>
      <c r="N16" s="556">
        <v>0.2</v>
      </c>
      <c r="O16" s="1587">
        <v>0.2</v>
      </c>
      <c r="P16" s="1587">
        <v>0.1</v>
      </c>
      <c r="Q16" s="79">
        <f t="shared" ref="Q16:Q20" si="11">SUM(M16:P16)</f>
        <v>0.5</v>
      </c>
      <c r="R16" s="385">
        <f t="shared" ref="R16:U20" si="12">ROUND($L16*M16,2)</f>
        <v>0</v>
      </c>
      <c r="S16" s="386">
        <f t="shared" si="12"/>
        <v>290</v>
      </c>
      <c r="T16" s="1593">
        <f t="shared" si="12"/>
        <v>290</v>
      </c>
      <c r="U16" s="1593">
        <f t="shared" si="12"/>
        <v>145</v>
      </c>
      <c r="V16" s="384">
        <f t="shared" ref="V16:V20" si="13">SUM(R16:U16)</f>
        <v>725</v>
      </c>
      <c r="W16" s="29"/>
      <c r="X16" s="551">
        <f>IFERROR(INDEX('[11]Annex 2_Code'!I$8:I$33,MATCH('Annex 4_MoWRAM'!$BB16,'[11]Annex 2_Code'!$G$8:$G$33,0)),"")</f>
        <v>0.76827006604510995</v>
      </c>
      <c r="Y16" s="552">
        <f>IFERROR(INDEX('[11]Annex 2_Code'!J$8:J$33,MATCH('Annex 4_MoWRAM'!$BB16,'[11]Annex 2_Code'!$G$8:$G$33,0)),"")</f>
        <v>0.12645069473218948</v>
      </c>
      <c r="Z16" s="552">
        <f>IFERROR(INDEX('[11]Annex 2_Code'!K$8:K$33,MATCH('Annex 4_MoWRAM'!$BB16,'[11]Annex 2_Code'!$G$8:$G$33,0)),"")</f>
        <v>0.10527923922270058</v>
      </c>
      <c r="AA16" s="552">
        <f>IFERROR(INDEX('[11]Annex 2_Code'!L$8:L$33,MATCH('Annex 4_MoWRAM'!$BB16,'[11]Annex 2_Code'!$G$8:$G$33,0)),"")</f>
        <v>0</v>
      </c>
      <c r="AB16" s="553">
        <f>IFERROR(INDEX('[11]Annex 2_Code'!M$8:M$33,MATCH('Annex 4_MoWRAM'!$BB16,'[11]Annex 2_Code'!$G$8:$G$33,0)),"")</f>
        <v>0</v>
      </c>
      <c r="AC16" s="1588"/>
      <c r="AD16" s="547">
        <f t="shared" si="2"/>
        <v>556.99579788270466</v>
      </c>
      <c r="AE16" s="79">
        <f t="shared" si="2"/>
        <v>91.676753680837365</v>
      </c>
      <c r="AF16" s="79">
        <f t="shared" si="2"/>
        <v>76.327448436457914</v>
      </c>
      <c r="AG16" s="79">
        <f t="shared" si="2"/>
        <v>0</v>
      </c>
      <c r="AH16" s="549">
        <f t="shared" si="2"/>
        <v>0</v>
      </c>
      <c r="AI16" s="548">
        <f t="shared" ref="AI16:AL20" si="14">R16*$X16</f>
        <v>0</v>
      </c>
      <c r="AJ16" s="74">
        <f t="shared" si="14"/>
        <v>222.79831915308188</v>
      </c>
      <c r="AK16" s="74">
        <f t="shared" si="14"/>
        <v>222.79831915308188</v>
      </c>
      <c r="AL16" s="544">
        <f t="shared" si="14"/>
        <v>111.39915957654094</v>
      </c>
      <c r="AM16" s="548">
        <f t="shared" ref="AM16:AP20" si="15">$Y16*R16</f>
        <v>0</v>
      </c>
      <c r="AN16" s="74">
        <f t="shared" si="15"/>
        <v>36.670701472334947</v>
      </c>
      <c r="AO16" s="1594">
        <f t="shared" si="15"/>
        <v>36.670701472334947</v>
      </c>
      <c r="AP16" s="1595">
        <f t="shared" si="15"/>
        <v>18.335350736167474</v>
      </c>
      <c r="AQ16" s="548">
        <f t="shared" ref="AQ16:AT20" si="16">$Z16*R16</f>
        <v>0</v>
      </c>
      <c r="AR16" s="74">
        <f t="shared" si="16"/>
        <v>30.530979374583168</v>
      </c>
      <c r="AS16" s="1594">
        <f t="shared" si="16"/>
        <v>30.530979374583168</v>
      </c>
      <c r="AT16" s="544">
        <f t="shared" si="16"/>
        <v>15.265489687291584</v>
      </c>
      <c r="AU16" s="546">
        <f t="shared" ref="AU16:AX20" si="17">$AA16*M16</f>
        <v>0</v>
      </c>
      <c r="AV16" s="202">
        <f t="shared" si="17"/>
        <v>0</v>
      </c>
      <c r="AW16" s="202">
        <f t="shared" si="17"/>
        <v>0</v>
      </c>
      <c r="AX16" s="545">
        <f t="shared" si="17"/>
        <v>0</v>
      </c>
      <c r="AY16" s="550">
        <f t="shared" ref="AY16:AY18" si="18">SUM(AD16:AH16)</f>
        <v>724.99999999999989</v>
      </c>
      <c r="AZ16" s="537" t="str">
        <f t="shared" si="6"/>
        <v>Correct</v>
      </c>
      <c r="BA16" s="1584" t="s">
        <v>285</v>
      </c>
      <c r="BB16" s="1048" t="s">
        <v>178</v>
      </c>
      <c r="BC16" s="314" t="str">
        <f>IFERROR(INDEX('[11]Annex 2_Code'!$J$122:$J$139,MATCH('Annex 4_MoWRAM'!BA16,'[11]Annex 2_Code'!$G$122:$G$139,0)),"")</f>
        <v>MOWRAM</v>
      </c>
      <c r="BD16" s="1084" t="str">
        <f t="shared" si="10"/>
        <v>MOWRAM</v>
      </c>
    </row>
    <row r="17" spans="1:56" s="308" customFormat="1" ht="15">
      <c r="A17" s="1589" t="s">
        <v>22</v>
      </c>
      <c r="B17" s="1589" t="str">
        <f t="shared" si="0"/>
        <v>CW15</v>
      </c>
      <c r="C17" s="1590" t="s">
        <v>401</v>
      </c>
      <c r="D17" s="473"/>
      <c r="E17" s="1592" t="s">
        <v>1303</v>
      </c>
      <c r="F17" s="1592"/>
      <c r="G17" s="2"/>
      <c r="H17" s="1592"/>
      <c r="I17" s="1592"/>
      <c r="J17" s="26"/>
      <c r="K17" s="491" t="s">
        <v>380</v>
      </c>
      <c r="L17" s="555">
        <v>930</v>
      </c>
      <c r="M17" s="556">
        <v>0</v>
      </c>
      <c r="N17" s="556">
        <v>0.2</v>
      </c>
      <c r="O17" s="1587">
        <v>0.2</v>
      </c>
      <c r="P17" s="1587">
        <v>0.1</v>
      </c>
      <c r="Q17" s="79">
        <f t="shared" si="11"/>
        <v>0.5</v>
      </c>
      <c r="R17" s="385">
        <f t="shared" si="12"/>
        <v>0</v>
      </c>
      <c r="S17" s="386">
        <f t="shared" si="12"/>
        <v>186</v>
      </c>
      <c r="T17" s="1593">
        <f t="shared" si="12"/>
        <v>186</v>
      </c>
      <c r="U17" s="1593">
        <f t="shared" si="12"/>
        <v>93</v>
      </c>
      <c r="V17" s="384">
        <f t="shared" si="13"/>
        <v>465</v>
      </c>
      <c r="W17" s="29"/>
      <c r="X17" s="551">
        <f>IFERROR(INDEX('[11]Annex 2_Code'!I$8:I$33,MATCH('Annex 4_MoWRAM'!$BB17,'[11]Annex 2_Code'!$G$8:$G$33,0)),"")</f>
        <v>0.76827006604510995</v>
      </c>
      <c r="Y17" s="552">
        <f>IFERROR(INDEX('[11]Annex 2_Code'!J$8:J$33,MATCH('Annex 4_MoWRAM'!$BB17,'[11]Annex 2_Code'!$G$8:$G$33,0)),"")</f>
        <v>0.12645069473218948</v>
      </c>
      <c r="Z17" s="552">
        <f>IFERROR(INDEX('[11]Annex 2_Code'!K$8:K$33,MATCH('Annex 4_MoWRAM'!$BB17,'[11]Annex 2_Code'!$G$8:$G$33,0)),"")</f>
        <v>0.10527923922270058</v>
      </c>
      <c r="AA17" s="552">
        <f>IFERROR(INDEX('[11]Annex 2_Code'!L$8:L$33,MATCH('Annex 4_MoWRAM'!$BB17,'[11]Annex 2_Code'!$G$8:$G$33,0)),"")</f>
        <v>0</v>
      </c>
      <c r="AB17" s="553">
        <f>IFERROR(INDEX('[11]Annex 2_Code'!M$8:M$33,MATCH('Annex 4_MoWRAM'!$BB17,'[11]Annex 2_Code'!$G$8:$G$33,0)),"")</f>
        <v>0</v>
      </c>
      <c r="AC17" s="1588"/>
      <c r="AD17" s="547">
        <f t="shared" si="2"/>
        <v>357.24558071097613</v>
      </c>
      <c r="AE17" s="79">
        <f t="shared" si="2"/>
        <v>58.799573050468105</v>
      </c>
      <c r="AF17" s="79">
        <f t="shared" si="2"/>
        <v>48.954846238555767</v>
      </c>
      <c r="AG17" s="79">
        <f t="shared" si="2"/>
        <v>0</v>
      </c>
      <c r="AH17" s="549">
        <f t="shared" si="2"/>
        <v>0</v>
      </c>
      <c r="AI17" s="548">
        <f t="shared" si="14"/>
        <v>0</v>
      </c>
      <c r="AJ17" s="74">
        <f t="shared" si="14"/>
        <v>142.89823228439045</v>
      </c>
      <c r="AK17" s="74">
        <f t="shared" si="14"/>
        <v>142.89823228439045</v>
      </c>
      <c r="AL17" s="544">
        <f t="shared" si="14"/>
        <v>71.449116142195223</v>
      </c>
      <c r="AM17" s="548">
        <f t="shared" si="15"/>
        <v>0</v>
      </c>
      <c r="AN17" s="74">
        <f t="shared" si="15"/>
        <v>23.519829220187244</v>
      </c>
      <c r="AO17" s="1594">
        <f t="shared" si="15"/>
        <v>23.519829220187244</v>
      </c>
      <c r="AP17" s="1595">
        <f t="shared" si="15"/>
        <v>11.759914610093622</v>
      </c>
      <c r="AQ17" s="548">
        <f t="shared" si="16"/>
        <v>0</v>
      </c>
      <c r="AR17" s="74">
        <f t="shared" si="16"/>
        <v>19.581938495422307</v>
      </c>
      <c r="AS17" s="1594">
        <f t="shared" si="16"/>
        <v>19.581938495422307</v>
      </c>
      <c r="AT17" s="544">
        <f t="shared" si="16"/>
        <v>9.7909692477111534</v>
      </c>
      <c r="AU17" s="546">
        <f t="shared" si="17"/>
        <v>0</v>
      </c>
      <c r="AV17" s="202">
        <f t="shared" si="17"/>
        <v>0</v>
      </c>
      <c r="AW17" s="202">
        <f t="shared" si="17"/>
        <v>0</v>
      </c>
      <c r="AX17" s="545">
        <f t="shared" si="17"/>
        <v>0</v>
      </c>
      <c r="AY17" s="550">
        <f>SUM(AD17:AH17)</f>
        <v>465</v>
      </c>
      <c r="AZ17" s="537" t="str">
        <f t="shared" si="6"/>
        <v>Correct</v>
      </c>
      <c r="BA17" s="1584" t="s">
        <v>285</v>
      </c>
      <c r="BB17" s="1048" t="s">
        <v>178</v>
      </c>
      <c r="BC17" s="314" t="str">
        <f>IFERROR(INDEX('[11]Annex 2_Code'!$J$122:$J$139,MATCH('Annex 4_MoWRAM'!BA17,'[11]Annex 2_Code'!$G$122:$G$139,0)),"")</f>
        <v>MOWRAM</v>
      </c>
      <c r="BD17" s="1084" t="str">
        <f t="shared" si="10"/>
        <v>MOWRAM</v>
      </c>
    </row>
    <row r="18" spans="1:56" s="308" customFormat="1" ht="15">
      <c r="A18" s="1589" t="s">
        <v>22</v>
      </c>
      <c r="B18" s="1589" t="str">
        <f t="shared" si="0"/>
        <v>CW15</v>
      </c>
      <c r="C18" s="1590" t="s">
        <v>402</v>
      </c>
      <c r="D18" s="473"/>
      <c r="E18" s="1592" t="s">
        <v>1304</v>
      </c>
      <c r="F18" s="1592"/>
      <c r="G18" s="2"/>
      <c r="H18" s="1592"/>
      <c r="I18" s="1592"/>
      <c r="J18" s="26"/>
      <c r="K18" s="491" t="s">
        <v>380</v>
      </c>
      <c r="L18" s="555">
        <v>185</v>
      </c>
      <c r="M18" s="556">
        <v>0</v>
      </c>
      <c r="N18" s="556">
        <v>0.2</v>
      </c>
      <c r="O18" s="1587">
        <v>0.2</v>
      </c>
      <c r="P18" s="1587">
        <v>0.1</v>
      </c>
      <c r="Q18" s="79">
        <f t="shared" si="11"/>
        <v>0.5</v>
      </c>
      <c r="R18" s="385">
        <f t="shared" si="12"/>
        <v>0</v>
      </c>
      <c r="S18" s="386">
        <f t="shared" si="12"/>
        <v>37</v>
      </c>
      <c r="T18" s="1593">
        <f t="shared" si="12"/>
        <v>37</v>
      </c>
      <c r="U18" s="1593">
        <f t="shared" si="12"/>
        <v>18.5</v>
      </c>
      <c r="V18" s="384">
        <f t="shared" si="13"/>
        <v>92.5</v>
      </c>
      <c r="W18" s="29"/>
      <c r="X18" s="551">
        <f>IFERROR(INDEX('[11]Annex 2_Code'!I$8:I$33,MATCH('Annex 4_MoWRAM'!$BB18,'[11]Annex 2_Code'!$G$8:$G$33,0)),"")</f>
        <v>0.76827006604510995</v>
      </c>
      <c r="Y18" s="552">
        <f>IFERROR(INDEX('[11]Annex 2_Code'!J$8:J$33,MATCH('Annex 4_MoWRAM'!$BB18,'[11]Annex 2_Code'!$G$8:$G$33,0)),"")</f>
        <v>0.12645069473218948</v>
      </c>
      <c r="Z18" s="552">
        <f>IFERROR(INDEX('[11]Annex 2_Code'!K$8:K$33,MATCH('Annex 4_MoWRAM'!$BB18,'[11]Annex 2_Code'!$G$8:$G$33,0)),"")</f>
        <v>0.10527923922270058</v>
      </c>
      <c r="AA18" s="552">
        <f>IFERROR(INDEX('[11]Annex 2_Code'!L$8:L$33,MATCH('Annex 4_MoWRAM'!$BB18,'[11]Annex 2_Code'!$G$8:$G$33,0)),"")</f>
        <v>0</v>
      </c>
      <c r="AB18" s="553">
        <f>IFERROR(INDEX('[11]Annex 2_Code'!M$8:M$33,MATCH('Annex 4_MoWRAM'!$BB18,'[11]Annex 2_Code'!$G$8:$G$33,0)),"")</f>
        <v>0</v>
      </c>
      <c r="AC18" s="1588"/>
      <c r="AD18" s="547">
        <f t="shared" si="2"/>
        <v>71.064981109172663</v>
      </c>
      <c r="AE18" s="79">
        <f t="shared" si="2"/>
        <v>11.696689262727526</v>
      </c>
      <c r="AF18" s="79">
        <f t="shared" si="2"/>
        <v>9.7383296280998035</v>
      </c>
      <c r="AG18" s="79">
        <f t="shared" si="2"/>
        <v>0</v>
      </c>
      <c r="AH18" s="549">
        <f t="shared" si="2"/>
        <v>0</v>
      </c>
      <c r="AI18" s="548">
        <f t="shared" si="14"/>
        <v>0</v>
      </c>
      <c r="AJ18" s="74">
        <f t="shared" si="14"/>
        <v>28.425992443669067</v>
      </c>
      <c r="AK18" s="74">
        <f t="shared" si="14"/>
        <v>28.425992443669067</v>
      </c>
      <c r="AL18" s="544">
        <f t="shared" si="14"/>
        <v>14.212996221834533</v>
      </c>
      <c r="AM18" s="548">
        <f t="shared" si="15"/>
        <v>0</v>
      </c>
      <c r="AN18" s="74">
        <f t="shared" si="15"/>
        <v>4.6786757050910106</v>
      </c>
      <c r="AO18" s="1594">
        <f t="shared" si="15"/>
        <v>4.6786757050910106</v>
      </c>
      <c r="AP18" s="1595">
        <f t="shared" si="15"/>
        <v>2.3393378525455053</v>
      </c>
      <c r="AQ18" s="548">
        <f t="shared" si="16"/>
        <v>0</v>
      </c>
      <c r="AR18" s="74">
        <f t="shared" si="16"/>
        <v>3.8953318512399213</v>
      </c>
      <c r="AS18" s="1594">
        <f t="shared" si="16"/>
        <v>3.8953318512399213</v>
      </c>
      <c r="AT18" s="544">
        <f t="shared" si="16"/>
        <v>1.9476659256199607</v>
      </c>
      <c r="AU18" s="546">
        <f t="shared" si="17"/>
        <v>0</v>
      </c>
      <c r="AV18" s="202">
        <f t="shared" si="17"/>
        <v>0</v>
      </c>
      <c r="AW18" s="202">
        <f t="shared" si="17"/>
        <v>0</v>
      </c>
      <c r="AX18" s="545">
        <f t="shared" si="17"/>
        <v>0</v>
      </c>
      <c r="AY18" s="550">
        <f t="shared" si="18"/>
        <v>92.5</v>
      </c>
      <c r="AZ18" s="537" t="str">
        <f t="shared" si="6"/>
        <v>Correct</v>
      </c>
      <c r="BA18" s="1584" t="s">
        <v>285</v>
      </c>
      <c r="BB18" s="1048" t="s">
        <v>178</v>
      </c>
      <c r="BC18" s="314" t="str">
        <f>IFERROR(INDEX('[11]Annex 2_Code'!$J$122:$J$139,MATCH('Annex 4_MoWRAM'!BA18,'[11]Annex 2_Code'!$G$122:$G$139,0)),"")</f>
        <v>MOWRAM</v>
      </c>
      <c r="BD18" s="1084" t="str">
        <f t="shared" si="10"/>
        <v>MOWRAM</v>
      </c>
    </row>
    <row r="19" spans="1:56" s="308" customFormat="1" ht="15">
      <c r="A19" s="1589" t="s">
        <v>22</v>
      </c>
      <c r="B19" s="1589" t="str">
        <f t="shared" si="0"/>
        <v>CW15</v>
      </c>
      <c r="C19" s="1590" t="s">
        <v>1010</v>
      </c>
      <c r="D19" s="240"/>
      <c r="E19" s="1592" t="s">
        <v>1305</v>
      </c>
      <c r="F19" s="1592"/>
      <c r="G19" s="2"/>
      <c r="H19" s="1592"/>
      <c r="I19" s="1592"/>
      <c r="J19" s="26"/>
      <c r="K19" s="491" t="s">
        <v>380</v>
      </c>
      <c r="L19" s="555">
        <v>860</v>
      </c>
      <c r="M19" s="556">
        <v>0</v>
      </c>
      <c r="N19" s="556">
        <v>0.2</v>
      </c>
      <c r="O19" s="1587">
        <v>0.2</v>
      </c>
      <c r="P19" s="1587">
        <v>0.1</v>
      </c>
      <c r="Q19" s="79">
        <f t="shared" si="11"/>
        <v>0.5</v>
      </c>
      <c r="R19" s="385"/>
      <c r="S19" s="386"/>
      <c r="T19" s="386">
        <f t="shared" si="12"/>
        <v>172</v>
      </c>
      <c r="U19" s="386">
        <f t="shared" si="12"/>
        <v>86</v>
      </c>
      <c r="V19" s="384">
        <f t="shared" si="13"/>
        <v>258</v>
      </c>
      <c r="W19" s="29"/>
      <c r="X19" s="551">
        <f>X18</f>
        <v>0.76827006604510995</v>
      </c>
      <c r="Y19" s="552">
        <f t="shared" ref="Y19:AB20" si="19">Y18</f>
        <v>0.12645069473218948</v>
      </c>
      <c r="Z19" s="552">
        <f t="shared" si="19"/>
        <v>0.10527923922270058</v>
      </c>
      <c r="AA19" s="552">
        <f t="shared" si="19"/>
        <v>0</v>
      </c>
      <c r="AB19" s="553">
        <f t="shared" si="19"/>
        <v>0</v>
      </c>
      <c r="AC19" s="1588"/>
      <c r="AD19" s="547">
        <f t="shared" si="2"/>
        <v>198.21367703963836</v>
      </c>
      <c r="AE19" s="79">
        <f t="shared" si="2"/>
        <v>32.624279240904883</v>
      </c>
      <c r="AF19" s="79">
        <f t="shared" si="2"/>
        <v>27.162043719456747</v>
      </c>
      <c r="AG19" s="79">
        <f t="shared" si="2"/>
        <v>0</v>
      </c>
      <c r="AH19" s="549">
        <f t="shared" si="2"/>
        <v>0</v>
      </c>
      <c r="AI19" s="548">
        <f t="shared" si="14"/>
        <v>0</v>
      </c>
      <c r="AJ19" s="74">
        <f t="shared" si="14"/>
        <v>0</v>
      </c>
      <c r="AK19" s="74">
        <f t="shared" si="14"/>
        <v>132.14245135975892</v>
      </c>
      <c r="AL19" s="544">
        <f t="shared" si="14"/>
        <v>66.071225679879461</v>
      </c>
      <c r="AM19" s="548">
        <f t="shared" si="15"/>
        <v>0</v>
      </c>
      <c r="AN19" s="74">
        <f t="shared" si="15"/>
        <v>0</v>
      </c>
      <c r="AO19" s="1594">
        <f t="shared" si="15"/>
        <v>21.749519493936589</v>
      </c>
      <c r="AP19" s="1595">
        <f t="shared" si="15"/>
        <v>10.874759746968294</v>
      </c>
      <c r="AQ19" s="548">
        <f t="shared" si="16"/>
        <v>0</v>
      </c>
      <c r="AR19" s="74">
        <f t="shared" si="16"/>
        <v>0</v>
      </c>
      <c r="AS19" s="1594">
        <f t="shared" si="16"/>
        <v>18.108029146304499</v>
      </c>
      <c r="AT19" s="544">
        <f t="shared" si="16"/>
        <v>9.0540145731522497</v>
      </c>
      <c r="AU19" s="546">
        <f t="shared" si="17"/>
        <v>0</v>
      </c>
      <c r="AV19" s="202">
        <f t="shared" si="17"/>
        <v>0</v>
      </c>
      <c r="AW19" s="202">
        <f t="shared" si="17"/>
        <v>0</v>
      </c>
      <c r="AX19" s="545">
        <f t="shared" si="17"/>
        <v>0</v>
      </c>
      <c r="AY19" s="550">
        <f t="shared" ref="AY19:AY20" si="20">SUM(AD19:AH19)</f>
        <v>258</v>
      </c>
      <c r="AZ19" s="537" t="str">
        <f t="shared" si="6"/>
        <v>Correct</v>
      </c>
      <c r="BA19" s="1584" t="s">
        <v>285</v>
      </c>
      <c r="BB19" s="1048" t="s">
        <v>178</v>
      </c>
      <c r="BC19" s="314" t="str">
        <f>IFERROR(INDEX('[11]Annex 2_Code'!$J$122:$J$139,MATCH('Annex 4_MoWRAM'!BA19,'[11]Annex 2_Code'!$G$122:$G$139,0)),"")</f>
        <v>MOWRAM</v>
      </c>
      <c r="BD19" s="1084" t="str">
        <f t="shared" si="10"/>
        <v>MOWRAM</v>
      </c>
    </row>
    <row r="20" spans="1:56" s="308" customFormat="1" ht="15">
      <c r="A20" s="1589" t="s">
        <v>22</v>
      </c>
      <c r="B20" s="1589" t="str">
        <f t="shared" si="0"/>
        <v>CW15</v>
      </c>
      <c r="C20" s="1590" t="s">
        <v>1011</v>
      </c>
      <c r="D20" s="240"/>
      <c r="E20" s="1592" t="s">
        <v>1306</v>
      </c>
      <c r="F20" s="1592"/>
      <c r="G20" s="2"/>
      <c r="H20" s="1592"/>
      <c r="I20" s="1592"/>
      <c r="J20" s="26"/>
      <c r="K20" s="491" t="s">
        <v>380</v>
      </c>
      <c r="L20" s="555">
        <v>1765</v>
      </c>
      <c r="M20" s="556">
        <v>0</v>
      </c>
      <c r="N20" s="556">
        <v>0.2</v>
      </c>
      <c r="O20" s="1587">
        <v>0.2</v>
      </c>
      <c r="P20" s="1587">
        <v>0.1</v>
      </c>
      <c r="Q20" s="79">
        <f t="shared" si="11"/>
        <v>0.5</v>
      </c>
      <c r="R20" s="385"/>
      <c r="S20" s="386"/>
      <c r="T20" s="386">
        <f t="shared" si="12"/>
        <v>353</v>
      </c>
      <c r="U20" s="386">
        <f t="shared" si="12"/>
        <v>176.5</v>
      </c>
      <c r="V20" s="384">
        <f t="shared" si="13"/>
        <v>529.5</v>
      </c>
      <c r="W20" s="29"/>
      <c r="X20" s="551">
        <f>X19</f>
        <v>0.76827006604510995</v>
      </c>
      <c r="Y20" s="552">
        <f t="shared" si="19"/>
        <v>0.12645069473218948</v>
      </c>
      <c r="Z20" s="552">
        <f t="shared" si="19"/>
        <v>0.10527923922270058</v>
      </c>
      <c r="AA20" s="552">
        <f t="shared" si="19"/>
        <v>0</v>
      </c>
      <c r="AB20" s="553">
        <f t="shared" si="19"/>
        <v>0</v>
      </c>
      <c r="AC20" s="1588"/>
      <c r="AD20" s="547">
        <f t="shared" si="2"/>
        <v>406.79899997088569</v>
      </c>
      <c r="AE20" s="79">
        <f t="shared" si="2"/>
        <v>66.955642860694326</v>
      </c>
      <c r="AF20" s="79">
        <f t="shared" si="2"/>
        <v>55.745357168419957</v>
      </c>
      <c r="AG20" s="79">
        <f t="shared" si="2"/>
        <v>0</v>
      </c>
      <c r="AH20" s="549">
        <f t="shared" si="2"/>
        <v>0</v>
      </c>
      <c r="AI20" s="548">
        <f t="shared" si="14"/>
        <v>0</v>
      </c>
      <c r="AJ20" s="74">
        <f t="shared" si="14"/>
        <v>0</v>
      </c>
      <c r="AK20" s="74">
        <f t="shared" si="14"/>
        <v>271.19933331392383</v>
      </c>
      <c r="AL20" s="544">
        <f t="shared" si="14"/>
        <v>135.59966665696192</v>
      </c>
      <c r="AM20" s="548">
        <f t="shared" si="15"/>
        <v>0</v>
      </c>
      <c r="AN20" s="74">
        <f t="shared" si="15"/>
        <v>0</v>
      </c>
      <c r="AO20" s="1594">
        <f t="shared" si="15"/>
        <v>44.637095240462884</v>
      </c>
      <c r="AP20" s="1595">
        <f t="shared" si="15"/>
        <v>22.318547620231442</v>
      </c>
      <c r="AQ20" s="548">
        <f t="shared" si="16"/>
        <v>0</v>
      </c>
      <c r="AR20" s="74">
        <f t="shared" si="16"/>
        <v>0</v>
      </c>
      <c r="AS20" s="1594">
        <f t="shared" si="16"/>
        <v>37.1635714456133</v>
      </c>
      <c r="AT20" s="544">
        <f t="shared" si="16"/>
        <v>18.58178572280665</v>
      </c>
      <c r="AU20" s="546">
        <f t="shared" si="17"/>
        <v>0</v>
      </c>
      <c r="AV20" s="202">
        <f t="shared" si="17"/>
        <v>0</v>
      </c>
      <c r="AW20" s="202">
        <f t="shared" si="17"/>
        <v>0</v>
      </c>
      <c r="AX20" s="545">
        <f t="shared" si="17"/>
        <v>0</v>
      </c>
      <c r="AY20" s="550">
        <f t="shared" si="20"/>
        <v>529.5</v>
      </c>
      <c r="AZ20" s="537" t="str">
        <f t="shared" si="6"/>
        <v>Correct</v>
      </c>
      <c r="BA20" s="1584" t="s">
        <v>285</v>
      </c>
      <c r="BB20" s="1048" t="s">
        <v>178</v>
      </c>
      <c r="BC20" s="314" t="str">
        <f>IFERROR(INDEX('[11]Annex 2_Code'!$J$122:$J$139,MATCH('Annex 4_MoWRAM'!BA20,'[11]Annex 2_Code'!$G$122:$G$139,0)),"")</f>
        <v>MOWRAM</v>
      </c>
      <c r="BD20" s="1084" t="str">
        <f t="shared" si="10"/>
        <v>MOWRAM</v>
      </c>
    </row>
    <row r="21" spans="1:56" s="308" customFormat="1" ht="9.75" customHeight="1">
      <c r="A21" s="531"/>
      <c r="B21" s="531" t="str">
        <f t="shared" si="0"/>
        <v/>
      </c>
      <c r="C21" s="366"/>
      <c r="D21" s="240"/>
      <c r="E21" s="582"/>
      <c r="F21" s="582"/>
      <c r="G21" s="582"/>
      <c r="H21" s="582"/>
      <c r="I21" s="582"/>
      <c r="J21" s="26"/>
      <c r="K21" s="492"/>
      <c r="L21" s="492"/>
      <c r="M21" s="394"/>
      <c r="N21" s="556"/>
      <c r="O21" s="1587"/>
      <c r="P21" s="1587"/>
      <c r="Q21" s="549"/>
      <c r="R21" s="385"/>
      <c r="S21" s="386"/>
      <c r="T21" s="386"/>
      <c r="U21" s="386"/>
      <c r="V21" s="384"/>
      <c r="W21" s="29"/>
      <c r="X21" s="551"/>
      <c r="Y21" s="552"/>
      <c r="Z21" s="552"/>
      <c r="AA21" s="552"/>
      <c r="AB21" s="553"/>
      <c r="AC21" s="1588"/>
      <c r="AD21" s="547"/>
      <c r="AE21" s="79"/>
      <c r="AF21" s="79"/>
      <c r="AG21" s="79"/>
      <c r="AH21" s="549"/>
      <c r="AI21" s="74"/>
      <c r="AJ21" s="74"/>
      <c r="AK21" s="74"/>
      <c r="AL21" s="74"/>
      <c r="AM21" s="548"/>
      <c r="AN21" s="74"/>
      <c r="AO21" s="74"/>
      <c r="AP21" s="544"/>
      <c r="AQ21" s="74"/>
      <c r="AR21" s="74"/>
      <c r="AS21" s="74"/>
      <c r="AT21" s="74"/>
      <c r="AU21" s="546"/>
      <c r="AV21" s="202"/>
      <c r="AW21" s="202"/>
      <c r="AX21" s="545"/>
      <c r="AY21" s="1591"/>
      <c r="AZ21" s="537"/>
      <c r="BA21" s="1584"/>
      <c r="BB21" s="1048"/>
      <c r="BC21" s="314"/>
      <c r="BD21" s="1084"/>
    </row>
    <row r="22" spans="1:56" s="308" customFormat="1" ht="15">
      <c r="A22" s="532"/>
      <c r="B22" s="533" t="str">
        <f t="shared" si="0"/>
        <v/>
      </c>
      <c r="C22" s="532"/>
      <c r="D22" s="236" t="s">
        <v>117</v>
      </c>
      <c r="E22" s="583"/>
      <c r="F22" s="583"/>
      <c r="G22" s="583"/>
      <c r="H22" s="583"/>
      <c r="I22" s="583"/>
      <c r="J22" s="237"/>
      <c r="K22" s="490"/>
      <c r="L22" s="490"/>
      <c r="M22" s="200"/>
      <c r="N22" s="50"/>
      <c r="O22" s="31"/>
      <c r="P22" s="31"/>
      <c r="Q22" s="201"/>
      <c r="R22" s="385"/>
      <c r="S22" s="386"/>
      <c r="T22" s="386"/>
      <c r="U22" s="386"/>
      <c r="V22" s="384"/>
      <c r="W22" s="32"/>
      <c r="X22" s="551" t="str">
        <f>IFERROR(INDEX('[11]Annex 2_Code'!I$8:I$33,MATCH('Annex 4_MoWRAM'!$BB22,'[11]Annex 2_Code'!$G$8:$G$33,0)),"")</f>
        <v/>
      </c>
      <c r="Y22" s="552" t="str">
        <f>IFERROR(INDEX('[11]Annex 2_Code'!J$8:J$33,MATCH('Annex 4_MoWRAM'!$BB22,'[11]Annex 2_Code'!$G$8:$G$33,0)),"")</f>
        <v/>
      </c>
      <c r="Z22" s="552" t="str">
        <f>IFERROR(INDEX('[11]Annex 2_Code'!K$8:K$33,MATCH('Annex 4_MoWRAM'!$BB22,'[11]Annex 2_Code'!$G$8:$G$33,0)),"")</f>
        <v/>
      </c>
      <c r="AA22" s="552" t="str">
        <f>IFERROR(INDEX('[11]Annex 2_Code'!L$8:L$33,MATCH('Annex 4_MoWRAM'!$BB22,'[11]Annex 2_Code'!$G$8:$G$33,0)),"")</f>
        <v/>
      </c>
      <c r="AB22" s="553" t="str">
        <f>IFERROR(INDEX('[11]Annex 2_Code'!M$8:M$33,MATCH('Annex 4_MoWRAM'!$BB22,'[11]Annex 2_Code'!$G$8:$G$33,0)),"")</f>
        <v/>
      </c>
      <c r="AC22" s="31"/>
      <c r="AD22" s="547"/>
      <c r="AE22" s="79"/>
      <c r="AF22" s="79"/>
      <c r="AG22" s="79"/>
      <c r="AH22" s="549"/>
      <c r="AI22" s="202"/>
      <c r="AJ22" s="202"/>
      <c r="AK22" s="202"/>
      <c r="AL22" s="202"/>
      <c r="AM22" s="546"/>
      <c r="AN22" s="202"/>
      <c r="AO22" s="202"/>
      <c r="AP22" s="545"/>
      <c r="AQ22" s="202"/>
      <c r="AR22" s="202"/>
      <c r="AS22" s="202"/>
      <c r="AT22" s="202"/>
      <c r="AU22" s="546"/>
      <c r="AV22" s="202"/>
      <c r="AW22" s="202"/>
      <c r="AX22" s="545"/>
      <c r="AY22" s="1591"/>
      <c r="AZ22" s="537"/>
      <c r="BA22" s="1584"/>
      <c r="BB22" s="1048"/>
      <c r="BC22" s="314">
        <f>IFERROR(INDEX('[11]Annex 2_Code'!$J$122:$J$139,MATCH('Annex 4_MoWRAM'!BA22,'[11]Annex 2_Code'!$G$122:$G$139,0)),"")</f>
        <v>0</v>
      </c>
      <c r="BD22" s="1084" t="str">
        <f t="shared" si="10"/>
        <v>0</v>
      </c>
    </row>
    <row r="23" spans="1:56" s="308" customFormat="1" ht="15">
      <c r="A23" s="531" t="s">
        <v>22</v>
      </c>
      <c r="B23" s="531" t="str">
        <f t="shared" si="0"/>
        <v>CW13</v>
      </c>
      <c r="C23" s="366" t="s">
        <v>328</v>
      </c>
      <c r="D23" s="473"/>
      <c r="E23" s="1592" t="s">
        <v>1307</v>
      </c>
      <c r="F23" s="1592"/>
      <c r="G23" s="2"/>
      <c r="H23" s="1592"/>
      <c r="I23" s="1592"/>
      <c r="J23" s="52"/>
      <c r="K23" s="491" t="s">
        <v>380</v>
      </c>
      <c r="L23" s="555">
        <v>914.7</v>
      </c>
      <c r="M23" s="556">
        <v>0</v>
      </c>
      <c r="N23" s="556">
        <v>0</v>
      </c>
      <c r="O23" s="1587">
        <v>0</v>
      </c>
      <c r="P23" s="1587">
        <v>0.1</v>
      </c>
      <c r="Q23" s="79">
        <f t="shared" ref="Q23:Q29" si="21">SUM(M23:P23)</f>
        <v>0.1</v>
      </c>
      <c r="R23" s="385">
        <f>ROUND($L23*M23,2)</f>
        <v>0</v>
      </c>
      <c r="S23" s="386">
        <f>ROUND($L23*N23,2)</f>
        <v>0</v>
      </c>
      <c r="T23" s="386">
        <f t="shared" ref="T23:U29" si="22">ROUND($L23*O23,2)</f>
        <v>0</v>
      </c>
      <c r="U23" s="386">
        <f t="shared" si="22"/>
        <v>91.47</v>
      </c>
      <c r="V23" s="384">
        <f t="shared" ref="V23:V29" si="23">SUM(R23:U23)</f>
        <v>91.47</v>
      </c>
      <c r="W23" s="32"/>
      <c r="X23" s="551">
        <f>IFERROR(INDEX('[11]Annex 2_Code'!I$8:I$33,MATCH('Annex 4_MoWRAM'!$BB23,'[11]Annex 2_Code'!$G$8:$G$33,0)),"")</f>
        <v>0.76827006604510995</v>
      </c>
      <c r="Y23" s="552">
        <f>IFERROR(INDEX('[11]Annex 2_Code'!J$8:J$33,MATCH('Annex 4_MoWRAM'!$BB23,'[11]Annex 2_Code'!$G$8:$G$33,0)),"")</f>
        <v>0.12645069473218948</v>
      </c>
      <c r="Z23" s="552">
        <f>IFERROR(INDEX('[11]Annex 2_Code'!K$8:K$33,MATCH('Annex 4_MoWRAM'!$BB23,'[11]Annex 2_Code'!$G$8:$G$33,0)),"")</f>
        <v>0.10527923922270058</v>
      </c>
      <c r="AA23" s="552">
        <f>IFERROR(INDEX('[11]Annex 2_Code'!L$8:L$33,MATCH('Annex 4_MoWRAM'!$BB23,'[11]Annex 2_Code'!$G$8:$G$33,0)),"")</f>
        <v>0</v>
      </c>
      <c r="AB23" s="553">
        <f>IFERROR(INDEX('[11]Annex 2_Code'!M$8:M$33,MATCH('Annex 4_MoWRAM'!$BB23,'[11]Annex 2_Code'!$G$8:$G$33,0)),"")</f>
        <v>0</v>
      </c>
      <c r="AC23" s="31"/>
      <c r="AD23" s="547">
        <f>IFERROR($V23*X23,"")</f>
        <v>70.273662941146199</v>
      </c>
      <c r="AE23" s="79">
        <f>IFERROR($V23*Y23,"")</f>
        <v>11.566445047153371</v>
      </c>
      <c r="AF23" s="79">
        <f t="shared" si="2"/>
        <v>9.6298920117004219</v>
      </c>
      <c r="AG23" s="79">
        <f t="shared" si="2"/>
        <v>0</v>
      </c>
      <c r="AH23" s="549">
        <f t="shared" si="2"/>
        <v>0</v>
      </c>
      <c r="AI23" s="548">
        <f t="shared" ref="AI23:AL29" si="24">R23*$X23</f>
        <v>0</v>
      </c>
      <c r="AJ23" s="74">
        <f t="shared" si="24"/>
        <v>0</v>
      </c>
      <c r="AK23" s="74">
        <f t="shared" si="24"/>
        <v>0</v>
      </c>
      <c r="AL23" s="544">
        <f t="shared" si="24"/>
        <v>70.273662941146199</v>
      </c>
      <c r="AM23" s="548">
        <f t="shared" ref="AM23:AP29" si="25">$Y23*R23</f>
        <v>0</v>
      </c>
      <c r="AN23" s="74">
        <f t="shared" si="25"/>
        <v>0</v>
      </c>
      <c r="AO23" s="74">
        <f t="shared" si="25"/>
        <v>0</v>
      </c>
      <c r="AP23" s="544">
        <f>$Y23*U23</f>
        <v>11.566445047153371</v>
      </c>
      <c r="AQ23" s="548">
        <f>$Z23*R23</f>
        <v>0</v>
      </c>
      <c r="AR23" s="74">
        <f>$Z23*S23</f>
        <v>0</v>
      </c>
      <c r="AS23" s="74">
        <f>$Z23*T23</f>
        <v>0</v>
      </c>
      <c r="AT23" s="544">
        <f>$Z23*U23</f>
        <v>9.6298920117004219</v>
      </c>
      <c r="AU23" s="546">
        <f>$AA23*M23</f>
        <v>0</v>
      </c>
      <c r="AV23" s="202">
        <f>$AA23*N23</f>
        <v>0</v>
      </c>
      <c r="AW23" s="202">
        <f>$AA23*O23</f>
        <v>0</v>
      </c>
      <c r="AX23" s="545">
        <f>$AA23*P23</f>
        <v>0</v>
      </c>
      <c r="AY23" s="550">
        <f>SUM(AD23:AH23)</f>
        <v>91.469999999999985</v>
      </c>
      <c r="AZ23" s="537" t="str">
        <f t="shared" si="6"/>
        <v>Correct</v>
      </c>
      <c r="BA23" s="1584" t="s">
        <v>285</v>
      </c>
      <c r="BB23" s="1048" t="s">
        <v>178</v>
      </c>
      <c r="BC23" s="314" t="str">
        <f>IFERROR(INDEX('[11]Annex 2_Code'!$J$122:$J$139,MATCH('Annex 4_MoWRAM'!BA23,'[11]Annex 2_Code'!$G$122:$G$139,0)),"")</f>
        <v>MOWRAM</v>
      </c>
      <c r="BD23" s="1084" t="str">
        <f t="shared" si="10"/>
        <v>MOWRAM</v>
      </c>
    </row>
    <row r="24" spans="1:56" s="308" customFormat="1" ht="15">
      <c r="A24" s="531" t="s">
        <v>22</v>
      </c>
      <c r="B24" s="531" t="str">
        <f t="shared" si="0"/>
        <v>CW13</v>
      </c>
      <c r="C24" s="366" t="s">
        <v>329</v>
      </c>
      <c r="D24" s="473"/>
      <c r="E24" s="1592" t="s">
        <v>1308</v>
      </c>
      <c r="F24" s="1592"/>
      <c r="G24" s="2"/>
      <c r="H24" s="1592"/>
      <c r="I24" s="1592"/>
      <c r="J24" s="26"/>
      <c r="K24" s="491" t="s">
        <v>380</v>
      </c>
      <c r="L24" s="555">
        <v>822.69999999999993</v>
      </c>
      <c r="M24" s="556">
        <v>0</v>
      </c>
      <c r="N24" s="556">
        <v>0</v>
      </c>
      <c r="O24" s="1587">
        <v>0</v>
      </c>
      <c r="P24" s="1587">
        <v>0.1</v>
      </c>
      <c r="Q24" s="79">
        <f t="shared" si="21"/>
        <v>0.1</v>
      </c>
      <c r="R24" s="385">
        <f t="shared" ref="R24:S29" si="26">ROUND($L24*M24,2)</f>
        <v>0</v>
      </c>
      <c r="S24" s="386">
        <f t="shared" si="26"/>
        <v>0</v>
      </c>
      <c r="T24" s="386">
        <f t="shared" si="22"/>
        <v>0</v>
      </c>
      <c r="U24" s="386">
        <f t="shared" si="22"/>
        <v>82.27</v>
      </c>
      <c r="V24" s="384">
        <f t="shared" si="23"/>
        <v>82.27</v>
      </c>
      <c r="W24" s="29"/>
      <c r="X24" s="551">
        <f>IFERROR(INDEX('[11]Annex 2_Code'!I$8:I$33,MATCH('Annex 4_MoWRAM'!$BB24,'[11]Annex 2_Code'!$G$8:$G$33,0)),"")</f>
        <v>0.76827006604510995</v>
      </c>
      <c r="Y24" s="552">
        <f>IFERROR(INDEX('[11]Annex 2_Code'!J$8:J$33,MATCH('Annex 4_MoWRAM'!$BB24,'[11]Annex 2_Code'!$G$8:$G$33,0)),"")</f>
        <v>0.12645069473218948</v>
      </c>
      <c r="Z24" s="552">
        <f>IFERROR(INDEX('[11]Annex 2_Code'!K$8:K$33,MATCH('Annex 4_MoWRAM'!$BB24,'[11]Annex 2_Code'!$G$8:$G$33,0)),"")</f>
        <v>0.10527923922270058</v>
      </c>
      <c r="AA24" s="552">
        <f>IFERROR(INDEX('[11]Annex 2_Code'!L$8:L$33,MATCH('Annex 4_MoWRAM'!$BB24,'[11]Annex 2_Code'!$G$8:$G$33,0)),"")</f>
        <v>0</v>
      </c>
      <c r="AB24" s="553">
        <f>IFERROR(INDEX('[11]Annex 2_Code'!M$8:M$33,MATCH('Annex 4_MoWRAM'!$BB24,'[11]Annex 2_Code'!$G$8:$G$33,0)),"")</f>
        <v>0</v>
      </c>
      <c r="AC24" s="1588"/>
      <c r="AD24" s="547">
        <f t="shared" ref="AD24:AE29" si="27">IFERROR($V24*X24,"")</f>
        <v>63.205578333531193</v>
      </c>
      <c r="AE24" s="79">
        <f t="shared" si="27"/>
        <v>10.403098655617228</v>
      </c>
      <c r="AF24" s="79">
        <f t="shared" si="2"/>
        <v>8.6613230108515769</v>
      </c>
      <c r="AG24" s="79">
        <f t="shared" si="2"/>
        <v>0</v>
      </c>
      <c r="AH24" s="549">
        <f t="shared" si="2"/>
        <v>0</v>
      </c>
      <c r="AI24" s="548">
        <f t="shared" si="24"/>
        <v>0</v>
      </c>
      <c r="AJ24" s="74">
        <f t="shared" si="24"/>
        <v>0</v>
      </c>
      <c r="AK24" s="74">
        <f t="shared" si="24"/>
        <v>0</v>
      </c>
      <c r="AL24" s="544">
        <f t="shared" si="24"/>
        <v>63.205578333531193</v>
      </c>
      <c r="AM24" s="548">
        <f t="shared" si="25"/>
        <v>0</v>
      </c>
      <c r="AN24" s="74">
        <f t="shared" si="25"/>
        <v>0</v>
      </c>
      <c r="AO24" s="74">
        <f t="shared" si="25"/>
        <v>0</v>
      </c>
      <c r="AP24" s="544">
        <f t="shared" si="25"/>
        <v>10.403098655617228</v>
      </c>
      <c r="AQ24" s="548">
        <f t="shared" ref="AQ24:AT28" si="28">$Z24*R24</f>
        <v>0</v>
      </c>
      <c r="AR24" s="74">
        <f t="shared" si="28"/>
        <v>0</v>
      </c>
      <c r="AS24" s="74">
        <f t="shared" si="28"/>
        <v>0</v>
      </c>
      <c r="AT24" s="544">
        <f t="shared" si="28"/>
        <v>8.6613230108515769</v>
      </c>
      <c r="AU24" s="546">
        <f t="shared" ref="AU24:AX25" si="29">$AA24*M24</f>
        <v>0</v>
      </c>
      <c r="AV24" s="202">
        <f t="shared" si="29"/>
        <v>0</v>
      </c>
      <c r="AW24" s="202">
        <f t="shared" si="29"/>
        <v>0</v>
      </c>
      <c r="AX24" s="545">
        <f t="shared" si="29"/>
        <v>0</v>
      </c>
      <c r="AY24" s="550">
        <f t="shared" ref="AY24:AY25" si="30">SUM(AD24:AH24)</f>
        <v>82.27</v>
      </c>
      <c r="AZ24" s="537" t="str">
        <f t="shared" si="6"/>
        <v>Correct</v>
      </c>
      <c r="BA24" s="1584" t="s">
        <v>285</v>
      </c>
      <c r="BB24" s="1048" t="s">
        <v>178</v>
      </c>
      <c r="BC24" s="314" t="str">
        <f>IFERROR(INDEX('[11]Annex 2_Code'!$J$122:$J$139,MATCH('Annex 4_MoWRAM'!BA24,'[11]Annex 2_Code'!$G$122:$G$139,0)),"")</f>
        <v>MOWRAM</v>
      </c>
      <c r="BD24" s="1084" t="str">
        <f t="shared" si="10"/>
        <v>MOWRAM</v>
      </c>
    </row>
    <row r="25" spans="1:56" s="308" customFormat="1" ht="15">
      <c r="A25" s="531" t="s">
        <v>22</v>
      </c>
      <c r="B25" s="531" t="str">
        <f t="shared" si="0"/>
        <v>CW13</v>
      </c>
      <c r="C25" s="366" t="s">
        <v>332</v>
      </c>
      <c r="D25" s="473"/>
      <c r="E25" s="1592" t="s">
        <v>1309</v>
      </c>
      <c r="F25" s="1592"/>
      <c r="G25" s="2"/>
      <c r="H25" s="1592"/>
      <c r="I25" s="1592"/>
      <c r="J25" s="26"/>
      <c r="K25" s="491" t="s">
        <v>380</v>
      </c>
      <c r="L25" s="555">
        <v>914.69999999999993</v>
      </c>
      <c r="M25" s="556">
        <v>0</v>
      </c>
      <c r="N25" s="556">
        <v>0</v>
      </c>
      <c r="O25" s="1587">
        <v>0</v>
      </c>
      <c r="P25" s="1587">
        <v>0.1</v>
      </c>
      <c r="Q25" s="79">
        <f t="shared" si="21"/>
        <v>0.1</v>
      </c>
      <c r="R25" s="385">
        <f t="shared" si="26"/>
        <v>0</v>
      </c>
      <c r="S25" s="386">
        <f t="shared" si="26"/>
        <v>0</v>
      </c>
      <c r="T25" s="386">
        <f t="shared" si="22"/>
        <v>0</v>
      </c>
      <c r="U25" s="386">
        <f t="shared" si="22"/>
        <v>91.47</v>
      </c>
      <c r="V25" s="384">
        <f t="shared" si="23"/>
        <v>91.47</v>
      </c>
      <c r="W25" s="29"/>
      <c r="X25" s="551">
        <f>IFERROR(INDEX('[11]Annex 2_Code'!I$8:I$33,MATCH('Annex 4_MoWRAM'!$BB25,'[11]Annex 2_Code'!$G$8:$G$33,0)),"")</f>
        <v>0.76827006604510995</v>
      </c>
      <c r="Y25" s="552">
        <f>IFERROR(INDEX('[11]Annex 2_Code'!J$8:J$33,MATCH('Annex 4_MoWRAM'!$BB25,'[11]Annex 2_Code'!$G$8:$G$33,0)),"")</f>
        <v>0.12645069473218948</v>
      </c>
      <c r="Z25" s="552">
        <f>IFERROR(INDEX('[11]Annex 2_Code'!K$8:K$33,MATCH('Annex 4_MoWRAM'!$BB25,'[11]Annex 2_Code'!$G$8:$G$33,0)),"")</f>
        <v>0.10527923922270058</v>
      </c>
      <c r="AA25" s="552">
        <f>IFERROR(INDEX('[11]Annex 2_Code'!L$8:L$33,MATCH('Annex 4_MoWRAM'!$BB25,'[11]Annex 2_Code'!$G$8:$G$33,0)),"")</f>
        <v>0</v>
      </c>
      <c r="AB25" s="553">
        <f>IFERROR(INDEX('[11]Annex 2_Code'!M$8:M$33,MATCH('Annex 4_MoWRAM'!$BB25,'[11]Annex 2_Code'!$G$8:$G$33,0)),"")</f>
        <v>0</v>
      </c>
      <c r="AC25" s="1588"/>
      <c r="AD25" s="547">
        <f t="shared" si="27"/>
        <v>70.273662941146199</v>
      </c>
      <c r="AE25" s="79">
        <f t="shared" si="27"/>
        <v>11.566445047153371</v>
      </c>
      <c r="AF25" s="79">
        <f t="shared" si="2"/>
        <v>9.6298920117004219</v>
      </c>
      <c r="AG25" s="79">
        <f t="shared" si="2"/>
        <v>0</v>
      </c>
      <c r="AH25" s="549">
        <f t="shared" si="2"/>
        <v>0</v>
      </c>
      <c r="AI25" s="548">
        <f t="shared" si="24"/>
        <v>0</v>
      </c>
      <c r="AJ25" s="74">
        <f t="shared" si="24"/>
        <v>0</v>
      </c>
      <c r="AK25" s="74">
        <f t="shared" si="24"/>
        <v>0</v>
      </c>
      <c r="AL25" s="544">
        <f t="shared" si="24"/>
        <v>70.273662941146199</v>
      </c>
      <c r="AM25" s="548">
        <f t="shared" si="25"/>
        <v>0</v>
      </c>
      <c r="AN25" s="74">
        <f t="shared" si="25"/>
        <v>0</v>
      </c>
      <c r="AO25" s="74">
        <f t="shared" si="25"/>
        <v>0</v>
      </c>
      <c r="AP25" s="544">
        <f t="shared" si="25"/>
        <v>11.566445047153371</v>
      </c>
      <c r="AQ25" s="548">
        <f t="shared" si="28"/>
        <v>0</v>
      </c>
      <c r="AR25" s="74">
        <f t="shared" si="28"/>
        <v>0</v>
      </c>
      <c r="AS25" s="74">
        <f t="shared" si="28"/>
        <v>0</v>
      </c>
      <c r="AT25" s="544">
        <f t="shared" si="28"/>
        <v>9.6298920117004219</v>
      </c>
      <c r="AU25" s="546">
        <f t="shared" si="29"/>
        <v>0</v>
      </c>
      <c r="AV25" s="202">
        <f t="shared" si="29"/>
        <v>0</v>
      </c>
      <c r="AW25" s="202">
        <f t="shared" si="29"/>
        <v>0</v>
      </c>
      <c r="AX25" s="545">
        <f t="shared" si="29"/>
        <v>0</v>
      </c>
      <c r="AY25" s="550">
        <f t="shared" si="30"/>
        <v>91.469999999999985</v>
      </c>
      <c r="AZ25" s="537" t="str">
        <f t="shared" si="6"/>
        <v>Correct</v>
      </c>
      <c r="BA25" s="1584" t="s">
        <v>285</v>
      </c>
      <c r="BB25" s="1048" t="s">
        <v>178</v>
      </c>
      <c r="BC25" s="314" t="str">
        <f>IFERROR(INDEX('[11]Annex 2_Code'!$J$122:$J$139,MATCH('Annex 4_MoWRAM'!BA25,'[11]Annex 2_Code'!$G$122:$G$139,0)),"")</f>
        <v>MOWRAM</v>
      </c>
      <c r="BD25" s="1084" t="str">
        <f t="shared" si="10"/>
        <v>MOWRAM</v>
      </c>
    </row>
    <row r="26" spans="1:56" s="308" customFormat="1" ht="15">
      <c r="A26" s="1589" t="s">
        <v>22</v>
      </c>
      <c r="B26" s="1589" t="str">
        <f t="shared" si="0"/>
        <v>CW13</v>
      </c>
      <c r="C26" s="1590" t="s">
        <v>403</v>
      </c>
      <c r="D26" s="473"/>
      <c r="E26" s="1592" t="s">
        <v>1310</v>
      </c>
      <c r="F26" s="1592"/>
      <c r="G26" s="2"/>
      <c r="H26" s="1592"/>
      <c r="I26" s="1592"/>
      <c r="J26" s="26"/>
      <c r="K26" s="491" t="s">
        <v>380</v>
      </c>
      <c r="L26" s="555">
        <v>1728</v>
      </c>
      <c r="M26" s="556">
        <v>0</v>
      </c>
      <c r="N26" s="556">
        <v>0.2</v>
      </c>
      <c r="O26" s="1587">
        <v>0.4</v>
      </c>
      <c r="P26" s="1587">
        <v>0.3</v>
      </c>
      <c r="Q26" s="1961">
        <f t="shared" si="21"/>
        <v>0.90000000000000013</v>
      </c>
      <c r="R26" s="385">
        <f t="shared" si="26"/>
        <v>0</v>
      </c>
      <c r="S26" s="386">
        <f t="shared" si="26"/>
        <v>345.6</v>
      </c>
      <c r="T26" s="386">
        <f t="shared" si="22"/>
        <v>691.2</v>
      </c>
      <c r="U26" s="386">
        <f t="shared" si="22"/>
        <v>518.4</v>
      </c>
      <c r="V26" s="384">
        <f t="shared" si="23"/>
        <v>1555.2000000000003</v>
      </c>
      <c r="W26" s="29"/>
      <c r="X26" s="551">
        <f>IFERROR(INDEX('[11]Annex 2_Code'!I$8:I$33,MATCH('Annex 4_MoWRAM'!$BB26,'[11]Annex 2_Code'!$G$8:$G$33,0)),"")</f>
        <v>0.76827006604510995</v>
      </c>
      <c r="Y26" s="552">
        <f>IFERROR(INDEX('[11]Annex 2_Code'!J$8:J$33,MATCH('Annex 4_MoWRAM'!$BB26,'[11]Annex 2_Code'!$G$8:$G$33,0)),"")</f>
        <v>0.12645069473218948</v>
      </c>
      <c r="Z26" s="552">
        <f>IFERROR(INDEX('[11]Annex 2_Code'!K$8:K$33,MATCH('Annex 4_MoWRAM'!$BB26,'[11]Annex 2_Code'!$G$8:$G$33,0)),"")</f>
        <v>0.10527923922270058</v>
      </c>
      <c r="AA26" s="552">
        <f>IFERROR(INDEX('[11]Annex 2_Code'!L$8:L$33,MATCH('Annex 4_MoWRAM'!$BB26,'[11]Annex 2_Code'!$G$8:$G$33,0)),"")</f>
        <v>0</v>
      </c>
      <c r="AB26" s="553">
        <f>IFERROR(INDEX('[11]Annex 2_Code'!M$8:M$33,MATCH('Annex 4_MoWRAM'!$BB26,'[11]Annex 2_Code'!$G$8:$G$33,0)),"")</f>
        <v>0</v>
      </c>
      <c r="AC26" s="1588"/>
      <c r="AD26" s="547">
        <f>IFERROR($V26*X26,"")</f>
        <v>1194.8136067133553</v>
      </c>
      <c r="AE26" s="79">
        <f t="shared" si="27"/>
        <v>196.65612044750111</v>
      </c>
      <c r="AF26" s="79">
        <f t="shared" si="2"/>
        <v>163.73027283914396</v>
      </c>
      <c r="AG26" s="79">
        <f t="shared" si="2"/>
        <v>0</v>
      </c>
      <c r="AH26" s="549">
        <f t="shared" si="2"/>
        <v>0</v>
      </c>
      <c r="AI26" s="548">
        <f t="shared" si="24"/>
        <v>0</v>
      </c>
      <c r="AJ26" s="74">
        <f t="shared" si="24"/>
        <v>265.51413482519001</v>
      </c>
      <c r="AK26" s="74">
        <f t="shared" si="24"/>
        <v>531.02826965038003</v>
      </c>
      <c r="AL26" s="544">
        <f t="shared" si="24"/>
        <v>398.27120223778496</v>
      </c>
      <c r="AM26" s="548">
        <f t="shared" si="25"/>
        <v>0</v>
      </c>
      <c r="AN26" s="74">
        <f t="shared" si="25"/>
        <v>43.701360099444685</v>
      </c>
      <c r="AO26" s="74">
        <f t="shared" si="25"/>
        <v>87.402720198889369</v>
      </c>
      <c r="AP26" s="544">
        <f t="shared" si="25"/>
        <v>65.552040149167027</v>
      </c>
      <c r="AQ26" s="548">
        <f t="shared" si="28"/>
        <v>0</v>
      </c>
      <c r="AR26" s="74">
        <f t="shared" si="28"/>
        <v>36.384505075365318</v>
      </c>
      <c r="AS26" s="74">
        <f t="shared" si="28"/>
        <v>72.769010150730637</v>
      </c>
      <c r="AT26" s="544">
        <f t="shared" si="28"/>
        <v>54.576757613047974</v>
      </c>
      <c r="AU26" s="546">
        <f t="shared" ref="AU26:AX29" si="31">$AA26*M24</f>
        <v>0</v>
      </c>
      <c r="AV26" s="202">
        <f t="shared" si="31"/>
        <v>0</v>
      </c>
      <c r="AW26" s="202">
        <f t="shared" si="31"/>
        <v>0</v>
      </c>
      <c r="AX26" s="545">
        <f t="shared" si="31"/>
        <v>0</v>
      </c>
      <c r="AY26" s="550">
        <f>SUM(AD26:AH26)</f>
        <v>1555.2000000000003</v>
      </c>
      <c r="AZ26" s="537" t="str">
        <f t="shared" si="6"/>
        <v>Correct</v>
      </c>
      <c r="BA26" s="1584" t="s">
        <v>285</v>
      </c>
      <c r="BB26" s="1048" t="s">
        <v>178</v>
      </c>
      <c r="BC26" s="314" t="str">
        <f>IFERROR(INDEX('[11]Annex 2_Code'!$J$122:$J$139,MATCH('Annex 4_MoWRAM'!BA26,'[11]Annex 2_Code'!$G$122:$G$139,0)),"")</f>
        <v>MOWRAM</v>
      </c>
      <c r="BD26" s="1084" t="str">
        <f>IF(ISNUMBER(FIND("-",BC26,1))=FALSE,LEFT(BC26,LEN(BC26)),LEFT(BC26,(FIND("-",BC26,1))-1))</f>
        <v>MOWRAM</v>
      </c>
    </row>
    <row r="27" spans="1:56" s="308" customFormat="1" ht="15">
      <c r="A27" s="1589" t="s">
        <v>22</v>
      </c>
      <c r="B27" s="1589" t="str">
        <f t="shared" si="0"/>
        <v>CW13</v>
      </c>
      <c r="C27" s="1590" t="s">
        <v>404</v>
      </c>
      <c r="D27" s="473"/>
      <c r="E27" s="1592" t="s">
        <v>1311</v>
      </c>
      <c r="F27" s="1592"/>
      <c r="G27" s="2"/>
      <c r="H27" s="1592"/>
      <c r="I27" s="1592"/>
      <c r="J27" s="26"/>
      <c r="K27" s="491" t="s">
        <v>380</v>
      </c>
      <c r="L27" s="476">
        <v>1004</v>
      </c>
      <c r="M27" s="556">
        <v>0</v>
      </c>
      <c r="N27" s="556">
        <v>0.2</v>
      </c>
      <c r="O27" s="1587">
        <v>0.4</v>
      </c>
      <c r="P27" s="1587">
        <v>0.3</v>
      </c>
      <c r="Q27" s="1961">
        <f t="shared" si="21"/>
        <v>0.90000000000000013</v>
      </c>
      <c r="R27" s="385">
        <f t="shared" si="26"/>
        <v>0</v>
      </c>
      <c r="S27" s="386">
        <f t="shared" si="26"/>
        <v>200.8</v>
      </c>
      <c r="T27" s="386">
        <f t="shared" si="22"/>
        <v>401.6</v>
      </c>
      <c r="U27" s="386">
        <f t="shared" si="22"/>
        <v>301.2</v>
      </c>
      <c r="V27" s="384">
        <f t="shared" si="23"/>
        <v>903.60000000000014</v>
      </c>
      <c r="W27" s="29"/>
      <c r="X27" s="551">
        <f>IFERROR(INDEX('[11]Annex 2_Code'!I$8:I$33,MATCH('Annex 4_MoWRAM'!$BB27,'[11]Annex 2_Code'!$G$8:$G$33,0)),"")</f>
        <v>0.76827006604510995</v>
      </c>
      <c r="Y27" s="552">
        <f>IFERROR(INDEX('[11]Annex 2_Code'!J$8:J$33,MATCH('Annex 4_MoWRAM'!$BB27,'[11]Annex 2_Code'!$G$8:$G$33,0)),"")</f>
        <v>0.12645069473218948</v>
      </c>
      <c r="Z27" s="552">
        <f>IFERROR(INDEX('[11]Annex 2_Code'!K$8:K$33,MATCH('Annex 4_MoWRAM'!$BB27,'[11]Annex 2_Code'!$G$8:$G$33,0)),"")</f>
        <v>0.10527923922270058</v>
      </c>
      <c r="AA27" s="552">
        <f>IFERROR(INDEX('[11]Annex 2_Code'!L$8:L$33,MATCH('Annex 4_MoWRAM'!$BB27,'[11]Annex 2_Code'!$G$8:$G$33,0)),"")</f>
        <v>0</v>
      </c>
      <c r="AB27" s="553">
        <f>IFERROR(INDEX('[11]Annex 2_Code'!M$8:M$33,MATCH('Annex 4_MoWRAM'!$BB27,'[11]Annex 2_Code'!$G$8:$G$33,0)),"")</f>
        <v>0</v>
      </c>
      <c r="AC27" s="1588"/>
      <c r="AD27" s="547">
        <f>IFERROR($V27*X27,"")</f>
        <v>694.20883167836143</v>
      </c>
      <c r="AE27" s="79">
        <f t="shared" si="27"/>
        <v>114.26084776000643</v>
      </c>
      <c r="AF27" s="79">
        <f t="shared" si="2"/>
        <v>95.13032056163226</v>
      </c>
      <c r="AG27" s="79">
        <f t="shared" si="2"/>
        <v>0</v>
      </c>
      <c r="AH27" s="549">
        <f t="shared" si="2"/>
        <v>0</v>
      </c>
      <c r="AI27" s="548">
        <f t="shared" si="24"/>
        <v>0</v>
      </c>
      <c r="AJ27" s="74">
        <f t="shared" si="24"/>
        <v>154.26862926185808</v>
      </c>
      <c r="AK27" s="74">
        <f t="shared" si="24"/>
        <v>308.53725852371616</v>
      </c>
      <c r="AL27" s="544">
        <f t="shared" si="24"/>
        <v>231.40294389278711</v>
      </c>
      <c r="AM27" s="548">
        <f t="shared" si="25"/>
        <v>0</v>
      </c>
      <c r="AN27" s="74">
        <f t="shared" si="25"/>
        <v>25.391299502223649</v>
      </c>
      <c r="AO27" s="74">
        <f t="shared" si="25"/>
        <v>50.782599004447299</v>
      </c>
      <c r="AP27" s="544">
        <f t="shared" si="25"/>
        <v>38.086949253335469</v>
      </c>
      <c r="AQ27" s="548">
        <f t="shared" si="28"/>
        <v>0</v>
      </c>
      <c r="AR27" s="74">
        <f t="shared" si="28"/>
        <v>21.140071235918278</v>
      </c>
      <c r="AS27" s="74">
        <f t="shared" si="28"/>
        <v>42.280142471836555</v>
      </c>
      <c r="AT27" s="544">
        <f t="shared" si="28"/>
        <v>31.710106853877413</v>
      </c>
      <c r="AU27" s="546">
        <f t="shared" si="31"/>
        <v>0</v>
      </c>
      <c r="AV27" s="202">
        <f t="shared" si="31"/>
        <v>0</v>
      </c>
      <c r="AW27" s="202">
        <f t="shared" si="31"/>
        <v>0</v>
      </c>
      <c r="AX27" s="545">
        <f t="shared" si="31"/>
        <v>0</v>
      </c>
      <c r="AY27" s="550">
        <f>SUM(AD27:AH27)</f>
        <v>903.60000000000014</v>
      </c>
      <c r="AZ27" s="537" t="str">
        <f t="shared" si="6"/>
        <v>Correct</v>
      </c>
      <c r="BA27" s="1584" t="s">
        <v>285</v>
      </c>
      <c r="BB27" s="1048" t="s">
        <v>178</v>
      </c>
      <c r="BC27" s="314" t="str">
        <f>IFERROR(INDEX('[11]Annex 2_Code'!$J$122:$J$139,MATCH('Annex 4_MoWRAM'!BA27,'[11]Annex 2_Code'!$G$122:$G$139,0)),"")</f>
        <v>MOWRAM</v>
      </c>
      <c r="BD27" s="1084" t="str">
        <f>IF(ISNUMBER(FIND("-",BC27,1))=FALSE,LEFT(BC27,LEN(BC27)),LEFT(BC27,(FIND("-",BC27,1))-1))</f>
        <v>MOWRAM</v>
      </c>
    </row>
    <row r="28" spans="1:56" s="308" customFormat="1">
      <c r="A28" s="1589" t="s">
        <v>22</v>
      </c>
      <c r="B28" s="1589" t="str">
        <f t="shared" si="0"/>
        <v>CW13</v>
      </c>
      <c r="C28" s="1590" t="s">
        <v>1012</v>
      </c>
      <c r="D28" s="582"/>
      <c r="E28" s="582" t="s">
        <v>1013</v>
      </c>
      <c r="F28" s="582"/>
      <c r="G28" s="2"/>
      <c r="H28" s="582"/>
      <c r="I28" s="582"/>
      <c r="J28" s="26"/>
      <c r="K28" s="491" t="s">
        <v>380</v>
      </c>
      <c r="L28" s="476">
        <v>1776.6</v>
      </c>
      <c r="M28" s="556">
        <v>0</v>
      </c>
      <c r="N28" s="556">
        <v>0</v>
      </c>
      <c r="O28" s="1587">
        <v>0.1</v>
      </c>
      <c r="P28" s="1587">
        <v>0</v>
      </c>
      <c r="Q28" s="79">
        <f t="shared" si="21"/>
        <v>0.1</v>
      </c>
      <c r="R28" s="385">
        <f t="shared" si="26"/>
        <v>0</v>
      </c>
      <c r="S28" s="386">
        <f t="shared" si="26"/>
        <v>0</v>
      </c>
      <c r="T28" s="386">
        <f t="shared" si="22"/>
        <v>177.66</v>
      </c>
      <c r="U28" s="386">
        <f t="shared" si="22"/>
        <v>0</v>
      </c>
      <c r="V28" s="384">
        <f t="shared" si="23"/>
        <v>177.66</v>
      </c>
      <c r="W28" s="29"/>
      <c r="X28" s="551">
        <f>IFERROR(INDEX('[11]Annex 2_Code'!I$8:I$33,MATCH('Annex 4_MoWRAM'!$BB28,'[11]Annex 2_Code'!$G$8:$G$33,0)),"")</f>
        <v>0.76827006604510995</v>
      </c>
      <c r="Y28" s="552">
        <f>IFERROR(INDEX('[11]Annex 2_Code'!J$8:J$33,MATCH('Annex 4_MoWRAM'!$BB28,'[11]Annex 2_Code'!$G$8:$G$33,0)),"")</f>
        <v>0.12645069473218948</v>
      </c>
      <c r="Z28" s="552">
        <f>IFERROR(INDEX('[11]Annex 2_Code'!K$8:K$33,MATCH('Annex 4_MoWRAM'!$BB28,'[11]Annex 2_Code'!$G$8:$G$33,0)),"")</f>
        <v>0.10527923922270058</v>
      </c>
      <c r="AA28" s="552">
        <f>IFERROR(INDEX('[11]Annex 2_Code'!L$8:L$33,MATCH('Annex 4_MoWRAM'!$BB28,'[11]Annex 2_Code'!$G$8:$G$33,0)),"")</f>
        <v>0</v>
      </c>
      <c r="AB28" s="553">
        <f>IFERROR(INDEX('[11]Annex 2_Code'!M$8:M$33,MATCH('Annex 4_MoWRAM'!$BB28,'[11]Annex 2_Code'!$G$8:$G$33,0)),"")</f>
        <v>0</v>
      </c>
      <c r="AC28" s="1588"/>
      <c r="AD28" s="547">
        <f t="shared" si="27"/>
        <v>136.49085993357423</v>
      </c>
      <c r="AE28" s="79">
        <f t="shared" si="27"/>
        <v>22.465230426120783</v>
      </c>
      <c r="AF28" s="79">
        <f t="shared" si="2"/>
        <v>18.703909640304985</v>
      </c>
      <c r="AG28" s="79">
        <f t="shared" si="2"/>
        <v>0</v>
      </c>
      <c r="AH28" s="549">
        <f t="shared" si="2"/>
        <v>0</v>
      </c>
      <c r="AI28" s="548">
        <f t="shared" si="24"/>
        <v>0</v>
      </c>
      <c r="AJ28" s="74">
        <f t="shared" si="24"/>
        <v>0</v>
      </c>
      <c r="AK28" s="74">
        <f t="shared" si="24"/>
        <v>136.49085993357423</v>
      </c>
      <c r="AL28" s="544">
        <f t="shared" si="24"/>
        <v>0</v>
      </c>
      <c r="AM28" s="548">
        <f t="shared" si="25"/>
        <v>0</v>
      </c>
      <c r="AN28" s="74">
        <f t="shared" si="25"/>
        <v>0</v>
      </c>
      <c r="AO28" s="74">
        <f t="shared" si="25"/>
        <v>22.465230426120783</v>
      </c>
      <c r="AP28" s="544">
        <f t="shared" si="25"/>
        <v>0</v>
      </c>
      <c r="AQ28" s="548">
        <f t="shared" si="28"/>
        <v>0</v>
      </c>
      <c r="AR28" s="74">
        <f t="shared" si="28"/>
        <v>0</v>
      </c>
      <c r="AS28" s="74">
        <f t="shared" si="28"/>
        <v>18.703909640304985</v>
      </c>
      <c r="AT28" s="544">
        <f t="shared" si="28"/>
        <v>0</v>
      </c>
      <c r="AU28" s="546">
        <f t="shared" si="31"/>
        <v>0</v>
      </c>
      <c r="AV28" s="202">
        <f t="shared" si="31"/>
        <v>0</v>
      </c>
      <c r="AW28" s="202">
        <f t="shared" si="31"/>
        <v>0</v>
      </c>
      <c r="AX28" s="545">
        <f t="shared" si="31"/>
        <v>0</v>
      </c>
      <c r="AY28" s="550">
        <f>SUM(AD28:AH28)</f>
        <v>177.65999999999997</v>
      </c>
      <c r="AZ28" s="537" t="str">
        <f t="shared" si="6"/>
        <v>Correct</v>
      </c>
      <c r="BA28" s="1584" t="s">
        <v>285</v>
      </c>
      <c r="BB28" s="1048" t="s">
        <v>178</v>
      </c>
      <c r="BC28" s="314" t="str">
        <f>IFERROR(INDEX('[11]Annex 2_Code'!$J$122:$J$139,MATCH('Annex 4_MoWRAM'!BA28,'[11]Annex 2_Code'!$G$122:$G$139,0)),"")</f>
        <v>MOWRAM</v>
      </c>
      <c r="BD28" s="1084" t="str">
        <f>IF(ISNUMBER(FIND("-",BC28,1))=FALSE,LEFT(BC28,LEN(BC28)),LEFT(BC28,(FIND("-",BC28,1))-1))</f>
        <v>MOWRAM</v>
      </c>
    </row>
    <row r="29" spans="1:56" s="308" customFormat="1">
      <c r="A29" s="1589" t="s">
        <v>22</v>
      </c>
      <c r="B29" s="1589" t="str">
        <f t="shared" si="0"/>
        <v>CW13</v>
      </c>
      <c r="C29" s="1590" t="s">
        <v>1014</v>
      </c>
      <c r="D29" s="582"/>
      <c r="E29" s="582" t="s">
        <v>1015</v>
      </c>
      <c r="F29" s="582"/>
      <c r="G29" s="2"/>
      <c r="H29" s="582"/>
      <c r="I29" s="582"/>
      <c r="J29" s="26"/>
      <c r="K29" s="491" t="s">
        <v>380</v>
      </c>
      <c r="L29" s="476">
        <v>650</v>
      </c>
      <c r="M29" s="556">
        <v>0</v>
      </c>
      <c r="N29" s="556">
        <v>0</v>
      </c>
      <c r="O29" s="1587">
        <v>0.1</v>
      </c>
      <c r="P29" s="1587">
        <v>0</v>
      </c>
      <c r="Q29" s="79">
        <f t="shared" si="21"/>
        <v>0.1</v>
      </c>
      <c r="R29" s="385">
        <f t="shared" si="26"/>
        <v>0</v>
      </c>
      <c r="S29" s="386">
        <f t="shared" si="26"/>
        <v>0</v>
      </c>
      <c r="T29" s="386">
        <f t="shared" si="22"/>
        <v>65</v>
      </c>
      <c r="U29" s="386">
        <f t="shared" si="22"/>
        <v>0</v>
      </c>
      <c r="V29" s="384">
        <f t="shared" si="23"/>
        <v>65</v>
      </c>
      <c r="W29" s="29"/>
      <c r="X29" s="551">
        <f>IFERROR(INDEX('[11]Annex 2_Code'!I$8:I$33,MATCH('Annex 4_MoWRAM'!$BB29,'[11]Annex 2_Code'!$G$8:$G$33,0)),"")</f>
        <v>0.76827006604510995</v>
      </c>
      <c r="Y29" s="552">
        <f>IFERROR(INDEX('[11]Annex 2_Code'!J$8:J$33,MATCH('Annex 4_MoWRAM'!$BB29,'[11]Annex 2_Code'!$G$8:$G$33,0)),"")</f>
        <v>0.12645069473218948</v>
      </c>
      <c r="Z29" s="552">
        <f>IFERROR(INDEX('[11]Annex 2_Code'!K$8:K$33,MATCH('Annex 4_MoWRAM'!$BB29,'[11]Annex 2_Code'!$G$8:$G$33,0)),"")</f>
        <v>0.10527923922270058</v>
      </c>
      <c r="AA29" s="552">
        <f>IFERROR(INDEX('[11]Annex 2_Code'!L$8:L$33,MATCH('Annex 4_MoWRAM'!$BB29,'[11]Annex 2_Code'!$G$8:$G$33,0)),"")</f>
        <v>0</v>
      </c>
      <c r="AB29" s="553">
        <f>IFERROR(INDEX('[11]Annex 2_Code'!M$8:M$33,MATCH('Annex 4_MoWRAM'!$BB29,'[11]Annex 2_Code'!$G$8:$G$33,0)),"")</f>
        <v>0</v>
      </c>
      <c r="AC29" s="1588"/>
      <c r="AD29" s="547">
        <f t="shared" si="27"/>
        <v>49.937554292932148</v>
      </c>
      <c r="AE29" s="79">
        <f t="shared" si="27"/>
        <v>8.2192951575923168</v>
      </c>
      <c r="AF29" s="79">
        <f t="shared" si="2"/>
        <v>6.8431505494755376</v>
      </c>
      <c r="AG29" s="79">
        <f t="shared" si="2"/>
        <v>0</v>
      </c>
      <c r="AH29" s="549">
        <f t="shared" si="2"/>
        <v>0</v>
      </c>
      <c r="AI29" s="548">
        <f t="shared" si="24"/>
        <v>0</v>
      </c>
      <c r="AJ29" s="74">
        <f t="shared" si="24"/>
        <v>0</v>
      </c>
      <c r="AK29" s="74">
        <f t="shared" si="24"/>
        <v>49.937554292932148</v>
      </c>
      <c r="AL29" s="544">
        <f t="shared" si="24"/>
        <v>0</v>
      </c>
      <c r="AM29" s="548">
        <f t="shared" si="25"/>
        <v>0</v>
      </c>
      <c r="AN29" s="74">
        <f t="shared" si="25"/>
        <v>0</v>
      </c>
      <c r="AO29" s="74">
        <f t="shared" si="25"/>
        <v>8.2192951575923168</v>
      </c>
      <c r="AP29" s="544">
        <f t="shared" si="25"/>
        <v>0</v>
      </c>
      <c r="AQ29" s="548">
        <f>$Z29*R29</f>
        <v>0</v>
      </c>
      <c r="AR29" s="74">
        <f>$Z29*S29</f>
        <v>0</v>
      </c>
      <c r="AS29" s="74">
        <f>$Z29*T29</f>
        <v>6.8431505494755376</v>
      </c>
      <c r="AT29" s="544">
        <f>$Z29*U29</f>
        <v>0</v>
      </c>
      <c r="AU29" s="546">
        <f t="shared" si="31"/>
        <v>0</v>
      </c>
      <c r="AV29" s="202">
        <f t="shared" si="31"/>
        <v>0</v>
      </c>
      <c r="AW29" s="202">
        <f t="shared" si="31"/>
        <v>0</v>
      </c>
      <c r="AX29" s="545">
        <f t="shared" si="31"/>
        <v>0</v>
      </c>
      <c r="AY29" s="550">
        <f>SUM(AD29:AH29)</f>
        <v>65</v>
      </c>
      <c r="AZ29" s="537" t="str">
        <f t="shared" si="6"/>
        <v>Correct</v>
      </c>
      <c r="BA29" s="1584" t="s">
        <v>285</v>
      </c>
      <c r="BB29" s="1048" t="s">
        <v>178</v>
      </c>
      <c r="BC29" s="314" t="str">
        <f>IFERROR(INDEX('[11]Annex 2_Code'!$J$122:$J$139,MATCH('Annex 4_MoWRAM'!BA29,'[11]Annex 2_Code'!$G$122:$G$139,0)),"")</f>
        <v>MOWRAM</v>
      </c>
      <c r="BD29" s="1084" t="str">
        <f>IF(ISNUMBER(FIND("-",BC29,1))=FALSE,LEFT(BC29,LEN(BC29)),LEFT(BC29,(FIND("-",BC29,1))-1))</f>
        <v>MOWRAM</v>
      </c>
    </row>
    <row r="30" spans="1:56" s="308" customFormat="1" ht="15">
      <c r="A30" s="524" t="str">
        <f t="shared" ref="A30:B73" si="32">IF(ISNUMBER(FIND("-",B30,1))=FALSE,LEFT(B30,LEN(B30)),LEFT(B30,(FIND("-",B30,1))-1))</f>
        <v/>
      </c>
      <c r="B30" s="524" t="str">
        <f t="shared" si="0"/>
        <v/>
      </c>
      <c r="C30" s="368"/>
      <c r="D30" s="236" t="s">
        <v>118</v>
      </c>
      <c r="E30" s="583"/>
      <c r="F30" s="583"/>
      <c r="G30" s="583"/>
      <c r="H30" s="583"/>
      <c r="I30" s="583"/>
      <c r="J30" s="237"/>
      <c r="K30" s="490"/>
      <c r="L30" s="490"/>
      <c r="M30" s="200"/>
      <c r="N30" s="50"/>
      <c r="O30" s="31"/>
      <c r="P30" s="31"/>
      <c r="Q30" s="201"/>
      <c r="R30" s="385"/>
      <c r="S30" s="386"/>
      <c r="T30" s="386"/>
      <c r="U30" s="386"/>
      <c r="V30" s="384"/>
      <c r="W30" s="32"/>
      <c r="X30" s="551" t="str">
        <f>IFERROR(INDEX('[11]Annex 2_Code'!I$8:I$33,MATCH('Annex 4_MoWRAM'!$BB30,'[11]Annex 2_Code'!$G$8:$G$33,0)),"")</f>
        <v/>
      </c>
      <c r="Y30" s="552" t="str">
        <f>IFERROR(INDEX('[11]Annex 2_Code'!J$8:J$33,MATCH('Annex 4_MoWRAM'!$BB30,'[11]Annex 2_Code'!$G$8:$G$33,0)),"")</f>
        <v/>
      </c>
      <c r="Z30" s="552" t="str">
        <f>IFERROR(INDEX('[11]Annex 2_Code'!K$8:K$33,MATCH('Annex 4_MoWRAM'!$BB30,'[11]Annex 2_Code'!$G$8:$G$33,0)),"")</f>
        <v/>
      </c>
      <c r="AA30" s="552" t="str">
        <f>IFERROR(INDEX('[11]Annex 2_Code'!L$8:L$33,MATCH('Annex 4_MoWRAM'!$BB30,'[11]Annex 2_Code'!$G$8:$G$33,0)),"")</f>
        <v/>
      </c>
      <c r="AB30" s="553" t="str">
        <f>IFERROR(INDEX('[11]Annex 2_Code'!M$8:M$33,MATCH('Annex 4_MoWRAM'!$BB30,'[11]Annex 2_Code'!$G$8:$G$33,0)),"")</f>
        <v/>
      </c>
      <c r="AC30" s="31"/>
      <c r="AD30" s="547"/>
      <c r="AE30" s="79"/>
      <c r="AF30" s="79"/>
      <c r="AG30" s="79"/>
      <c r="AH30" s="549"/>
      <c r="AI30" s="202"/>
      <c r="AJ30" s="202"/>
      <c r="AK30" s="202"/>
      <c r="AL30" s="202"/>
      <c r="AM30" s="546"/>
      <c r="AN30" s="202"/>
      <c r="AO30" s="202"/>
      <c r="AP30" s="545"/>
      <c r="AQ30" s="202"/>
      <c r="AR30" s="202"/>
      <c r="AS30" s="202"/>
      <c r="AT30" s="202"/>
      <c r="AU30" s="546"/>
      <c r="AV30" s="202"/>
      <c r="AW30" s="202"/>
      <c r="AX30" s="545"/>
      <c r="AY30" s="1591"/>
      <c r="AZ30" s="537"/>
      <c r="BA30" s="1584"/>
      <c r="BB30" s="1048"/>
      <c r="BC30" s="314">
        <f>IFERROR(INDEX('[11]Annex 2_Code'!$J$122:$J$139,MATCH('Annex 4_MoWRAM'!BA30,'[11]Annex 2_Code'!$G$122:$G$139,0)),"")</f>
        <v>0</v>
      </c>
      <c r="BD30" s="1084" t="str">
        <f t="shared" ref="BD30:BD93" si="33">IF(ISNUMBER(FIND("-",BC30,1))=FALSE,LEFT(BC30,LEN(BC30)),LEFT(BC30,(FIND("-",BC30,1))-1))</f>
        <v>0</v>
      </c>
    </row>
    <row r="31" spans="1:56" s="308" customFormat="1" ht="15">
      <c r="A31" s="531" t="s">
        <v>22</v>
      </c>
      <c r="B31" s="531" t="str">
        <f>IF(ISNUMBER(FIND("-",C31,1))=FALSE,LEFT(C31,LEN(C31)),LEFT(C31,(FIND("-",C31,1))-1))</f>
        <v>CW14</v>
      </c>
      <c r="C31" s="366" t="s">
        <v>334</v>
      </c>
      <c r="D31" s="475"/>
      <c r="E31" s="1592" t="s">
        <v>1312</v>
      </c>
      <c r="F31" s="1592"/>
      <c r="G31" s="2"/>
      <c r="H31" s="1592"/>
      <c r="I31" s="1592"/>
      <c r="J31" s="311"/>
      <c r="K31" s="491" t="s">
        <v>380</v>
      </c>
      <c r="L31" s="555">
        <v>1347</v>
      </c>
      <c r="M31" s="556">
        <v>0</v>
      </c>
      <c r="N31" s="1587">
        <v>0</v>
      </c>
      <c r="O31" s="1587">
        <v>0.1</v>
      </c>
      <c r="P31" s="1587">
        <v>0</v>
      </c>
      <c r="Q31" s="79">
        <f>SUM(M31:P31)</f>
        <v>0.1</v>
      </c>
      <c r="R31" s="385">
        <f>ROUND($L31*M31,2)</f>
        <v>0</v>
      </c>
      <c r="S31" s="386">
        <f>ROUND($L31*N31,2)</f>
        <v>0</v>
      </c>
      <c r="T31" s="386">
        <f t="shared" ref="T31:U35" si="34">ROUND($L31*O31,2)</f>
        <v>134.69999999999999</v>
      </c>
      <c r="U31" s="386">
        <f t="shared" si="34"/>
        <v>0</v>
      </c>
      <c r="V31" s="384">
        <f>SUM(R31:U31)</f>
        <v>134.69999999999999</v>
      </c>
      <c r="W31" s="32"/>
      <c r="X31" s="551">
        <f>IFERROR(INDEX('[11]Annex 2_Code'!I$8:I$33,MATCH('Annex 4_MoWRAM'!$BB31,'[11]Annex 2_Code'!$G$8:$G$33,0)),"")</f>
        <v>0.76827006604510995</v>
      </c>
      <c r="Y31" s="552">
        <f>IFERROR(INDEX('[11]Annex 2_Code'!J$8:J$33,MATCH('Annex 4_MoWRAM'!$BB31,'[11]Annex 2_Code'!$G$8:$G$33,0)),"")</f>
        <v>0.12645069473218948</v>
      </c>
      <c r="Z31" s="552">
        <f>IFERROR(INDEX('[11]Annex 2_Code'!K$8:K$33,MATCH('Annex 4_MoWRAM'!$BB31,'[11]Annex 2_Code'!$G$8:$G$33,0)),"")</f>
        <v>0.10527923922270058</v>
      </c>
      <c r="AA31" s="552">
        <f>IFERROR(INDEX('[11]Annex 2_Code'!L$8:L$33,MATCH('Annex 4_MoWRAM'!$BB31,'[11]Annex 2_Code'!$G$8:$G$33,0)),"")</f>
        <v>0</v>
      </c>
      <c r="AB31" s="553">
        <f>IFERROR(INDEX('[11]Annex 2_Code'!M$8:M$33,MATCH('Annex 4_MoWRAM'!$BB31,'[11]Annex 2_Code'!$G$8:$G$33,0)),"")</f>
        <v>0</v>
      </c>
      <c r="AC31" s="31"/>
      <c r="AD31" s="547">
        <f t="shared" si="2"/>
        <v>103.4859778962763</v>
      </c>
      <c r="AE31" s="79">
        <f t="shared" si="2"/>
        <v>17.032908580425921</v>
      </c>
      <c r="AF31" s="79">
        <f>IFERROR($V31*Z31,"")</f>
        <v>14.181113523297766</v>
      </c>
      <c r="AG31" s="79">
        <f t="shared" si="2"/>
        <v>0</v>
      </c>
      <c r="AH31" s="549">
        <f t="shared" si="2"/>
        <v>0</v>
      </c>
      <c r="AI31" s="548">
        <f t="shared" ref="AI31:AL35" si="35">R31*$X31</f>
        <v>0</v>
      </c>
      <c r="AJ31" s="74">
        <f t="shared" si="35"/>
        <v>0</v>
      </c>
      <c r="AK31" s="74">
        <f t="shared" si="35"/>
        <v>103.4859778962763</v>
      </c>
      <c r="AL31" s="544">
        <f t="shared" si="35"/>
        <v>0</v>
      </c>
      <c r="AM31" s="548">
        <f t="shared" ref="AM31:AP35" si="36">$Y31*R31</f>
        <v>0</v>
      </c>
      <c r="AN31" s="74">
        <f t="shared" si="36"/>
        <v>0</v>
      </c>
      <c r="AO31" s="74">
        <f t="shared" si="36"/>
        <v>17.032908580425921</v>
      </c>
      <c r="AP31" s="544">
        <f t="shared" si="36"/>
        <v>0</v>
      </c>
      <c r="AQ31" s="548">
        <f>$Z31*R31</f>
        <v>0</v>
      </c>
      <c r="AR31" s="74">
        <f>$Z31*S31</f>
        <v>0</v>
      </c>
      <c r="AS31" s="74">
        <f>$Z31*T31</f>
        <v>14.181113523297766</v>
      </c>
      <c r="AT31" s="544">
        <f>$Z31*U31</f>
        <v>0</v>
      </c>
      <c r="AU31" s="546">
        <f>$AA31*M31</f>
        <v>0</v>
      </c>
      <c r="AV31" s="202">
        <f>$AA31*N31</f>
        <v>0</v>
      </c>
      <c r="AW31" s="202">
        <f>$AA31*O31</f>
        <v>0</v>
      </c>
      <c r="AX31" s="545">
        <f>$AA31*P31</f>
        <v>0</v>
      </c>
      <c r="AY31" s="550">
        <f>SUM(AD31:AH31)</f>
        <v>134.69999999999999</v>
      </c>
      <c r="AZ31" s="537" t="str">
        <f t="shared" si="6"/>
        <v>Correct</v>
      </c>
      <c r="BA31" s="1584" t="s">
        <v>285</v>
      </c>
      <c r="BB31" s="1048" t="s">
        <v>178</v>
      </c>
      <c r="BC31" s="314" t="str">
        <f>IFERROR(INDEX('[11]Annex 2_Code'!$J$122:$J$139,MATCH('Annex 4_MoWRAM'!BA31,'[11]Annex 2_Code'!$G$122:$G$139,0)),"")</f>
        <v>MOWRAM</v>
      </c>
      <c r="BD31" s="1084" t="str">
        <f t="shared" si="33"/>
        <v>MOWRAM</v>
      </c>
    </row>
    <row r="32" spans="1:56" s="308" customFormat="1" ht="15">
      <c r="A32" s="531" t="s">
        <v>22</v>
      </c>
      <c r="B32" s="531" t="str">
        <f t="shared" si="0"/>
        <v>CW14</v>
      </c>
      <c r="C32" s="366" t="s">
        <v>337</v>
      </c>
      <c r="D32" s="473"/>
      <c r="E32" s="1592" t="s">
        <v>1313</v>
      </c>
      <c r="F32" s="1592"/>
      <c r="G32" s="2"/>
      <c r="H32" s="1592"/>
      <c r="I32" s="1592"/>
      <c r="J32" s="1596"/>
      <c r="K32" s="491" t="s">
        <v>380</v>
      </c>
      <c r="L32" s="555">
        <v>935</v>
      </c>
      <c r="M32" s="556">
        <v>0</v>
      </c>
      <c r="N32" s="1587">
        <v>0</v>
      </c>
      <c r="O32" s="1587">
        <v>0.1</v>
      </c>
      <c r="P32" s="1587">
        <v>0</v>
      </c>
      <c r="Q32" s="79">
        <f>SUM(M32:P32)</f>
        <v>0.1</v>
      </c>
      <c r="R32" s="385">
        <f t="shared" ref="R32:S35" si="37">ROUND($L32*M32,2)</f>
        <v>0</v>
      </c>
      <c r="S32" s="386">
        <f t="shared" si="37"/>
        <v>0</v>
      </c>
      <c r="T32" s="386">
        <f t="shared" si="34"/>
        <v>93.5</v>
      </c>
      <c r="U32" s="386">
        <f t="shared" si="34"/>
        <v>0</v>
      </c>
      <c r="V32" s="384">
        <f>SUM(R32:U32)</f>
        <v>93.5</v>
      </c>
      <c r="W32" s="29"/>
      <c r="X32" s="551">
        <f>IFERROR(INDEX('[11]Annex 2_Code'!I$8:I$33,MATCH('Annex 4_MoWRAM'!$BB32,'[11]Annex 2_Code'!$G$8:$G$33,0)),"")</f>
        <v>0.76827006604510995</v>
      </c>
      <c r="Y32" s="552">
        <f>IFERROR(INDEX('[11]Annex 2_Code'!J$8:J$33,MATCH('Annex 4_MoWRAM'!$BB32,'[11]Annex 2_Code'!$G$8:$G$33,0)),"")</f>
        <v>0.12645069473218948</v>
      </c>
      <c r="Z32" s="552">
        <f>IFERROR(INDEX('[11]Annex 2_Code'!K$8:K$33,MATCH('Annex 4_MoWRAM'!$BB32,'[11]Annex 2_Code'!$G$8:$G$33,0)),"")</f>
        <v>0.10527923922270058</v>
      </c>
      <c r="AA32" s="552">
        <f>IFERROR(INDEX('[11]Annex 2_Code'!L$8:L$33,MATCH('Annex 4_MoWRAM'!$BB32,'[11]Annex 2_Code'!$G$8:$G$33,0)),"")</f>
        <v>0</v>
      </c>
      <c r="AB32" s="553">
        <f>IFERROR(INDEX('[11]Annex 2_Code'!M$8:M$33,MATCH('Annex 4_MoWRAM'!$BB32,'[11]Annex 2_Code'!$G$8:$G$33,0)),"")</f>
        <v>0</v>
      </c>
      <c r="AC32" s="1588"/>
      <c r="AD32" s="547">
        <f t="shared" si="2"/>
        <v>71.833251175217782</v>
      </c>
      <c r="AE32" s="79">
        <f t="shared" si="2"/>
        <v>11.823139957459716</v>
      </c>
      <c r="AF32" s="79">
        <f t="shared" si="2"/>
        <v>9.8436088673225033</v>
      </c>
      <c r="AG32" s="79">
        <f t="shared" si="2"/>
        <v>0</v>
      </c>
      <c r="AH32" s="549">
        <f t="shared" si="2"/>
        <v>0</v>
      </c>
      <c r="AI32" s="548">
        <f t="shared" si="35"/>
        <v>0</v>
      </c>
      <c r="AJ32" s="74">
        <f t="shared" si="35"/>
        <v>0</v>
      </c>
      <c r="AK32" s="74">
        <f t="shared" si="35"/>
        <v>71.833251175217782</v>
      </c>
      <c r="AL32" s="544">
        <f t="shared" si="35"/>
        <v>0</v>
      </c>
      <c r="AM32" s="548">
        <f t="shared" si="36"/>
        <v>0</v>
      </c>
      <c r="AN32" s="74">
        <f t="shared" si="36"/>
        <v>0</v>
      </c>
      <c r="AO32" s="74">
        <f t="shared" si="36"/>
        <v>11.823139957459716</v>
      </c>
      <c r="AP32" s="544">
        <f t="shared" si="36"/>
        <v>0</v>
      </c>
      <c r="AQ32" s="548">
        <f t="shared" ref="AQ32:AT35" si="38">$Z32*R32</f>
        <v>0</v>
      </c>
      <c r="AR32" s="74">
        <f t="shared" si="38"/>
        <v>0</v>
      </c>
      <c r="AS32" s="74">
        <f t="shared" si="38"/>
        <v>9.8436088673225033</v>
      </c>
      <c r="AT32" s="544">
        <f t="shared" si="38"/>
        <v>0</v>
      </c>
      <c r="AU32" s="546">
        <f t="shared" ref="AU32:AX35" si="39">$AA32*M32</f>
        <v>0</v>
      </c>
      <c r="AV32" s="202">
        <f t="shared" si="39"/>
        <v>0</v>
      </c>
      <c r="AW32" s="202">
        <f t="shared" si="39"/>
        <v>0</v>
      </c>
      <c r="AX32" s="545">
        <f t="shared" si="39"/>
        <v>0</v>
      </c>
      <c r="AY32" s="550">
        <f t="shared" ref="AY32:AY33" si="40">SUM(AD32:AH32)</f>
        <v>93.5</v>
      </c>
      <c r="AZ32" s="537" t="str">
        <f t="shared" si="6"/>
        <v>Correct</v>
      </c>
      <c r="BA32" s="1584" t="s">
        <v>285</v>
      </c>
      <c r="BB32" s="1048" t="s">
        <v>178</v>
      </c>
      <c r="BC32" s="314" t="str">
        <f>IFERROR(INDEX('[11]Annex 2_Code'!$J$122:$J$139,MATCH('Annex 4_MoWRAM'!BA32,'[11]Annex 2_Code'!$G$122:$G$139,0)),"")</f>
        <v>MOWRAM</v>
      </c>
      <c r="BD32" s="1084" t="str">
        <f t="shared" si="33"/>
        <v>MOWRAM</v>
      </c>
    </row>
    <row r="33" spans="1:56" s="308" customFormat="1" ht="15">
      <c r="A33" s="1589" t="s">
        <v>22</v>
      </c>
      <c r="B33" s="1589" t="str">
        <f t="shared" si="0"/>
        <v>CW14</v>
      </c>
      <c r="C33" s="1590" t="s">
        <v>351</v>
      </c>
      <c r="D33" s="473"/>
      <c r="E33" s="582" t="s">
        <v>1016</v>
      </c>
      <c r="F33" s="582"/>
      <c r="G33" s="2"/>
      <c r="H33" s="582"/>
      <c r="I33" s="582"/>
      <c r="J33" s="26"/>
      <c r="K33" s="491" t="s">
        <v>380</v>
      </c>
      <c r="L33" s="555">
        <v>2657.25</v>
      </c>
      <c r="M33" s="556">
        <v>0</v>
      </c>
      <c r="N33" s="556">
        <v>0.2</v>
      </c>
      <c r="O33" s="1587">
        <v>0</v>
      </c>
      <c r="P33" s="1587">
        <v>0</v>
      </c>
      <c r="Q33" s="79">
        <f>SUM(M33:P33)</f>
        <v>0.2</v>
      </c>
      <c r="R33" s="385">
        <f t="shared" si="37"/>
        <v>0</v>
      </c>
      <c r="S33" s="386">
        <f t="shared" si="37"/>
        <v>531.45000000000005</v>
      </c>
      <c r="T33" s="386">
        <f t="shared" si="34"/>
        <v>0</v>
      </c>
      <c r="U33" s="386">
        <f t="shared" si="34"/>
        <v>0</v>
      </c>
      <c r="V33" s="384">
        <f>SUM(R33:U33)</f>
        <v>531.45000000000005</v>
      </c>
      <c r="W33" s="29"/>
      <c r="X33" s="551">
        <f>IFERROR(INDEX('[11]Annex 2_Code'!I$8:I$33,MATCH('Annex 4_MoWRAM'!$BB33,'[11]Annex 2_Code'!$G$8:$G$33,0)),"")</f>
        <v>0.76827006604510995</v>
      </c>
      <c r="Y33" s="552">
        <f>IFERROR(INDEX('[11]Annex 2_Code'!J$8:J$33,MATCH('Annex 4_MoWRAM'!$BB33,'[11]Annex 2_Code'!$G$8:$G$33,0)),"")</f>
        <v>0.12645069473218948</v>
      </c>
      <c r="Z33" s="552">
        <f>IFERROR(INDEX('[11]Annex 2_Code'!K$8:K$33,MATCH('Annex 4_MoWRAM'!$BB33,'[11]Annex 2_Code'!$G$8:$G$33,0)),"")</f>
        <v>0.10527923922270058</v>
      </c>
      <c r="AA33" s="552">
        <f>IFERROR(INDEX('[11]Annex 2_Code'!L$8:L$33,MATCH('Annex 4_MoWRAM'!$BB33,'[11]Annex 2_Code'!$G$8:$G$33,0)),"")</f>
        <v>0</v>
      </c>
      <c r="AB33" s="553">
        <f>IFERROR(INDEX('[11]Annex 2_Code'!M$8:M$33,MATCH('Annex 4_MoWRAM'!$BB33,'[11]Annex 2_Code'!$G$8:$G$33,0)),"")</f>
        <v>0</v>
      </c>
      <c r="AC33" s="1588"/>
      <c r="AD33" s="547">
        <f t="shared" si="2"/>
        <v>408.29712659967373</v>
      </c>
      <c r="AE33" s="79">
        <f t="shared" si="2"/>
        <v>67.202221715422098</v>
      </c>
      <c r="AF33" s="79">
        <f t="shared" si="2"/>
        <v>55.95065168490423</v>
      </c>
      <c r="AG33" s="79">
        <f t="shared" si="2"/>
        <v>0</v>
      </c>
      <c r="AH33" s="549">
        <f t="shared" si="2"/>
        <v>0</v>
      </c>
      <c r="AI33" s="548">
        <f t="shared" si="35"/>
        <v>0</v>
      </c>
      <c r="AJ33" s="74">
        <f t="shared" si="35"/>
        <v>408.29712659967373</v>
      </c>
      <c r="AK33" s="74">
        <f t="shared" si="35"/>
        <v>0</v>
      </c>
      <c r="AL33" s="544">
        <f t="shared" si="35"/>
        <v>0</v>
      </c>
      <c r="AM33" s="548">
        <f t="shared" si="36"/>
        <v>0</v>
      </c>
      <c r="AN33" s="74">
        <f t="shared" si="36"/>
        <v>67.202221715422098</v>
      </c>
      <c r="AO33" s="74">
        <f t="shared" si="36"/>
        <v>0</v>
      </c>
      <c r="AP33" s="544">
        <f t="shared" si="36"/>
        <v>0</v>
      </c>
      <c r="AQ33" s="548">
        <f t="shared" si="38"/>
        <v>0</v>
      </c>
      <c r="AR33" s="74">
        <f t="shared" si="38"/>
        <v>55.95065168490423</v>
      </c>
      <c r="AS33" s="74">
        <f t="shared" si="38"/>
        <v>0</v>
      </c>
      <c r="AT33" s="544">
        <f t="shared" si="38"/>
        <v>0</v>
      </c>
      <c r="AU33" s="546">
        <f t="shared" si="39"/>
        <v>0</v>
      </c>
      <c r="AV33" s="202">
        <f t="shared" si="39"/>
        <v>0</v>
      </c>
      <c r="AW33" s="202">
        <f t="shared" si="39"/>
        <v>0</v>
      </c>
      <c r="AX33" s="545">
        <f t="shared" si="39"/>
        <v>0</v>
      </c>
      <c r="AY33" s="550">
        <f t="shared" si="40"/>
        <v>531.45000000000005</v>
      </c>
      <c r="AZ33" s="537" t="str">
        <f t="shared" si="6"/>
        <v>Correct</v>
      </c>
      <c r="BA33" s="1584" t="s">
        <v>285</v>
      </c>
      <c r="BB33" s="1048" t="s">
        <v>178</v>
      </c>
      <c r="BC33" s="314" t="str">
        <f>IFERROR(INDEX('[11]Annex 2_Code'!$J$122:$J$139,MATCH('Annex 4_MoWRAM'!BA33,'[11]Annex 2_Code'!$G$122:$G$139,0)),"")</f>
        <v>MOWRAM</v>
      </c>
      <c r="BD33" s="1084" t="str">
        <f t="shared" si="33"/>
        <v>MOWRAM</v>
      </c>
    </row>
    <row r="34" spans="1:56" s="308" customFormat="1" ht="15">
      <c r="A34" s="1589" t="s">
        <v>22</v>
      </c>
      <c r="B34" s="1589" t="str">
        <f>IF(ISNUMBER(FIND("-",C34,1))=FALSE,LEFT(C34,LEN(C34)),LEFT(C34,(FIND("-",C34,1))-1))</f>
        <v>CW14</v>
      </c>
      <c r="C34" s="1590" t="s">
        <v>353</v>
      </c>
      <c r="D34" s="473"/>
      <c r="E34" s="582" t="s">
        <v>1314</v>
      </c>
      <c r="F34" s="582"/>
      <c r="G34" s="2"/>
      <c r="H34" s="582"/>
      <c r="I34" s="582"/>
      <c r="J34" s="26"/>
      <c r="K34" s="491" t="s">
        <v>380</v>
      </c>
      <c r="L34" s="555">
        <v>2850.25</v>
      </c>
      <c r="M34" s="556">
        <v>0</v>
      </c>
      <c r="N34" s="556">
        <v>0.2</v>
      </c>
      <c r="O34" s="1587">
        <v>0</v>
      </c>
      <c r="P34" s="1587">
        <v>0</v>
      </c>
      <c r="Q34" s="79">
        <f>SUM(M34:P34)</f>
        <v>0.2</v>
      </c>
      <c r="R34" s="385">
        <f t="shared" si="37"/>
        <v>0</v>
      </c>
      <c r="S34" s="386">
        <f t="shared" si="37"/>
        <v>570.04999999999995</v>
      </c>
      <c r="T34" s="386">
        <f t="shared" si="34"/>
        <v>0</v>
      </c>
      <c r="U34" s="386">
        <f t="shared" si="34"/>
        <v>0</v>
      </c>
      <c r="V34" s="384">
        <f>SUM(R34:U34)</f>
        <v>570.04999999999995</v>
      </c>
      <c r="W34" s="29"/>
      <c r="X34" s="551">
        <f>IFERROR(INDEX('[11]Annex 2_Code'!I$8:I$33,MATCH('Annex 4_MoWRAM'!$BB34,'[11]Annex 2_Code'!$G$8:$G$33,0)),"")</f>
        <v>0.76827006604510995</v>
      </c>
      <c r="Y34" s="552">
        <f>IFERROR(INDEX('[11]Annex 2_Code'!J$8:J$33,MATCH('Annex 4_MoWRAM'!$BB34,'[11]Annex 2_Code'!$G$8:$G$33,0)),"")</f>
        <v>0.12645069473218948</v>
      </c>
      <c r="Z34" s="552">
        <f>IFERROR(INDEX('[11]Annex 2_Code'!K$8:K$33,MATCH('Annex 4_MoWRAM'!$BB34,'[11]Annex 2_Code'!$G$8:$G$33,0)),"")</f>
        <v>0.10527923922270058</v>
      </c>
      <c r="AA34" s="552">
        <f>IFERROR(INDEX('[11]Annex 2_Code'!L$8:L$33,MATCH('Annex 4_MoWRAM'!$BB34,'[11]Annex 2_Code'!$G$8:$G$33,0)),"")</f>
        <v>0</v>
      </c>
      <c r="AB34" s="553">
        <f>IFERROR(INDEX('[11]Annex 2_Code'!M$8:M$33,MATCH('Annex 4_MoWRAM'!$BB34,'[11]Annex 2_Code'!$G$8:$G$33,0)),"")</f>
        <v>0</v>
      </c>
      <c r="AC34" s="1588"/>
      <c r="AD34" s="547">
        <f>IFERROR($V34*X34,"")</f>
        <v>437.95235114901487</v>
      </c>
      <c r="AE34" s="79">
        <f>IFERROR($V34*Y34,"")</f>
        <v>72.083218532084601</v>
      </c>
      <c r="AF34" s="79">
        <f t="shared" ref="AF34:AG35" si="41">IFERROR($V34*Z34,"")</f>
        <v>60.014430318900459</v>
      </c>
      <c r="AG34" s="79">
        <f t="shared" si="41"/>
        <v>0</v>
      </c>
      <c r="AH34" s="549">
        <f>IFERROR($V34*AB34,"")</f>
        <v>0</v>
      </c>
      <c r="AI34" s="74">
        <f t="shared" si="35"/>
        <v>0</v>
      </c>
      <c r="AJ34" s="74">
        <f t="shared" si="35"/>
        <v>437.95235114901487</v>
      </c>
      <c r="AK34" s="74">
        <f t="shared" si="35"/>
        <v>0</v>
      </c>
      <c r="AL34" s="544">
        <f t="shared" si="35"/>
        <v>0</v>
      </c>
      <c r="AM34" s="548">
        <f t="shared" si="36"/>
        <v>0</v>
      </c>
      <c r="AN34" s="74">
        <f t="shared" si="36"/>
        <v>72.083218532084601</v>
      </c>
      <c r="AO34" s="74">
        <f t="shared" si="36"/>
        <v>0</v>
      </c>
      <c r="AP34" s="544">
        <f t="shared" si="36"/>
        <v>0</v>
      </c>
      <c r="AQ34" s="548">
        <f t="shared" si="38"/>
        <v>0</v>
      </c>
      <c r="AR34" s="74">
        <f t="shared" si="38"/>
        <v>60.014430318900459</v>
      </c>
      <c r="AS34" s="74">
        <f t="shared" si="38"/>
        <v>0</v>
      </c>
      <c r="AT34" s="544">
        <f t="shared" si="38"/>
        <v>0</v>
      </c>
      <c r="AU34" s="546">
        <f t="shared" si="39"/>
        <v>0</v>
      </c>
      <c r="AV34" s="202">
        <f t="shared" si="39"/>
        <v>0</v>
      </c>
      <c r="AW34" s="202">
        <f t="shared" si="39"/>
        <v>0</v>
      </c>
      <c r="AX34" s="545">
        <f t="shared" si="39"/>
        <v>0</v>
      </c>
      <c r="AY34" s="550">
        <f>SUM(AD34:AH34)</f>
        <v>570.04999999999995</v>
      </c>
      <c r="AZ34" s="537" t="str">
        <f t="shared" si="6"/>
        <v>Correct</v>
      </c>
      <c r="BA34" s="1584" t="s">
        <v>285</v>
      </c>
      <c r="BB34" s="1048" t="s">
        <v>178</v>
      </c>
      <c r="BC34" s="314" t="str">
        <f>IFERROR(INDEX('[11]Annex 2_Code'!$J$122:$J$139,MATCH('Annex 4_MoWRAM'!BA34,'[11]Annex 2_Code'!$G$122:$G$139,0)),"")</f>
        <v>MOWRAM</v>
      </c>
      <c r="BD34" s="1084" t="str">
        <f t="shared" si="33"/>
        <v>MOWRAM</v>
      </c>
    </row>
    <row r="35" spans="1:56" s="308" customFormat="1" ht="17.100000000000001" customHeight="1">
      <c r="A35" s="1589" t="s">
        <v>22</v>
      </c>
      <c r="B35" s="531" t="str">
        <f t="shared" si="0"/>
        <v>CW14</v>
      </c>
      <c r="C35" s="366" t="s">
        <v>352</v>
      </c>
      <c r="D35" s="240"/>
      <c r="E35" s="26" t="s">
        <v>1315</v>
      </c>
      <c r="F35" s="26"/>
      <c r="G35" s="26"/>
      <c r="H35" s="26"/>
      <c r="I35" s="26"/>
      <c r="J35" s="26"/>
      <c r="K35" s="491" t="s">
        <v>380</v>
      </c>
      <c r="L35" s="555">
        <v>2856</v>
      </c>
      <c r="M35" s="394">
        <v>0</v>
      </c>
      <c r="N35" s="556">
        <v>0.2</v>
      </c>
      <c r="O35" s="1587">
        <v>0</v>
      </c>
      <c r="P35" s="1587">
        <v>0</v>
      </c>
      <c r="Q35" s="79">
        <f>SUM(M35:P35)</f>
        <v>0.2</v>
      </c>
      <c r="R35" s="385">
        <f t="shared" si="37"/>
        <v>0</v>
      </c>
      <c r="S35" s="386">
        <f t="shared" si="37"/>
        <v>571.20000000000005</v>
      </c>
      <c r="T35" s="386">
        <f t="shared" si="34"/>
        <v>0</v>
      </c>
      <c r="U35" s="386">
        <f t="shared" si="34"/>
        <v>0</v>
      </c>
      <c r="V35" s="384">
        <f>SUM(R35:U35)</f>
        <v>571.20000000000005</v>
      </c>
      <c r="W35" s="29"/>
      <c r="X35" s="551">
        <f>IFERROR(INDEX('[11]Annex 2_Code'!I$8:I$33,MATCH('Annex 4_MoWRAM'!$BB35,'[11]Annex 2_Code'!$G$8:$G$33,0)),"")</f>
        <v>0.76827006604510995</v>
      </c>
      <c r="Y35" s="552">
        <f>IFERROR(INDEX('[11]Annex 2_Code'!J$8:J$33,MATCH('Annex 4_MoWRAM'!$BB35,'[11]Annex 2_Code'!$G$8:$G$33,0)),"")</f>
        <v>0.12645069473218948</v>
      </c>
      <c r="Z35" s="552">
        <f>IFERROR(INDEX('[11]Annex 2_Code'!K$8:K$33,MATCH('Annex 4_MoWRAM'!$BB35,'[11]Annex 2_Code'!$G$8:$G$33,0)),"")</f>
        <v>0.10527923922270058</v>
      </c>
      <c r="AA35" s="552">
        <f>IFERROR(INDEX('[11]Annex 2_Code'!L$8:L$33,MATCH('Annex 4_MoWRAM'!$BB35,'[11]Annex 2_Code'!$G$8:$G$33,0)),"")</f>
        <v>0</v>
      </c>
      <c r="AB35" s="553">
        <f>IFERROR(INDEX('[11]Annex 2_Code'!M$8:M$33,MATCH('Annex 4_MoWRAM'!$BB35,'[11]Annex 2_Code'!$G$8:$G$33,0)),"")</f>
        <v>0</v>
      </c>
      <c r="AC35" s="1588"/>
      <c r="AD35" s="547">
        <f>IFERROR($V35*X35,"")</f>
        <v>438.83586172496683</v>
      </c>
      <c r="AE35" s="79">
        <f>IFERROR($V35*Y35,"")</f>
        <v>72.228636831026634</v>
      </c>
      <c r="AF35" s="79">
        <f t="shared" si="41"/>
        <v>60.135501444006572</v>
      </c>
      <c r="AG35" s="79">
        <f t="shared" si="41"/>
        <v>0</v>
      </c>
      <c r="AH35" s="549">
        <f>IFERROR($V35*AB35,"")</f>
        <v>0</v>
      </c>
      <c r="AI35" s="74">
        <f t="shared" si="35"/>
        <v>0</v>
      </c>
      <c r="AJ35" s="74">
        <f t="shared" si="35"/>
        <v>438.83586172496683</v>
      </c>
      <c r="AK35" s="74">
        <f t="shared" si="35"/>
        <v>0</v>
      </c>
      <c r="AL35" s="544">
        <f t="shared" si="35"/>
        <v>0</v>
      </c>
      <c r="AM35" s="548">
        <f t="shared" si="36"/>
        <v>0</v>
      </c>
      <c r="AN35" s="74">
        <f t="shared" si="36"/>
        <v>72.228636831026634</v>
      </c>
      <c r="AO35" s="74">
        <f t="shared" si="36"/>
        <v>0</v>
      </c>
      <c r="AP35" s="544">
        <f t="shared" si="36"/>
        <v>0</v>
      </c>
      <c r="AQ35" s="548">
        <f t="shared" si="38"/>
        <v>0</v>
      </c>
      <c r="AR35" s="74">
        <f t="shared" si="38"/>
        <v>60.135501444006572</v>
      </c>
      <c r="AS35" s="74">
        <f t="shared" si="38"/>
        <v>0</v>
      </c>
      <c r="AT35" s="544">
        <f t="shared" si="38"/>
        <v>0</v>
      </c>
      <c r="AU35" s="546">
        <f t="shared" si="39"/>
        <v>0</v>
      </c>
      <c r="AV35" s="202">
        <f t="shared" si="39"/>
        <v>0</v>
      </c>
      <c r="AW35" s="202">
        <f t="shared" si="39"/>
        <v>0</v>
      </c>
      <c r="AX35" s="545">
        <f t="shared" si="39"/>
        <v>0</v>
      </c>
      <c r="AY35" s="550">
        <f>SUM(AD35:AH35)</f>
        <v>571.20000000000005</v>
      </c>
      <c r="AZ35" s="537" t="str">
        <f t="shared" si="6"/>
        <v>Correct</v>
      </c>
      <c r="BA35" s="1584" t="s">
        <v>285</v>
      </c>
      <c r="BB35" s="1048" t="s">
        <v>178</v>
      </c>
      <c r="BC35" s="314" t="str">
        <f>IFERROR(INDEX('[11]Annex 2_Code'!$J$122:$J$139,MATCH('Annex 4_MoWRAM'!BA35,'[11]Annex 2_Code'!$G$122:$G$139,0)),"")</f>
        <v>MOWRAM</v>
      </c>
      <c r="BD35" s="1084" t="str">
        <f t="shared" si="33"/>
        <v>MOWRAM</v>
      </c>
    </row>
    <row r="36" spans="1:56" s="308" customFormat="1" ht="17.100000000000001" customHeight="1">
      <c r="A36" s="1589"/>
      <c r="B36" s="531"/>
      <c r="C36" s="366"/>
      <c r="D36" s="240"/>
      <c r="E36" s="26"/>
      <c r="F36" s="26"/>
      <c r="G36" s="26"/>
      <c r="H36" s="26"/>
      <c r="I36" s="26"/>
      <c r="J36" s="26"/>
      <c r="K36" s="491"/>
      <c r="L36" s="384"/>
      <c r="M36" s="394"/>
      <c r="N36" s="556"/>
      <c r="O36" s="1587"/>
      <c r="P36" s="1587"/>
      <c r="Q36" s="79"/>
      <c r="R36" s="385"/>
      <c r="S36" s="386"/>
      <c r="T36" s="386"/>
      <c r="U36" s="386"/>
      <c r="V36" s="384"/>
      <c r="W36" s="29"/>
      <c r="X36" s="551"/>
      <c r="Y36" s="552"/>
      <c r="Z36" s="552"/>
      <c r="AA36" s="552"/>
      <c r="AB36" s="553"/>
      <c r="AC36" s="1588"/>
      <c r="AD36" s="547"/>
      <c r="AE36" s="79"/>
      <c r="AF36" s="79"/>
      <c r="AG36" s="79"/>
      <c r="AH36" s="549"/>
      <c r="AI36" s="74"/>
      <c r="AJ36" s="74"/>
      <c r="AK36" s="74"/>
      <c r="AL36" s="544"/>
      <c r="AM36" s="548"/>
      <c r="AN36" s="74"/>
      <c r="AO36" s="74"/>
      <c r="AP36" s="544"/>
      <c r="AQ36" s="548"/>
      <c r="AR36" s="74"/>
      <c r="AS36" s="74"/>
      <c r="AT36" s="544"/>
      <c r="AU36" s="546"/>
      <c r="AV36" s="202"/>
      <c r="AW36" s="202"/>
      <c r="AX36" s="545"/>
      <c r="AY36" s="550"/>
      <c r="AZ36" s="537"/>
      <c r="BA36" s="1584"/>
      <c r="BB36" s="1048"/>
      <c r="BC36" s="314"/>
      <c r="BD36" s="1084"/>
    </row>
    <row r="37" spans="1:56" s="308" customFormat="1" ht="14.25">
      <c r="A37" s="536"/>
      <c r="B37" s="536" t="str">
        <f t="shared" si="0"/>
        <v/>
      </c>
      <c r="C37" s="397"/>
      <c r="D37" s="1597"/>
      <c r="E37" s="1598" t="s">
        <v>36</v>
      </c>
      <c r="F37" s="1598"/>
      <c r="G37" s="1598"/>
      <c r="H37" s="1598"/>
      <c r="I37" s="1598"/>
      <c r="J37" s="1598"/>
      <c r="K37" s="1599"/>
      <c r="L37" s="1815">
        <f>SUM(L10:L35)</f>
        <v>29681.4</v>
      </c>
      <c r="M37" s="1600">
        <f>SUM(M10:M35)</f>
        <v>0</v>
      </c>
      <c r="N37" s="1601">
        <f>SUM(N10:N35)</f>
        <v>2.7500000000000004</v>
      </c>
      <c r="O37" s="1601">
        <f>SUM(O10:O35)</f>
        <v>3.1</v>
      </c>
      <c r="P37" s="1601">
        <f>SUM(P10:P35)</f>
        <v>2.5500000000000003</v>
      </c>
      <c r="Q37" s="1602">
        <f>SUM(Q10:Q34)</f>
        <v>8.1999999999999975</v>
      </c>
      <c r="R37" s="1603">
        <f>SUM(R10:R35)</f>
        <v>0</v>
      </c>
      <c r="S37" s="1604">
        <f>SUM(S10:S35)</f>
        <v>4085.8500000000004</v>
      </c>
      <c r="T37" s="1604">
        <f>SUM(T10:T35)</f>
        <v>4226.16</v>
      </c>
      <c r="U37" s="1604">
        <f>SUM(U10:U35)</f>
        <v>3561.0799999999995</v>
      </c>
      <c r="V37" s="2538">
        <f>SUM(V10:V36)</f>
        <v>11873.090000000004</v>
      </c>
      <c r="W37" s="1600"/>
      <c r="X37" s="1605" t="str">
        <f>IFERROR(INDEX('[11]Annex 2_Code'!I$8:I$33,MATCH('Annex 4_MoWRAM'!$BB37,'[11]Annex 2_Code'!$G$8:$G$33,0)),"")</f>
        <v/>
      </c>
      <c r="Y37" s="1606" t="str">
        <f>IFERROR(INDEX('[11]Annex 2_Code'!J$8:J$33,MATCH('Annex 4_MoWRAM'!$BB37,'[11]Annex 2_Code'!$G$8:$G$33,0)),"")</f>
        <v/>
      </c>
      <c r="Z37" s="1606" t="str">
        <f>IFERROR(INDEX('[11]Annex 2_Code'!K$8:K$33,MATCH('Annex 4_MoWRAM'!$BB37,'[11]Annex 2_Code'!$G$8:$G$33,0)),"")</f>
        <v/>
      </c>
      <c r="AA37" s="1606" t="str">
        <f>IFERROR(INDEX('[11]Annex 2_Code'!L$8:L$33,MATCH('Annex 4_MoWRAM'!$BB37,'[11]Annex 2_Code'!$G$8:$G$33,0)),"")</f>
        <v/>
      </c>
      <c r="AB37" s="1607" t="str">
        <f>IFERROR(INDEX('[11]Annex 2_Code'!M$8:M$33,MATCH('Annex 4_MoWRAM'!$BB37,'[11]Annex 2_Code'!$G$8:$G$33,0)),"")</f>
        <v/>
      </c>
      <c r="AC37" s="1600"/>
      <c r="AD37" s="1600" t="str">
        <f t="shared" ref="AD37:AH52" si="42">IFERROR($V37*X37,"")</f>
        <v/>
      </c>
      <c r="AE37" s="1601" t="str">
        <f t="shared" si="42"/>
        <v/>
      </c>
      <c r="AF37" s="1601" t="str">
        <f t="shared" si="42"/>
        <v/>
      </c>
      <c r="AG37" s="1601" t="str">
        <f t="shared" si="42"/>
        <v/>
      </c>
      <c r="AH37" s="1602" t="str">
        <f t="shared" si="42"/>
        <v/>
      </c>
      <c r="AI37" s="74"/>
      <c r="AJ37" s="74"/>
      <c r="AK37" s="74"/>
      <c r="AL37" s="544"/>
      <c r="AM37" s="548"/>
      <c r="AN37" s="74"/>
      <c r="AO37" s="74"/>
      <c r="AP37" s="544"/>
      <c r="AQ37" s="548"/>
      <c r="AR37" s="74"/>
      <c r="AS37" s="74"/>
      <c r="AT37" s="544"/>
      <c r="AU37" s="546"/>
      <c r="AV37" s="202"/>
      <c r="AW37" s="202"/>
      <c r="AX37" s="545"/>
      <c r="AY37" s="1608">
        <f>SUM(AY9:AY35)</f>
        <v>11873.090000000004</v>
      </c>
      <c r="AZ37" s="537" t="str">
        <f t="shared" si="6"/>
        <v>Correct</v>
      </c>
      <c r="BA37" s="1584"/>
      <c r="BB37" s="1048"/>
      <c r="BC37" s="314">
        <f>IFERROR(INDEX('[11]Annex 2_Code'!$J$122:$J$139,MATCH('Annex 4_MoWRAM'!BA37,'[11]Annex 2_Code'!$G$122:$G$139,0)),"")</f>
        <v>0</v>
      </c>
      <c r="BD37" s="1084" t="str">
        <f t="shared" si="33"/>
        <v>0</v>
      </c>
    </row>
    <row r="38" spans="1:56" s="308" customFormat="1" ht="5.25" customHeight="1">
      <c r="A38" s="1609"/>
      <c r="B38" s="1609" t="str">
        <f t="shared" si="0"/>
        <v/>
      </c>
      <c r="C38" s="1610"/>
      <c r="D38" s="1611"/>
      <c r="E38" s="1612"/>
      <c r="F38" s="1612"/>
      <c r="G38" s="1612"/>
      <c r="H38" s="1612"/>
      <c r="I38" s="1612"/>
      <c r="J38" s="1612"/>
      <c r="K38" s="1613"/>
      <c r="L38" s="1614"/>
      <c r="M38" s="1615"/>
      <c r="N38" s="1616"/>
      <c r="O38" s="1616"/>
      <c r="P38" s="1616"/>
      <c r="Q38" s="1617"/>
      <c r="R38" s="1618"/>
      <c r="S38" s="1619"/>
      <c r="T38" s="1619"/>
      <c r="U38" s="1619"/>
      <c r="V38" s="1620"/>
      <c r="W38" s="1616"/>
      <c r="X38" s="1621" t="str">
        <f>IFERROR(INDEX('[11]Annex 2_Code'!I$8:I$33,MATCH('Annex 4_MoWRAM'!$BB38,'[11]Annex 2_Code'!$G$8:$G$33,0)),"")</f>
        <v/>
      </c>
      <c r="Y38" s="1622" t="str">
        <f>IFERROR(INDEX('[11]Annex 2_Code'!J$8:J$33,MATCH('Annex 4_MoWRAM'!$BB38,'[11]Annex 2_Code'!$G$8:$G$33,0)),"")</f>
        <v/>
      </c>
      <c r="Z38" s="1622" t="str">
        <f>IFERROR(INDEX('[11]Annex 2_Code'!K$8:K$33,MATCH('Annex 4_MoWRAM'!$BB38,'[11]Annex 2_Code'!$G$8:$G$33,0)),"")</f>
        <v/>
      </c>
      <c r="AA38" s="1622" t="str">
        <f>IFERROR(INDEX('[11]Annex 2_Code'!L$8:L$33,MATCH('Annex 4_MoWRAM'!$BB38,'[11]Annex 2_Code'!$G$8:$G$33,0)),"")</f>
        <v/>
      </c>
      <c r="AB38" s="1623" t="str">
        <f>IFERROR(INDEX('[11]Annex 2_Code'!M$8:M$33,MATCH('Annex 4_MoWRAM'!$BB38,'[11]Annex 2_Code'!$G$8:$G$33,0)),"")</f>
        <v/>
      </c>
      <c r="AC38" s="1616"/>
      <c r="AD38" s="1615" t="str">
        <f t="shared" si="42"/>
        <v/>
      </c>
      <c r="AE38" s="1616" t="str">
        <f t="shared" si="42"/>
        <v/>
      </c>
      <c r="AF38" s="1616" t="str">
        <f t="shared" si="42"/>
        <v/>
      </c>
      <c r="AG38" s="1616" t="str">
        <f t="shared" si="42"/>
        <v/>
      </c>
      <c r="AH38" s="1617" t="str">
        <f t="shared" si="42"/>
        <v/>
      </c>
      <c r="AI38" s="74"/>
      <c r="AJ38" s="74"/>
      <c r="AK38" s="74"/>
      <c r="AL38" s="544"/>
      <c r="AM38" s="548"/>
      <c r="AN38" s="74"/>
      <c r="AO38" s="74"/>
      <c r="AP38" s="544"/>
      <c r="AQ38" s="548"/>
      <c r="AR38" s="74"/>
      <c r="AS38" s="74"/>
      <c r="AT38" s="544"/>
      <c r="AU38" s="546"/>
      <c r="AV38" s="202"/>
      <c r="AW38" s="202"/>
      <c r="AX38" s="545"/>
      <c r="AY38" s="550"/>
      <c r="AZ38" s="537"/>
      <c r="BA38" s="1584"/>
      <c r="BB38" s="1048"/>
      <c r="BC38" s="314">
        <f>IFERROR(INDEX('[11]Annex 2_Code'!$J$122:$J$139,MATCH('Annex 4_MoWRAM'!BA38,'[11]Annex 2_Code'!$G$122:$G$139,0)),"")</f>
        <v>0</v>
      </c>
      <c r="BD38" s="1084" t="str">
        <f t="shared" si="33"/>
        <v>0</v>
      </c>
    </row>
    <row r="39" spans="1:56" s="308" customFormat="1" ht="15">
      <c r="A39" s="536"/>
      <c r="B39" s="536" t="str">
        <f t="shared" si="0"/>
        <v/>
      </c>
      <c r="C39" s="397"/>
      <c r="D39" s="1624" t="s">
        <v>566</v>
      </c>
      <c r="E39" s="1598"/>
      <c r="F39" s="1598"/>
      <c r="G39" s="1598"/>
      <c r="H39" s="1598"/>
      <c r="I39" s="1598"/>
      <c r="J39" s="1598"/>
      <c r="K39" s="491"/>
      <c r="L39" s="543"/>
      <c r="M39" s="547"/>
      <c r="N39" s="79"/>
      <c r="O39" s="79"/>
      <c r="P39" s="79"/>
      <c r="Q39" s="549"/>
      <c r="R39" s="385"/>
      <c r="S39" s="386"/>
      <c r="T39" s="386"/>
      <c r="U39" s="386"/>
      <c r="V39" s="384"/>
      <c r="W39" s="79"/>
      <c r="X39" s="551" t="str">
        <f>IFERROR(INDEX('[11]Annex 2_Code'!I$8:I$33,MATCH('Annex 4_MoWRAM'!$BB39,'[11]Annex 2_Code'!$G$8:$G$33,0)),"")</f>
        <v/>
      </c>
      <c r="Y39" s="552" t="str">
        <f>IFERROR(INDEX('[11]Annex 2_Code'!J$8:J$33,MATCH('Annex 4_MoWRAM'!$BB39,'[11]Annex 2_Code'!$G$8:$G$33,0)),"")</f>
        <v/>
      </c>
      <c r="Z39" s="552" t="str">
        <f>IFERROR(INDEX('[11]Annex 2_Code'!K$8:K$33,MATCH('Annex 4_MoWRAM'!$BB39,'[11]Annex 2_Code'!$G$8:$G$33,0)),"")</f>
        <v/>
      </c>
      <c r="AA39" s="552" t="str">
        <f>IFERROR(INDEX('[11]Annex 2_Code'!L$8:L$33,MATCH('Annex 4_MoWRAM'!$BB39,'[11]Annex 2_Code'!$G$8:$G$33,0)),"")</f>
        <v/>
      </c>
      <c r="AB39" s="553" t="str">
        <f>IFERROR(INDEX('[11]Annex 2_Code'!M$8:M$33,MATCH('Annex 4_MoWRAM'!$BB39,'[11]Annex 2_Code'!$G$8:$G$33,0)),"")</f>
        <v/>
      </c>
      <c r="AC39" s="79"/>
      <c r="AD39" s="547" t="str">
        <f t="shared" si="42"/>
        <v/>
      </c>
      <c r="AE39" s="79" t="str">
        <f t="shared" si="42"/>
        <v/>
      </c>
      <c r="AF39" s="79" t="str">
        <f t="shared" si="42"/>
        <v/>
      </c>
      <c r="AG39" s="79" t="str">
        <f t="shared" si="42"/>
        <v/>
      </c>
      <c r="AH39" s="549" t="str">
        <f t="shared" si="42"/>
        <v/>
      </c>
      <c r="AI39" s="74"/>
      <c r="AJ39" s="74"/>
      <c r="AK39" s="74"/>
      <c r="AL39" s="544"/>
      <c r="AM39" s="548"/>
      <c r="AN39" s="74"/>
      <c r="AO39" s="74"/>
      <c r="AP39" s="544"/>
      <c r="AQ39" s="548"/>
      <c r="AR39" s="74"/>
      <c r="AS39" s="74"/>
      <c r="AT39" s="544"/>
      <c r="AU39" s="546"/>
      <c r="AV39" s="202"/>
      <c r="AW39" s="202"/>
      <c r="AX39" s="545"/>
      <c r="AY39" s="550"/>
      <c r="AZ39" s="537"/>
      <c r="BA39" s="1584"/>
      <c r="BB39" s="1048"/>
      <c r="BC39" s="314">
        <f>IFERROR(INDEX('[11]Annex 2_Code'!$J$122:$J$139,MATCH('Annex 4_MoWRAM'!BA39,'[11]Annex 2_Code'!$G$122:$G$139,0)),"")</f>
        <v>0</v>
      </c>
      <c r="BD39" s="1084" t="str">
        <f t="shared" si="33"/>
        <v>0</v>
      </c>
    </row>
    <row r="40" spans="1:56" s="308" customFormat="1">
      <c r="A40" s="1625"/>
      <c r="B40" s="1625" t="str">
        <f t="shared" si="0"/>
        <v/>
      </c>
      <c r="C40" s="1625"/>
      <c r="D40" s="1626"/>
      <c r="E40" s="53"/>
      <c r="F40" s="52"/>
      <c r="G40" s="52"/>
      <c r="H40" s="52"/>
      <c r="I40" s="52"/>
      <c r="J40" s="52"/>
      <c r="K40" s="487"/>
      <c r="L40" s="1627"/>
      <c r="M40" s="547"/>
      <c r="N40" s="79"/>
      <c r="O40" s="79"/>
      <c r="P40" s="79"/>
      <c r="Q40" s="549"/>
      <c r="R40" s="385"/>
      <c r="S40" s="386"/>
      <c r="T40" s="386"/>
      <c r="U40" s="386"/>
      <c r="V40" s="384"/>
      <c r="W40" s="79"/>
      <c r="X40" s="551" t="str">
        <f>IFERROR(INDEX('[11]Annex 2_Code'!I$8:I$33,MATCH('Annex 4_MoWRAM'!$BB40,'[11]Annex 2_Code'!$G$8:$G$33,0)),"")</f>
        <v/>
      </c>
      <c r="Y40" s="552" t="str">
        <f>IFERROR(INDEX('[11]Annex 2_Code'!J$8:J$33,MATCH('Annex 4_MoWRAM'!$BB40,'[11]Annex 2_Code'!$G$8:$G$33,0)),"")</f>
        <v/>
      </c>
      <c r="Z40" s="552" t="str">
        <f>IFERROR(INDEX('[11]Annex 2_Code'!K$8:K$33,MATCH('Annex 4_MoWRAM'!$BB40,'[11]Annex 2_Code'!$G$8:$G$33,0)),"")</f>
        <v/>
      </c>
      <c r="AA40" s="552" t="str">
        <f>IFERROR(INDEX('[11]Annex 2_Code'!L$8:L$33,MATCH('Annex 4_MoWRAM'!$BB40,'[11]Annex 2_Code'!$G$8:$G$33,0)),"")</f>
        <v/>
      </c>
      <c r="AB40" s="553" t="str">
        <f>IFERROR(INDEX('[11]Annex 2_Code'!M$8:M$33,MATCH('Annex 4_MoWRAM'!$BB40,'[11]Annex 2_Code'!$G$8:$G$33,0)),"")</f>
        <v/>
      </c>
      <c r="AC40" s="79"/>
      <c r="AD40" s="547" t="str">
        <f t="shared" si="42"/>
        <v/>
      </c>
      <c r="AE40" s="79" t="str">
        <f t="shared" si="42"/>
        <v/>
      </c>
      <c r="AF40" s="79" t="str">
        <f t="shared" si="42"/>
        <v/>
      </c>
      <c r="AG40" s="79" t="str">
        <f t="shared" si="42"/>
        <v/>
      </c>
      <c r="AH40" s="549" t="str">
        <f t="shared" si="42"/>
        <v/>
      </c>
      <c r="AI40" s="74"/>
      <c r="AJ40" s="74"/>
      <c r="AK40" s="74"/>
      <c r="AL40" s="544"/>
      <c r="AM40" s="548"/>
      <c r="AN40" s="74"/>
      <c r="AO40" s="74"/>
      <c r="AP40" s="544"/>
      <c r="AQ40" s="548"/>
      <c r="AR40" s="74"/>
      <c r="AS40" s="74"/>
      <c r="AT40" s="544"/>
      <c r="AU40" s="546"/>
      <c r="AV40" s="202"/>
      <c r="AW40" s="202"/>
      <c r="AX40" s="545"/>
      <c r="AY40" s="550"/>
      <c r="AZ40" s="537"/>
      <c r="BA40" s="1584"/>
      <c r="BB40" s="1048"/>
      <c r="BC40" s="314">
        <f>IFERROR(INDEX('[11]Annex 2_Code'!$J$122:$J$139,MATCH('Annex 4_MoWRAM'!BA40,'[11]Annex 2_Code'!$G$122:$G$139,0)),"")</f>
        <v>0</v>
      </c>
      <c r="BD40" s="1084" t="str">
        <f t="shared" si="33"/>
        <v>0</v>
      </c>
    </row>
    <row r="41" spans="1:56" s="308" customFormat="1">
      <c r="A41" s="1048" t="s">
        <v>22</v>
      </c>
      <c r="B41" s="1048" t="str">
        <f t="shared" si="0"/>
        <v>CW1</v>
      </c>
      <c r="C41" s="1048" t="s">
        <v>567</v>
      </c>
      <c r="D41" s="53"/>
      <c r="E41" s="52" t="s">
        <v>1316</v>
      </c>
      <c r="F41" s="52"/>
      <c r="G41" s="52"/>
      <c r="H41" s="52"/>
      <c r="I41" s="52"/>
      <c r="J41" s="52"/>
      <c r="K41" s="487" t="s">
        <v>568</v>
      </c>
      <c r="L41" s="1628">
        <v>1026.79</v>
      </c>
      <c r="M41" s="394">
        <v>0</v>
      </c>
      <c r="N41" s="556">
        <v>0.45</v>
      </c>
      <c r="O41" s="1587">
        <v>0.45</v>
      </c>
      <c r="P41" s="1587">
        <v>0</v>
      </c>
      <c r="Q41" s="1629">
        <f>SUM(M41:P41)</f>
        <v>0.9</v>
      </c>
      <c r="R41" s="541">
        <f t="shared" ref="R41:S44" si="43">$L41*M41</f>
        <v>0</v>
      </c>
      <c r="S41" s="554">
        <f>$L41*N41</f>
        <v>462.05549999999999</v>
      </c>
      <c r="T41" s="554">
        <f t="shared" ref="T41:U44" si="44">$L41*O41</f>
        <v>462.05549999999999</v>
      </c>
      <c r="U41" s="554">
        <f t="shared" si="44"/>
        <v>0</v>
      </c>
      <c r="V41" s="542">
        <f>SUM(R41:U41)</f>
        <v>924.11099999999999</v>
      </c>
      <c r="W41" s="79"/>
      <c r="X41" s="551">
        <v>0.92100000000000004</v>
      </c>
      <c r="Y41" s="552">
        <f>IFERROR(INDEX('[11]Annex 2_Code'!J$8:J$33,MATCH('Annex 4_MoWRAM'!$BB41,'[11]Annex 2_Code'!$G$8:$G$33,0)),"")</f>
        <v>0</v>
      </c>
      <c r="Z41" s="552">
        <v>7.9000000000000001E-2</v>
      </c>
      <c r="AA41" s="1630">
        <f>IFERROR(INDEX('[11]Annex 2_Code'!L$8:L$33,MATCH('Annex 4_MoWRAM'!$BB41,'[11]Annex 2_Code'!$G$8:$G$33,0)),"")</f>
        <v>0</v>
      </c>
      <c r="AB41" s="1631">
        <f>IFERROR(INDEX('[11]Annex 2_Code'!M$8:M$33,MATCH('Annex 4_MoWRAM'!$BB41,'[11]Annex 2_Code'!$G$8:$G$33,0)),"")</f>
        <v>0</v>
      </c>
      <c r="AC41" s="79"/>
      <c r="AD41" s="547">
        <f t="shared" si="42"/>
        <v>851.10623099999998</v>
      </c>
      <c r="AE41" s="79">
        <f t="shared" si="42"/>
        <v>0</v>
      </c>
      <c r="AF41" s="79">
        <f t="shared" si="42"/>
        <v>73.004768999999996</v>
      </c>
      <c r="AG41" s="79">
        <f t="shared" si="42"/>
        <v>0</v>
      </c>
      <c r="AH41" s="549">
        <f t="shared" si="42"/>
        <v>0</v>
      </c>
      <c r="AI41" s="74">
        <f t="shared" ref="AI41:AL44" si="45">R41*$X41</f>
        <v>0</v>
      </c>
      <c r="AJ41" s="74">
        <f t="shared" si="45"/>
        <v>425.55311549999999</v>
      </c>
      <c r="AK41" s="74">
        <f t="shared" si="45"/>
        <v>425.55311549999999</v>
      </c>
      <c r="AL41" s="544">
        <f t="shared" si="45"/>
        <v>0</v>
      </c>
      <c r="AM41" s="548">
        <f t="shared" ref="AM41:AP44" si="46">$Y41*R41</f>
        <v>0</v>
      </c>
      <c r="AN41" s="74">
        <f t="shared" si="46"/>
        <v>0</v>
      </c>
      <c r="AO41" s="74">
        <f t="shared" si="46"/>
        <v>0</v>
      </c>
      <c r="AP41" s="544">
        <f t="shared" si="46"/>
        <v>0</v>
      </c>
      <c r="AQ41" s="548">
        <f t="shared" ref="AQ41:AT44" si="47">$Z41*R41</f>
        <v>0</v>
      </c>
      <c r="AR41" s="74">
        <f t="shared" si="47"/>
        <v>36.502384499999998</v>
      </c>
      <c r="AS41" s="74">
        <f t="shared" si="47"/>
        <v>36.502384499999998</v>
      </c>
      <c r="AT41" s="544">
        <f t="shared" si="47"/>
        <v>0</v>
      </c>
      <c r="AU41" s="548">
        <f t="shared" ref="AU41:AX44" si="48">$AA41*M41</f>
        <v>0</v>
      </c>
      <c r="AV41" s="74">
        <f t="shared" si="48"/>
        <v>0</v>
      </c>
      <c r="AW41" s="74">
        <f t="shared" si="48"/>
        <v>0</v>
      </c>
      <c r="AX41" s="544">
        <f t="shared" si="48"/>
        <v>0</v>
      </c>
      <c r="AY41" s="550">
        <f t="shared" ref="AY41:AY42" si="49">SUM(AD41:AH41)</f>
        <v>924.11099999999999</v>
      </c>
      <c r="AZ41" s="537" t="str">
        <f t="shared" si="6"/>
        <v>Correct</v>
      </c>
      <c r="BA41" s="1584" t="s">
        <v>285</v>
      </c>
      <c r="BB41" s="1048" t="s">
        <v>185</v>
      </c>
      <c r="BC41" s="314" t="str">
        <f>IFERROR(INDEX('[11]Annex 2_Code'!$J$122:$J$139,MATCH('Annex 4_MoWRAM'!BA41,'[11]Annex 2_Code'!$G$122:$G$139,0)),"")</f>
        <v>MOWRAM</v>
      </c>
      <c r="BD41" s="1084" t="str">
        <f t="shared" si="33"/>
        <v>MOWRAM</v>
      </c>
    </row>
    <row r="42" spans="1:56" s="308" customFormat="1">
      <c r="A42" s="1048" t="s">
        <v>22</v>
      </c>
      <c r="B42" s="1048" t="str">
        <f t="shared" si="0"/>
        <v>CW1</v>
      </c>
      <c r="C42" s="1048" t="s">
        <v>569</v>
      </c>
      <c r="D42" s="53"/>
      <c r="E42" s="52" t="s">
        <v>1317</v>
      </c>
      <c r="F42" s="52"/>
      <c r="G42" s="52"/>
      <c r="H42" s="52"/>
      <c r="I42" s="52"/>
      <c r="J42" s="52"/>
      <c r="K42" s="487" t="s">
        <v>568</v>
      </c>
      <c r="L42" s="1628">
        <v>1325</v>
      </c>
      <c r="M42" s="394">
        <v>0</v>
      </c>
      <c r="N42" s="556">
        <v>0.6</v>
      </c>
      <c r="O42" s="1587">
        <v>0.3</v>
      </c>
      <c r="P42" s="1587">
        <v>0</v>
      </c>
      <c r="Q42" s="1629">
        <f t="shared" ref="Q42:Q44" si="50">SUM(M42:P42)</f>
        <v>0.89999999999999991</v>
      </c>
      <c r="R42" s="541">
        <f t="shared" si="43"/>
        <v>0</v>
      </c>
      <c r="S42" s="554">
        <f t="shared" si="43"/>
        <v>795</v>
      </c>
      <c r="T42" s="554">
        <f t="shared" si="44"/>
        <v>397.5</v>
      </c>
      <c r="U42" s="554">
        <f t="shared" si="44"/>
        <v>0</v>
      </c>
      <c r="V42" s="542">
        <f t="shared" ref="V42" si="51">SUM(R42:U42)</f>
        <v>1192.5</v>
      </c>
      <c r="W42" s="79"/>
      <c r="X42" s="551">
        <v>0.92100000000000004</v>
      </c>
      <c r="Y42" s="552">
        <f>IFERROR(INDEX('[11]Annex 2_Code'!J$8:J$33,MATCH('Annex 4_MoWRAM'!$BB42,'[11]Annex 2_Code'!$G$8:$G$33,0)),"")</f>
        <v>0</v>
      </c>
      <c r="Z42" s="552">
        <v>7.9000000000000001E-2</v>
      </c>
      <c r="AA42" s="552">
        <f>IFERROR(INDEX('[11]Annex 2_Code'!L$8:L$33,MATCH('Annex 4_MoWRAM'!$BB42,'[11]Annex 2_Code'!$G$8:$G$33,0)),"")</f>
        <v>0</v>
      </c>
      <c r="AB42" s="553">
        <f>IFERROR(INDEX('[11]Annex 2_Code'!M$8:M$33,MATCH('Annex 4_MoWRAM'!$BB42,'[11]Annex 2_Code'!$G$8:$G$33,0)),"")</f>
        <v>0</v>
      </c>
      <c r="AC42" s="79"/>
      <c r="AD42" s="547">
        <f t="shared" si="42"/>
        <v>1098.2925</v>
      </c>
      <c r="AE42" s="79">
        <f t="shared" si="42"/>
        <v>0</v>
      </c>
      <c r="AF42" s="79">
        <f t="shared" si="42"/>
        <v>94.207499999999996</v>
      </c>
      <c r="AG42" s="79">
        <f t="shared" si="42"/>
        <v>0</v>
      </c>
      <c r="AH42" s="549">
        <f t="shared" si="42"/>
        <v>0</v>
      </c>
      <c r="AI42" s="74">
        <f t="shared" si="45"/>
        <v>0</v>
      </c>
      <c r="AJ42" s="74">
        <f t="shared" si="45"/>
        <v>732.19500000000005</v>
      </c>
      <c r="AK42" s="74">
        <f t="shared" si="45"/>
        <v>366.09750000000003</v>
      </c>
      <c r="AL42" s="544">
        <f t="shared" si="45"/>
        <v>0</v>
      </c>
      <c r="AM42" s="548">
        <f t="shared" si="46"/>
        <v>0</v>
      </c>
      <c r="AN42" s="74">
        <f t="shared" si="46"/>
        <v>0</v>
      </c>
      <c r="AO42" s="74">
        <f t="shared" si="46"/>
        <v>0</v>
      </c>
      <c r="AP42" s="544">
        <f t="shared" si="46"/>
        <v>0</v>
      </c>
      <c r="AQ42" s="548">
        <f t="shared" si="47"/>
        <v>0</v>
      </c>
      <c r="AR42" s="74">
        <f t="shared" si="47"/>
        <v>62.805</v>
      </c>
      <c r="AS42" s="74">
        <f t="shared" si="47"/>
        <v>31.4025</v>
      </c>
      <c r="AT42" s="544">
        <f t="shared" si="47"/>
        <v>0</v>
      </c>
      <c r="AU42" s="548">
        <f t="shared" si="48"/>
        <v>0</v>
      </c>
      <c r="AV42" s="74">
        <f t="shared" si="48"/>
        <v>0</v>
      </c>
      <c r="AW42" s="74">
        <f t="shared" si="48"/>
        <v>0</v>
      </c>
      <c r="AX42" s="544">
        <f t="shared" si="48"/>
        <v>0</v>
      </c>
      <c r="AY42" s="550">
        <f t="shared" si="49"/>
        <v>1192.5</v>
      </c>
      <c r="AZ42" s="537" t="str">
        <f t="shared" si="6"/>
        <v>Correct</v>
      </c>
      <c r="BA42" s="1584" t="s">
        <v>285</v>
      </c>
      <c r="BB42" s="1048" t="s">
        <v>185</v>
      </c>
      <c r="BC42" s="314" t="str">
        <f>IFERROR(INDEX('[11]Annex 2_Code'!$J$122:$J$139,MATCH('Annex 4_MoWRAM'!BA42,'[11]Annex 2_Code'!$G$122:$G$139,0)),"")</f>
        <v>MOWRAM</v>
      </c>
      <c r="BD42" s="1084" t="str">
        <f t="shared" si="33"/>
        <v>MOWRAM</v>
      </c>
    </row>
    <row r="43" spans="1:56" s="308" customFormat="1">
      <c r="A43" s="1048" t="s">
        <v>22</v>
      </c>
      <c r="B43" s="1048" t="str">
        <f t="shared" si="0"/>
        <v>CW1</v>
      </c>
      <c r="C43" s="1048" t="s">
        <v>570</v>
      </c>
      <c r="D43" s="52"/>
      <c r="E43" s="52" t="s">
        <v>1318</v>
      </c>
      <c r="F43" s="52"/>
      <c r="G43" s="52"/>
      <c r="H43" s="52"/>
      <c r="I43" s="52"/>
      <c r="J43" s="52"/>
      <c r="K43" s="487" t="s">
        <v>568</v>
      </c>
      <c r="L43" s="1628">
        <v>1160</v>
      </c>
      <c r="M43" s="394">
        <v>0</v>
      </c>
      <c r="N43" s="556">
        <v>0.3</v>
      </c>
      <c r="O43" s="1587">
        <v>0.6</v>
      </c>
      <c r="P43" s="1587">
        <v>0</v>
      </c>
      <c r="Q43" s="1629">
        <f>SUM(M43:P43)</f>
        <v>0.89999999999999991</v>
      </c>
      <c r="R43" s="541">
        <f>$L43*M43</f>
        <v>0</v>
      </c>
      <c r="S43" s="1962">
        <f t="shared" si="43"/>
        <v>348</v>
      </c>
      <c r="T43" s="1962">
        <f t="shared" si="44"/>
        <v>696</v>
      </c>
      <c r="U43" s="554">
        <f t="shared" si="44"/>
        <v>0</v>
      </c>
      <c r="V43" s="542">
        <f>SUM(R43:U43)</f>
        <v>1044</v>
      </c>
      <c r="W43" s="79"/>
      <c r="X43" s="551">
        <v>0.92100000000000004</v>
      </c>
      <c r="Y43" s="552">
        <f>IFERROR(INDEX('[11]Annex 2_Code'!J$8:J$33,MATCH('Annex 4_MoWRAM'!$BB43,'[11]Annex 2_Code'!$G$8:$G$33,0)),"")</f>
        <v>0</v>
      </c>
      <c r="Z43" s="552">
        <v>7.9000000000000001E-2</v>
      </c>
      <c r="AA43" s="552">
        <f>IFERROR(INDEX('[11]Annex 2_Code'!L$8:L$33,MATCH('Annex 4_MoWRAM'!$BB43,'[11]Annex 2_Code'!$G$8:$G$33,0)),"")</f>
        <v>0</v>
      </c>
      <c r="AB43" s="553">
        <f>IFERROR(INDEX('[11]Annex 2_Code'!M$8:M$33,MATCH('Annex 4_MoWRAM'!$BB43,'[11]Annex 2_Code'!$G$8:$G$33,0)),"")</f>
        <v>0</v>
      </c>
      <c r="AC43" s="79"/>
      <c r="AD43" s="547">
        <f t="shared" si="42"/>
        <v>961.524</v>
      </c>
      <c r="AE43" s="79">
        <f t="shared" si="42"/>
        <v>0</v>
      </c>
      <c r="AF43" s="79">
        <f t="shared" si="42"/>
        <v>82.475999999999999</v>
      </c>
      <c r="AG43" s="79">
        <f t="shared" si="42"/>
        <v>0</v>
      </c>
      <c r="AH43" s="549">
        <f t="shared" si="42"/>
        <v>0</v>
      </c>
      <c r="AI43" s="74">
        <f t="shared" si="45"/>
        <v>0</v>
      </c>
      <c r="AJ43" s="74">
        <f>S43*$X43</f>
        <v>320.50800000000004</v>
      </c>
      <c r="AK43" s="74">
        <f t="shared" si="45"/>
        <v>641.01600000000008</v>
      </c>
      <c r="AL43" s="544">
        <f t="shared" si="45"/>
        <v>0</v>
      </c>
      <c r="AM43" s="548">
        <f t="shared" si="46"/>
        <v>0</v>
      </c>
      <c r="AN43" s="74">
        <f t="shared" si="46"/>
        <v>0</v>
      </c>
      <c r="AO43" s="74">
        <f t="shared" si="46"/>
        <v>0</v>
      </c>
      <c r="AP43" s="544">
        <f t="shared" si="46"/>
        <v>0</v>
      </c>
      <c r="AQ43" s="548">
        <f t="shared" si="47"/>
        <v>0</v>
      </c>
      <c r="AR43" s="74">
        <f t="shared" si="47"/>
        <v>27.492000000000001</v>
      </c>
      <c r="AS43" s="74">
        <f t="shared" si="47"/>
        <v>54.984000000000002</v>
      </c>
      <c r="AT43" s="544">
        <f t="shared" si="47"/>
        <v>0</v>
      </c>
      <c r="AU43" s="548">
        <f t="shared" si="48"/>
        <v>0</v>
      </c>
      <c r="AV43" s="74">
        <f t="shared" si="48"/>
        <v>0</v>
      </c>
      <c r="AW43" s="74">
        <f t="shared" si="48"/>
        <v>0</v>
      </c>
      <c r="AX43" s="544">
        <f t="shared" si="48"/>
        <v>0</v>
      </c>
      <c r="AY43" s="550">
        <f>SUM(AD43:AH43)</f>
        <v>1044</v>
      </c>
      <c r="AZ43" s="537" t="str">
        <f t="shared" si="6"/>
        <v>Correct</v>
      </c>
      <c r="BA43" s="1584" t="s">
        <v>285</v>
      </c>
      <c r="BB43" s="1048" t="s">
        <v>185</v>
      </c>
      <c r="BC43" s="314" t="str">
        <f>IFERROR(INDEX('[11]Annex 2_Code'!$J$122:$J$139,MATCH('Annex 4_MoWRAM'!BA43,'[11]Annex 2_Code'!$G$122:$G$139,0)),"")</f>
        <v>MOWRAM</v>
      </c>
      <c r="BD43" s="1084" t="str">
        <f t="shared" si="33"/>
        <v>MOWRAM</v>
      </c>
    </row>
    <row r="44" spans="1:56" s="308" customFormat="1">
      <c r="A44" s="1048" t="s">
        <v>22</v>
      </c>
      <c r="B44" s="1048" t="str">
        <f>IF(ISNUMBER(FIND("-",C44,1))=FALSE,LEFT(C44,LEN(C44)),LEFT(C44,(FIND("-",C44,1))-1))</f>
        <v>CW1</v>
      </c>
      <c r="C44" s="1048" t="s">
        <v>571</v>
      </c>
      <c r="D44" s="52"/>
      <c r="E44" s="52" t="s">
        <v>1319</v>
      </c>
      <c r="F44" s="52"/>
      <c r="G44" s="52"/>
      <c r="H44" s="52"/>
      <c r="I44" s="52"/>
      <c r="J44" s="52"/>
      <c r="K44" s="487" t="s">
        <v>568</v>
      </c>
      <c r="L44" s="1628">
        <v>1265</v>
      </c>
      <c r="M44" s="394">
        <v>0</v>
      </c>
      <c r="N44" s="556">
        <v>0.6</v>
      </c>
      <c r="O44" s="1587">
        <v>0.2</v>
      </c>
      <c r="P44" s="1587">
        <v>0.1</v>
      </c>
      <c r="Q44" s="1629">
        <f t="shared" si="50"/>
        <v>0.9</v>
      </c>
      <c r="R44" s="541">
        <f>$L44*M44</f>
        <v>0</v>
      </c>
      <c r="S44" s="1962">
        <f t="shared" si="43"/>
        <v>759</v>
      </c>
      <c r="T44" s="1962">
        <f t="shared" si="44"/>
        <v>253</v>
      </c>
      <c r="U44" s="554">
        <f t="shared" si="44"/>
        <v>126.5</v>
      </c>
      <c r="V44" s="542">
        <f>SUM(R44:U44)</f>
        <v>1138.5</v>
      </c>
      <c r="W44" s="79"/>
      <c r="X44" s="551">
        <v>0.92100000000000004</v>
      </c>
      <c r="Y44" s="552">
        <f>IFERROR(INDEX('[11]Annex 2_Code'!J$8:J$33,MATCH('Annex 4_MoWRAM'!$BB44,'[11]Annex 2_Code'!$G$8:$G$33,0)),"")</f>
        <v>0</v>
      </c>
      <c r="Z44" s="552">
        <v>7.9000000000000001E-2</v>
      </c>
      <c r="AA44" s="552">
        <f>IFERROR(INDEX('[11]Annex 2_Code'!L$8:L$33,MATCH('Annex 4_MoWRAM'!$BB44,'[11]Annex 2_Code'!$G$8:$G$33,0)),"")</f>
        <v>0</v>
      </c>
      <c r="AB44" s="553">
        <f>IFERROR(INDEX('[11]Annex 2_Code'!M$8:M$33,MATCH('Annex 4_MoWRAM'!$BB44,'[11]Annex 2_Code'!$G$8:$G$33,0)),"")</f>
        <v>0</v>
      </c>
      <c r="AC44" s="79"/>
      <c r="AD44" s="547">
        <f t="shared" si="42"/>
        <v>1048.5585000000001</v>
      </c>
      <c r="AE44" s="79">
        <f t="shared" si="42"/>
        <v>0</v>
      </c>
      <c r="AF44" s="79">
        <f t="shared" si="42"/>
        <v>89.941500000000005</v>
      </c>
      <c r="AG44" s="79">
        <f>IFERROR($V44*AA44,"")</f>
        <v>0</v>
      </c>
      <c r="AH44" s="549">
        <f t="shared" si="42"/>
        <v>0</v>
      </c>
      <c r="AI44" s="74">
        <f t="shared" si="45"/>
        <v>0</v>
      </c>
      <c r="AJ44" s="74">
        <f t="shared" si="45"/>
        <v>699.03899999999999</v>
      </c>
      <c r="AK44" s="74">
        <f t="shared" si="45"/>
        <v>233.01300000000001</v>
      </c>
      <c r="AL44" s="544">
        <f t="shared" si="45"/>
        <v>116.5065</v>
      </c>
      <c r="AM44" s="548">
        <f t="shared" si="46"/>
        <v>0</v>
      </c>
      <c r="AN44" s="74">
        <f t="shared" si="46"/>
        <v>0</v>
      </c>
      <c r="AO44" s="74">
        <f t="shared" si="46"/>
        <v>0</v>
      </c>
      <c r="AP44" s="544">
        <f t="shared" si="46"/>
        <v>0</v>
      </c>
      <c r="AQ44" s="548">
        <f t="shared" si="47"/>
        <v>0</v>
      </c>
      <c r="AR44" s="74">
        <f t="shared" si="47"/>
        <v>59.960999999999999</v>
      </c>
      <c r="AS44" s="74">
        <f t="shared" si="47"/>
        <v>19.987000000000002</v>
      </c>
      <c r="AT44" s="544">
        <f t="shared" si="47"/>
        <v>9.9935000000000009</v>
      </c>
      <c r="AU44" s="548">
        <f t="shared" si="48"/>
        <v>0</v>
      </c>
      <c r="AV44" s="74">
        <f t="shared" si="48"/>
        <v>0</v>
      </c>
      <c r="AW44" s="74">
        <f t="shared" si="48"/>
        <v>0</v>
      </c>
      <c r="AX44" s="544">
        <f t="shared" si="48"/>
        <v>0</v>
      </c>
      <c r="AY44" s="550">
        <f t="shared" ref="AY44:AY62" si="52">SUM(AD44:AH44)</f>
        <v>1138.5</v>
      </c>
      <c r="AZ44" s="537" t="str">
        <f t="shared" si="6"/>
        <v>Correct</v>
      </c>
      <c r="BA44" s="1584" t="s">
        <v>285</v>
      </c>
      <c r="BB44" s="1048" t="s">
        <v>185</v>
      </c>
      <c r="BC44" s="314" t="str">
        <f>IFERROR(INDEX('[11]Annex 2_Code'!$J$122:$J$139,MATCH('Annex 4_MoWRAM'!BA44,'[11]Annex 2_Code'!$G$122:$G$139,0)),"")</f>
        <v>MOWRAM</v>
      </c>
      <c r="BD44" s="1084" t="str">
        <f t="shared" si="33"/>
        <v>MOWRAM</v>
      </c>
    </row>
    <row r="45" spans="1:56" s="308" customFormat="1" ht="14.45" customHeight="1">
      <c r="A45" s="1625"/>
      <c r="B45" s="1625"/>
      <c r="C45" s="1625"/>
      <c r="D45" s="52"/>
      <c r="E45" s="52"/>
      <c r="F45" s="52"/>
      <c r="G45" s="52"/>
      <c r="H45" s="52"/>
      <c r="I45" s="52"/>
      <c r="J45" s="52"/>
      <c r="K45" s="487"/>
      <c r="L45" s="1627"/>
      <c r="M45" s="394"/>
      <c r="P45" s="1587"/>
      <c r="Q45" s="549"/>
      <c r="R45" s="385"/>
      <c r="S45" s="1963"/>
      <c r="T45" s="1963"/>
      <c r="U45" s="386"/>
      <c r="V45" s="384"/>
      <c r="W45" s="79"/>
      <c r="X45" s="551" t="str">
        <f>IFERROR(INDEX('[11]Annex 2_Code'!I$8:I$33,MATCH('Annex 4_MoWRAM'!$BB45,'[11]Annex 2_Code'!$G$8:$G$33,0)),"")</f>
        <v/>
      </c>
      <c r="Y45" s="552" t="str">
        <f>IFERROR(INDEX('[11]Annex 2_Code'!J$8:J$33,MATCH('Annex 4_MoWRAM'!$BB45,'[11]Annex 2_Code'!$G$8:$G$33,0)),"")</f>
        <v/>
      </c>
      <c r="Z45" s="552" t="str">
        <f>IFERROR(INDEX('[11]Annex 2_Code'!K$8:K$33,MATCH('Annex 4_MoWRAM'!$BB45,'[11]Annex 2_Code'!$G$8:$G$33,0)),"")</f>
        <v/>
      </c>
      <c r="AA45" s="552" t="str">
        <f>IFERROR(INDEX('[11]Annex 2_Code'!L$8:L$33,MATCH('Annex 4_MoWRAM'!$BB45,'[11]Annex 2_Code'!$G$8:$G$33,0)),"")</f>
        <v/>
      </c>
      <c r="AB45" s="553" t="str">
        <f>IFERROR(INDEX('[11]Annex 2_Code'!M$8:M$33,MATCH('Annex 4_MoWRAM'!$BB45,'[11]Annex 2_Code'!$G$8:$G$33,0)),"")</f>
        <v/>
      </c>
      <c r="AC45" s="79"/>
      <c r="AD45" s="547" t="str">
        <f t="shared" si="42"/>
        <v/>
      </c>
      <c r="AE45" s="79" t="str">
        <f t="shared" si="42"/>
        <v/>
      </c>
      <c r="AF45" s="79" t="str">
        <f t="shared" si="42"/>
        <v/>
      </c>
      <c r="AG45" s="79" t="str">
        <f t="shared" si="42"/>
        <v/>
      </c>
      <c r="AH45" s="549" t="str">
        <f t="shared" si="42"/>
        <v/>
      </c>
      <c r="AI45" s="74"/>
      <c r="AJ45" s="74"/>
      <c r="AK45" s="74"/>
      <c r="AL45" s="544"/>
      <c r="AM45" s="548"/>
      <c r="AN45" s="74"/>
      <c r="AO45" s="74"/>
      <c r="AP45" s="544"/>
      <c r="AQ45" s="548"/>
      <c r="AR45" s="74"/>
      <c r="AS45" s="74"/>
      <c r="AT45" s="544"/>
      <c r="AU45" s="548"/>
      <c r="AV45" s="74"/>
      <c r="AW45" s="74"/>
      <c r="AX45" s="544"/>
      <c r="AY45" s="550"/>
      <c r="AZ45" s="537"/>
      <c r="BA45" s="1584"/>
      <c r="BB45" s="1048"/>
      <c r="BC45" s="314"/>
      <c r="BD45" s="1084"/>
    </row>
    <row r="46" spans="1:56" s="308" customFormat="1" ht="15">
      <c r="A46" s="1632"/>
      <c r="B46" s="1632"/>
      <c r="C46" s="1633"/>
      <c r="D46" s="1634"/>
      <c r="E46" s="1635" t="s">
        <v>36</v>
      </c>
      <c r="F46" s="1635"/>
      <c r="G46" s="1635"/>
      <c r="H46" s="1635"/>
      <c r="I46" s="1635"/>
      <c r="J46" s="1635"/>
      <c r="K46" s="1636"/>
      <c r="L46" s="1964">
        <f>SUM(L41:L45)</f>
        <v>4776.79</v>
      </c>
      <c r="M46" s="1637">
        <f>SUM(M41:M45)</f>
        <v>0</v>
      </c>
      <c r="N46" s="1638">
        <f t="shared" ref="N46:Q46" si="53">SUM(N41:N45)</f>
        <v>1.9500000000000002</v>
      </c>
      <c r="O46" s="1638">
        <f t="shared" si="53"/>
        <v>1.55</v>
      </c>
      <c r="P46" s="1638">
        <f t="shared" si="53"/>
        <v>0.1</v>
      </c>
      <c r="Q46" s="1639">
        <f t="shared" si="53"/>
        <v>3.5999999999999996</v>
      </c>
      <c r="R46" s="1640">
        <f>SUM(R41:R44)</f>
        <v>0</v>
      </c>
      <c r="S46" s="1965">
        <f>SUM(S41:S44)</f>
        <v>2364.0554999999999</v>
      </c>
      <c r="T46" s="1965">
        <f>SUM(T41:T44)</f>
        <v>1808.5554999999999</v>
      </c>
      <c r="U46" s="1641">
        <f>SUM(U41:U44)</f>
        <v>126.5</v>
      </c>
      <c r="V46" s="2537">
        <f>SUM(V41:V44)</f>
        <v>4299.1109999999999</v>
      </c>
      <c r="W46" s="1638"/>
      <c r="X46" s="1642" t="str">
        <f>IFERROR(INDEX('[11]Annex 2_Code'!I$8:I$33,MATCH('Annex 4_MoWRAM'!$BB46,'[11]Annex 2_Code'!$G$8:$G$33,0)),"")</f>
        <v/>
      </c>
      <c r="Y46" s="1643" t="str">
        <f>IFERROR(INDEX('[11]Annex 2_Code'!J$8:J$33,MATCH('Annex 4_MoWRAM'!$BB46,'[11]Annex 2_Code'!$G$8:$G$33,0)),"")</f>
        <v/>
      </c>
      <c r="Z46" s="1643" t="str">
        <f>IFERROR(INDEX('[11]Annex 2_Code'!K$8:K$33,MATCH('Annex 4_MoWRAM'!$BB46,'[11]Annex 2_Code'!$G$8:$G$33,0)),"")</f>
        <v/>
      </c>
      <c r="AA46" s="1643" t="str">
        <f>IFERROR(INDEX('[11]Annex 2_Code'!L$8:L$33,MATCH('Annex 4_MoWRAM'!$BB46,'[11]Annex 2_Code'!$G$8:$G$33,0)),"")</f>
        <v/>
      </c>
      <c r="AB46" s="1644" t="str">
        <f>IFERROR(INDEX('[11]Annex 2_Code'!M$8:M$33,MATCH('Annex 4_MoWRAM'!$BB46,'[11]Annex 2_Code'!$G$8:$G$33,0)),"")</f>
        <v/>
      </c>
      <c r="AC46" s="1638"/>
      <c r="AD46" s="1637" t="str">
        <f t="shared" si="42"/>
        <v/>
      </c>
      <c r="AE46" s="1638" t="str">
        <f t="shared" si="42"/>
        <v/>
      </c>
      <c r="AF46" s="1638" t="str">
        <f t="shared" si="42"/>
        <v/>
      </c>
      <c r="AG46" s="1638" t="str">
        <f t="shared" si="42"/>
        <v/>
      </c>
      <c r="AH46" s="1639" t="str">
        <f t="shared" si="42"/>
        <v/>
      </c>
      <c r="AI46" s="74"/>
      <c r="AJ46" s="74"/>
      <c r="AK46" s="74"/>
      <c r="AL46" s="544"/>
      <c r="AM46" s="548"/>
      <c r="AN46" s="74"/>
      <c r="AO46" s="74"/>
      <c r="AP46" s="544"/>
      <c r="AQ46" s="548"/>
      <c r="AR46" s="74"/>
      <c r="AS46" s="74"/>
      <c r="AT46" s="544"/>
      <c r="AU46" s="548"/>
      <c r="AV46" s="74"/>
      <c r="AW46" s="74"/>
      <c r="AX46" s="544"/>
      <c r="AY46" s="1608">
        <f>SUM(AY41:AY44)</f>
        <v>4299.1109999999999</v>
      </c>
      <c r="AZ46" s="537" t="str">
        <f>IF(V46=AY46,"Correct","Incorrect")</f>
        <v>Correct</v>
      </c>
      <c r="BA46" s="1584"/>
      <c r="BB46" s="1048"/>
      <c r="BC46" s="314"/>
      <c r="BD46" s="1084"/>
    </row>
    <row r="47" spans="1:56" s="308" customFormat="1" ht="6" customHeight="1">
      <c r="A47" s="1609"/>
      <c r="B47" s="1609"/>
      <c r="C47" s="1610"/>
      <c r="D47" s="1611"/>
      <c r="E47" s="1612"/>
      <c r="F47" s="1612"/>
      <c r="G47" s="1612"/>
      <c r="H47" s="1612"/>
      <c r="I47" s="1612"/>
      <c r="J47" s="1612"/>
      <c r="K47" s="1613"/>
      <c r="L47" s="1614"/>
      <c r="M47" s="1615"/>
      <c r="N47" s="1616"/>
      <c r="O47" s="1616"/>
      <c r="P47" s="1616"/>
      <c r="Q47" s="1617"/>
      <c r="R47" s="1618"/>
      <c r="S47" s="1619"/>
      <c r="T47" s="1619"/>
      <c r="U47" s="1619"/>
      <c r="V47" s="1645"/>
      <c r="W47" s="1616"/>
      <c r="X47" s="1621" t="str">
        <f>IFERROR(INDEX('[11]Annex 2_Code'!I$8:I$33,MATCH('Annex 4_MoWRAM'!$BB47,'[11]Annex 2_Code'!$G$8:$G$33,0)),"")</f>
        <v/>
      </c>
      <c r="Y47" s="1622" t="str">
        <f>IFERROR(INDEX('[11]Annex 2_Code'!J$8:J$33,MATCH('Annex 4_MoWRAM'!$BB47,'[11]Annex 2_Code'!$G$8:$G$33,0)),"")</f>
        <v/>
      </c>
      <c r="Z47" s="1622" t="str">
        <f>IFERROR(INDEX('[11]Annex 2_Code'!K$8:K$33,MATCH('Annex 4_MoWRAM'!$BB47,'[11]Annex 2_Code'!$G$8:$G$33,0)),"")</f>
        <v/>
      </c>
      <c r="AA47" s="1622" t="str">
        <f>IFERROR(INDEX('[11]Annex 2_Code'!L$8:L$33,MATCH('Annex 4_MoWRAM'!$BB47,'[11]Annex 2_Code'!$G$8:$G$33,0)),"")</f>
        <v/>
      </c>
      <c r="AB47" s="1623" t="str">
        <f>IFERROR(INDEX('[11]Annex 2_Code'!M$8:M$33,MATCH('Annex 4_MoWRAM'!$BB47,'[11]Annex 2_Code'!$G$8:$G$33,0)),"")</f>
        <v/>
      </c>
      <c r="AC47" s="1616"/>
      <c r="AD47" s="1615" t="str">
        <f t="shared" si="42"/>
        <v/>
      </c>
      <c r="AE47" s="1616" t="str">
        <f t="shared" si="42"/>
        <v/>
      </c>
      <c r="AF47" s="1616" t="str">
        <f t="shared" si="42"/>
        <v/>
      </c>
      <c r="AG47" s="1616" t="str">
        <f t="shared" si="42"/>
        <v/>
      </c>
      <c r="AH47" s="1617" t="str">
        <f t="shared" si="42"/>
        <v/>
      </c>
      <c r="AI47" s="74"/>
      <c r="AJ47" s="74"/>
      <c r="AK47" s="74"/>
      <c r="AL47" s="544"/>
      <c r="AM47" s="548"/>
      <c r="AN47" s="74"/>
      <c r="AO47" s="74"/>
      <c r="AP47" s="544"/>
      <c r="AQ47" s="548"/>
      <c r="AR47" s="74"/>
      <c r="AS47" s="74"/>
      <c r="AT47" s="544"/>
      <c r="AU47" s="546"/>
      <c r="AV47" s="202"/>
      <c r="AW47" s="202"/>
      <c r="AX47" s="545"/>
      <c r="AY47" s="550"/>
      <c r="AZ47" s="537"/>
      <c r="BA47" s="1584"/>
      <c r="BB47" s="1048"/>
      <c r="BC47" s="314"/>
      <c r="BD47" s="1084"/>
    </row>
    <row r="48" spans="1:56" s="1997" customFormat="1" ht="15">
      <c r="A48" s="1966"/>
      <c r="B48" s="1966"/>
      <c r="C48" s="1967"/>
      <c r="D48" s="1953" t="s">
        <v>1017</v>
      </c>
      <c r="E48" s="1968"/>
      <c r="F48" s="1968"/>
      <c r="G48" s="1968"/>
      <c r="H48" s="1968"/>
      <c r="I48" s="1968"/>
      <c r="J48" s="1968"/>
      <c r="K48" s="1969"/>
      <c r="L48" s="1970"/>
      <c r="M48" s="1971"/>
      <c r="N48" s="1971"/>
      <c r="O48" s="1972"/>
      <c r="P48" s="1972"/>
      <c r="Q48" s="1973"/>
      <c r="R48" s="1974"/>
      <c r="S48" s="1975"/>
      <c r="T48" s="1975"/>
      <c r="U48" s="1975"/>
      <c r="V48" s="1976"/>
      <c r="W48" s="1977"/>
      <c r="X48" s="1978">
        <f>IFERROR(INDEX('[11]Annex 2_Code'!I$8:I$33,MATCH('Annex 4_MoWRAM'!$BB48,'[11]Annex 2_Code'!$G$8:$G$33,0)),"")</f>
        <v>0</v>
      </c>
      <c r="Y48" s="1979">
        <f>IFERROR(INDEX('[11]Annex 2_Code'!J$8:J$33,MATCH('Annex 4_MoWRAM'!$BB48,'[11]Annex 2_Code'!$G$8:$G$33,0)),"")</f>
        <v>0</v>
      </c>
      <c r="Z48" s="1980">
        <f>IFERROR(INDEX('[11]Annex 2_Code'!K$8:K$33,MATCH('Annex 4_MoWRAM'!$BB48,'[11]Annex 2_Code'!$G$8:$G$33,0)),"")</f>
        <v>1</v>
      </c>
      <c r="AA48" s="1979">
        <f>IFERROR(INDEX('[11]Annex 2_Code'!L$8:L$33,MATCH('Annex 4_MoWRAM'!$BB48,'[11]Annex 2_Code'!$G$8:$G$33,0)),"")</f>
        <v>0</v>
      </c>
      <c r="AB48" s="1981">
        <f>IFERROR(INDEX('[11]Annex 2_Code'!M$8:M$33,MATCH('Annex 4_MoWRAM'!$BB48,'[11]Annex 2_Code'!$G$8:$G$33,0)),"")</f>
        <v>0</v>
      </c>
      <c r="AC48" s="1982"/>
      <c r="AD48" s="1983">
        <f t="shared" si="42"/>
        <v>0</v>
      </c>
      <c r="AE48" s="1984">
        <f t="shared" si="42"/>
        <v>0</v>
      </c>
      <c r="AF48" s="1984">
        <f t="shared" si="42"/>
        <v>0</v>
      </c>
      <c r="AG48" s="1984">
        <f t="shared" si="42"/>
        <v>0</v>
      </c>
      <c r="AH48" s="1973">
        <f t="shared" si="42"/>
        <v>0</v>
      </c>
      <c r="AI48" s="1985">
        <f t="shared" ref="AI48:AL63" si="54">R48*$X48</f>
        <v>0</v>
      </c>
      <c r="AJ48" s="1985">
        <f t="shared" si="54"/>
        <v>0</v>
      </c>
      <c r="AK48" s="1985">
        <f t="shared" si="54"/>
        <v>0</v>
      </c>
      <c r="AL48" s="1986">
        <f t="shared" si="54"/>
        <v>0</v>
      </c>
      <c r="AM48" s="1987">
        <f t="shared" ref="AM48:AP63" si="55">$Y48*R48</f>
        <v>0</v>
      </c>
      <c r="AN48" s="1985">
        <f t="shared" si="55"/>
        <v>0</v>
      </c>
      <c r="AO48" s="1985">
        <f t="shared" si="55"/>
        <v>0</v>
      </c>
      <c r="AP48" s="1986">
        <f t="shared" si="55"/>
        <v>0</v>
      </c>
      <c r="AQ48" s="1987">
        <f t="shared" ref="AQ48:AT63" si="56">$Z48*R48</f>
        <v>0</v>
      </c>
      <c r="AR48" s="1985">
        <f t="shared" si="56"/>
        <v>0</v>
      </c>
      <c r="AS48" s="1985">
        <f t="shared" si="56"/>
        <v>0</v>
      </c>
      <c r="AT48" s="1986">
        <f t="shared" si="56"/>
        <v>0</v>
      </c>
      <c r="AU48" s="1988">
        <f t="shared" ref="AU48:AX63" si="57">$AA48*M48</f>
        <v>0</v>
      </c>
      <c r="AV48" s="1989">
        <f t="shared" si="57"/>
        <v>0</v>
      </c>
      <c r="AW48" s="1989">
        <f t="shared" si="57"/>
        <v>0</v>
      </c>
      <c r="AX48" s="1990">
        <f t="shared" si="57"/>
        <v>0</v>
      </c>
      <c r="AY48" s="1991">
        <f t="shared" si="52"/>
        <v>0</v>
      </c>
      <c r="AZ48" s="1992" t="str">
        <f t="shared" si="6"/>
        <v>Correct</v>
      </c>
      <c r="BA48" s="1993" t="s">
        <v>285</v>
      </c>
      <c r="BB48" s="1994" t="s">
        <v>201</v>
      </c>
      <c r="BC48" s="1995" t="str">
        <f>IFERROR(INDEX('[11]Annex 2_Code'!$J$122:$J$139,MATCH('Annex 4_MoWRAM'!BA48,'[11]Annex 2_Code'!$G$122:$G$139,0)),"")</f>
        <v>MOWRAM</v>
      </c>
      <c r="BD48" s="1996" t="str">
        <f t="shared" si="33"/>
        <v>MOWRAM</v>
      </c>
    </row>
    <row r="49" spans="1:56" s="308" customFormat="1">
      <c r="A49" s="531"/>
      <c r="B49" s="531"/>
      <c r="C49" s="531"/>
      <c r="D49" s="53"/>
      <c r="F49" s="52"/>
      <c r="G49" s="52"/>
      <c r="H49" s="52"/>
      <c r="I49" s="52"/>
      <c r="J49" s="52"/>
      <c r="K49" s="492"/>
      <c r="L49" s="555"/>
      <c r="M49" s="556"/>
      <c r="N49" s="556"/>
      <c r="O49" s="1587"/>
      <c r="P49" s="1587"/>
      <c r="Q49" s="549"/>
      <c r="R49" s="541"/>
      <c r="S49" s="554"/>
      <c r="T49" s="554"/>
      <c r="U49" s="554"/>
      <c r="V49" s="542"/>
      <c r="W49" s="32"/>
      <c r="X49" s="551">
        <f>IFERROR(INDEX('[11]Annex 2_Code'!I$8:I$33,MATCH('Annex 4_MoWRAM'!$BB49,'[11]Annex 2_Code'!$G$8:$G$33,0)),"")</f>
        <v>0</v>
      </c>
      <c r="Y49" s="552">
        <f>IFERROR(INDEX('[11]Annex 2_Code'!J$8:J$33,MATCH('Annex 4_MoWRAM'!$BB49,'[11]Annex 2_Code'!$G$8:$G$33,0)),"")</f>
        <v>0</v>
      </c>
      <c r="Z49" s="1630">
        <f>IFERROR(INDEX('[11]Annex 2_Code'!K$8:K$33,MATCH('Annex 4_MoWRAM'!$BB49,'[11]Annex 2_Code'!$G$8:$G$33,0)),"")</f>
        <v>1</v>
      </c>
      <c r="AA49" s="552">
        <f>IFERROR(INDEX('[11]Annex 2_Code'!L$8:L$33,MATCH('Annex 4_MoWRAM'!$BB49,'[11]Annex 2_Code'!$G$8:$G$33,0)),"")</f>
        <v>0</v>
      </c>
      <c r="AB49" s="553">
        <f>IFERROR(INDEX('[11]Annex 2_Code'!M$8:M$33,MATCH('Annex 4_MoWRAM'!$BB49,'[11]Annex 2_Code'!$G$8:$G$33,0)),"")</f>
        <v>0</v>
      </c>
      <c r="AC49" s="31"/>
      <c r="AD49" s="547">
        <f t="shared" si="42"/>
        <v>0</v>
      </c>
      <c r="AE49" s="79">
        <f t="shared" si="42"/>
        <v>0</v>
      </c>
      <c r="AF49" s="79">
        <f t="shared" si="42"/>
        <v>0</v>
      </c>
      <c r="AG49" s="79">
        <f t="shared" si="42"/>
        <v>0</v>
      </c>
      <c r="AH49" s="549">
        <f t="shared" si="42"/>
        <v>0</v>
      </c>
      <c r="AI49" s="74">
        <f t="shared" si="54"/>
        <v>0</v>
      </c>
      <c r="AJ49" s="74">
        <f t="shared" si="54"/>
        <v>0</v>
      </c>
      <c r="AK49" s="74">
        <f t="shared" si="54"/>
        <v>0</v>
      </c>
      <c r="AL49" s="544">
        <f t="shared" si="54"/>
        <v>0</v>
      </c>
      <c r="AM49" s="548">
        <f t="shared" si="55"/>
        <v>0</v>
      </c>
      <c r="AN49" s="74">
        <f t="shared" si="55"/>
        <v>0</v>
      </c>
      <c r="AO49" s="74">
        <f t="shared" si="55"/>
        <v>0</v>
      </c>
      <c r="AP49" s="544">
        <f t="shared" si="55"/>
        <v>0</v>
      </c>
      <c r="AQ49" s="548">
        <f t="shared" si="56"/>
        <v>0</v>
      </c>
      <c r="AR49" s="74">
        <f t="shared" si="56"/>
        <v>0</v>
      </c>
      <c r="AS49" s="74">
        <f t="shared" si="56"/>
        <v>0</v>
      </c>
      <c r="AT49" s="544">
        <f t="shared" si="56"/>
        <v>0</v>
      </c>
      <c r="AU49" s="546">
        <f t="shared" si="57"/>
        <v>0</v>
      </c>
      <c r="AV49" s="202">
        <f t="shared" si="57"/>
        <v>0</v>
      </c>
      <c r="AW49" s="202">
        <f t="shared" si="57"/>
        <v>0</v>
      </c>
      <c r="AX49" s="545">
        <f t="shared" si="57"/>
        <v>0</v>
      </c>
      <c r="AY49" s="550">
        <f t="shared" si="52"/>
        <v>0</v>
      </c>
      <c r="AZ49" s="1662" t="str">
        <f t="shared" si="6"/>
        <v>Correct</v>
      </c>
      <c r="BA49" s="1584" t="s">
        <v>285</v>
      </c>
      <c r="BB49" s="1048" t="s">
        <v>201</v>
      </c>
      <c r="BC49" s="314" t="str">
        <f>IFERROR(INDEX('[11]Annex 2_Code'!$J$122:$J$139,MATCH('Annex 4_MoWRAM'!BA49,'[11]Annex 2_Code'!$G$122:$G$139,0)),"")</f>
        <v>MOWRAM</v>
      </c>
      <c r="BD49" s="1084" t="str">
        <f t="shared" si="33"/>
        <v>MOWRAM</v>
      </c>
    </row>
    <row r="50" spans="1:56" s="308" customFormat="1" ht="15">
      <c r="A50" s="531" t="str">
        <f t="shared" ref="A50:B57" si="58">IF(ISNUMBER(FIND("-",B50,1))=FALSE,LEFT(B50,LEN(B50)),LEFT(B50,(FIND("-",B50,1))-1))</f>
        <v>PMO</v>
      </c>
      <c r="B50" s="531" t="str">
        <f t="shared" si="58"/>
        <v>PMO</v>
      </c>
      <c r="C50" s="531" t="s">
        <v>41</v>
      </c>
      <c r="D50" s="612"/>
      <c r="E50" s="52" t="s">
        <v>1018</v>
      </c>
      <c r="F50" s="52"/>
      <c r="G50" s="52"/>
      <c r="H50" s="52"/>
      <c r="I50" s="52"/>
      <c r="J50" s="1646"/>
      <c r="K50" s="491" t="s">
        <v>445</v>
      </c>
      <c r="L50" s="2541">
        <f>33000/1000</f>
        <v>33</v>
      </c>
      <c r="M50" s="1592">
        <v>10</v>
      </c>
      <c r="N50" s="1592">
        <v>0</v>
      </c>
      <c r="O50" s="1592">
        <v>0</v>
      </c>
      <c r="P50" s="1592">
        <v>0</v>
      </c>
      <c r="Q50" s="1998">
        <f>SUM(M50:P50)</f>
        <v>10</v>
      </c>
      <c r="R50" s="1999">
        <f>L50</f>
        <v>33</v>
      </c>
      <c r="S50" s="2000">
        <v>0</v>
      </c>
      <c r="T50" s="2000">
        <v>0</v>
      </c>
      <c r="U50" s="2000">
        <v>0</v>
      </c>
      <c r="V50" s="2001">
        <f>SUM(R50:U50)</f>
        <v>33</v>
      </c>
      <c r="W50" s="32"/>
      <c r="X50" s="551">
        <f>IFERROR(INDEX('[11]Annex 2_Code'!I$8:I$33,MATCH('Annex 4_MoWRAM'!$BB50,'[11]Annex 2_Code'!$G$8:$G$33,0)),"")</f>
        <v>0</v>
      </c>
      <c r="Y50" s="552">
        <f>IFERROR(INDEX('[11]Annex 2_Code'!J$8:J$33,MATCH('Annex 4_MoWRAM'!$BB50,'[11]Annex 2_Code'!$G$8:$G$33,0)),"")</f>
        <v>0</v>
      </c>
      <c r="Z50" s="1630">
        <f>IFERROR(INDEX('[11]Annex 2_Code'!K$8:K$33,MATCH('Annex 4_MoWRAM'!$BB50,'[11]Annex 2_Code'!$G$8:$G$33,0)),"")</f>
        <v>1</v>
      </c>
      <c r="AA50" s="552">
        <f>IFERROR(INDEX('[11]Annex 2_Code'!L$8:L$33,MATCH('Annex 4_MoWRAM'!$BB50,'[11]Annex 2_Code'!$G$8:$G$33,0)),"")</f>
        <v>0</v>
      </c>
      <c r="AB50" s="553">
        <f>IFERROR(INDEX('[11]Annex 2_Code'!M$8:M$33,MATCH('Annex 4_MoWRAM'!$BB50,'[11]Annex 2_Code'!$G$8:$G$33,0)),"")</f>
        <v>0</v>
      </c>
      <c r="AC50" s="31"/>
      <c r="AD50" s="547">
        <f t="shared" si="42"/>
        <v>0</v>
      </c>
      <c r="AE50" s="79">
        <f t="shared" si="42"/>
        <v>0</v>
      </c>
      <c r="AF50" s="79">
        <f t="shared" si="42"/>
        <v>33</v>
      </c>
      <c r="AG50" s="79">
        <f t="shared" si="42"/>
        <v>0</v>
      </c>
      <c r="AH50" s="549">
        <f t="shared" si="42"/>
        <v>0</v>
      </c>
      <c r="AI50" s="74">
        <f t="shared" si="54"/>
        <v>0</v>
      </c>
      <c r="AJ50" s="74">
        <f t="shared" si="54"/>
        <v>0</v>
      </c>
      <c r="AK50" s="74">
        <f t="shared" si="54"/>
        <v>0</v>
      </c>
      <c r="AL50" s="544">
        <f t="shared" si="54"/>
        <v>0</v>
      </c>
      <c r="AM50" s="548">
        <f t="shared" si="55"/>
        <v>0</v>
      </c>
      <c r="AN50" s="74">
        <f t="shared" si="55"/>
        <v>0</v>
      </c>
      <c r="AO50" s="74">
        <f t="shared" si="55"/>
        <v>0</v>
      </c>
      <c r="AP50" s="544">
        <f t="shared" si="55"/>
        <v>0</v>
      </c>
      <c r="AQ50" s="548">
        <f t="shared" si="56"/>
        <v>33</v>
      </c>
      <c r="AR50" s="74">
        <f t="shared" si="56"/>
        <v>0</v>
      </c>
      <c r="AS50" s="74">
        <f t="shared" si="56"/>
        <v>0</v>
      </c>
      <c r="AT50" s="544">
        <f t="shared" si="56"/>
        <v>0</v>
      </c>
      <c r="AU50" s="546">
        <f t="shared" si="57"/>
        <v>0</v>
      </c>
      <c r="AV50" s="202">
        <f t="shared" si="57"/>
        <v>0</v>
      </c>
      <c r="AW50" s="202">
        <f t="shared" si="57"/>
        <v>0</v>
      </c>
      <c r="AX50" s="545">
        <f t="shared" si="57"/>
        <v>0</v>
      </c>
      <c r="AY50" s="550">
        <f t="shared" si="52"/>
        <v>33</v>
      </c>
      <c r="AZ50" s="1662" t="str">
        <f t="shared" si="6"/>
        <v>Correct</v>
      </c>
      <c r="BA50" s="1584" t="s">
        <v>285</v>
      </c>
      <c r="BB50" s="1048" t="s">
        <v>201</v>
      </c>
      <c r="BC50" s="314" t="str">
        <f>IFERROR(INDEX('[11]Annex 2_Code'!$J$122:$J$139,MATCH('Annex 4_MoWRAM'!BA50,'[11]Annex 2_Code'!$G$122:$G$139,0)),"")</f>
        <v>MOWRAM</v>
      </c>
      <c r="BD50" s="1084" t="str">
        <f t="shared" si="33"/>
        <v>MOWRAM</v>
      </c>
    </row>
    <row r="51" spans="1:56" s="308" customFormat="1" ht="15">
      <c r="A51" s="531" t="str">
        <f t="shared" si="58"/>
        <v>PMO</v>
      </c>
      <c r="B51" s="531" t="str">
        <f t="shared" si="58"/>
        <v>PMO</v>
      </c>
      <c r="C51" s="531" t="s">
        <v>41</v>
      </c>
      <c r="D51" s="612"/>
      <c r="E51" s="52" t="s">
        <v>435</v>
      </c>
      <c r="F51" s="52"/>
      <c r="G51" s="52"/>
      <c r="H51" s="52"/>
      <c r="I51" s="52"/>
      <c r="J51" s="1646"/>
      <c r="K51" s="491" t="s">
        <v>445</v>
      </c>
      <c r="L51" s="2541">
        <f>4000/1000</f>
        <v>4</v>
      </c>
      <c r="M51" s="1592">
        <v>10</v>
      </c>
      <c r="N51" s="1592">
        <v>0</v>
      </c>
      <c r="O51" s="1592">
        <v>0</v>
      </c>
      <c r="P51" s="1592">
        <v>0</v>
      </c>
      <c r="Q51" s="1998">
        <f t="shared" ref="Q51:Q57" si="59">SUM(M51:P51)</f>
        <v>10</v>
      </c>
      <c r="R51" s="2545">
        <f>L51</f>
        <v>4</v>
      </c>
      <c r="S51" s="2546">
        <v>0</v>
      </c>
      <c r="T51" s="2546">
        <v>0</v>
      </c>
      <c r="U51" s="2546">
        <v>0</v>
      </c>
      <c r="V51" s="2547">
        <f>SUM(R51:U51)</f>
        <v>4</v>
      </c>
      <c r="W51" s="32"/>
      <c r="X51" s="551">
        <f>IFERROR(INDEX('[11]Annex 2_Code'!I$8:I$33,MATCH('Annex 4_MoWRAM'!$BB51,'[11]Annex 2_Code'!$G$8:$G$33,0)),"")</f>
        <v>0</v>
      </c>
      <c r="Y51" s="552">
        <f>IFERROR(INDEX('[11]Annex 2_Code'!J$8:J$33,MATCH('Annex 4_MoWRAM'!$BB51,'[11]Annex 2_Code'!$G$8:$G$33,0)),"")</f>
        <v>0</v>
      </c>
      <c r="Z51" s="1630">
        <f>IFERROR(INDEX('[11]Annex 2_Code'!K$8:K$33,MATCH('Annex 4_MoWRAM'!$BB51,'[11]Annex 2_Code'!$G$8:$G$33,0)),"")</f>
        <v>1</v>
      </c>
      <c r="AA51" s="552">
        <f>IFERROR(INDEX('[11]Annex 2_Code'!L$8:L$33,MATCH('Annex 4_MoWRAM'!$BB51,'[11]Annex 2_Code'!$G$8:$G$33,0)),"")</f>
        <v>0</v>
      </c>
      <c r="AB51" s="553">
        <f>IFERROR(INDEX('[11]Annex 2_Code'!M$8:M$33,MATCH('Annex 4_MoWRAM'!$BB51,'[11]Annex 2_Code'!$G$8:$G$33,0)),"")</f>
        <v>0</v>
      </c>
      <c r="AC51" s="31"/>
      <c r="AD51" s="547">
        <f t="shared" si="42"/>
        <v>0</v>
      </c>
      <c r="AE51" s="79">
        <f t="shared" si="42"/>
        <v>0</v>
      </c>
      <c r="AF51" s="79">
        <f t="shared" si="42"/>
        <v>4</v>
      </c>
      <c r="AG51" s="79">
        <f t="shared" si="42"/>
        <v>0</v>
      </c>
      <c r="AH51" s="549">
        <f t="shared" si="42"/>
        <v>0</v>
      </c>
      <c r="AI51" s="74">
        <f t="shared" si="54"/>
        <v>0</v>
      </c>
      <c r="AJ51" s="74">
        <f t="shared" si="54"/>
        <v>0</v>
      </c>
      <c r="AK51" s="74">
        <f t="shared" si="54"/>
        <v>0</v>
      </c>
      <c r="AL51" s="544">
        <f t="shared" si="54"/>
        <v>0</v>
      </c>
      <c r="AM51" s="548">
        <f t="shared" si="55"/>
        <v>0</v>
      </c>
      <c r="AN51" s="74">
        <f t="shared" si="55"/>
        <v>0</v>
      </c>
      <c r="AO51" s="74">
        <f t="shared" si="55"/>
        <v>0</v>
      </c>
      <c r="AP51" s="544">
        <f t="shared" si="55"/>
        <v>0</v>
      </c>
      <c r="AQ51" s="548">
        <f t="shared" si="56"/>
        <v>4</v>
      </c>
      <c r="AR51" s="74">
        <f t="shared" si="56"/>
        <v>0</v>
      </c>
      <c r="AS51" s="74">
        <f t="shared" si="56"/>
        <v>0</v>
      </c>
      <c r="AT51" s="544">
        <f t="shared" si="56"/>
        <v>0</v>
      </c>
      <c r="AU51" s="546">
        <f t="shared" si="57"/>
        <v>0</v>
      </c>
      <c r="AV51" s="202">
        <f t="shared" si="57"/>
        <v>0</v>
      </c>
      <c r="AW51" s="202">
        <f t="shared" si="57"/>
        <v>0</v>
      </c>
      <c r="AX51" s="545">
        <f t="shared" si="57"/>
        <v>0</v>
      </c>
      <c r="AY51" s="550">
        <f t="shared" si="52"/>
        <v>4</v>
      </c>
      <c r="AZ51" s="1662" t="str">
        <f t="shared" si="6"/>
        <v>Correct</v>
      </c>
      <c r="BA51" s="1584" t="s">
        <v>285</v>
      </c>
      <c r="BB51" s="1048" t="s">
        <v>201</v>
      </c>
      <c r="BC51" s="314" t="str">
        <f>IFERROR(INDEX('[11]Annex 2_Code'!$J$122:$J$139,MATCH('Annex 4_MoWRAM'!BA51,'[11]Annex 2_Code'!$G$122:$G$139,0)),"")</f>
        <v>MOWRAM</v>
      </c>
      <c r="BD51" s="1084" t="str">
        <f t="shared" si="33"/>
        <v>MOWRAM</v>
      </c>
    </row>
    <row r="52" spans="1:56" s="308" customFormat="1" ht="15">
      <c r="A52" s="531" t="str">
        <f t="shared" si="58"/>
        <v>PMO</v>
      </c>
      <c r="B52" s="531" t="str">
        <f t="shared" si="58"/>
        <v>PMO</v>
      </c>
      <c r="C52" s="531" t="s">
        <v>41</v>
      </c>
      <c r="D52" s="612"/>
      <c r="E52" s="52" t="s">
        <v>436</v>
      </c>
      <c r="F52" s="52"/>
      <c r="G52" s="52"/>
      <c r="H52" s="52"/>
      <c r="I52" s="52"/>
      <c r="J52" s="1646"/>
      <c r="K52" s="491" t="s">
        <v>445</v>
      </c>
      <c r="L52" s="2541">
        <f>12000/1000</f>
        <v>12</v>
      </c>
      <c r="M52" s="1592">
        <v>0</v>
      </c>
      <c r="N52" s="1592">
        <v>10</v>
      </c>
      <c r="O52" s="1592">
        <v>0</v>
      </c>
      <c r="P52" s="1592">
        <v>0</v>
      </c>
      <c r="Q52" s="1998">
        <f t="shared" si="59"/>
        <v>10</v>
      </c>
      <c r="R52" s="2545">
        <v>0</v>
      </c>
      <c r="S52" s="2546">
        <f>L52</f>
        <v>12</v>
      </c>
      <c r="T52" s="2546">
        <v>0</v>
      </c>
      <c r="U52" s="2546">
        <v>0</v>
      </c>
      <c r="V52" s="2547">
        <f t="shared" ref="V52:V57" si="60">SUM(R52:U52)</f>
        <v>12</v>
      </c>
      <c r="W52" s="32"/>
      <c r="X52" s="551">
        <f>IFERROR(INDEX('[11]Annex 2_Code'!I$8:I$33,MATCH('Annex 4_MoWRAM'!$BB52,'[11]Annex 2_Code'!$G$8:$G$33,0)),"")</f>
        <v>0</v>
      </c>
      <c r="Y52" s="552">
        <f>IFERROR(INDEX('[11]Annex 2_Code'!J$8:J$33,MATCH('Annex 4_MoWRAM'!$BB52,'[11]Annex 2_Code'!$G$8:$G$33,0)),"")</f>
        <v>0</v>
      </c>
      <c r="Z52" s="1630">
        <f>IFERROR(INDEX('[11]Annex 2_Code'!K$8:K$33,MATCH('Annex 4_MoWRAM'!$BB52,'[11]Annex 2_Code'!$G$8:$G$33,0)),"")</f>
        <v>1</v>
      </c>
      <c r="AA52" s="552">
        <f>IFERROR(INDEX('[11]Annex 2_Code'!L$8:L$33,MATCH('Annex 4_MoWRAM'!$BB52,'[11]Annex 2_Code'!$G$8:$G$33,0)),"")</f>
        <v>0</v>
      </c>
      <c r="AB52" s="553">
        <f>IFERROR(INDEX('[11]Annex 2_Code'!M$8:M$33,MATCH('Annex 4_MoWRAM'!$BB52,'[11]Annex 2_Code'!$G$8:$G$33,0)),"")</f>
        <v>0</v>
      </c>
      <c r="AC52" s="31"/>
      <c r="AD52" s="547">
        <f t="shared" si="42"/>
        <v>0</v>
      </c>
      <c r="AE52" s="79">
        <f t="shared" si="42"/>
        <v>0</v>
      </c>
      <c r="AF52" s="79">
        <f t="shared" si="42"/>
        <v>12</v>
      </c>
      <c r="AG52" s="79">
        <f t="shared" si="42"/>
        <v>0</v>
      </c>
      <c r="AH52" s="549">
        <f t="shared" si="42"/>
        <v>0</v>
      </c>
      <c r="AI52" s="74">
        <f t="shared" si="54"/>
        <v>0</v>
      </c>
      <c r="AJ52" s="74">
        <f t="shared" si="54"/>
        <v>0</v>
      </c>
      <c r="AK52" s="74">
        <f t="shared" si="54"/>
        <v>0</v>
      </c>
      <c r="AL52" s="544">
        <f t="shared" si="54"/>
        <v>0</v>
      </c>
      <c r="AM52" s="548">
        <f t="shared" si="55"/>
        <v>0</v>
      </c>
      <c r="AN52" s="74">
        <f t="shared" si="55"/>
        <v>0</v>
      </c>
      <c r="AO52" s="74">
        <f t="shared" si="55"/>
        <v>0</v>
      </c>
      <c r="AP52" s="544">
        <f t="shared" si="55"/>
        <v>0</v>
      </c>
      <c r="AQ52" s="548">
        <f t="shared" si="56"/>
        <v>0</v>
      </c>
      <c r="AR52" s="74">
        <f t="shared" si="56"/>
        <v>12</v>
      </c>
      <c r="AS52" s="74">
        <f t="shared" si="56"/>
        <v>0</v>
      </c>
      <c r="AT52" s="544">
        <f t="shared" si="56"/>
        <v>0</v>
      </c>
      <c r="AU52" s="546">
        <f t="shared" si="57"/>
        <v>0</v>
      </c>
      <c r="AV52" s="202">
        <f t="shared" si="57"/>
        <v>0</v>
      </c>
      <c r="AW52" s="202">
        <f t="shared" si="57"/>
        <v>0</v>
      </c>
      <c r="AX52" s="545">
        <f t="shared" si="57"/>
        <v>0</v>
      </c>
      <c r="AY52" s="550">
        <f t="shared" si="52"/>
        <v>12</v>
      </c>
      <c r="AZ52" s="1662" t="str">
        <f t="shared" si="6"/>
        <v>Correct</v>
      </c>
      <c r="BA52" s="1584" t="s">
        <v>285</v>
      </c>
      <c r="BB52" s="1048" t="s">
        <v>201</v>
      </c>
      <c r="BC52" s="314" t="str">
        <f>IFERROR(INDEX('[11]Annex 2_Code'!$J$122:$J$139,MATCH('Annex 4_MoWRAM'!BA52,'[11]Annex 2_Code'!$G$122:$G$139,0)),"")</f>
        <v>MOWRAM</v>
      </c>
      <c r="BD52" s="1084" t="str">
        <f t="shared" si="33"/>
        <v>MOWRAM</v>
      </c>
    </row>
    <row r="53" spans="1:56" s="308" customFormat="1" ht="15">
      <c r="A53" s="531" t="str">
        <f t="shared" si="58"/>
        <v>PMO</v>
      </c>
      <c r="B53" s="531" t="str">
        <f t="shared" si="58"/>
        <v>PMO</v>
      </c>
      <c r="C53" s="531" t="s">
        <v>41</v>
      </c>
      <c r="D53" s="612"/>
      <c r="E53" s="52" t="s">
        <v>437</v>
      </c>
      <c r="F53" s="52"/>
      <c r="G53" s="52"/>
      <c r="H53" s="52"/>
      <c r="I53" s="52"/>
      <c r="J53" s="1646"/>
      <c r="K53" s="491" t="s">
        <v>445</v>
      </c>
      <c r="L53" s="2541">
        <f>40000/1000</f>
        <v>40</v>
      </c>
      <c r="M53" s="1592">
        <v>0</v>
      </c>
      <c r="N53" s="1592">
        <v>10</v>
      </c>
      <c r="O53" s="1592">
        <v>10</v>
      </c>
      <c r="P53" s="1592">
        <v>0</v>
      </c>
      <c r="Q53" s="1998">
        <f t="shared" si="59"/>
        <v>20</v>
      </c>
      <c r="R53" s="2545">
        <v>0</v>
      </c>
      <c r="S53" s="2546">
        <f>(29160+888)/1000</f>
        <v>30.047999999999998</v>
      </c>
      <c r="T53" s="2546">
        <f>L53-S53</f>
        <v>9.9520000000000017</v>
      </c>
      <c r="U53" s="2546">
        <v>0</v>
      </c>
      <c r="V53" s="2547">
        <f t="shared" si="60"/>
        <v>40</v>
      </c>
      <c r="W53" s="32"/>
      <c r="X53" s="551">
        <f>IFERROR(INDEX('[11]Annex 2_Code'!I$8:I$33,MATCH('Annex 4_MoWRAM'!$BB53,'[11]Annex 2_Code'!$G$8:$G$33,0)),"")</f>
        <v>0</v>
      </c>
      <c r="Y53" s="552">
        <f>IFERROR(INDEX('[11]Annex 2_Code'!J$8:J$33,MATCH('Annex 4_MoWRAM'!$BB53,'[11]Annex 2_Code'!$G$8:$G$33,0)),"")</f>
        <v>0</v>
      </c>
      <c r="Z53" s="1630">
        <f>IFERROR(INDEX('[11]Annex 2_Code'!K$8:K$33,MATCH('Annex 4_MoWRAM'!$BB53,'[11]Annex 2_Code'!$G$8:$G$33,0)),"")</f>
        <v>1</v>
      </c>
      <c r="AA53" s="552">
        <f>IFERROR(INDEX('[11]Annex 2_Code'!L$8:L$33,MATCH('Annex 4_MoWRAM'!$BB53,'[11]Annex 2_Code'!$G$8:$G$33,0)),"")</f>
        <v>0</v>
      </c>
      <c r="AB53" s="553">
        <f>IFERROR(INDEX('[11]Annex 2_Code'!M$8:M$33,MATCH('Annex 4_MoWRAM'!$BB53,'[11]Annex 2_Code'!$G$8:$G$33,0)),"")</f>
        <v>0</v>
      </c>
      <c r="AC53" s="31"/>
      <c r="AD53" s="547">
        <f t="shared" ref="AD53:AH63" si="61">IFERROR($V53*X53,"")</f>
        <v>0</v>
      </c>
      <c r="AE53" s="79">
        <f t="shared" si="61"/>
        <v>0</v>
      </c>
      <c r="AF53" s="79">
        <f t="shared" si="61"/>
        <v>40</v>
      </c>
      <c r="AG53" s="79">
        <f t="shared" si="61"/>
        <v>0</v>
      </c>
      <c r="AH53" s="549">
        <f t="shared" si="61"/>
        <v>0</v>
      </c>
      <c r="AI53" s="74">
        <f t="shared" si="54"/>
        <v>0</v>
      </c>
      <c r="AJ53" s="74">
        <f t="shared" si="54"/>
        <v>0</v>
      </c>
      <c r="AK53" s="74">
        <f t="shared" si="54"/>
        <v>0</v>
      </c>
      <c r="AL53" s="544">
        <f t="shared" si="54"/>
        <v>0</v>
      </c>
      <c r="AM53" s="548">
        <f t="shared" si="55"/>
        <v>0</v>
      </c>
      <c r="AN53" s="74">
        <f t="shared" si="55"/>
        <v>0</v>
      </c>
      <c r="AO53" s="74">
        <f t="shared" si="55"/>
        <v>0</v>
      </c>
      <c r="AP53" s="544">
        <f t="shared" si="55"/>
        <v>0</v>
      </c>
      <c r="AQ53" s="548">
        <f t="shared" si="56"/>
        <v>0</v>
      </c>
      <c r="AR53" s="74">
        <f>$Z53*S53</f>
        <v>30.047999999999998</v>
      </c>
      <c r="AS53" s="74">
        <f>$Z53*T53</f>
        <v>9.9520000000000017</v>
      </c>
      <c r="AT53" s="544">
        <f>$Z53*U53</f>
        <v>0</v>
      </c>
      <c r="AU53" s="546">
        <f t="shared" si="57"/>
        <v>0</v>
      </c>
      <c r="AV53" s="202">
        <f t="shared" si="57"/>
        <v>0</v>
      </c>
      <c r="AW53" s="202">
        <f t="shared" si="57"/>
        <v>0</v>
      </c>
      <c r="AX53" s="545">
        <f t="shared" si="57"/>
        <v>0</v>
      </c>
      <c r="AY53" s="550">
        <f t="shared" si="52"/>
        <v>40</v>
      </c>
      <c r="AZ53" s="1662" t="str">
        <f t="shared" si="6"/>
        <v>Correct</v>
      </c>
      <c r="BA53" s="1584" t="s">
        <v>285</v>
      </c>
      <c r="BB53" s="1048" t="s">
        <v>201</v>
      </c>
      <c r="BC53" s="314" t="str">
        <f>IFERROR(INDEX('[11]Annex 2_Code'!$J$122:$J$139,MATCH('Annex 4_MoWRAM'!BA53,'[11]Annex 2_Code'!$G$122:$G$139,0)),"")</f>
        <v>MOWRAM</v>
      </c>
      <c r="BD53" s="1084" t="str">
        <f t="shared" si="33"/>
        <v>MOWRAM</v>
      </c>
    </row>
    <row r="54" spans="1:56" s="308" customFormat="1" ht="15">
      <c r="A54" s="531" t="str">
        <f t="shared" si="58"/>
        <v>PMO</v>
      </c>
      <c r="B54" s="531" t="str">
        <f t="shared" si="58"/>
        <v>PMO</v>
      </c>
      <c r="C54" s="531" t="s">
        <v>41</v>
      </c>
      <c r="D54" s="612"/>
      <c r="E54" s="52" t="s">
        <v>438</v>
      </c>
      <c r="F54" s="52"/>
      <c r="G54" s="52"/>
      <c r="H54" s="52"/>
      <c r="I54" s="52"/>
      <c r="J54" s="1646"/>
      <c r="K54" s="491" t="s">
        <v>445</v>
      </c>
      <c r="L54" s="2541">
        <f>18000/1000</f>
        <v>18</v>
      </c>
      <c r="M54" s="1592">
        <v>0</v>
      </c>
      <c r="N54" s="1592">
        <v>0</v>
      </c>
      <c r="O54" s="1592">
        <v>10</v>
      </c>
      <c r="P54" s="1592">
        <v>0</v>
      </c>
      <c r="Q54" s="1998">
        <f t="shared" si="59"/>
        <v>10</v>
      </c>
      <c r="R54" s="2545">
        <v>0</v>
      </c>
      <c r="S54" s="2546">
        <v>0</v>
      </c>
      <c r="T54" s="2546">
        <f>L54</f>
        <v>18</v>
      </c>
      <c r="U54" s="2546">
        <v>0</v>
      </c>
      <c r="V54" s="2547">
        <f t="shared" si="60"/>
        <v>18</v>
      </c>
      <c r="W54" s="32"/>
      <c r="X54" s="551">
        <f>IFERROR(INDEX('[11]Annex 2_Code'!I$8:I$33,MATCH('Annex 4_MoWRAM'!$BB54,'[11]Annex 2_Code'!$G$8:$G$33,0)),"")</f>
        <v>0</v>
      </c>
      <c r="Y54" s="552">
        <f>IFERROR(INDEX('[11]Annex 2_Code'!J$8:J$33,MATCH('Annex 4_MoWRAM'!$BB54,'[11]Annex 2_Code'!$G$8:$G$33,0)),"")</f>
        <v>0</v>
      </c>
      <c r="Z54" s="1630">
        <f>IFERROR(INDEX('[11]Annex 2_Code'!K$8:K$33,MATCH('Annex 4_MoWRAM'!$BB54,'[11]Annex 2_Code'!$G$8:$G$33,0)),"")</f>
        <v>1</v>
      </c>
      <c r="AA54" s="552">
        <f>IFERROR(INDEX('[11]Annex 2_Code'!L$8:L$33,MATCH('Annex 4_MoWRAM'!$BB54,'[11]Annex 2_Code'!$G$8:$G$33,0)),"")</f>
        <v>0</v>
      </c>
      <c r="AB54" s="553">
        <f>IFERROR(INDEX('[11]Annex 2_Code'!M$8:M$33,MATCH('Annex 4_MoWRAM'!$BB54,'[11]Annex 2_Code'!$G$8:$G$33,0)),"")</f>
        <v>0</v>
      </c>
      <c r="AC54" s="31"/>
      <c r="AD54" s="547">
        <f t="shared" si="61"/>
        <v>0</v>
      </c>
      <c r="AE54" s="79">
        <f t="shared" si="61"/>
        <v>0</v>
      </c>
      <c r="AF54" s="79">
        <f t="shared" si="61"/>
        <v>18</v>
      </c>
      <c r="AG54" s="79">
        <f t="shared" si="61"/>
        <v>0</v>
      </c>
      <c r="AH54" s="549">
        <f t="shared" si="61"/>
        <v>0</v>
      </c>
      <c r="AI54" s="74">
        <f t="shared" si="54"/>
        <v>0</v>
      </c>
      <c r="AJ54" s="74">
        <f t="shared" si="54"/>
        <v>0</v>
      </c>
      <c r="AK54" s="74">
        <f t="shared" si="54"/>
        <v>0</v>
      </c>
      <c r="AL54" s="544">
        <f t="shared" si="54"/>
        <v>0</v>
      </c>
      <c r="AM54" s="548">
        <f t="shared" si="55"/>
        <v>0</v>
      </c>
      <c r="AN54" s="74">
        <f t="shared" si="55"/>
        <v>0</v>
      </c>
      <c r="AO54" s="74">
        <f t="shared" si="55"/>
        <v>0</v>
      </c>
      <c r="AP54" s="544">
        <f t="shared" si="55"/>
        <v>0</v>
      </c>
      <c r="AQ54" s="548">
        <f t="shared" si="56"/>
        <v>0</v>
      </c>
      <c r="AR54" s="74">
        <f t="shared" si="56"/>
        <v>0</v>
      </c>
      <c r="AS54" s="74">
        <f t="shared" si="56"/>
        <v>18</v>
      </c>
      <c r="AT54" s="544">
        <f t="shared" si="56"/>
        <v>0</v>
      </c>
      <c r="AU54" s="546">
        <f t="shared" si="57"/>
        <v>0</v>
      </c>
      <c r="AV54" s="202">
        <f t="shared" si="57"/>
        <v>0</v>
      </c>
      <c r="AW54" s="202">
        <f t="shared" si="57"/>
        <v>0</v>
      </c>
      <c r="AX54" s="545">
        <f t="shared" si="57"/>
        <v>0</v>
      </c>
      <c r="AY54" s="550">
        <f t="shared" si="52"/>
        <v>18</v>
      </c>
      <c r="AZ54" s="1662" t="str">
        <f t="shared" si="6"/>
        <v>Correct</v>
      </c>
      <c r="BA54" s="1584" t="s">
        <v>285</v>
      </c>
      <c r="BB54" s="1048" t="s">
        <v>201</v>
      </c>
      <c r="BC54" s="314" t="str">
        <f>IFERROR(INDEX('[11]Annex 2_Code'!$J$122:$J$139,MATCH('Annex 4_MoWRAM'!BA54,'[11]Annex 2_Code'!$G$122:$G$139,0)),"")</f>
        <v>MOWRAM</v>
      </c>
      <c r="BD54" s="1084" t="str">
        <f t="shared" si="33"/>
        <v>MOWRAM</v>
      </c>
    </row>
    <row r="55" spans="1:56" s="308" customFormat="1" ht="15">
      <c r="A55" s="531" t="str">
        <f t="shared" si="58"/>
        <v>PMO</v>
      </c>
      <c r="B55" s="531" t="str">
        <f t="shared" si="58"/>
        <v>PMO</v>
      </c>
      <c r="C55" s="531" t="s">
        <v>41</v>
      </c>
      <c r="D55" s="612"/>
      <c r="E55" s="52" t="s">
        <v>439</v>
      </c>
      <c r="F55" s="52"/>
      <c r="G55" s="52"/>
      <c r="H55" s="52"/>
      <c r="I55" s="52"/>
      <c r="J55" s="1646"/>
      <c r="K55" s="491" t="s">
        <v>445</v>
      </c>
      <c r="L55" s="2541">
        <f>20000/1000</f>
        <v>20</v>
      </c>
      <c r="M55" s="1592">
        <v>0</v>
      </c>
      <c r="N55" s="1592">
        <v>0</v>
      </c>
      <c r="O55" s="1592">
        <v>10</v>
      </c>
      <c r="P55" s="1592">
        <v>10</v>
      </c>
      <c r="Q55" s="1998">
        <f t="shared" si="59"/>
        <v>20</v>
      </c>
      <c r="R55" s="2545">
        <v>0</v>
      </c>
      <c r="S55" s="2546">
        <v>0</v>
      </c>
      <c r="T55" s="2546">
        <f>(5981+7698)/1000</f>
        <v>13.679</v>
      </c>
      <c r="U55" s="2546">
        <f>L55-T55</f>
        <v>6.3209999999999997</v>
      </c>
      <c r="V55" s="2547">
        <f t="shared" si="60"/>
        <v>20</v>
      </c>
      <c r="W55" s="32"/>
      <c r="X55" s="551">
        <f>IFERROR(INDEX('[11]Annex 2_Code'!I$8:I$33,MATCH('Annex 4_MoWRAM'!$BB55,'[11]Annex 2_Code'!$G$8:$G$33,0)),"")</f>
        <v>0</v>
      </c>
      <c r="Y55" s="552">
        <f>IFERROR(INDEX('[11]Annex 2_Code'!J$8:J$33,MATCH('Annex 4_MoWRAM'!$BB55,'[11]Annex 2_Code'!$G$8:$G$33,0)),"")</f>
        <v>0</v>
      </c>
      <c r="Z55" s="1630">
        <f>IFERROR(INDEX('[11]Annex 2_Code'!K$8:K$33,MATCH('Annex 4_MoWRAM'!$BB55,'[11]Annex 2_Code'!$G$8:$G$33,0)),"")</f>
        <v>1</v>
      </c>
      <c r="AA55" s="552">
        <f>IFERROR(INDEX('[11]Annex 2_Code'!L$8:L$33,MATCH('Annex 4_MoWRAM'!$BB55,'[11]Annex 2_Code'!$G$8:$G$33,0)),"")</f>
        <v>0</v>
      </c>
      <c r="AB55" s="553">
        <f>IFERROR(INDEX('[11]Annex 2_Code'!M$8:M$33,MATCH('Annex 4_MoWRAM'!$BB55,'[11]Annex 2_Code'!$G$8:$G$33,0)),"")</f>
        <v>0</v>
      </c>
      <c r="AC55" s="31"/>
      <c r="AD55" s="547">
        <f t="shared" si="61"/>
        <v>0</v>
      </c>
      <c r="AE55" s="79">
        <f t="shared" si="61"/>
        <v>0</v>
      </c>
      <c r="AF55" s="79">
        <f t="shared" si="61"/>
        <v>20</v>
      </c>
      <c r="AG55" s="79">
        <f t="shared" si="61"/>
        <v>0</v>
      </c>
      <c r="AH55" s="549">
        <f>IFERROR($V55*AB55,"")</f>
        <v>0</v>
      </c>
      <c r="AI55" s="74">
        <f t="shared" si="54"/>
        <v>0</v>
      </c>
      <c r="AJ55" s="74">
        <f t="shared" si="54"/>
        <v>0</v>
      </c>
      <c r="AK55" s="74">
        <f t="shared" si="54"/>
        <v>0</v>
      </c>
      <c r="AL55" s="544">
        <f t="shared" si="54"/>
        <v>0</v>
      </c>
      <c r="AM55" s="548">
        <f t="shared" si="55"/>
        <v>0</v>
      </c>
      <c r="AN55" s="74">
        <f t="shared" si="55"/>
        <v>0</v>
      </c>
      <c r="AO55" s="74">
        <f t="shared" si="55"/>
        <v>0</v>
      </c>
      <c r="AP55" s="544">
        <f t="shared" si="55"/>
        <v>0</v>
      </c>
      <c r="AQ55" s="548">
        <f t="shared" si="56"/>
        <v>0</v>
      </c>
      <c r="AR55" s="74">
        <f t="shared" si="56"/>
        <v>0</v>
      </c>
      <c r="AS55" s="74">
        <f t="shared" si="56"/>
        <v>13.679</v>
      </c>
      <c r="AT55" s="544">
        <f t="shared" si="56"/>
        <v>6.3209999999999997</v>
      </c>
      <c r="AU55" s="546">
        <f t="shared" si="57"/>
        <v>0</v>
      </c>
      <c r="AV55" s="202">
        <f t="shared" si="57"/>
        <v>0</v>
      </c>
      <c r="AW55" s="202">
        <f t="shared" si="57"/>
        <v>0</v>
      </c>
      <c r="AX55" s="545">
        <f t="shared" si="57"/>
        <v>0</v>
      </c>
      <c r="AY55" s="550">
        <f t="shared" si="52"/>
        <v>20</v>
      </c>
      <c r="AZ55" s="1662" t="str">
        <f t="shared" si="6"/>
        <v>Correct</v>
      </c>
      <c r="BA55" s="1584" t="s">
        <v>285</v>
      </c>
      <c r="BB55" s="1048" t="s">
        <v>201</v>
      </c>
      <c r="BC55" s="314" t="str">
        <f>IFERROR(INDEX('[11]Annex 2_Code'!$J$122:$J$139,MATCH('Annex 4_MoWRAM'!BA55,'[11]Annex 2_Code'!$G$122:$G$139,0)),"")</f>
        <v>MOWRAM</v>
      </c>
      <c r="BD55" s="1084" t="str">
        <f t="shared" si="33"/>
        <v>MOWRAM</v>
      </c>
    </row>
    <row r="56" spans="1:56" s="308" customFormat="1" ht="15">
      <c r="A56" s="531" t="str">
        <f t="shared" si="58"/>
        <v>PMO</v>
      </c>
      <c r="B56" s="531" t="str">
        <f t="shared" si="58"/>
        <v>PMO</v>
      </c>
      <c r="C56" s="531" t="s">
        <v>41</v>
      </c>
      <c r="D56" s="612"/>
      <c r="E56" s="52" t="s">
        <v>440</v>
      </c>
      <c r="F56" s="52"/>
      <c r="G56" s="52"/>
      <c r="H56" s="52"/>
      <c r="I56" s="52"/>
      <c r="J56" s="1646"/>
      <c r="K56" s="491" t="s">
        <v>445</v>
      </c>
      <c r="L56" s="2542">
        <f>7000/1000</f>
        <v>7</v>
      </c>
      <c r="M56" s="1592">
        <v>0</v>
      </c>
      <c r="N56" s="1592">
        <v>0</v>
      </c>
      <c r="O56" s="1592">
        <v>0</v>
      </c>
      <c r="P56" s="1592">
        <v>10</v>
      </c>
      <c r="Q56" s="1998">
        <f t="shared" si="59"/>
        <v>10</v>
      </c>
      <c r="R56" s="2545">
        <v>0</v>
      </c>
      <c r="S56" s="2546">
        <v>0</v>
      </c>
      <c r="T56" s="2546">
        <v>0</v>
      </c>
      <c r="U56" s="2546">
        <f>L56</f>
        <v>7</v>
      </c>
      <c r="V56" s="2547">
        <f t="shared" si="60"/>
        <v>7</v>
      </c>
      <c r="W56" s="32"/>
      <c r="X56" s="551">
        <f>IFERROR(INDEX('[11]Annex 2_Code'!I$8:I$33,MATCH('Annex 4_MoWRAM'!$BB56,'[11]Annex 2_Code'!$G$8:$G$33,0)),"")</f>
        <v>0</v>
      </c>
      <c r="Y56" s="552">
        <f>IFERROR(INDEX('[11]Annex 2_Code'!J$8:J$33,MATCH('Annex 4_MoWRAM'!$BB56,'[11]Annex 2_Code'!$G$8:$G$33,0)),"")</f>
        <v>0</v>
      </c>
      <c r="Z56" s="1630">
        <f>IFERROR(INDEX('[11]Annex 2_Code'!K$8:K$33,MATCH('Annex 4_MoWRAM'!$BB56,'[11]Annex 2_Code'!$G$8:$G$33,0)),"")</f>
        <v>1</v>
      </c>
      <c r="AA56" s="552">
        <f>IFERROR(INDEX('[11]Annex 2_Code'!L$8:L$33,MATCH('Annex 4_MoWRAM'!$BB56,'[11]Annex 2_Code'!$G$8:$G$33,0)),"")</f>
        <v>0</v>
      </c>
      <c r="AB56" s="553">
        <f>IFERROR(INDEX('[11]Annex 2_Code'!M$8:M$33,MATCH('Annex 4_MoWRAM'!$BB56,'[11]Annex 2_Code'!$G$8:$G$33,0)),"")</f>
        <v>0</v>
      </c>
      <c r="AC56" s="31"/>
      <c r="AD56" s="547">
        <f t="shared" si="61"/>
        <v>0</v>
      </c>
      <c r="AE56" s="79">
        <f t="shared" si="61"/>
        <v>0</v>
      </c>
      <c r="AF56" s="79">
        <f t="shared" si="61"/>
        <v>7</v>
      </c>
      <c r="AG56" s="79">
        <f t="shared" si="61"/>
        <v>0</v>
      </c>
      <c r="AH56" s="549">
        <f t="shared" si="61"/>
        <v>0</v>
      </c>
      <c r="AI56" s="74">
        <f t="shared" si="54"/>
        <v>0</v>
      </c>
      <c r="AJ56" s="74">
        <f t="shared" si="54"/>
        <v>0</v>
      </c>
      <c r="AK56" s="74">
        <f t="shared" si="54"/>
        <v>0</v>
      </c>
      <c r="AL56" s="544">
        <f t="shared" si="54"/>
        <v>0</v>
      </c>
      <c r="AM56" s="548">
        <f t="shared" si="55"/>
        <v>0</v>
      </c>
      <c r="AN56" s="74">
        <f t="shared" si="55"/>
        <v>0</v>
      </c>
      <c r="AO56" s="74">
        <f t="shared" si="55"/>
        <v>0</v>
      </c>
      <c r="AP56" s="544">
        <f t="shared" si="55"/>
        <v>0</v>
      </c>
      <c r="AQ56" s="548">
        <f t="shared" si="56"/>
        <v>0</v>
      </c>
      <c r="AR56" s="74">
        <f t="shared" si="56"/>
        <v>0</v>
      </c>
      <c r="AS56" s="74">
        <f t="shared" si="56"/>
        <v>0</v>
      </c>
      <c r="AT56" s="544">
        <f t="shared" si="56"/>
        <v>7</v>
      </c>
      <c r="AU56" s="546">
        <f t="shared" si="57"/>
        <v>0</v>
      </c>
      <c r="AV56" s="202">
        <f t="shared" si="57"/>
        <v>0</v>
      </c>
      <c r="AW56" s="202">
        <f t="shared" si="57"/>
        <v>0</v>
      </c>
      <c r="AX56" s="545">
        <f t="shared" si="57"/>
        <v>0</v>
      </c>
      <c r="AY56" s="550">
        <f t="shared" si="52"/>
        <v>7</v>
      </c>
      <c r="AZ56" s="1662" t="str">
        <f t="shared" si="6"/>
        <v>Correct</v>
      </c>
      <c r="BA56" s="1584" t="s">
        <v>285</v>
      </c>
      <c r="BB56" s="1048" t="s">
        <v>201</v>
      </c>
      <c r="BC56" s="314" t="str">
        <f>IFERROR(INDEX('[11]Annex 2_Code'!$J$122:$J$139,MATCH('Annex 4_MoWRAM'!BA56,'[11]Annex 2_Code'!$G$122:$G$139,0)),"")</f>
        <v>MOWRAM</v>
      </c>
      <c r="BD56" s="1084" t="str">
        <f t="shared" si="33"/>
        <v>MOWRAM</v>
      </c>
    </row>
    <row r="57" spans="1:56" s="308" customFormat="1" ht="15">
      <c r="A57" s="531" t="str">
        <f t="shared" si="58"/>
        <v>PMO</v>
      </c>
      <c r="B57" s="531" t="str">
        <f t="shared" si="58"/>
        <v>PMO</v>
      </c>
      <c r="C57" s="531" t="s">
        <v>41</v>
      </c>
      <c r="D57" s="612"/>
      <c r="E57" s="52" t="s">
        <v>1320</v>
      </c>
      <c r="F57" s="52"/>
      <c r="G57" s="52"/>
      <c r="H57" s="52"/>
      <c r="I57" s="52"/>
      <c r="J57" s="1646"/>
      <c r="K57" s="491" t="s">
        <v>445</v>
      </c>
      <c r="L57" s="2543">
        <f>24000/1000</f>
        <v>24</v>
      </c>
      <c r="M57" s="1592"/>
      <c r="N57" s="1592">
        <v>0</v>
      </c>
      <c r="O57" s="1592">
        <v>0</v>
      </c>
      <c r="P57" s="1592">
        <v>10</v>
      </c>
      <c r="Q57" s="1998">
        <f t="shared" si="59"/>
        <v>10</v>
      </c>
      <c r="R57" s="2545">
        <v>0</v>
      </c>
      <c r="S57" s="2546">
        <v>0</v>
      </c>
      <c r="T57" s="2546">
        <v>0</v>
      </c>
      <c r="U57" s="2546">
        <f>L57</f>
        <v>24</v>
      </c>
      <c r="V57" s="2547">
        <f t="shared" si="60"/>
        <v>24</v>
      </c>
      <c r="W57" s="32"/>
      <c r="X57" s="551">
        <f>IFERROR(INDEX('[11]Annex 2_Code'!I$8:I$33,MATCH('Annex 4_MoWRAM'!$BB57,'[11]Annex 2_Code'!$G$8:$G$33,0)),"")</f>
        <v>0</v>
      </c>
      <c r="Y57" s="552">
        <f>IFERROR(INDEX('[11]Annex 2_Code'!J$8:J$33,MATCH('Annex 4_MoWRAM'!$BB57,'[11]Annex 2_Code'!$G$8:$G$33,0)),"")</f>
        <v>0</v>
      </c>
      <c r="Z57" s="1630">
        <f>IFERROR(INDEX('[11]Annex 2_Code'!K$8:K$33,MATCH('Annex 4_MoWRAM'!$BB57,'[11]Annex 2_Code'!$G$8:$G$33,0)),"")</f>
        <v>1</v>
      </c>
      <c r="AA57" s="552">
        <f>IFERROR(INDEX('[11]Annex 2_Code'!L$8:L$33,MATCH('Annex 4_MoWRAM'!$BB57,'[11]Annex 2_Code'!$G$8:$G$33,0)),"")</f>
        <v>0</v>
      </c>
      <c r="AB57" s="553">
        <f>IFERROR(INDEX('[11]Annex 2_Code'!M$8:M$33,MATCH('Annex 4_MoWRAM'!$BB57,'[11]Annex 2_Code'!$G$8:$G$33,0)),"")</f>
        <v>0</v>
      </c>
      <c r="AC57" s="31"/>
      <c r="AD57" s="547">
        <f t="shared" si="61"/>
        <v>0</v>
      </c>
      <c r="AE57" s="79">
        <f t="shared" si="61"/>
        <v>0</v>
      </c>
      <c r="AF57" s="79">
        <f t="shared" si="61"/>
        <v>24</v>
      </c>
      <c r="AG57" s="79">
        <f t="shared" si="61"/>
        <v>0</v>
      </c>
      <c r="AH57" s="549">
        <f t="shared" si="61"/>
        <v>0</v>
      </c>
      <c r="AI57" s="74">
        <f t="shared" si="54"/>
        <v>0</v>
      </c>
      <c r="AJ57" s="74">
        <f t="shared" si="54"/>
        <v>0</v>
      </c>
      <c r="AK57" s="74">
        <f t="shared" si="54"/>
        <v>0</v>
      </c>
      <c r="AL57" s="544">
        <f t="shared" si="54"/>
        <v>0</v>
      </c>
      <c r="AM57" s="548">
        <f t="shared" si="55"/>
        <v>0</v>
      </c>
      <c r="AN57" s="74">
        <f t="shared" si="55"/>
        <v>0</v>
      </c>
      <c r="AO57" s="74">
        <f t="shared" si="55"/>
        <v>0</v>
      </c>
      <c r="AP57" s="544">
        <f t="shared" si="55"/>
        <v>0</v>
      </c>
      <c r="AQ57" s="548">
        <f t="shared" si="56"/>
        <v>0</v>
      </c>
      <c r="AR57" s="74">
        <f t="shared" si="56"/>
        <v>0</v>
      </c>
      <c r="AS57" s="74">
        <f t="shared" si="56"/>
        <v>0</v>
      </c>
      <c r="AT57" s="544">
        <f t="shared" si="56"/>
        <v>24</v>
      </c>
      <c r="AU57" s="546">
        <f t="shared" si="57"/>
        <v>0</v>
      </c>
      <c r="AV57" s="202">
        <f t="shared" si="57"/>
        <v>0</v>
      </c>
      <c r="AW57" s="202">
        <f t="shared" si="57"/>
        <v>0</v>
      </c>
      <c r="AX57" s="545">
        <f t="shared" si="57"/>
        <v>0</v>
      </c>
      <c r="AY57" s="550">
        <f t="shared" si="52"/>
        <v>24</v>
      </c>
      <c r="AZ57" s="1662" t="str">
        <f t="shared" si="6"/>
        <v>Correct</v>
      </c>
      <c r="BA57" s="1584" t="s">
        <v>285</v>
      </c>
      <c r="BB57" s="1048" t="s">
        <v>201</v>
      </c>
      <c r="BC57" s="314" t="str">
        <f>IFERROR(INDEX('[11]Annex 2_Code'!$J$122:$J$139,MATCH('Annex 4_MoWRAM'!BA57,'[11]Annex 2_Code'!$G$122:$G$139,0)),"")</f>
        <v>MOWRAM</v>
      </c>
      <c r="BD57" s="1084" t="str">
        <f t="shared" si="33"/>
        <v>MOWRAM</v>
      </c>
    </row>
    <row r="58" spans="1:56" s="308" customFormat="1" ht="16.5">
      <c r="A58" s="531"/>
      <c r="B58" s="531"/>
      <c r="C58" s="531"/>
      <c r="D58" s="612"/>
      <c r="E58" s="53" t="s">
        <v>446</v>
      </c>
      <c r="F58" s="53"/>
      <c r="G58" s="53"/>
      <c r="H58" s="53"/>
      <c r="I58" s="53"/>
      <c r="J58" s="2002"/>
      <c r="K58" s="2003"/>
      <c r="L58" s="2544"/>
      <c r="M58" s="1816"/>
      <c r="N58" s="1816"/>
      <c r="O58" s="1816"/>
      <c r="P58" s="1816"/>
      <c r="Q58" s="2004"/>
      <c r="R58" s="2548">
        <f>SUM(R50:R57)</f>
        <v>37</v>
      </c>
      <c r="S58" s="2549">
        <f>SUM(S50:S57)</f>
        <v>42.048000000000002</v>
      </c>
      <c r="T58" s="2549">
        <f t="shared" ref="T58:U58" si="62">SUM(T50:T57)</f>
        <v>41.631</v>
      </c>
      <c r="U58" s="2549">
        <f t="shared" si="62"/>
        <v>37.320999999999998</v>
      </c>
      <c r="V58" s="2550">
        <f>SUM(V50:V57)</f>
        <v>158</v>
      </c>
      <c r="W58" s="32"/>
      <c r="X58" s="551" t="str">
        <f>IFERROR(INDEX('[11]Annex 2_Code'!I$8:I$33,MATCH('Annex 4_MoWRAM'!$BB58,'[11]Annex 2_Code'!$G$8:$G$33,0)),"")</f>
        <v/>
      </c>
      <c r="Y58" s="552" t="str">
        <f>IFERROR(INDEX('[11]Annex 2_Code'!J$8:J$33,MATCH('Annex 4_MoWRAM'!$BB58,'[11]Annex 2_Code'!$G$8:$G$33,0)),"")</f>
        <v/>
      </c>
      <c r="Z58" s="1630" t="str">
        <f>IFERROR(INDEX('[11]Annex 2_Code'!K$8:K$33,MATCH('Annex 4_MoWRAM'!$BB58,'[11]Annex 2_Code'!$G$8:$G$33,0)),"")</f>
        <v/>
      </c>
      <c r="AA58" s="552" t="str">
        <f>IFERROR(INDEX('[11]Annex 2_Code'!L$8:L$33,MATCH('Annex 4_MoWRAM'!$BB58,'[11]Annex 2_Code'!$G$8:$G$33,0)),"")</f>
        <v/>
      </c>
      <c r="AB58" s="553" t="str">
        <f>IFERROR(INDEX('[11]Annex 2_Code'!M$8:M$33,MATCH('Annex 4_MoWRAM'!$BB58,'[11]Annex 2_Code'!$G$8:$G$33,0)),"")</f>
        <v/>
      </c>
      <c r="AC58" s="31"/>
      <c r="AD58" s="547"/>
      <c r="AE58" s="79"/>
      <c r="AF58" s="79"/>
      <c r="AG58" s="79"/>
      <c r="AH58" s="549"/>
      <c r="AI58" s="74"/>
      <c r="AJ58" s="74"/>
      <c r="AK58" s="74"/>
      <c r="AL58" s="544"/>
      <c r="AM58" s="548"/>
      <c r="AN58" s="74"/>
      <c r="AO58" s="74"/>
      <c r="AP58" s="544"/>
      <c r="AQ58" s="548"/>
      <c r="AR58" s="74"/>
      <c r="AS58" s="74"/>
      <c r="AT58" s="544"/>
      <c r="AU58" s="546"/>
      <c r="AV58" s="202"/>
      <c r="AW58" s="202"/>
      <c r="AX58" s="545"/>
      <c r="AY58" s="550">
        <f>SUM(AY48:AY57)</f>
        <v>158</v>
      </c>
      <c r="AZ58" s="1662" t="str">
        <f t="shared" si="6"/>
        <v>Correct</v>
      </c>
      <c r="BA58" s="1584"/>
      <c r="BB58" s="1048"/>
      <c r="BC58" s="314"/>
      <c r="BD58" s="1084"/>
    </row>
    <row r="59" spans="1:56" s="308" customFormat="1">
      <c r="A59" s="531"/>
      <c r="B59" s="531"/>
      <c r="C59" s="531"/>
      <c r="D59" s="53" t="s">
        <v>1321</v>
      </c>
      <c r="E59" s="52"/>
      <c r="F59" s="52"/>
      <c r="G59" s="52"/>
      <c r="H59" s="52"/>
      <c r="I59" s="52"/>
      <c r="J59" s="52"/>
      <c r="K59" s="491"/>
      <c r="L59" s="2541"/>
      <c r="M59" s="1592"/>
      <c r="N59" s="1592"/>
      <c r="O59" s="1592"/>
      <c r="P59" s="1592"/>
      <c r="Q59" s="1998"/>
      <c r="R59" s="2545"/>
      <c r="S59" s="2546"/>
      <c r="T59" s="2546"/>
      <c r="U59" s="2546"/>
      <c r="V59" s="2550"/>
      <c r="W59" s="32"/>
      <c r="X59" s="551"/>
      <c r="Y59" s="552"/>
      <c r="Z59" s="1630"/>
      <c r="AA59" s="552"/>
      <c r="AB59" s="553"/>
      <c r="AC59" s="31"/>
      <c r="AD59" s="547"/>
      <c r="AE59" s="79"/>
      <c r="AF59" s="79"/>
      <c r="AG59" s="79"/>
      <c r="AH59" s="549"/>
      <c r="AI59" s="74"/>
      <c r="AJ59" s="74"/>
      <c r="AK59" s="74"/>
      <c r="AL59" s="544"/>
      <c r="AM59" s="548"/>
      <c r="AN59" s="74"/>
      <c r="AO59" s="74"/>
      <c r="AP59" s="544"/>
      <c r="AQ59" s="548"/>
      <c r="AR59" s="74"/>
      <c r="AS59" s="74"/>
      <c r="AT59" s="544"/>
      <c r="AU59" s="546"/>
      <c r="AV59" s="202"/>
      <c r="AW59" s="202"/>
      <c r="AX59" s="545"/>
      <c r="AY59" s="550"/>
      <c r="AZ59" s="1662"/>
      <c r="BA59" s="1584"/>
      <c r="BB59" s="1048"/>
      <c r="BC59" s="314"/>
      <c r="BD59" s="1084"/>
    </row>
    <row r="60" spans="1:56" s="308" customFormat="1" ht="14.25">
      <c r="A60" s="531" t="str">
        <f t="shared" ref="A60:B63" si="63">IF(ISNUMBER(FIND("-",B60,1))=FALSE,LEFT(B60,LEN(B60)),LEFT(B60,(FIND("-",B60,1))-1))</f>
        <v>PMO</v>
      </c>
      <c r="B60" s="531" t="str">
        <f t="shared" si="63"/>
        <v>PMO</v>
      </c>
      <c r="C60" s="531" t="s">
        <v>41</v>
      </c>
      <c r="D60" s="307">
        <v>1</v>
      </c>
      <c r="E60" s="52" t="s">
        <v>441</v>
      </c>
      <c r="F60" s="52"/>
      <c r="G60" s="52"/>
      <c r="H60" s="52"/>
      <c r="I60" s="52"/>
      <c r="J60" s="1646"/>
      <c r="K60" s="491" t="s">
        <v>122</v>
      </c>
      <c r="L60" s="2541">
        <f>2300/1000</f>
        <v>2.2999999999999998</v>
      </c>
      <c r="M60" s="1592">
        <v>5</v>
      </c>
      <c r="N60" s="1592">
        <v>0</v>
      </c>
      <c r="O60" s="1592">
        <v>0</v>
      </c>
      <c r="P60" s="1592">
        <v>0</v>
      </c>
      <c r="Q60" s="1998">
        <f>SUM(M60:P60)</f>
        <v>5</v>
      </c>
      <c r="R60" s="2545">
        <f>L60*M60</f>
        <v>11.5</v>
      </c>
      <c r="S60" s="2546">
        <v>0</v>
      </c>
      <c r="T60" s="2546">
        <v>0</v>
      </c>
      <c r="U60" s="2546">
        <v>0</v>
      </c>
      <c r="V60" s="2547">
        <f>SUM(R60:U60)</f>
        <v>11.5</v>
      </c>
      <c r="W60" s="32"/>
      <c r="X60" s="551">
        <f>IFERROR(INDEX('[11]Annex 2_Code'!I$8:I$33,MATCH('Annex 4_MoWRAM'!$BB60,'[11]Annex 2_Code'!$G$8:$G$33,0)),"")</f>
        <v>0</v>
      </c>
      <c r="Y60" s="552">
        <f>IFERROR(INDEX('[11]Annex 2_Code'!J$8:J$33,MATCH('Annex 4_MoWRAM'!$BB60,'[11]Annex 2_Code'!$G$8:$G$33,0)),"")</f>
        <v>0</v>
      </c>
      <c r="Z60" s="1630">
        <f>IFERROR(INDEX('[11]Annex 2_Code'!K$8:K$33,MATCH('Annex 4_MoWRAM'!$BB60,'[11]Annex 2_Code'!$G$8:$G$33,0)),"")</f>
        <v>1</v>
      </c>
      <c r="AA60" s="552">
        <f>IFERROR(INDEX('[11]Annex 2_Code'!L$8:L$33,MATCH('Annex 4_MoWRAM'!$BB60,'[11]Annex 2_Code'!$G$8:$G$33,0)),"")</f>
        <v>0</v>
      </c>
      <c r="AB60" s="553">
        <f>IFERROR(INDEX('[11]Annex 2_Code'!M$8:M$33,MATCH('Annex 4_MoWRAM'!$BB60,'[11]Annex 2_Code'!$G$8:$G$33,0)),"")</f>
        <v>0</v>
      </c>
      <c r="AC60" s="31"/>
      <c r="AD60" s="547">
        <f t="shared" si="61"/>
        <v>0</v>
      </c>
      <c r="AE60" s="79">
        <f t="shared" si="61"/>
        <v>0</v>
      </c>
      <c r="AF60" s="79">
        <f t="shared" si="61"/>
        <v>11.5</v>
      </c>
      <c r="AG60" s="79">
        <f t="shared" si="61"/>
        <v>0</v>
      </c>
      <c r="AH60" s="549">
        <f t="shared" si="61"/>
        <v>0</v>
      </c>
      <c r="AI60" s="74">
        <f t="shared" si="54"/>
        <v>0</v>
      </c>
      <c r="AJ60" s="74">
        <f t="shared" si="54"/>
        <v>0</v>
      </c>
      <c r="AK60" s="74">
        <f t="shared" si="54"/>
        <v>0</v>
      </c>
      <c r="AL60" s="544">
        <f t="shared" si="54"/>
        <v>0</v>
      </c>
      <c r="AM60" s="548">
        <f t="shared" si="55"/>
        <v>0</v>
      </c>
      <c r="AN60" s="74">
        <f t="shared" si="55"/>
        <v>0</v>
      </c>
      <c r="AO60" s="74">
        <f t="shared" si="55"/>
        <v>0</v>
      </c>
      <c r="AP60" s="544">
        <f t="shared" si="55"/>
        <v>0</v>
      </c>
      <c r="AQ60" s="548">
        <f>$Z60*R60</f>
        <v>11.5</v>
      </c>
      <c r="AR60" s="74">
        <f>$Z60*S60</f>
        <v>0</v>
      </c>
      <c r="AS60" s="74">
        <f>$Z60*T60</f>
        <v>0</v>
      </c>
      <c r="AT60" s="544">
        <f t="shared" si="56"/>
        <v>0</v>
      </c>
      <c r="AU60" s="546">
        <f t="shared" si="57"/>
        <v>0</v>
      </c>
      <c r="AV60" s="202">
        <f t="shared" si="57"/>
        <v>0</v>
      </c>
      <c r="AW60" s="202">
        <f t="shared" si="57"/>
        <v>0</v>
      </c>
      <c r="AX60" s="545">
        <f t="shared" si="57"/>
        <v>0</v>
      </c>
      <c r="AY60" s="550">
        <f t="shared" si="52"/>
        <v>11.5</v>
      </c>
      <c r="AZ60" s="1662" t="str">
        <f t="shared" si="6"/>
        <v>Correct</v>
      </c>
      <c r="BA60" s="1584" t="s">
        <v>285</v>
      </c>
      <c r="BB60" s="1048" t="s">
        <v>201</v>
      </c>
      <c r="BC60" s="314" t="str">
        <f>IFERROR(INDEX('[11]Annex 2_Code'!$J$122:$J$139,MATCH('Annex 4_MoWRAM'!BA60,'[11]Annex 2_Code'!$G$122:$G$139,0)),"")</f>
        <v>MOWRAM</v>
      </c>
      <c r="BD60" s="1084" t="str">
        <f t="shared" si="33"/>
        <v>MOWRAM</v>
      </c>
    </row>
    <row r="61" spans="1:56" s="308" customFormat="1" ht="15.75">
      <c r="A61" s="531" t="str">
        <f t="shared" si="63"/>
        <v>PMO</v>
      </c>
      <c r="B61" s="531" t="str">
        <f t="shared" si="63"/>
        <v>PMO</v>
      </c>
      <c r="C61" s="531" t="s">
        <v>41</v>
      </c>
      <c r="D61" s="307">
        <v>2</v>
      </c>
      <c r="E61" s="1648" t="s">
        <v>442</v>
      </c>
      <c r="F61" s="52"/>
      <c r="G61" s="52"/>
      <c r="H61" s="52"/>
      <c r="I61" s="52"/>
      <c r="J61" s="52"/>
      <c r="K61" s="491" t="s">
        <v>122</v>
      </c>
      <c r="L61" s="2541">
        <f>1400/1000</f>
        <v>1.4</v>
      </c>
      <c r="M61" s="1592">
        <v>0</v>
      </c>
      <c r="N61" s="1592">
        <v>5</v>
      </c>
      <c r="O61" s="1592">
        <v>0</v>
      </c>
      <c r="P61" s="1592">
        <v>0</v>
      </c>
      <c r="Q61" s="1998">
        <f t="shared" ref="Q61:Q63" si="64">SUM(M61:P61)</f>
        <v>5</v>
      </c>
      <c r="R61" s="2545">
        <f>L61*M61</f>
        <v>0</v>
      </c>
      <c r="S61" s="2546">
        <f>L61*N61</f>
        <v>7</v>
      </c>
      <c r="T61" s="2546">
        <v>0</v>
      </c>
      <c r="U61" s="2546">
        <v>0</v>
      </c>
      <c r="V61" s="2547">
        <f t="shared" ref="V61:V63" si="65">SUM(R61:U61)</f>
        <v>7</v>
      </c>
      <c r="W61" s="32"/>
      <c r="X61" s="551">
        <f>IFERROR(INDEX('[11]Annex 2_Code'!I$8:I$33,MATCH('Annex 4_MoWRAM'!$BB61,'[11]Annex 2_Code'!$G$8:$G$33,0)),"")</f>
        <v>0</v>
      </c>
      <c r="Y61" s="552">
        <f>IFERROR(INDEX('[11]Annex 2_Code'!J$8:J$33,MATCH('Annex 4_MoWRAM'!$BB61,'[11]Annex 2_Code'!$G$8:$G$33,0)),"")</f>
        <v>0</v>
      </c>
      <c r="Z61" s="1630">
        <f>IFERROR(INDEX('[11]Annex 2_Code'!K$8:K$33,MATCH('Annex 4_MoWRAM'!$BB61,'[11]Annex 2_Code'!$G$8:$G$33,0)),"")</f>
        <v>1</v>
      </c>
      <c r="AA61" s="552">
        <f>IFERROR(INDEX('[11]Annex 2_Code'!L$8:L$33,MATCH('Annex 4_MoWRAM'!$BB61,'[11]Annex 2_Code'!$G$8:$G$33,0)),"")</f>
        <v>0</v>
      </c>
      <c r="AB61" s="553">
        <f>IFERROR(INDEX('[11]Annex 2_Code'!M$8:M$33,MATCH('Annex 4_MoWRAM'!$BB61,'[11]Annex 2_Code'!$G$8:$G$33,0)),"")</f>
        <v>0</v>
      </c>
      <c r="AC61" s="31"/>
      <c r="AD61" s="547">
        <f t="shared" si="61"/>
        <v>0</v>
      </c>
      <c r="AE61" s="79">
        <f t="shared" si="61"/>
        <v>0</v>
      </c>
      <c r="AF61" s="79">
        <f t="shared" si="61"/>
        <v>7</v>
      </c>
      <c r="AG61" s="79">
        <f t="shared" si="61"/>
        <v>0</v>
      </c>
      <c r="AH61" s="549">
        <f t="shared" si="61"/>
        <v>0</v>
      </c>
      <c r="AI61" s="74">
        <f t="shared" si="54"/>
        <v>0</v>
      </c>
      <c r="AJ61" s="74">
        <f t="shared" si="54"/>
        <v>0</v>
      </c>
      <c r="AK61" s="74">
        <f t="shared" si="54"/>
        <v>0</v>
      </c>
      <c r="AL61" s="544">
        <f t="shared" si="54"/>
        <v>0</v>
      </c>
      <c r="AM61" s="548">
        <f t="shared" si="55"/>
        <v>0</v>
      </c>
      <c r="AN61" s="74">
        <f t="shared" si="55"/>
        <v>0</v>
      </c>
      <c r="AO61" s="74">
        <f t="shared" si="55"/>
        <v>0</v>
      </c>
      <c r="AP61" s="544">
        <f t="shared" si="55"/>
        <v>0</v>
      </c>
      <c r="AQ61" s="548">
        <f t="shared" si="56"/>
        <v>0</v>
      </c>
      <c r="AR61" s="74">
        <f t="shared" si="56"/>
        <v>7</v>
      </c>
      <c r="AS61" s="74">
        <f t="shared" si="56"/>
        <v>0</v>
      </c>
      <c r="AT61" s="544">
        <f t="shared" si="56"/>
        <v>0</v>
      </c>
      <c r="AU61" s="546">
        <f t="shared" si="57"/>
        <v>0</v>
      </c>
      <c r="AV61" s="202">
        <f t="shared" si="57"/>
        <v>0</v>
      </c>
      <c r="AW61" s="202">
        <f t="shared" si="57"/>
        <v>0</v>
      </c>
      <c r="AX61" s="545">
        <f t="shared" si="57"/>
        <v>0</v>
      </c>
      <c r="AY61" s="550">
        <f t="shared" si="52"/>
        <v>7</v>
      </c>
      <c r="AZ61" s="1662" t="str">
        <f t="shared" si="6"/>
        <v>Correct</v>
      </c>
      <c r="BA61" s="1584" t="s">
        <v>285</v>
      </c>
      <c r="BB61" s="1048" t="s">
        <v>201</v>
      </c>
      <c r="BC61" s="314" t="str">
        <f>IFERROR(INDEX('[11]Annex 2_Code'!$J$122:$J$139,MATCH('Annex 4_MoWRAM'!BA61,'[11]Annex 2_Code'!$G$122:$G$139,0)),"")</f>
        <v>MOWRAM</v>
      </c>
      <c r="BD61" s="1084" t="str">
        <f t="shared" si="33"/>
        <v>MOWRAM</v>
      </c>
    </row>
    <row r="62" spans="1:56" s="308" customFormat="1" ht="15.75">
      <c r="A62" s="531" t="str">
        <f t="shared" si="63"/>
        <v>PMO</v>
      </c>
      <c r="B62" s="531" t="str">
        <f t="shared" si="63"/>
        <v>PMO</v>
      </c>
      <c r="C62" s="531" t="s">
        <v>41</v>
      </c>
      <c r="D62" s="307">
        <v>3</v>
      </c>
      <c r="E62" s="1648" t="s">
        <v>443</v>
      </c>
      <c r="F62" s="52"/>
      <c r="G62" s="52"/>
      <c r="H62" s="52"/>
      <c r="I62" s="52"/>
      <c r="J62" s="52"/>
      <c r="K62" s="491" t="s">
        <v>122</v>
      </c>
      <c r="L62" s="2541">
        <f>3000/1000</f>
        <v>3</v>
      </c>
      <c r="M62" s="1592">
        <v>0</v>
      </c>
      <c r="N62" s="1592">
        <v>0</v>
      </c>
      <c r="O62" s="1592">
        <v>5</v>
      </c>
      <c r="P62" s="1592">
        <v>0</v>
      </c>
      <c r="Q62" s="1998">
        <f t="shared" si="64"/>
        <v>5</v>
      </c>
      <c r="R62" s="2545">
        <v>0</v>
      </c>
      <c r="S62" s="2546">
        <v>0</v>
      </c>
      <c r="T62" s="2546">
        <f>L62*O62</f>
        <v>15</v>
      </c>
      <c r="U62" s="2546">
        <v>0</v>
      </c>
      <c r="V62" s="2547">
        <f t="shared" si="65"/>
        <v>15</v>
      </c>
      <c r="W62" s="32"/>
      <c r="X62" s="551">
        <f>IFERROR(INDEX('[11]Annex 2_Code'!I$8:I$33,MATCH('Annex 4_MoWRAM'!$BB62,'[11]Annex 2_Code'!$G$8:$G$33,0)),"")</f>
        <v>0</v>
      </c>
      <c r="Y62" s="552">
        <f>IFERROR(INDEX('[11]Annex 2_Code'!J$8:J$33,MATCH('Annex 4_MoWRAM'!$BB62,'[11]Annex 2_Code'!$G$8:$G$33,0)),"")</f>
        <v>0</v>
      </c>
      <c r="Z62" s="1630">
        <f>IFERROR(INDEX('[11]Annex 2_Code'!K$8:K$33,MATCH('Annex 4_MoWRAM'!$BB62,'[11]Annex 2_Code'!$G$8:$G$33,0)),"")</f>
        <v>1</v>
      </c>
      <c r="AA62" s="552">
        <f>IFERROR(INDEX('[11]Annex 2_Code'!L$8:L$33,MATCH('Annex 4_MoWRAM'!$BB62,'[11]Annex 2_Code'!$G$8:$G$33,0)),"")</f>
        <v>0</v>
      </c>
      <c r="AB62" s="553">
        <f>IFERROR(INDEX('[11]Annex 2_Code'!M$8:M$33,MATCH('Annex 4_MoWRAM'!$BB62,'[11]Annex 2_Code'!$G$8:$G$33,0)),"")</f>
        <v>0</v>
      </c>
      <c r="AC62" s="31"/>
      <c r="AD62" s="547">
        <f t="shared" si="61"/>
        <v>0</v>
      </c>
      <c r="AE62" s="79">
        <f t="shared" si="61"/>
        <v>0</v>
      </c>
      <c r="AF62" s="79">
        <f t="shared" si="61"/>
        <v>15</v>
      </c>
      <c r="AG62" s="79">
        <f t="shared" si="61"/>
        <v>0</v>
      </c>
      <c r="AH62" s="549">
        <f t="shared" si="61"/>
        <v>0</v>
      </c>
      <c r="AI62" s="74">
        <f t="shared" si="54"/>
        <v>0</v>
      </c>
      <c r="AJ62" s="74">
        <f t="shared" si="54"/>
        <v>0</v>
      </c>
      <c r="AK62" s="74">
        <f t="shared" si="54"/>
        <v>0</v>
      </c>
      <c r="AL62" s="544">
        <f t="shared" si="54"/>
        <v>0</v>
      </c>
      <c r="AM62" s="548">
        <f t="shared" si="55"/>
        <v>0</v>
      </c>
      <c r="AN62" s="74">
        <f t="shared" si="55"/>
        <v>0</v>
      </c>
      <c r="AO62" s="74">
        <f t="shared" si="55"/>
        <v>0</v>
      </c>
      <c r="AP62" s="544">
        <f t="shared" si="55"/>
        <v>0</v>
      </c>
      <c r="AQ62" s="548">
        <f t="shared" si="56"/>
        <v>0</v>
      </c>
      <c r="AR62" s="74">
        <f t="shared" si="56"/>
        <v>0</v>
      </c>
      <c r="AS62" s="74">
        <f t="shared" si="56"/>
        <v>15</v>
      </c>
      <c r="AT62" s="544">
        <f t="shared" si="56"/>
        <v>0</v>
      </c>
      <c r="AU62" s="546">
        <f t="shared" si="57"/>
        <v>0</v>
      </c>
      <c r="AV62" s="202">
        <f t="shared" si="57"/>
        <v>0</v>
      </c>
      <c r="AW62" s="202">
        <f t="shared" si="57"/>
        <v>0</v>
      </c>
      <c r="AX62" s="545">
        <f t="shared" si="57"/>
        <v>0</v>
      </c>
      <c r="AY62" s="550">
        <f t="shared" si="52"/>
        <v>15</v>
      </c>
      <c r="AZ62" s="1662" t="str">
        <f t="shared" si="6"/>
        <v>Correct</v>
      </c>
      <c r="BA62" s="1584" t="s">
        <v>285</v>
      </c>
      <c r="BB62" s="1048" t="s">
        <v>201</v>
      </c>
      <c r="BC62" s="314" t="str">
        <f>IFERROR(INDEX('[11]Annex 2_Code'!$J$122:$J$139,MATCH('Annex 4_MoWRAM'!BA62,'[11]Annex 2_Code'!$G$122:$G$139,0)),"")</f>
        <v>MOWRAM</v>
      </c>
      <c r="BD62" s="1084" t="str">
        <f t="shared" si="33"/>
        <v>MOWRAM</v>
      </c>
    </row>
    <row r="63" spans="1:56" s="308" customFormat="1" ht="15.75">
      <c r="A63" s="531" t="str">
        <f t="shared" si="63"/>
        <v>PMO</v>
      </c>
      <c r="B63" s="531" t="str">
        <f t="shared" si="63"/>
        <v>PMO</v>
      </c>
      <c r="C63" s="531" t="s">
        <v>41</v>
      </c>
      <c r="D63" s="307">
        <v>4</v>
      </c>
      <c r="E63" s="1648" t="s">
        <v>444</v>
      </c>
      <c r="F63" s="52"/>
      <c r="G63" s="52"/>
      <c r="H63" s="52"/>
      <c r="I63" s="52"/>
      <c r="J63" s="52"/>
      <c r="K63" s="491" t="s">
        <v>122</v>
      </c>
      <c r="L63" s="2541">
        <f>1200/1000</f>
        <v>1.2</v>
      </c>
      <c r="M63" s="1592">
        <v>0</v>
      </c>
      <c r="N63" s="1592">
        <v>0</v>
      </c>
      <c r="O63" s="1592">
        <v>0</v>
      </c>
      <c r="P63" s="1592">
        <v>5</v>
      </c>
      <c r="Q63" s="1998">
        <f t="shared" si="64"/>
        <v>5</v>
      </c>
      <c r="R63" s="2545">
        <v>0</v>
      </c>
      <c r="S63" s="2546">
        <v>0</v>
      </c>
      <c r="T63" s="2546">
        <v>0</v>
      </c>
      <c r="U63" s="2546">
        <f>L63*P63</f>
        <v>6</v>
      </c>
      <c r="V63" s="2547">
        <f t="shared" si="65"/>
        <v>6</v>
      </c>
      <c r="W63" s="32"/>
      <c r="X63" s="551">
        <f>IFERROR(INDEX('[11]Annex 2_Code'!I$8:I$33,MATCH('Annex 4_MoWRAM'!$BB63,'[11]Annex 2_Code'!$G$8:$G$33,0)),"")</f>
        <v>0</v>
      </c>
      <c r="Y63" s="552">
        <f>IFERROR(INDEX('[11]Annex 2_Code'!J$8:J$33,MATCH('Annex 4_MoWRAM'!$BB63,'[11]Annex 2_Code'!$G$8:$G$33,0)),"")</f>
        <v>0</v>
      </c>
      <c r="Z63" s="1630">
        <f>IFERROR(INDEX('[11]Annex 2_Code'!K$8:K$33,MATCH('Annex 4_MoWRAM'!$BB63,'[11]Annex 2_Code'!$G$8:$G$33,0)),"")</f>
        <v>1</v>
      </c>
      <c r="AA63" s="552">
        <f>IFERROR(INDEX('[11]Annex 2_Code'!L$8:L$33,MATCH('Annex 4_MoWRAM'!$BB63,'[11]Annex 2_Code'!$G$8:$G$33,0)),"")</f>
        <v>0</v>
      </c>
      <c r="AB63" s="553">
        <f>IFERROR(INDEX('[11]Annex 2_Code'!M$8:M$33,MATCH('Annex 4_MoWRAM'!$BB63,'[11]Annex 2_Code'!$G$8:$G$33,0)),"")</f>
        <v>0</v>
      </c>
      <c r="AC63" s="31"/>
      <c r="AD63" s="547">
        <f t="shared" si="61"/>
        <v>0</v>
      </c>
      <c r="AE63" s="79">
        <f t="shared" si="61"/>
        <v>0</v>
      </c>
      <c r="AF63" s="79">
        <f t="shared" si="61"/>
        <v>6</v>
      </c>
      <c r="AG63" s="79">
        <f t="shared" si="61"/>
        <v>0</v>
      </c>
      <c r="AH63" s="549">
        <f t="shared" si="61"/>
        <v>0</v>
      </c>
      <c r="AI63" s="74">
        <f t="shared" si="54"/>
        <v>0</v>
      </c>
      <c r="AJ63" s="74">
        <f t="shared" si="54"/>
        <v>0</v>
      </c>
      <c r="AK63" s="74">
        <f t="shared" si="54"/>
        <v>0</v>
      </c>
      <c r="AL63" s="544">
        <f t="shared" si="54"/>
        <v>0</v>
      </c>
      <c r="AM63" s="548">
        <f t="shared" si="55"/>
        <v>0</v>
      </c>
      <c r="AN63" s="74">
        <f t="shared" si="55"/>
        <v>0</v>
      </c>
      <c r="AO63" s="74">
        <f t="shared" si="55"/>
        <v>0</v>
      </c>
      <c r="AP63" s="544">
        <f t="shared" si="55"/>
        <v>0</v>
      </c>
      <c r="AQ63" s="548">
        <f t="shared" si="56"/>
        <v>0</v>
      </c>
      <c r="AR63" s="74">
        <f t="shared" si="56"/>
        <v>0</v>
      </c>
      <c r="AS63" s="74">
        <f t="shared" si="56"/>
        <v>0</v>
      </c>
      <c r="AT63" s="544">
        <f t="shared" si="56"/>
        <v>6</v>
      </c>
      <c r="AU63" s="546">
        <f t="shared" si="57"/>
        <v>0</v>
      </c>
      <c r="AV63" s="202">
        <f t="shared" si="57"/>
        <v>0</v>
      </c>
      <c r="AW63" s="202">
        <f t="shared" si="57"/>
        <v>0</v>
      </c>
      <c r="AX63" s="545">
        <f t="shared" si="57"/>
        <v>0</v>
      </c>
      <c r="AY63" s="550">
        <f>SUM(AD63:AH63)</f>
        <v>6</v>
      </c>
      <c r="AZ63" s="1662" t="str">
        <f t="shared" si="6"/>
        <v>Correct</v>
      </c>
      <c r="BA63" s="1584" t="s">
        <v>285</v>
      </c>
      <c r="BB63" s="1048" t="s">
        <v>201</v>
      </c>
      <c r="BC63" s="314" t="str">
        <f>IFERROR(INDEX('[11]Annex 2_Code'!$J$122:$J$139,MATCH('Annex 4_MoWRAM'!BA63,'[11]Annex 2_Code'!$G$122:$G$139,0)),"")</f>
        <v>MOWRAM</v>
      </c>
      <c r="BD63" s="1084" t="str">
        <f t="shared" si="33"/>
        <v>MOWRAM</v>
      </c>
    </row>
    <row r="64" spans="1:56" s="308" customFormat="1" ht="15">
      <c r="A64" s="531"/>
      <c r="B64" s="531"/>
      <c r="C64" s="366"/>
      <c r="D64" s="612"/>
      <c r="E64" s="52" t="s">
        <v>446</v>
      </c>
      <c r="F64" s="52"/>
      <c r="G64" s="52"/>
      <c r="H64" s="52"/>
      <c r="I64" s="52"/>
      <c r="J64" s="52"/>
      <c r="K64" s="492"/>
      <c r="L64" s="555"/>
      <c r="M64" s="1817"/>
      <c r="N64" s="1817"/>
      <c r="O64" s="1818"/>
      <c r="P64" s="1818"/>
      <c r="Q64" s="1998"/>
      <c r="R64" s="2551">
        <f>SUM(R60:R63)</f>
        <v>11.5</v>
      </c>
      <c r="S64" s="2552">
        <f>SUM(S60:S63)</f>
        <v>7</v>
      </c>
      <c r="T64" s="2552">
        <f t="shared" ref="T64:U64" si="66">SUM(T60:T63)</f>
        <v>15</v>
      </c>
      <c r="U64" s="2552">
        <f t="shared" si="66"/>
        <v>6</v>
      </c>
      <c r="V64" s="2550">
        <f>SUM(V60:V63)</f>
        <v>39.5</v>
      </c>
      <c r="W64" s="32"/>
      <c r="X64" s="551"/>
      <c r="Y64" s="552"/>
      <c r="Z64" s="552"/>
      <c r="AA64" s="552"/>
      <c r="AB64" s="553"/>
      <c r="AC64" s="31"/>
      <c r="AD64" s="547"/>
      <c r="AE64" s="79"/>
      <c r="AF64" s="79"/>
      <c r="AG64" s="79"/>
      <c r="AH64" s="549"/>
      <c r="AI64" s="74"/>
      <c r="AJ64" s="74"/>
      <c r="AK64" s="74"/>
      <c r="AL64" s="544"/>
      <c r="AM64" s="548"/>
      <c r="AN64" s="74"/>
      <c r="AO64" s="74"/>
      <c r="AP64" s="544"/>
      <c r="AQ64" s="548"/>
      <c r="AR64" s="74"/>
      <c r="AS64" s="74"/>
      <c r="AT64" s="544"/>
      <c r="AU64" s="546"/>
      <c r="AV64" s="202"/>
      <c r="AW64" s="202"/>
      <c r="AX64" s="545"/>
      <c r="AY64" s="550">
        <f>SUM(AY60:AY63)</f>
        <v>39.5</v>
      </c>
      <c r="AZ64" s="1662" t="str">
        <f t="shared" si="6"/>
        <v>Correct</v>
      </c>
      <c r="BA64" s="1584"/>
      <c r="BB64" s="1048"/>
      <c r="BC64" s="314"/>
      <c r="BD64" s="1084"/>
    </row>
    <row r="65" spans="1:56" s="1997" customFormat="1">
      <c r="A65" s="1966"/>
      <c r="B65" s="1966"/>
      <c r="C65" s="1967"/>
      <c r="D65" s="1968" t="s">
        <v>572</v>
      </c>
      <c r="E65" s="1968"/>
      <c r="F65" s="1968"/>
      <c r="G65" s="1968"/>
      <c r="H65" s="1968"/>
      <c r="I65" s="1968"/>
      <c r="J65" s="1968"/>
      <c r="K65" s="1969"/>
      <c r="L65" s="2005"/>
      <c r="M65" s="1971"/>
      <c r="N65" s="1971"/>
      <c r="O65" s="1972"/>
      <c r="P65" s="1972"/>
      <c r="Q65" s="1973"/>
      <c r="R65" s="2006">
        <f>R64+R58</f>
        <v>48.5</v>
      </c>
      <c r="S65" s="2007">
        <f>S64+S58</f>
        <v>49.048000000000002</v>
      </c>
      <c r="T65" s="2007">
        <f>T64+T58</f>
        <v>56.631</v>
      </c>
      <c r="U65" s="2007">
        <f t="shared" ref="U65" si="67">U64+U58</f>
        <v>43.320999999999998</v>
      </c>
      <c r="V65" s="2535">
        <f>V64+V58</f>
        <v>197.5</v>
      </c>
      <c r="W65" s="1977"/>
      <c r="X65" s="1978"/>
      <c r="Y65" s="1979"/>
      <c r="Z65" s="1979"/>
      <c r="AA65" s="1979"/>
      <c r="AB65" s="1981"/>
      <c r="AC65" s="1982"/>
      <c r="AD65" s="1983"/>
      <c r="AE65" s="1984"/>
      <c r="AF65" s="1984"/>
      <c r="AG65" s="1984"/>
      <c r="AH65" s="1973"/>
      <c r="AI65" s="1985"/>
      <c r="AJ65" s="1985"/>
      <c r="AK65" s="1985"/>
      <c r="AL65" s="1985"/>
      <c r="AM65" s="1987"/>
      <c r="AN65" s="1985"/>
      <c r="AO65" s="1985"/>
      <c r="AP65" s="1986"/>
      <c r="AQ65" s="1987"/>
      <c r="AR65" s="1985"/>
      <c r="AS65" s="1985"/>
      <c r="AT65" s="1986"/>
      <c r="AU65" s="1988"/>
      <c r="AV65" s="1989"/>
      <c r="AW65" s="1989"/>
      <c r="AX65" s="1990"/>
      <c r="AY65" s="2008">
        <f>AY64+AY58</f>
        <v>197.5</v>
      </c>
      <c r="AZ65" s="2009" t="str">
        <f t="shared" si="6"/>
        <v>Correct</v>
      </c>
      <c r="BA65" s="1993"/>
      <c r="BB65" s="1994"/>
      <c r="BC65" s="1995"/>
      <c r="BD65" s="1996"/>
    </row>
    <row r="66" spans="1:56" s="308" customFormat="1" ht="8.25" customHeight="1">
      <c r="A66" s="531"/>
      <c r="B66" s="531"/>
      <c r="C66" s="366"/>
      <c r="D66" s="612"/>
      <c r="E66" s="52"/>
      <c r="F66" s="52"/>
      <c r="G66" s="52"/>
      <c r="H66" s="52"/>
      <c r="I66" s="52"/>
      <c r="J66" s="52"/>
      <c r="K66" s="492"/>
      <c r="L66" s="555"/>
      <c r="M66" s="556"/>
      <c r="N66" s="556"/>
      <c r="O66" s="1587"/>
      <c r="P66" s="1587"/>
      <c r="Q66" s="549"/>
      <c r="R66" s="385"/>
      <c r="S66" s="386"/>
      <c r="T66" s="386"/>
      <c r="U66" s="386"/>
      <c r="V66" s="384"/>
      <c r="W66" s="29"/>
      <c r="X66" s="551"/>
      <c r="Y66" s="552"/>
      <c r="Z66" s="552"/>
      <c r="AA66" s="552"/>
      <c r="AB66" s="553"/>
      <c r="AC66" s="1588"/>
      <c r="AD66" s="547"/>
      <c r="AE66" s="79"/>
      <c r="AF66" s="79"/>
      <c r="AG66" s="79"/>
      <c r="AH66" s="549"/>
      <c r="AI66" s="74"/>
      <c r="AJ66" s="74"/>
      <c r="AK66" s="74"/>
      <c r="AL66" s="74"/>
      <c r="AM66" s="548"/>
      <c r="AN66" s="74"/>
      <c r="AO66" s="74"/>
      <c r="AP66" s="544"/>
      <c r="AQ66" s="548"/>
      <c r="AR66" s="74"/>
      <c r="AS66" s="74"/>
      <c r="AT66" s="544"/>
      <c r="AU66" s="546"/>
      <c r="AV66" s="202"/>
      <c r="AW66" s="202"/>
      <c r="AX66" s="545"/>
      <c r="AY66" s="550"/>
      <c r="AZ66" s="537"/>
      <c r="BA66" s="1584"/>
      <c r="BB66" s="1048"/>
      <c r="BC66" s="314"/>
      <c r="BD66" s="1084"/>
    </row>
    <row r="67" spans="1:56" s="308" customFormat="1">
      <c r="A67" s="538" t="str">
        <f t="shared" si="32"/>
        <v/>
      </c>
      <c r="B67" s="538" t="str">
        <f t="shared" si="32"/>
        <v/>
      </c>
      <c r="C67" s="538"/>
      <c r="D67" s="504" t="s">
        <v>146</v>
      </c>
      <c r="E67" s="504"/>
      <c r="F67" s="504"/>
      <c r="G67" s="505"/>
      <c r="H67" s="505"/>
      <c r="I67" s="505"/>
      <c r="J67" s="505"/>
      <c r="K67" s="506"/>
      <c r="L67" s="507"/>
      <c r="M67" s="402"/>
      <c r="N67" s="403"/>
      <c r="O67" s="403"/>
      <c r="P67" s="403"/>
      <c r="Q67" s="404"/>
      <c r="R67" s="540">
        <f>R65+R46+R37</f>
        <v>48.5</v>
      </c>
      <c r="S67" s="1649">
        <f>S65+S46+S37</f>
        <v>6498.9535000000005</v>
      </c>
      <c r="T67" s="1649">
        <f>T65+T46+T37</f>
        <v>6091.3464999999997</v>
      </c>
      <c r="U67" s="1649">
        <f>U65+U46+U37</f>
        <v>3730.9009999999994</v>
      </c>
      <c r="V67" s="2536">
        <f>V65+V46+V37</f>
        <v>16369.701000000005</v>
      </c>
      <c r="W67" s="428"/>
      <c r="X67" s="511" t="str">
        <f>IFERROR(INDEX('[11]Annex 2_Code'!I$8:I$33,MATCH('Annex 4_MoWRAM'!$BB67,'[11]Annex 2_Code'!$G$8:$G$33,0)),"")</f>
        <v/>
      </c>
      <c r="Y67" s="512" t="str">
        <f>IFERROR(INDEX('[11]Annex 2_Code'!J$8:J$33,MATCH('Annex 4_MoWRAM'!$BB67,'[11]Annex 2_Code'!$G$8:$G$33,0)),"")</f>
        <v/>
      </c>
      <c r="Z67" s="512" t="str">
        <f>IFERROR(INDEX('[11]Annex 2_Code'!K$8:K$33,MATCH('Annex 4_MoWRAM'!$BB67,'[11]Annex 2_Code'!$G$8:$G$33,0)),"")</f>
        <v/>
      </c>
      <c r="AA67" s="512" t="str">
        <f>IFERROR(INDEX('[11]Annex 2_Code'!L$8:L$33,MATCH('Annex 4_MoWRAM'!$BB67,'[11]Annex 2_Code'!$G$8:$G$33,0)),"")</f>
        <v/>
      </c>
      <c r="AB67" s="513" t="str">
        <f>IFERROR(INDEX('[11]Annex 2_Code'!M$8:M$33,MATCH('Annex 4_MoWRAM'!$BB67,'[11]Annex 2_Code'!$G$8:$G$33,0)),"")</f>
        <v/>
      </c>
      <c r="AC67" s="429"/>
      <c r="AD67" s="407">
        <f t="shared" ref="AD67:AX67" si="68">SUM(AD10:AD64)</f>
        <v>13081.220869459536</v>
      </c>
      <c r="AE67" s="407">
        <f t="shared" si="68"/>
        <v>1501.360479117812</v>
      </c>
      <c r="AF67" s="407">
        <f t="shared" si="68"/>
        <v>1787.1196514226535</v>
      </c>
      <c r="AG67" s="407">
        <f t="shared" si="68"/>
        <v>0</v>
      </c>
      <c r="AH67" s="409">
        <f t="shared" si="68"/>
        <v>0</v>
      </c>
      <c r="AI67" s="408">
        <f t="shared" si="68"/>
        <v>0</v>
      </c>
      <c r="AJ67" s="408">
        <f t="shared" si="68"/>
        <v>5316.3313648504118</v>
      </c>
      <c r="AK67" s="408">
        <f t="shared" si="68"/>
        <v>4912.511837817201</v>
      </c>
      <c r="AL67" s="408">
        <f t="shared" si="68"/>
        <v>2852.3776667919205</v>
      </c>
      <c r="AM67" s="407">
        <f t="shared" si="68"/>
        <v>0</v>
      </c>
      <c r="AN67" s="408">
        <f t="shared" si="68"/>
        <v>516.65857107151635</v>
      </c>
      <c r="AO67" s="408">
        <f t="shared" si="68"/>
        <v>534.40086804938994</v>
      </c>
      <c r="AP67" s="409">
        <f t="shared" si="68"/>
        <v>450.30103999690533</v>
      </c>
      <c r="AQ67" s="408">
        <f t="shared" si="68"/>
        <v>48.5</v>
      </c>
      <c r="AR67" s="408">
        <f t="shared" si="68"/>
        <v>665.96356407807116</v>
      </c>
      <c r="AS67" s="408">
        <f t="shared" si="68"/>
        <v>644.43379413340824</v>
      </c>
      <c r="AT67" s="408">
        <f t="shared" si="68"/>
        <v>428.22229321117453</v>
      </c>
      <c r="AU67" s="407">
        <f t="shared" si="68"/>
        <v>0</v>
      </c>
      <c r="AV67" s="408">
        <f t="shared" si="68"/>
        <v>0</v>
      </c>
      <c r="AW67" s="408">
        <f t="shared" si="68"/>
        <v>0</v>
      </c>
      <c r="AX67" s="409">
        <f t="shared" si="68"/>
        <v>0</v>
      </c>
      <c r="AY67" s="2010">
        <f>AY65+AY46+AY37</f>
        <v>16369.701000000005</v>
      </c>
      <c r="AZ67" s="537" t="str">
        <f>IF(V67=AY67,"Correct","Incorrect")</f>
        <v>Correct</v>
      </c>
      <c r="BA67" s="1584"/>
      <c r="BB67" s="1048"/>
      <c r="BC67" s="314">
        <f>IFERROR(INDEX('[11]Annex 2_Code'!$J$122:$J$139,MATCH('Annex 4_MoWRAM'!BA67,'[11]Annex 2_Code'!$G$122:$G$139,0)),"")</f>
        <v>0</v>
      </c>
      <c r="BD67" s="1084" t="str">
        <f t="shared" si="33"/>
        <v>0</v>
      </c>
    </row>
    <row r="68" spans="1:56" s="308" customFormat="1" ht="5.25" customHeight="1">
      <c r="A68" s="539" t="str">
        <f t="shared" si="32"/>
        <v/>
      </c>
      <c r="B68" s="539" t="str">
        <f t="shared" si="32"/>
        <v/>
      </c>
      <c r="C68" s="539"/>
      <c r="D68" s="508"/>
      <c r="E68" s="508"/>
      <c r="F68" s="508"/>
      <c r="G68" s="508"/>
      <c r="H68" s="508"/>
      <c r="I68" s="508"/>
      <c r="J68" s="508"/>
      <c r="K68" s="509"/>
      <c r="L68" s="510"/>
      <c r="M68" s="437"/>
      <c r="N68" s="436"/>
      <c r="O68" s="436"/>
      <c r="P68" s="436"/>
      <c r="Q68" s="1650"/>
      <c r="R68" s="438"/>
      <c r="S68" s="436"/>
      <c r="T68" s="436"/>
      <c r="U68" s="436"/>
      <c r="V68" s="439"/>
      <c r="W68" s="440"/>
      <c r="X68" s="514" t="str">
        <f>IFERROR(INDEX('[11]Annex 2_Code'!I$8:I$33,MATCH('Annex 4_MoWRAM'!$BB68,'[11]Annex 2_Code'!$G$8:$G$33,0)),"")</f>
        <v/>
      </c>
      <c r="Y68" s="515" t="str">
        <f>IFERROR(INDEX('[11]Annex 2_Code'!J$8:J$33,MATCH('Annex 4_MoWRAM'!$BB68,'[11]Annex 2_Code'!$G$8:$G$33,0)),"")</f>
        <v/>
      </c>
      <c r="Z68" s="515" t="str">
        <f>IFERROR(INDEX('[11]Annex 2_Code'!K$8:K$33,MATCH('Annex 4_MoWRAM'!$BB68,'[11]Annex 2_Code'!$G$8:$G$33,0)),"")</f>
        <v/>
      </c>
      <c r="AA68" s="515" t="str">
        <f>IFERROR(INDEX('[11]Annex 2_Code'!L$8:L$33,MATCH('Annex 4_MoWRAM'!$BB68,'[11]Annex 2_Code'!$G$8:$G$33,0)),"")</f>
        <v/>
      </c>
      <c r="AB68" s="516" t="str">
        <f>IFERROR(INDEX('[11]Annex 2_Code'!M$8:M$33,MATCH('Annex 4_MoWRAM'!$BB68,'[11]Annex 2_Code'!$G$8:$G$33,0)),"")</f>
        <v/>
      </c>
      <c r="AC68" s="436"/>
      <c r="AD68" s="441"/>
      <c r="AE68" s="442"/>
      <c r="AF68" s="452"/>
      <c r="AG68" s="442"/>
      <c r="AH68" s="443"/>
      <c r="AI68" s="442"/>
      <c r="AJ68" s="442"/>
      <c r="AK68" s="442"/>
      <c r="AL68" s="442"/>
      <c r="AM68" s="444"/>
      <c r="AN68" s="444"/>
      <c r="AO68" s="444"/>
      <c r="AP68" s="444"/>
      <c r="AQ68" s="445"/>
      <c r="AR68" s="444"/>
      <c r="AS68" s="444"/>
      <c r="AT68" s="444"/>
      <c r="AU68" s="446"/>
      <c r="AV68" s="447"/>
      <c r="AW68" s="447"/>
      <c r="AX68" s="448"/>
      <c r="AY68" s="518"/>
      <c r="AZ68" s="519"/>
      <c r="BA68" s="1651"/>
      <c r="BB68" s="1652"/>
      <c r="BC68" s="1653">
        <f>IFERROR(INDEX('[11]Annex 2_Code'!$J$122:$J$139,MATCH('Annex 4_MoWRAM'!BA68,'[11]Annex 2_Code'!$G$122:$G$139,0)),"")</f>
        <v>0</v>
      </c>
      <c r="BD68" s="1084" t="str">
        <f t="shared" si="33"/>
        <v>0</v>
      </c>
    </row>
    <row r="69" spans="1:56" s="308" customFormat="1" ht="15.95" customHeight="1">
      <c r="A69" s="531" t="str">
        <f t="shared" si="32"/>
        <v/>
      </c>
      <c r="B69" s="531" t="str">
        <f t="shared" si="32"/>
        <v/>
      </c>
      <c r="C69" s="531"/>
      <c r="D69" s="53" t="s">
        <v>44</v>
      </c>
      <c r="E69" s="52"/>
      <c r="F69" s="52"/>
      <c r="G69" s="52"/>
      <c r="H69" s="52"/>
      <c r="I69" s="52"/>
      <c r="J69" s="52"/>
      <c r="K69" s="487"/>
      <c r="L69" s="493"/>
      <c r="M69" s="54"/>
      <c r="N69" s="31"/>
      <c r="O69" s="31"/>
      <c r="P69" s="31"/>
      <c r="Q69" s="66"/>
      <c r="R69" s="54"/>
      <c r="S69" s="31"/>
      <c r="T69" s="31"/>
      <c r="U69" s="31"/>
      <c r="V69" s="51"/>
      <c r="W69" s="32"/>
      <c r="X69" s="551" t="str">
        <f>IFERROR(INDEX('[11]Annex 2_Code'!I$8:I$33,MATCH('Annex 4_MoWRAM'!$BB69,'[11]Annex 2_Code'!$G$8:$G$33,0)),"")</f>
        <v/>
      </c>
      <c r="Y69" s="552" t="str">
        <f>IFERROR(INDEX('[11]Annex 2_Code'!J$8:J$33,MATCH('Annex 4_MoWRAM'!$BB69,'[11]Annex 2_Code'!$G$8:$G$33,0)),"")</f>
        <v/>
      </c>
      <c r="Z69" s="552" t="str">
        <f>IFERROR(INDEX('[11]Annex 2_Code'!K$8:K$33,MATCH('Annex 4_MoWRAM'!$BB69,'[11]Annex 2_Code'!$G$8:$G$33,0)),"")</f>
        <v/>
      </c>
      <c r="AA69" s="552" t="str">
        <f>IFERROR(INDEX('[11]Annex 2_Code'!L$8:L$33,MATCH('Annex 4_MoWRAM'!$BB69,'[11]Annex 2_Code'!$G$8:$G$33,0)),"")</f>
        <v/>
      </c>
      <c r="AB69" s="553" t="str">
        <f>IFERROR(INDEX('[11]Annex 2_Code'!M$8:M$33,MATCH('Annex 4_MoWRAM'!$BB69,'[11]Annex 2_Code'!$G$8:$G$33,0)),"")</f>
        <v/>
      </c>
      <c r="AC69" s="31"/>
      <c r="AD69" s="547"/>
      <c r="AE69" s="79"/>
      <c r="AF69" s="79"/>
      <c r="AG69" s="79"/>
      <c r="AH69" s="549"/>
      <c r="AI69" s="202"/>
      <c r="AJ69" s="202"/>
      <c r="AK69" s="202"/>
      <c r="AL69" s="545"/>
      <c r="AM69" s="202"/>
      <c r="AN69" s="202"/>
      <c r="AO69" s="202"/>
      <c r="AP69" s="202"/>
      <c r="AQ69" s="546"/>
      <c r="AR69" s="202"/>
      <c r="AS69" s="202"/>
      <c r="AT69" s="202"/>
      <c r="AU69" s="546"/>
      <c r="AV69" s="202"/>
      <c r="AW69" s="202"/>
      <c r="AX69" s="545"/>
      <c r="AY69" s="174"/>
      <c r="AZ69" s="427"/>
      <c r="BA69" s="1584"/>
      <c r="BB69" s="1048"/>
      <c r="BC69" s="314">
        <f>IFERROR(INDEX('[11]Annex 2_Code'!$J$122:$J$139,MATCH('Annex 4_MoWRAM'!BA69,'[11]Annex 2_Code'!$G$122:$G$139,0)),"")</f>
        <v>0</v>
      </c>
      <c r="BD69" s="1084" t="str">
        <f t="shared" si="33"/>
        <v>0</v>
      </c>
    </row>
    <row r="70" spans="1:56" s="308" customFormat="1" ht="15.95" customHeight="1">
      <c r="A70" s="533" t="str">
        <f t="shared" si="32"/>
        <v/>
      </c>
      <c r="B70" s="533" t="str">
        <f t="shared" si="32"/>
        <v/>
      </c>
      <c r="C70" s="533"/>
      <c r="D70" s="242"/>
      <c r="E70" s="242" t="s">
        <v>45</v>
      </c>
      <c r="F70" s="237"/>
      <c r="G70" s="237"/>
      <c r="H70" s="237"/>
      <c r="I70" s="237"/>
      <c r="J70" s="237"/>
      <c r="K70" s="1654"/>
      <c r="L70" s="1655"/>
      <c r="M70" s="1656"/>
      <c r="N70" s="1657"/>
      <c r="O70" s="1657"/>
      <c r="P70" s="1657"/>
      <c r="Q70" s="1658"/>
      <c r="R70" s="1656"/>
      <c r="S70" s="1657"/>
      <c r="T70" s="1657"/>
      <c r="U70" s="1657"/>
      <c r="V70" s="1659"/>
      <c r="W70" s="32"/>
      <c r="X70" s="551" t="str">
        <f>IFERROR(INDEX('[11]Annex 2_Code'!I$8:I$33,MATCH('Annex 4_MoWRAM'!$BB70,'[11]Annex 2_Code'!$G$8:$G$33,0)),"")</f>
        <v/>
      </c>
      <c r="Y70" s="552" t="str">
        <f>IFERROR(INDEX('[11]Annex 2_Code'!J$8:J$33,MATCH('Annex 4_MoWRAM'!$BB70,'[11]Annex 2_Code'!$G$8:$G$33,0)),"")</f>
        <v/>
      </c>
      <c r="Z70" s="552" t="str">
        <f>IFERROR(INDEX('[11]Annex 2_Code'!K$8:K$33,MATCH('Annex 4_MoWRAM'!$BB70,'[11]Annex 2_Code'!$G$8:$G$33,0)),"")</f>
        <v/>
      </c>
      <c r="AA70" s="552" t="str">
        <f>IFERROR(INDEX('[11]Annex 2_Code'!L$8:L$33,MATCH('Annex 4_MoWRAM'!$BB70,'[11]Annex 2_Code'!$G$8:$G$33,0)),"")</f>
        <v/>
      </c>
      <c r="AB70" s="553" t="str">
        <f>IFERROR(INDEX('[11]Annex 2_Code'!M$8:M$33,MATCH('Annex 4_MoWRAM'!$BB70,'[11]Annex 2_Code'!$G$8:$G$33,0)),"")</f>
        <v/>
      </c>
      <c r="AC70" s="31"/>
      <c r="AD70" s="547"/>
      <c r="AE70" s="79"/>
      <c r="AF70" s="79"/>
      <c r="AG70" s="79"/>
      <c r="AH70" s="549"/>
      <c r="AI70" s="202"/>
      <c r="AJ70" s="202"/>
      <c r="AK70" s="202"/>
      <c r="AL70" s="545"/>
      <c r="AM70" s="202"/>
      <c r="AN70" s="202"/>
      <c r="AO70" s="202"/>
      <c r="AP70" s="202"/>
      <c r="AQ70" s="546"/>
      <c r="AR70" s="202"/>
      <c r="AS70" s="202"/>
      <c r="AT70" s="202"/>
      <c r="AU70" s="546"/>
      <c r="AV70" s="202"/>
      <c r="AW70" s="202"/>
      <c r="AX70" s="545"/>
      <c r="AY70" s="174"/>
      <c r="AZ70" s="427"/>
      <c r="BA70" s="1584"/>
      <c r="BB70" s="1048"/>
      <c r="BC70" s="314">
        <f>IFERROR(INDEX('[11]Annex 2_Code'!$J$122:$J$139,MATCH('Annex 4_MoWRAM'!BA70,'[11]Annex 2_Code'!$G$122:$G$139,0)),"")</f>
        <v>0</v>
      </c>
      <c r="BD70" s="1084" t="str">
        <f t="shared" si="33"/>
        <v>0</v>
      </c>
    </row>
    <row r="71" spans="1:56" s="308" customFormat="1" ht="15.95" customHeight="1">
      <c r="A71" s="531" t="str">
        <f t="shared" si="32"/>
        <v/>
      </c>
      <c r="B71" s="531" t="str">
        <f t="shared" si="32"/>
        <v/>
      </c>
      <c r="C71" s="531"/>
      <c r="D71" s="53"/>
      <c r="E71" s="52"/>
      <c r="F71" s="53" t="s">
        <v>147</v>
      </c>
      <c r="G71" s="52"/>
      <c r="H71" s="52"/>
      <c r="I71" s="52"/>
      <c r="J71" s="52"/>
      <c r="K71" s="487"/>
      <c r="L71" s="493"/>
      <c r="M71" s="54"/>
      <c r="N71" s="31"/>
      <c r="O71" s="31"/>
      <c r="P71" s="31"/>
      <c r="Q71" s="66"/>
      <c r="R71" s="54"/>
      <c r="S71" s="31"/>
      <c r="T71" s="31"/>
      <c r="U71" s="31"/>
      <c r="V71" s="51"/>
      <c r="W71" s="32"/>
      <c r="X71" s="551" t="str">
        <f>IFERROR(INDEX('[11]Annex 2_Code'!I$8:I$33,MATCH('Annex 4_MoWRAM'!$BB71,'[11]Annex 2_Code'!$G$8:$G$33,0)),"")</f>
        <v/>
      </c>
      <c r="Y71" s="552" t="str">
        <f>IFERROR(INDEX('[11]Annex 2_Code'!J$8:J$33,MATCH('Annex 4_MoWRAM'!$BB71,'[11]Annex 2_Code'!$G$8:$G$33,0)),"")</f>
        <v/>
      </c>
      <c r="Z71" s="552" t="str">
        <f>IFERROR(INDEX('[11]Annex 2_Code'!K$8:K$33,MATCH('Annex 4_MoWRAM'!$BB71,'[11]Annex 2_Code'!$G$8:$G$33,0)),"")</f>
        <v/>
      </c>
      <c r="AA71" s="552" t="str">
        <f>IFERROR(INDEX('[11]Annex 2_Code'!L$8:L$33,MATCH('Annex 4_MoWRAM'!$BB71,'[11]Annex 2_Code'!$G$8:$G$33,0)),"")</f>
        <v/>
      </c>
      <c r="AB71" s="553" t="str">
        <f>IFERROR(INDEX('[11]Annex 2_Code'!M$8:M$33,MATCH('Annex 4_MoWRAM'!$BB71,'[11]Annex 2_Code'!$G$8:$G$33,0)),"")</f>
        <v/>
      </c>
      <c r="AC71" s="31"/>
      <c r="AD71" s="547"/>
      <c r="AE71" s="79"/>
      <c r="AF71" s="79"/>
      <c r="AG71" s="79"/>
      <c r="AH71" s="549"/>
      <c r="AI71" s="202"/>
      <c r="AJ71" s="202"/>
      <c r="AK71" s="202"/>
      <c r="AL71" s="545"/>
      <c r="AM71" s="202"/>
      <c r="AN71" s="202"/>
      <c r="AO71" s="202"/>
      <c r="AP71" s="202"/>
      <c r="AQ71" s="546"/>
      <c r="AR71" s="202"/>
      <c r="AS71" s="202"/>
      <c r="AT71" s="202"/>
      <c r="AU71" s="546"/>
      <c r="AV71" s="202"/>
      <c r="AW71" s="202"/>
      <c r="AX71" s="545"/>
      <c r="AY71" s="174"/>
      <c r="AZ71" s="427"/>
      <c r="BA71" s="1584"/>
      <c r="BB71" s="1048"/>
      <c r="BC71" s="314">
        <f>IFERROR(INDEX('[11]Annex 2_Code'!$J$122:$J$139,MATCH('Annex 4_MoWRAM'!BA71,'[11]Annex 2_Code'!$G$122:$G$139,0)),"")</f>
        <v>0</v>
      </c>
      <c r="BD71" s="1084" t="str">
        <f t="shared" si="33"/>
        <v>0</v>
      </c>
    </row>
    <row r="72" spans="1:56" s="308" customFormat="1" ht="16.350000000000001" customHeight="1">
      <c r="A72" s="531" t="str">
        <f t="shared" si="32"/>
        <v>Govt</v>
      </c>
      <c r="B72" s="531" t="str">
        <f t="shared" si="32"/>
        <v>Govt</v>
      </c>
      <c r="C72" s="531" t="s">
        <v>42</v>
      </c>
      <c r="D72" s="55"/>
      <c r="E72" s="52"/>
      <c r="F72" s="52"/>
      <c r="G72" s="52" t="s">
        <v>148</v>
      </c>
      <c r="H72" s="52"/>
      <c r="I72" s="52"/>
      <c r="J72" s="52"/>
      <c r="K72" s="494" t="s">
        <v>55</v>
      </c>
      <c r="L72" s="477">
        <f>180/1000</f>
        <v>0.18</v>
      </c>
      <c r="M72" s="66">
        <v>3</v>
      </c>
      <c r="N72" s="66">
        <v>3</v>
      </c>
      <c r="O72" s="66">
        <v>3</v>
      </c>
      <c r="P72" s="66">
        <v>3</v>
      </c>
      <c r="Q72" s="47">
        <f t="shared" ref="Q72:Q78" si="69">SUM(M72:P72)</f>
        <v>12</v>
      </c>
      <c r="R72" s="547">
        <f>$M72*$L72</f>
        <v>0.54</v>
      </c>
      <c r="S72" s="79">
        <f>$N72*$L72</f>
        <v>0.54</v>
      </c>
      <c r="T72" s="79">
        <f t="shared" ref="T72:U72" si="70">$N72*$L72</f>
        <v>0.54</v>
      </c>
      <c r="U72" s="79">
        <f t="shared" si="70"/>
        <v>0.54</v>
      </c>
      <c r="V72" s="181">
        <f>SUM(R72:U72)</f>
        <v>2.16</v>
      </c>
      <c r="W72" s="32"/>
      <c r="X72" s="551">
        <f>IFERROR(INDEX('[11]Annex 2_Code'!I$8:I$33,MATCH('Annex 4_MoWRAM'!$BB72,'[11]Annex 2_Code'!$G$8:$G$33,0)),"")</f>
        <v>0</v>
      </c>
      <c r="Y72" s="552">
        <f>IFERROR(INDEX('[11]Annex 2_Code'!J$8:J$33,MATCH('Annex 4_MoWRAM'!$BB72,'[11]Annex 2_Code'!$G$8:$G$33,0)),"")</f>
        <v>0</v>
      </c>
      <c r="Z72" s="552">
        <f>IFERROR(INDEX('[11]Annex 2_Code'!K$8:K$33,MATCH('Annex 4_MoWRAM'!$BB72,'[11]Annex 2_Code'!$G$8:$G$33,0)),"")</f>
        <v>0</v>
      </c>
      <c r="AA72" s="1630">
        <f>IFERROR(INDEX('[11]Annex 2_Code'!L$8:L$33,MATCH('Annex 4_MoWRAM'!$BB72,'[11]Annex 2_Code'!$G$8:$G$33,0)),"")</f>
        <v>1</v>
      </c>
      <c r="AB72" s="553">
        <f>IFERROR(INDEX('[11]Annex 2_Code'!M$8:M$33,MATCH('Annex 4_MoWRAM'!$BB72,'[11]Annex 2_Code'!$G$8:$G$33,0)),"")</f>
        <v>0</v>
      </c>
      <c r="AC72" s="31"/>
      <c r="AD72" s="547">
        <f>$V72*X72</f>
        <v>0</v>
      </c>
      <c r="AE72" s="79">
        <f>$V72*Y72</f>
        <v>0</v>
      </c>
      <c r="AF72" s="79">
        <f>$V72*Z72</f>
        <v>0</v>
      </c>
      <c r="AG72" s="79">
        <f>$V72*AA72</f>
        <v>2.16</v>
      </c>
      <c r="AH72" s="549">
        <f>$V72*AB72</f>
        <v>0</v>
      </c>
      <c r="AI72" s="548">
        <f t="shared" ref="AI72:AL81" si="71">R72*$X72</f>
        <v>0</v>
      </c>
      <c r="AJ72" s="74">
        <f t="shared" si="71"/>
        <v>0</v>
      </c>
      <c r="AK72" s="74">
        <f t="shared" si="71"/>
        <v>0</v>
      </c>
      <c r="AL72" s="544">
        <f t="shared" si="71"/>
        <v>0</v>
      </c>
      <c r="AM72" s="548">
        <f t="shared" ref="AM72:AP81" si="72">$Y72*R72</f>
        <v>0</v>
      </c>
      <c r="AN72" s="74">
        <f t="shared" si="72"/>
        <v>0</v>
      </c>
      <c r="AO72" s="74">
        <f t="shared" si="72"/>
        <v>0</v>
      </c>
      <c r="AP72" s="544">
        <f t="shared" si="72"/>
        <v>0</v>
      </c>
      <c r="AQ72" s="548">
        <f t="shared" ref="AQ72:AT81" si="73">$Z72*R72</f>
        <v>0</v>
      </c>
      <c r="AR72" s="74">
        <f t="shared" si="73"/>
        <v>0</v>
      </c>
      <c r="AS72" s="74">
        <f t="shared" si="73"/>
        <v>0</v>
      </c>
      <c r="AT72" s="544">
        <f t="shared" si="73"/>
        <v>0</v>
      </c>
      <c r="AU72" s="548">
        <f>$AA72*R72</f>
        <v>0.54</v>
      </c>
      <c r="AV72" s="74">
        <f>$AA72*S72</f>
        <v>0.54</v>
      </c>
      <c r="AW72" s="74">
        <f>$AA72*T72</f>
        <v>0.54</v>
      </c>
      <c r="AX72" s="544">
        <f>$AA72*U72</f>
        <v>0.54</v>
      </c>
      <c r="AY72" s="550">
        <f t="shared" ref="AY72:AY78" si="74">SUM(AD72:AH72)</f>
        <v>2.16</v>
      </c>
      <c r="AZ72" s="537" t="str">
        <f t="shared" ref="AZ72:AZ81" si="75">IF(V72=AY72,"Correct","Incorrect")</f>
        <v>Correct</v>
      </c>
      <c r="BA72" s="1584" t="s">
        <v>375</v>
      </c>
      <c r="BB72" s="1048" t="s">
        <v>229</v>
      </c>
      <c r="BC72" s="314" t="str">
        <f>IFERROR(INDEX('[11]Annex 2_Code'!$J$122:$J$139,MATCH('Annex 4_MoWRAM'!BA72,'[11]Annex 2_Code'!$G$122:$G$139,0)),"")</f>
        <v>MOWRAM</v>
      </c>
      <c r="BD72" s="1084" t="str">
        <f t="shared" si="33"/>
        <v>MOWRAM</v>
      </c>
    </row>
    <row r="73" spans="1:56" s="308" customFormat="1" ht="16.350000000000001" customHeight="1">
      <c r="A73" s="531" t="str">
        <f t="shared" si="32"/>
        <v>Govt</v>
      </c>
      <c r="B73" s="531" t="str">
        <f t="shared" si="32"/>
        <v>Govt</v>
      </c>
      <c r="C73" s="531" t="s">
        <v>42</v>
      </c>
      <c r="D73" s="55"/>
      <c r="E73" s="52"/>
      <c r="F73" s="52"/>
      <c r="G73" s="52" t="s">
        <v>149</v>
      </c>
      <c r="H73" s="52"/>
      <c r="I73" s="52"/>
      <c r="J73" s="52"/>
      <c r="K73" s="494" t="s">
        <v>55</v>
      </c>
      <c r="L73" s="477">
        <f>180/1000</f>
        <v>0.18</v>
      </c>
      <c r="M73" s="66">
        <v>3</v>
      </c>
      <c r="N73" s="66">
        <v>3</v>
      </c>
      <c r="O73" s="66">
        <v>3</v>
      </c>
      <c r="P73" s="66">
        <v>3</v>
      </c>
      <c r="Q73" s="47">
        <f t="shared" si="69"/>
        <v>12</v>
      </c>
      <c r="R73" s="547">
        <f t="shared" ref="R73:R81" si="76">$M73*$L73</f>
        <v>0.54</v>
      </c>
      <c r="S73" s="79">
        <f t="shared" ref="S73:U81" si="77">$N73*$L73</f>
        <v>0.54</v>
      </c>
      <c r="T73" s="79">
        <f t="shared" si="77"/>
        <v>0.54</v>
      </c>
      <c r="U73" s="79">
        <f t="shared" si="77"/>
        <v>0.54</v>
      </c>
      <c r="V73" s="181">
        <f t="shared" ref="V73:V78" si="78">SUM(R73:U73)</f>
        <v>2.16</v>
      </c>
      <c r="W73" s="32"/>
      <c r="X73" s="551">
        <f>IFERROR(INDEX('[11]Annex 2_Code'!I$8:I$33,MATCH('Annex 4_MoWRAM'!$BB73,'[11]Annex 2_Code'!$G$8:$G$33,0)),"")</f>
        <v>0</v>
      </c>
      <c r="Y73" s="552">
        <f>IFERROR(INDEX('[11]Annex 2_Code'!J$8:J$33,MATCH('Annex 4_MoWRAM'!$BB73,'[11]Annex 2_Code'!$G$8:$G$33,0)),"")</f>
        <v>0</v>
      </c>
      <c r="Z73" s="552">
        <f>IFERROR(INDEX('[11]Annex 2_Code'!K$8:K$33,MATCH('Annex 4_MoWRAM'!$BB73,'[11]Annex 2_Code'!$G$8:$G$33,0)),"")</f>
        <v>0</v>
      </c>
      <c r="AA73" s="1630">
        <f>IFERROR(INDEX('[11]Annex 2_Code'!L$8:L$33,MATCH('Annex 4_MoWRAM'!$BB73,'[11]Annex 2_Code'!$G$8:$G$33,0)),"")</f>
        <v>1</v>
      </c>
      <c r="AB73" s="553">
        <f>IFERROR(INDEX('[11]Annex 2_Code'!M$8:M$33,MATCH('Annex 4_MoWRAM'!$BB73,'[11]Annex 2_Code'!$G$8:$G$33,0)),"")</f>
        <v>0</v>
      </c>
      <c r="AC73" s="31"/>
      <c r="AD73" s="547">
        <f t="shared" ref="AD73:AH81" si="79">$V73*X73</f>
        <v>0</v>
      </c>
      <c r="AE73" s="79">
        <f t="shared" si="79"/>
        <v>0</v>
      </c>
      <c r="AF73" s="79">
        <f t="shared" si="79"/>
        <v>0</v>
      </c>
      <c r="AG73" s="79">
        <f t="shared" si="79"/>
        <v>2.16</v>
      </c>
      <c r="AH73" s="549">
        <f t="shared" si="79"/>
        <v>0</v>
      </c>
      <c r="AI73" s="548">
        <f t="shared" si="71"/>
        <v>0</v>
      </c>
      <c r="AJ73" s="74">
        <f t="shared" si="71"/>
        <v>0</v>
      </c>
      <c r="AK73" s="74">
        <f t="shared" si="71"/>
        <v>0</v>
      </c>
      <c r="AL73" s="544">
        <f t="shared" si="71"/>
        <v>0</v>
      </c>
      <c r="AM73" s="548">
        <f t="shared" si="72"/>
        <v>0</v>
      </c>
      <c r="AN73" s="74">
        <f t="shared" si="72"/>
        <v>0</v>
      </c>
      <c r="AO73" s="74">
        <f t="shared" si="72"/>
        <v>0</v>
      </c>
      <c r="AP73" s="544">
        <f t="shared" si="72"/>
        <v>0</v>
      </c>
      <c r="AQ73" s="548">
        <f t="shared" si="73"/>
        <v>0</v>
      </c>
      <c r="AR73" s="74">
        <f t="shared" si="73"/>
        <v>0</v>
      </c>
      <c r="AS73" s="74">
        <f t="shared" si="73"/>
        <v>0</v>
      </c>
      <c r="AT73" s="544">
        <f t="shared" si="73"/>
        <v>0</v>
      </c>
      <c r="AU73" s="548">
        <f t="shared" ref="AU73:AX81" si="80">$AA73*R73</f>
        <v>0.54</v>
      </c>
      <c r="AV73" s="74">
        <f t="shared" si="80"/>
        <v>0.54</v>
      </c>
      <c r="AW73" s="74">
        <f t="shared" si="80"/>
        <v>0.54</v>
      </c>
      <c r="AX73" s="544">
        <f t="shared" si="80"/>
        <v>0.54</v>
      </c>
      <c r="AY73" s="550">
        <f t="shared" si="74"/>
        <v>2.16</v>
      </c>
      <c r="AZ73" s="537" t="str">
        <f t="shared" si="75"/>
        <v>Correct</v>
      </c>
      <c r="BA73" s="1584" t="s">
        <v>375</v>
      </c>
      <c r="BB73" s="1048" t="s">
        <v>229</v>
      </c>
      <c r="BC73" s="314" t="str">
        <f>IFERROR(INDEX('[11]Annex 2_Code'!$J$122:$J$139,MATCH('Annex 4_MoWRAM'!BA73,'[11]Annex 2_Code'!$G$122:$G$139,0)),"")</f>
        <v>MOWRAM</v>
      </c>
      <c r="BD73" s="1084" t="str">
        <f t="shared" si="33"/>
        <v>MOWRAM</v>
      </c>
    </row>
    <row r="74" spans="1:56" s="308" customFormat="1" ht="16.350000000000001" customHeight="1">
      <c r="A74" s="531" t="str">
        <f t="shared" ref="A74:B88" si="81">IF(ISNUMBER(FIND("-",B74,1))=FALSE,LEFT(B74,LEN(B74)),LEFT(B74,(FIND("-",B74,1))-1))</f>
        <v>Govt</v>
      </c>
      <c r="B74" s="531" t="str">
        <f t="shared" si="81"/>
        <v>Govt</v>
      </c>
      <c r="C74" s="531" t="s">
        <v>42</v>
      </c>
      <c r="D74" s="55"/>
      <c r="E74" s="52"/>
      <c r="F74" s="52"/>
      <c r="G74" s="52" t="s">
        <v>405</v>
      </c>
      <c r="H74" s="52"/>
      <c r="I74" s="52"/>
      <c r="J74" s="52"/>
      <c r="K74" s="494" t="s">
        <v>55</v>
      </c>
      <c r="L74" s="477">
        <f>150/1000</f>
        <v>0.15</v>
      </c>
      <c r="M74" s="66">
        <v>6</v>
      </c>
      <c r="N74" s="66">
        <v>6</v>
      </c>
      <c r="O74" s="66">
        <v>6</v>
      </c>
      <c r="P74" s="66">
        <v>6</v>
      </c>
      <c r="Q74" s="47">
        <f t="shared" si="69"/>
        <v>24</v>
      </c>
      <c r="R74" s="547">
        <f>$M74*$L74</f>
        <v>0.89999999999999991</v>
      </c>
      <c r="S74" s="79">
        <f t="shared" si="77"/>
        <v>0.89999999999999991</v>
      </c>
      <c r="T74" s="79">
        <f t="shared" si="77"/>
        <v>0.89999999999999991</v>
      </c>
      <c r="U74" s="79">
        <f t="shared" si="77"/>
        <v>0.89999999999999991</v>
      </c>
      <c r="V74" s="181">
        <f t="shared" si="78"/>
        <v>3.5999999999999996</v>
      </c>
      <c r="W74" s="32"/>
      <c r="X74" s="551">
        <f>IFERROR(INDEX('[11]Annex 2_Code'!I$8:I$33,MATCH('Annex 4_MoWRAM'!$BB74,'[11]Annex 2_Code'!$G$8:$G$33,0)),"")</f>
        <v>0</v>
      </c>
      <c r="Y74" s="552">
        <f>IFERROR(INDEX('[11]Annex 2_Code'!J$8:J$33,MATCH('Annex 4_MoWRAM'!$BB74,'[11]Annex 2_Code'!$G$8:$G$33,0)),"")</f>
        <v>0</v>
      </c>
      <c r="Z74" s="552">
        <f>IFERROR(INDEX('[11]Annex 2_Code'!K$8:K$33,MATCH('Annex 4_MoWRAM'!$BB74,'[11]Annex 2_Code'!$G$8:$G$33,0)),"")</f>
        <v>0</v>
      </c>
      <c r="AA74" s="1630">
        <f>IFERROR(INDEX('[11]Annex 2_Code'!L$8:L$33,MATCH('Annex 4_MoWRAM'!$BB74,'[11]Annex 2_Code'!$G$8:$G$33,0)),"")</f>
        <v>1</v>
      </c>
      <c r="AB74" s="553">
        <f>IFERROR(INDEX('[11]Annex 2_Code'!M$8:M$33,MATCH('Annex 4_MoWRAM'!$BB74,'[11]Annex 2_Code'!$G$8:$G$33,0)),"")</f>
        <v>0</v>
      </c>
      <c r="AC74" s="31"/>
      <c r="AD74" s="547">
        <f t="shared" si="79"/>
        <v>0</v>
      </c>
      <c r="AE74" s="79">
        <f t="shared" si="79"/>
        <v>0</v>
      </c>
      <c r="AF74" s="79">
        <f t="shared" si="79"/>
        <v>0</v>
      </c>
      <c r="AG74" s="79">
        <f t="shared" si="79"/>
        <v>3.5999999999999996</v>
      </c>
      <c r="AH74" s="549">
        <f t="shared" si="79"/>
        <v>0</v>
      </c>
      <c r="AI74" s="548">
        <f t="shared" si="71"/>
        <v>0</v>
      </c>
      <c r="AJ74" s="74">
        <f t="shared" si="71"/>
        <v>0</v>
      </c>
      <c r="AK74" s="74">
        <f t="shared" si="71"/>
        <v>0</v>
      </c>
      <c r="AL74" s="544">
        <f t="shared" si="71"/>
        <v>0</v>
      </c>
      <c r="AM74" s="548">
        <f t="shared" si="72"/>
        <v>0</v>
      </c>
      <c r="AN74" s="74">
        <f t="shared" si="72"/>
        <v>0</v>
      </c>
      <c r="AO74" s="74">
        <f t="shared" si="72"/>
        <v>0</v>
      </c>
      <c r="AP74" s="544">
        <f t="shared" si="72"/>
        <v>0</v>
      </c>
      <c r="AQ74" s="548">
        <f t="shared" si="73"/>
        <v>0</v>
      </c>
      <c r="AR74" s="74">
        <f t="shared" si="73"/>
        <v>0</v>
      </c>
      <c r="AS74" s="74">
        <f t="shared" si="73"/>
        <v>0</v>
      </c>
      <c r="AT74" s="544">
        <f t="shared" si="73"/>
        <v>0</v>
      </c>
      <c r="AU74" s="548">
        <f t="shared" si="80"/>
        <v>0.89999999999999991</v>
      </c>
      <c r="AV74" s="74">
        <f t="shared" si="80"/>
        <v>0.89999999999999991</v>
      </c>
      <c r="AW74" s="74">
        <f t="shared" si="80"/>
        <v>0.89999999999999991</v>
      </c>
      <c r="AX74" s="544">
        <f t="shared" si="80"/>
        <v>0.89999999999999991</v>
      </c>
      <c r="AY74" s="550">
        <f t="shared" si="74"/>
        <v>3.5999999999999996</v>
      </c>
      <c r="AZ74" s="537" t="str">
        <f t="shared" si="75"/>
        <v>Correct</v>
      </c>
      <c r="BA74" s="1584" t="s">
        <v>375</v>
      </c>
      <c r="BB74" s="1048" t="s">
        <v>229</v>
      </c>
      <c r="BC74" s="314" t="str">
        <f>IFERROR(INDEX('[11]Annex 2_Code'!$J$122:$J$139,MATCH('Annex 4_MoWRAM'!BA74,'[11]Annex 2_Code'!$G$122:$G$139,0)),"")</f>
        <v>MOWRAM</v>
      </c>
      <c r="BD74" s="1084" t="str">
        <f t="shared" si="33"/>
        <v>MOWRAM</v>
      </c>
    </row>
    <row r="75" spans="1:56" s="308" customFormat="1" ht="16.350000000000001" customHeight="1">
      <c r="A75" s="531" t="str">
        <f t="shared" si="81"/>
        <v>Govt</v>
      </c>
      <c r="B75" s="531" t="str">
        <f t="shared" si="81"/>
        <v>Govt</v>
      </c>
      <c r="C75" s="531" t="s">
        <v>42</v>
      </c>
      <c r="D75" s="55"/>
      <c r="E75" s="52"/>
      <c r="F75" s="52"/>
      <c r="G75" s="52" t="s">
        <v>406</v>
      </c>
      <c r="H75" s="52"/>
      <c r="I75" s="52"/>
      <c r="J75" s="52"/>
      <c r="K75" s="494" t="s">
        <v>55</v>
      </c>
      <c r="L75" s="477">
        <f>150/1000</f>
        <v>0.15</v>
      </c>
      <c r="M75" s="66">
        <v>12</v>
      </c>
      <c r="N75" s="66">
        <v>12</v>
      </c>
      <c r="O75" s="66">
        <v>12</v>
      </c>
      <c r="P75" s="66">
        <v>12</v>
      </c>
      <c r="Q75" s="47">
        <f t="shared" si="69"/>
        <v>48</v>
      </c>
      <c r="R75" s="547">
        <f t="shared" si="76"/>
        <v>1.7999999999999998</v>
      </c>
      <c r="S75" s="79">
        <f t="shared" si="77"/>
        <v>1.7999999999999998</v>
      </c>
      <c r="T75" s="79">
        <f t="shared" si="77"/>
        <v>1.7999999999999998</v>
      </c>
      <c r="U75" s="79">
        <f t="shared" si="77"/>
        <v>1.7999999999999998</v>
      </c>
      <c r="V75" s="181">
        <f t="shared" si="78"/>
        <v>7.1999999999999993</v>
      </c>
      <c r="W75" s="32"/>
      <c r="X75" s="551">
        <f>IFERROR(INDEX('[11]Annex 2_Code'!I$8:I$33,MATCH('Annex 4_MoWRAM'!$BB75,'[11]Annex 2_Code'!$G$8:$G$33,0)),"")</f>
        <v>0</v>
      </c>
      <c r="Y75" s="552">
        <f>IFERROR(INDEX('[11]Annex 2_Code'!J$8:J$33,MATCH('Annex 4_MoWRAM'!$BB75,'[11]Annex 2_Code'!$G$8:$G$33,0)),"")</f>
        <v>0</v>
      </c>
      <c r="Z75" s="552">
        <f>IFERROR(INDEX('[11]Annex 2_Code'!K$8:K$33,MATCH('Annex 4_MoWRAM'!$BB75,'[11]Annex 2_Code'!$G$8:$G$33,0)),"")</f>
        <v>0</v>
      </c>
      <c r="AA75" s="1630">
        <f>IFERROR(INDEX('[11]Annex 2_Code'!L$8:L$33,MATCH('Annex 4_MoWRAM'!$BB75,'[11]Annex 2_Code'!$G$8:$G$33,0)),"")</f>
        <v>1</v>
      </c>
      <c r="AB75" s="553">
        <f>IFERROR(INDEX('[11]Annex 2_Code'!M$8:M$33,MATCH('Annex 4_MoWRAM'!$BB75,'[11]Annex 2_Code'!$G$8:$G$33,0)),"")</f>
        <v>0</v>
      </c>
      <c r="AC75" s="31"/>
      <c r="AD75" s="547">
        <f t="shared" si="79"/>
        <v>0</v>
      </c>
      <c r="AE75" s="79">
        <f t="shared" si="79"/>
        <v>0</v>
      </c>
      <c r="AF75" s="79">
        <f t="shared" si="79"/>
        <v>0</v>
      </c>
      <c r="AG75" s="79">
        <f t="shared" si="79"/>
        <v>7.1999999999999993</v>
      </c>
      <c r="AH75" s="549">
        <f t="shared" si="79"/>
        <v>0</v>
      </c>
      <c r="AI75" s="548">
        <f t="shared" si="71"/>
        <v>0</v>
      </c>
      <c r="AJ75" s="74">
        <f t="shared" si="71"/>
        <v>0</v>
      </c>
      <c r="AK75" s="74">
        <f t="shared" si="71"/>
        <v>0</v>
      </c>
      <c r="AL75" s="544">
        <f t="shared" si="71"/>
        <v>0</v>
      </c>
      <c r="AM75" s="548">
        <f t="shared" si="72"/>
        <v>0</v>
      </c>
      <c r="AN75" s="74">
        <f t="shared" si="72"/>
        <v>0</v>
      </c>
      <c r="AO75" s="74">
        <f t="shared" si="72"/>
        <v>0</v>
      </c>
      <c r="AP75" s="544">
        <f t="shared" si="72"/>
        <v>0</v>
      </c>
      <c r="AQ75" s="548">
        <f t="shared" si="73"/>
        <v>0</v>
      </c>
      <c r="AR75" s="74">
        <f t="shared" si="73"/>
        <v>0</v>
      </c>
      <c r="AS75" s="74">
        <f t="shared" si="73"/>
        <v>0</v>
      </c>
      <c r="AT75" s="544">
        <f t="shared" si="73"/>
        <v>0</v>
      </c>
      <c r="AU75" s="548">
        <f t="shared" si="80"/>
        <v>1.7999999999999998</v>
      </c>
      <c r="AV75" s="74">
        <f t="shared" si="80"/>
        <v>1.7999999999999998</v>
      </c>
      <c r="AW75" s="74">
        <f t="shared" si="80"/>
        <v>1.7999999999999998</v>
      </c>
      <c r="AX75" s="544">
        <f t="shared" si="80"/>
        <v>1.7999999999999998</v>
      </c>
      <c r="AY75" s="550">
        <f t="shared" si="74"/>
        <v>7.1999999999999993</v>
      </c>
      <c r="AZ75" s="537" t="str">
        <f t="shared" si="75"/>
        <v>Correct</v>
      </c>
      <c r="BA75" s="1584" t="s">
        <v>375</v>
      </c>
      <c r="BB75" s="1048" t="s">
        <v>229</v>
      </c>
      <c r="BC75" s="314" t="str">
        <f>IFERROR(INDEX('[11]Annex 2_Code'!$J$122:$J$139,MATCH('Annex 4_MoWRAM'!BA75,'[11]Annex 2_Code'!$G$122:$G$139,0)),"")</f>
        <v>MOWRAM</v>
      </c>
      <c r="BD75" s="1084" t="str">
        <f t="shared" si="33"/>
        <v>MOWRAM</v>
      </c>
    </row>
    <row r="76" spans="1:56" s="308" customFormat="1" ht="16.350000000000001" customHeight="1">
      <c r="A76" s="531" t="str">
        <f t="shared" si="81"/>
        <v>Govt</v>
      </c>
      <c r="B76" s="531" t="str">
        <f t="shared" si="81"/>
        <v>Govt</v>
      </c>
      <c r="C76" s="531" t="s">
        <v>42</v>
      </c>
      <c r="D76" s="55"/>
      <c r="E76" s="52"/>
      <c r="F76" s="52"/>
      <c r="G76" s="52" t="s">
        <v>407</v>
      </c>
      <c r="H76" s="52"/>
      <c r="I76" s="52"/>
      <c r="J76" s="52"/>
      <c r="K76" s="494" t="s">
        <v>55</v>
      </c>
      <c r="L76" s="477">
        <f>150/1000</f>
        <v>0.15</v>
      </c>
      <c r="M76" s="66">
        <v>9</v>
      </c>
      <c r="N76" s="66">
        <v>9</v>
      </c>
      <c r="O76" s="66">
        <v>9</v>
      </c>
      <c r="P76" s="66">
        <v>9</v>
      </c>
      <c r="Q76" s="47">
        <f t="shared" si="69"/>
        <v>36</v>
      </c>
      <c r="R76" s="547">
        <f t="shared" si="76"/>
        <v>1.3499999999999999</v>
      </c>
      <c r="S76" s="79">
        <f t="shared" si="77"/>
        <v>1.3499999999999999</v>
      </c>
      <c r="T76" s="79">
        <f t="shared" si="77"/>
        <v>1.3499999999999999</v>
      </c>
      <c r="U76" s="79">
        <f t="shared" si="77"/>
        <v>1.3499999999999999</v>
      </c>
      <c r="V76" s="181">
        <f t="shared" si="78"/>
        <v>5.3999999999999995</v>
      </c>
      <c r="W76" s="32"/>
      <c r="X76" s="551">
        <f>IFERROR(INDEX('[11]Annex 2_Code'!I$8:I$33,MATCH('Annex 4_MoWRAM'!$BB76,'[11]Annex 2_Code'!$G$8:$G$33,0)),"")</f>
        <v>0</v>
      </c>
      <c r="Y76" s="552">
        <f>IFERROR(INDEX('[11]Annex 2_Code'!J$8:J$33,MATCH('Annex 4_MoWRAM'!$BB76,'[11]Annex 2_Code'!$G$8:$G$33,0)),"")</f>
        <v>0</v>
      </c>
      <c r="Z76" s="552">
        <f>IFERROR(INDEX('[11]Annex 2_Code'!K$8:K$33,MATCH('Annex 4_MoWRAM'!$BB76,'[11]Annex 2_Code'!$G$8:$G$33,0)),"")</f>
        <v>0</v>
      </c>
      <c r="AA76" s="1630">
        <f>IFERROR(INDEX('[11]Annex 2_Code'!L$8:L$33,MATCH('Annex 4_MoWRAM'!$BB76,'[11]Annex 2_Code'!$G$8:$G$33,0)),"")</f>
        <v>1</v>
      </c>
      <c r="AB76" s="553">
        <f>IFERROR(INDEX('[11]Annex 2_Code'!M$8:M$33,MATCH('Annex 4_MoWRAM'!$BB76,'[11]Annex 2_Code'!$G$8:$G$33,0)),"")</f>
        <v>0</v>
      </c>
      <c r="AC76" s="31"/>
      <c r="AD76" s="547">
        <f t="shared" si="79"/>
        <v>0</v>
      </c>
      <c r="AE76" s="79">
        <f t="shared" si="79"/>
        <v>0</v>
      </c>
      <c r="AF76" s="79">
        <f t="shared" si="79"/>
        <v>0</v>
      </c>
      <c r="AG76" s="79">
        <f t="shared" si="79"/>
        <v>5.3999999999999995</v>
      </c>
      <c r="AH76" s="549">
        <f t="shared" si="79"/>
        <v>0</v>
      </c>
      <c r="AI76" s="548">
        <f t="shared" si="71"/>
        <v>0</v>
      </c>
      <c r="AJ76" s="74">
        <f t="shared" si="71"/>
        <v>0</v>
      </c>
      <c r="AK76" s="74">
        <f t="shared" si="71"/>
        <v>0</v>
      </c>
      <c r="AL76" s="544">
        <f t="shared" si="71"/>
        <v>0</v>
      </c>
      <c r="AM76" s="548">
        <f t="shared" si="72"/>
        <v>0</v>
      </c>
      <c r="AN76" s="74">
        <f t="shared" si="72"/>
        <v>0</v>
      </c>
      <c r="AO76" s="74">
        <f t="shared" si="72"/>
        <v>0</v>
      </c>
      <c r="AP76" s="544">
        <f t="shared" si="72"/>
        <v>0</v>
      </c>
      <c r="AQ76" s="548">
        <f t="shared" si="73"/>
        <v>0</v>
      </c>
      <c r="AR76" s="74">
        <f t="shared" si="73"/>
        <v>0</v>
      </c>
      <c r="AS76" s="74">
        <f t="shared" si="73"/>
        <v>0</v>
      </c>
      <c r="AT76" s="544">
        <f t="shared" si="73"/>
        <v>0</v>
      </c>
      <c r="AU76" s="548">
        <f t="shared" si="80"/>
        <v>1.3499999999999999</v>
      </c>
      <c r="AV76" s="74">
        <f t="shared" si="80"/>
        <v>1.3499999999999999</v>
      </c>
      <c r="AW76" s="74">
        <f t="shared" si="80"/>
        <v>1.3499999999999999</v>
      </c>
      <c r="AX76" s="544">
        <f t="shared" si="80"/>
        <v>1.3499999999999999</v>
      </c>
      <c r="AY76" s="550">
        <f t="shared" si="74"/>
        <v>5.3999999999999995</v>
      </c>
      <c r="AZ76" s="537" t="str">
        <f t="shared" si="75"/>
        <v>Correct</v>
      </c>
      <c r="BA76" s="1584" t="s">
        <v>375</v>
      </c>
      <c r="BB76" s="1048" t="s">
        <v>229</v>
      </c>
      <c r="BC76" s="314" t="str">
        <f>IFERROR(INDEX('[11]Annex 2_Code'!$J$122:$J$139,MATCH('Annex 4_MoWRAM'!BA76,'[11]Annex 2_Code'!$G$122:$G$139,0)),"")</f>
        <v>MOWRAM</v>
      </c>
      <c r="BD76" s="1084" t="str">
        <f t="shared" si="33"/>
        <v>MOWRAM</v>
      </c>
    </row>
    <row r="77" spans="1:56" s="308" customFormat="1" ht="16.350000000000001" customHeight="1">
      <c r="A77" s="531" t="str">
        <f t="shared" si="81"/>
        <v>Govt</v>
      </c>
      <c r="B77" s="531" t="str">
        <f t="shared" si="81"/>
        <v>Govt</v>
      </c>
      <c r="C77" s="531" t="s">
        <v>42</v>
      </c>
      <c r="D77" s="55"/>
      <c r="E77" s="52"/>
      <c r="F77" s="52"/>
      <c r="G77" s="52" t="s">
        <v>408</v>
      </c>
      <c r="H77" s="52"/>
      <c r="I77" s="52"/>
      <c r="J77" s="52"/>
      <c r="K77" s="494" t="s">
        <v>55</v>
      </c>
      <c r="L77" s="477">
        <f>150/1000</f>
        <v>0.15</v>
      </c>
      <c r="M77" s="66">
        <v>6</v>
      </c>
      <c r="N77" s="66">
        <v>6</v>
      </c>
      <c r="O77" s="66">
        <v>6</v>
      </c>
      <c r="P77" s="66">
        <v>6</v>
      </c>
      <c r="Q77" s="47">
        <f t="shared" si="69"/>
        <v>24</v>
      </c>
      <c r="R77" s="547">
        <f t="shared" si="76"/>
        <v>0.89999999999999991</v>
      </c>
      <c r="S77" s="79">
        <f t="shared" si="77"/>
        <v>0.89999999999999991</v>
      </c>
      <c r="T77" s="79">
        <f t="shared" si="77"/>
        <v>0.89999999999999991</v>
      </c>
      <c r="U77" s="79">
        <f t="shared" si="77"/>
        <v>0.89999999999999991</v>
      </c>
      <c r="V77" s="181">
        <f t="shared" si="78"/>
        <v>3.5999999999999996</v>
      </c>
      <c r="W77" s="32"/>
      <c r="X77" s="551">
        <f>IFERROR(INDEX('[11]Annex 2_Code'!I$8:I$33,MATCH('Annex 4_MoWRAM'!$BB77,'[11]Annex 2_Code'!$G$8:$G$33,0)),"")</f>
        <v>0</v>
      </c>
      <c r="Y77" s="552">
        <f>IFERROR(INDEX('[11]Annex 2_Code'!J$8:J$33,MATCH('Annex 4_MoWRAM'!$BB77,'[11]Annex 2_Code'!$G$8:$G$33,0)),"")</f>
        <v>0</v>
      </c>
      <c r="Z77" s="552">
        <f>IFERROR(INDEX('[11]Annex 2_Code'!K$8:K$33,MATCH('Annex 4_MoWRAM'!$BB77,'[11]Annex 2_Code'!$G$8:$G$33,0)),"")</f>
        <v>0</v>
      </c>
      <c r="AA77" s="1630">
        <f>IFERROR(INDEX('[11]Annex 2_Code'!L$8:L$33,MATCH('Annex 4_MoWRAM'!$BB77,'[11]Annex 2_Code'!$G$8:$G$33,0)),"")</f>
        <v>1</v>
      </c>
      <c r="AB77" s="553">
        <f>IFERROR(INDEX('[11]Annex 2_Code'!M$8:M$33,MATCH('Annex 4_MoWRAM'!$BB77,'[11]Annex 2_Code'!$G$8:$G$33,0)),"")</f>
        <v>0</v>
      </c>
      <c r="AC77" s="31"/>
      <c r="AD77" s="547">
        <f t="shared" si="79"/>
        <v>0</v>
      </c>
      <c r="AE77" s="79">
        <f t="shared" si="79"/>
        <v>0</v>
      </c>
      <c r="AF77" s="79">
        <f t="shared" si="79"/>
        <v>0</v>
      </c>
      <c r="AG77" s="79">
        <f t="shared" si="79"/>
        <v>3.5999999999999996</v>
      </c>
      <c r="AH77" s="549">
        <f t="shared" si="79"/>
        <v>0</v>
      </c>
      <c r="AI77" s="548">
        <f t="shared" si="71"/>
        <v>0</v>
      </c>
      <c r="AJ77" s="74">
        <f t="shared" si="71"/>
        <v>0</v>
      </c>
      <c r="AK77" s="74">
        <f t="shared" si="71"/>
        <v>0</v>
      </c>
      <c r="AL77" s="544">
        <f t="shared" si="71"/>
        <v>0</v>
      </c>
      <c r="AM77" s="548">
        <f t="shared" si="72"/>
        <v>0</v>
      </c>
      <c r="AN77" s="74">
        <f t="shared" si="72"/>
        <v>0</v>
      </c>
      <c r="AO77" s="74">
        <f t="shared" si="72"/>
        <v>0</v>
      </c>
      <c r="AP77" s="544">
        <f t="shared" si="72"/>
        <v>0</v>
      </c>
      <c r="AQ77" s="548">
        <f t="shared" si="73"/>
        <v>0</v>
      </c>
      <c r="AR77" s="74">
        <f t="shared" si="73"/>
        <v>0</v>
      </c>
      <c r="AS77" s="74">
        <f t="shared" si="73"/>
        <v>0</v>
      </c>
      <c r="AT77" s="544">
        <f t="shared" si="73"/>
        <v>0</v>
      </c>
      <c r="AU77" s="548">
        <f t="shared" si="80"/>
        <v>0.89999999999999991</v>
      </c>
      <c r="AV77" s="74">
        <f t="shared" si="80"/>
        <v>0.89999999999999991</v>
      </c>
      <c r="AW77" s="74">
        <f t="shared" si="80"/>
        <v>0.89999999999999991</v>
      </c>
      <c r="AX77" s="544">
        <f t="shared" si="80"/>
        <v>0.89999999999999991</v>
      </c>
      <c r="AY77" s="550">
        <f t="shared" si="74"/>
        <v>3.5999999999999996</v>
      </c>
      <c r="AZ77" s="537" t="str">
        <f t="shared" si="75"/>
        <v>Correct</v>
      </c>
      <c r="BA77" s="1584" t="s">
        <v>375</v>
      </c>
      <c r="BB77" s="1048" t="s">
        <v>229</v>
      </c>
      <c r="BC77" s="314" t="str">
        <f>IFERROR(INDEX('[11]Annex 2_Code'!$J$122:$J$139,MATCH('Annex 4_MoWRAM'!BA77,'[11]Annex 2_Code'!$G$122:$G$139,0)),"")</f>
        <v>MOWRAM</v>
      </c>
      <c r="BD77" s="1084" t="str">
        <f t="shared" si="33"/>
        <v>MOWRAM</v>
      </c>
    </row>
    <row r="78" spans="1:56" s="308" customFormat="1" ht="16.350000000000001" customHeight="1">
      <c r="A78" s="531" t="str">
        <f t="shared" si="81"/>
        <v>Govt</v>
      </c>
      <c r="B78" s="531" t="str">
        <f t="shared" si="81"/>
        <v>Govt</v>
      </c>
      <c r="C78" s="531" t="s">
        <v>42</v>
      </c>
      <c r="D78" s="55"/>
      <c r="E78" s="52"/>
      <c r="F78" s="52"/>
      <c r="G78" s="52" t="s">
        <v>409</v>
      </c>
      <c r="H78" s="52"/>
      <c r="I78" s="52"/>
      <c r="J78" s="52"/>
      <c r="K78" s="494" t="s">
        <v>55</v>
      </c>
      <c r="L78" s="477">
        <f>150/1000</f>
        <v>0.15</v>
      </c>
      <c r="M78" s="66">
        <v>15</v>
      </c>
      <c r="N78" s="66">
        <v>15</v>
      </c>
      <c r="O78" s="66">
        <v>15</v>
      </c>
      <c r="P78" s="66">
        <v>15</v>
      </c>
      <c r="Q78" s="47">
        <f t="shared" si="69"/>
        <v>60</v>
      </c>
      <c r="R78" s="547">
        <f t="shared" si="76"/>
        <v>2.25</v>
      </c>
      <c r="S78" s="79">
        <f t="shared" si="77"/>
        <v>2.25</v>
      </c>
      <c r="T78" s="79">
        <f t="shared" si="77"/>
        <v>2.25</v>
      </c>
      <c r="U78" s="79">
        <f t="shared" si="77"/>
        <v>2.25</v>
      </c>
      <c r="V78" s="181">
        <f t="shared" si="78"/>
        <v>9</v>
      </c>
      <c r="W78" s="32"/>
      <c r="X78" s="551">
        <f>IFERROR(INDEX('[11]Annex 2_Code'!I$8:I$33,MATCH('Annex 4_MoWRAM'!$BB78,'[11]Annex 2_Code'!$G$8:$G$33,0)),"")</f>
        <v>0</v>
      </c>
      <c r="Y78" s="552">
        <f>IFERROR(INDEX('[11]Annex 2_Code'!J$8:J$33,MATCH('Annex 4_MoWRAM'!$BB78,'[11]Annex 2_Code'!$G$8:$G$33,0)),"")</f>
        <v>0</v>
      </c>
      <c r="Z78" s="552">
        <f>IFERROR(INDEX('[11]Annex 2_Code'!K$8:K$33,MATCH('Annex 4_MoWRAM'!$BB78,'[11]Annex 2_Code'!$G$8:$G$33,0)),"")</f>
        <v>0</v>
      </c>
      <c r="AA78" s="1630">
        <f>IFERROR(INDEX('[11]Annex 2_Code'!L$8:L$33,MATCH('Annex 4_MoWRAM'!$BB78,'[11]Annex 2_Code'!$G$8:$G$33,0)),"")</f>
        <v>1</v>
      </c>
      <c r="AB78" s="553">
        <f>IFERROR(INDEX('[11]Annex 2_Code'!M$8:M$33,MATCH('Annex 4_MoWRAM'!$BB78,'[11]Annex 2_Code'!$G$8:$G$33,0)),"")</f>
        <v>0</v>
      </c>
      <c r="AC78" s="31"/>
      <c r="AD78" s="547">
        <f t="shared" si="79"/>
        <v>0</v>
      </c>
      <c r="AE78" s="79">
        <f t="shared" si="79"/>
        <v>0</v>
      </c>
      <c r="AF78" s="79">
        <f t="shared" si="79"/>
        <v>0</v>
      </c>
      <c r="AG78" s="79">
        <f t="shared" si="79"/>
        <v>9</v>
      </c>
      <c r="AH78" s="549">
        <f t="shared" si="79"/>
        <v>0</v>
      </c>
      <c r="AI78" s="548">
        <f t="shared" si="71"/>
        <v>0</v>
      </c>
      <c r="AJ78" s="74">
        <f t="shared" si="71"/>
        <v>0</v>
      </c>
      <c r="AK78" s="74">
        <f t="shared" si="71"/>
        <v>0</v>
      </c>
      <c r="AL78" s="544">
        <f t="shared" si="71"/>
        <v>0</v>
      </c>
      <c r="AM78" s="548">
        <f t="shared" si="72"/>
        <v>0</v>
      </c>
      <c r="AN78" s="74">
        <f t="shared" si="72"/>
        <v>0</v>
      </c>
      <c r="AO78" s="74">
        <f t="shared" si="72"/>
        <v>0</v>
      </c>
      <c r="AP78" s="544">
        <f t="shared" si="72"/>
        <v>0</v>
      </c>
      <c r="AQ78" s="548">
        <f t="shared" si="73"/>
        <v>0</v>
      </c>
      <c r="AR78" s="74">
        <f t="shared" si="73"/>
        <v>0</v>
      </c>
      <c r="AS78" s="74">
        <f t="shared" si="73"/>
        <v>0</v>
      </c>
      <c r="AT78" s="544">
        <f t="shared" si="73"/>
        <v>0</v>
      </c>
      <c r="AU78" s="548">
        <f t="shared" si="80"/>
        <v>2.25</v>
      </c>
      <c r="AV78" s="74">
        <f t="shared" si="80"/>
        <v>2.25</v>
      </c>
      <c r="AW78" s="74">
        <f t="shared" si="80"/>
        <v>2.25</v>
      </c>
      <c r="AX78" s="544">
        <f t="shared" si="80"/>
        <v>2.25</v>
      </c>
      <c r="AY78" s="550">
        <f t="shared" si="74"/>
        <v>9</v>
      </c>
      <c r="AZ78" s="537" t="str">
        <f t="shared" si="75"/>
        <v>Correct</v>
      </c>
      <c r="BA78" s="1584" t="s">
        <v>375</v>
      </c>
      <c r="BB78" s="1048" t="s">
        <v>229</v>
      </c>
      <c r="BC78" s="314" t="str">
        <f>IFERROR(INDEX('[11]Annex 2_Code'!$J$122:$J$139,MATCH('Annex 4_MoWRAM'!BA78,'[11]Annex 2_Code'!$G$122:$G$139,0)),"")</f>
        <v>MOWRAM</v>
      </c>
      <c r="BD78" s="1084" t="str">
        <f t="shared" si="33"/>
        <v>MOWRAM</v>
      </c>
    </row>
    <row r="79" spans="1:56" s="308" customFormat="1" ht="16.350000000000001" customHeight="1">
      <c r="A79" s="531" t="str">
        <f t="shared" si="81"/>
        <v>Govt</v>
      </c>
      <c r="B79" s="531" t="str">
        <f t="shared" si="81"/>
        <v>Govt</v>
      </c>
      <c r="C79" s="531" t="s">
        <v>42</v>
      </c>
      <c r="D79" s="55"/>
      <c r="E79" s="52"/>
      <c r="G79" s="1206" t="s">
        <v>410</v>
      </c>
      <c r="H79" s="1214"/>
      <c r="I79" s="52"/>
      <c r="J79" s="52"/>
      <c r="K79" s="494" t="s">
        <v>55</v>
      </c>
      <c r="L79" s="477">
        <f>115/1000</f>
        <v>0.115</v>
      </c>
      <c r="M79" s="66">
        <v>12</v>
      </c>
      <c r="N79" s="66">
        <v>12</v>
      </c>
      <c r="O79" s="66">
        <v>12</v>
      </c>
      <c r="P79" s="66">
        <v>12</v>
      </c>
      <c r="Q79" s="47">
        <f>SUM(M79:P79)</f>
        <v>48</v>
      </c>
      <c r="R79" s="547">
        <f t="shared" si="76"/>
        <v>1.3800000000000001</v>
      </c>
      <c r="S79" s="79">
        <f t="shared" si="77"/>
        <v>1.3800000000000001</v>
      </c>
      <c r="T79" s="79">
        <f t="shared" si="77"/>
        <v>1.3800000000000001</v>
      </c>
      <c r="U79" s="79">
        <f t="shared" si="77"/>
        <v>1.3800000000000001</v>
      </c>
      <c r="V79" s="181">
        <f>SUM(R79:U79)</f>
        <v>5.5200000000000005</v>
      </c>
      <c r="W79" s="32"/>
      <c r="X79" s="551">
        <f>IFERROR(INDEX('[11]Annex 2_Code'!I$8:I$33,MATCH('Annex 4_MoWRAM'!$BB79,'[11]Annex 2_Code'!$G$8:$G$33,0)),"")</f>
        <v>0</v>
      </c>
      <c r="Y79" s="552">
        <f>IFERROR(INDEX('[11]Annex 2_Code'!J$8:J$33,MATCH('Annex 4_MoWRAM'!$BB79,'[11]Annex 2_Code'!$G$8:$G$33,0)),"")</f>
        <v>0</v>
      </c>
      <c r="Z79" s="552">
        <f>IFERROR(INDEX('[11]Annex 2_Code'!K$8:K$33,MATCH('Annex 4_MoWRAM'!$BB79,'[11]Annex 2_Code'!$G$8:$G$33,0)),"")</f>
        <v>0</v>
      </c>
      <c r="AA79" s="1630">
        <f>IFERROR(INDEX('[11]Annex 2_Code'!L$8:L$33,MATCH('Annex 4_MoWRAM'!$BB79,'[11]Annex 2_Code'!$G$8:$G$33,0)),"")</f>
        <v>1</v>
      </c>
      <c r="AB79" s="553">
        <f>IFERROR(INDEX('[11]Annex 2_Code'!M$8:M$33,MATCH('Annex 4_MoWRAM'!$BB79,'[11]Annex 2_Code'!$G$8:$G$33,0)),"")</f>
        <v>0</v>
      </c>
      <c r="AC79" s="31"/>
      <c r="AD79" s="547">
        <f t="shared" si="79"/>
        <v>0</v>
      </c>
      <c r="AE79" s="79">
        <f t="shared" si="79"/>
        <v>0</v>
      </c>
      <c r="AF79" s="79">
        <f t="shared" si="79"/>
        <v>0</v>
      </c>
      <c r="AG79" s="79">
        <f t="shared" si="79"/>
        <v>5.5200000000000005</v>
      </c>
      <c r="AH79" s="549">
        <f t="shared" si="79"/>
        <v>0</v>
      </c>
      <c r="AI79" s="548">
        <f t="shared" si="71"/>
        <v>0</v>
      </c>
      <c r="AJ79" s="74">
        <f t="shared" si="71"/>
        <v>0</v>
      </c>
      <c r="AK79" s="74">
        <f t="shared" si="71"/>
        <v>0</v>
      </c>
      <c r="AL79" s="544">
        <f t="shared" si="71"/>
        <v>0</v>
      </c>
      <c r="AM79" s="548">
        <f t="shared" si="72"/>
        <v>0</v>
      </c>
      <c r="AN79" s="74">
        <f t="shared" si="72"/>
        <v>0</v>
      </c>
      <c r="AO79" s="74">
        <f t="shared" si="72"/>
        <v>0</v>
      </c>
      <c r="AP79" s="544">
        <f t="shared" si="72"/>
        <v>0</v>
      </c>
      <c r="AQ79" s="548">
        <f t="shared" si="73"/>
        <v>0</v>
      </c>
      <c r="AR79" s="74">
        <f t="shared" si="73"/>
        <v>0</v>
      </c>
      <c r="AS79" s="74">
        <f t="shared" si="73"/>
        <v>0</v>
      </c>
      <c r="AT79" s="544">
        <f t="shared" si="73"/>
        <v>0</v>
      </c>
      <c r="AU79" s="548">
        <f t="shared" si="80"/>
        <v>1.3800000000000001</v>
      </c>
      <c r="AV79" s="74">
        <f t="shared" si="80"/>
        <v>1.3800000000000001</v>
      </c>
      <c r="AW79" s="74">
        <f t="shared" si="80"/>
        <v>1.3800000000000001</v>
      </c>
      <c r="AX79" s="544">
        <f t="shared" si="80"/>
        <v>1.3800000000000001</v>
      </c>
      <c r="AY79" s="550">
        <f>SUM(AD79:AH79)</f>
        <v>5.5200000000000005</v>
      </c>
      <c r="AZ79" s="537" t="str">
        <f t="shared" si="75"/>
        <v>Correct</v>
      </c>
      <c r="BA79" s="1584" t="s">
        <v>375</v>
      </c>
      <c r="BB79" s="1048" t="s">
        <v>229</v>
      </c>
      <c r="BC79" s="314" t="str">
        <f>IFERROR(INDEX('[11]Annex 2_Code'!$J$122:$J$139,MATCH('Annex 4_MoWRAM'!BA79,'[11]Annex 2_Code'!$G$122:$G$139,0)),"")</f>
        <v>MOWRAM</v>
      </c>
      <c r="BD79" s="1084" t="str">
        <f t="shared" si="33"/>
        <v>MOWRAM</v>
      </c>
    </row>
    <row r="80" spans="1:56" s="308" customFormat="1" ht="16.350000000000001" customHeight="1">
      <c r="A80" s="531" t="str">
        <f t="shared" si="81"/>
        <v>Govt</v>
      </c>
      <c r="B80" s="531" t="str">
        <f t="shared" si="81"/>
        <v>Govt</v>
      </c>
      <c r="C80" s="531" t="s">
        <v>42</v>
      </c>
      <c r="D80" s="55"/>
      <c r="E80" s="52"/>
      <c r="G80" s="1206" t="s">
        <v>154</v>
      </c>
      <c r="H80" s="1214"/>
      <c r="I80" s="52"/>
      <c r="J80" s="52"/>
      <c r="K80" s="494" t="s">
        <v>55</v>
      </c>
      <c r="L80" s="477">
        <f>100/1000</f>
        <v>0.1</v>
      </c>
      <c r="M80" s="66">
        <v>12</v>
      </c>
      <c r="N80" s="66">
        <v>12</v>
      </c>
      <c r="O80" s="66">
        <v>12</v>
      </c>
      <c r="P80" s="66">
        <v>12</v>
      </c>
      <c r="Q80" s="47">
        <f>SUM(M80:P80)</f>
        <v>48</v>
      </c>
      <c r="R80" s="547">
        <f t="shared" si="76"/>
        <v>1.2000000000000002</v>
      </c>
      <c r="S80" s="79">
        <f t="shared" si="77"/>
        <v>1.2000000000000002</v>
      </c>
      <c r="T80" s="79">
        <f t="shared" si="77"/>
        <v>1.2000000000000002</v>
      </c>
      <c r="U80" s="79">
        <f t="shared" si="77"/>
        <v>1.2000000000000002</v>
      </c>
      <c r="V80" s="181">
        <f>SUM(R80:U80)</f>
        <v>4.8000000000000007</v>
      </c>
      <c r="W80" s="32"/>
      <c r="X80" s="551">
        <f>IFERROR(INDEX('[11]Annex 2_Code'!I$8:I$33,MATCH('Annex 4_MoWRAM'!$BB80,'[11]Annex 2_Code'!$G$8:$G$33,0)),"")</f>
        <v>0</v>
      </c>
      <c r="Y80" s="552">
        <f>IFERROR(INDEX('[11]Annex 2_Code'!J$8:J$33,MATCH('Annex 4_MoWRAM'!$BB80,'[11]Annex 2_Code'!$G$8:$G$33,0)),"")</f>
        <v>0</v>
      </c>
      <c r="Z80" s="552">
        <f>IFERROR(INDEX('[11]Annex 2_Code'!K$8:K$33,MATCH('Annex 4_MoWRAM'!$BB80,'[11]Annex 2_Code'!$G$8:$G$33,0)),"")</f>
        <v>0</v>
      </c>
      <c r="AA80" s="1630">
        <f>IFERROR(INDEX('[11]Annex 2_Code'!L$8:L$33,MATCH('Annex 4_MoWRAM'!$BB80,'[11]Annex 2_Code'!$G$8:$G$33,0)),"")</f>
        <v>1</v>
      </c>
      <c r="AB80" s="553">
        <f>IFERROR(INDEX('[11]Annex 2_Code'!M$8:M$33,MATCH('Annex 4_MoWRAM'!$BB80,'[11]Annex 2_Code'!$G$8:$G$33,0)),"")</f>
        <v>0</v>
      </c>
      <c r="AC80" s="31"/>
      <c r="AD80" s="547">
        <f>$V80*X80</f>
        <v>0</v>
      </c>
      <c r="AE80" s="79">
        <f t="shared" si="79"/>
        <v>0</v>
      </c>
      <c r="AF80" s="79">
        <f t="shared" si="79"/>
        <v>0</v>
      </c>
      <c r="AG80" s="79">
        <f t="shared" si="79"/>
        <v>4.8000000000000007</v>
      </c>
      <c r="AH80" s="549">
        <f>$V80*AB80</f>
        <v>0</v>
      </c>
      <c r="AI80" s="548">
        <f t="shared" si="71"/>
        <v>0</v>
      </c>
      <c r="AJ80" s="74">
        <f t="shared" si="71"/>
        <v>0</v>
      </c>
      <c r="AK80" s="74">
        <f t="shared" si="71"/>
        <v>0</v>
      </c>
      <c r="AL80" s="544">
        <f t="shared" si="71"/>
        <v>0</v>
      </c>
      <c r="AM80" s="548">
        <f t="shared" si="72"/>
        <v>0</v>
      </c>
      <c r="AN80" s="74">
        <f t="shared" si="72"/>
        <v>0</v>
      </c>
      <c r="AO80" s="74">
        <f t="shared" si="72"/>
        <v>0</v>
      </c>
      <c r="AP80" s="544">
        <f t="shared" si="72"/>
        <v>0</v>
      </c>
      <c r="AQ80" s="548">
        <f t="shared" si="73"/>
        <v>0</v>
      </c>
      <c r="AR80" s="74">
        <f t="shared" si="73"/>
        <v>0</v>
      </c>
      <c r="AS80" s="74">
        <f t="shared" si="73"/>
        <v>0</v>
      </c>
      <c r="AT80" s="544">
        <f t="shared" si="73"/>
        <v>0</v>
      </c>
      <c r="AU80" s="548">
        <f t="shared" si="80"/>
        <v>1.2000000000000002</v>
      </c>
      <c r="AV80" s="74">
        <f t="shared" si="80"/>
        <v>1.2000000000000002</v>
      </c>
      <c r="AW80" s="74">
        <f t="shared" si="80"/>
        <v>1.2000000000000002</v>
      </c>
      <c r="AX80" s="544">
        <f t="shared" si="80"/>
        <v>1.2000000000000002</v>
      </c>
      <c r="AY80" s="550">
        <f>SUM(AD80:AH80)</f>
        <v>4.8000000000000007</v>
      </c>
      <c r="AZ80" s="537" t="str">
        <f t="shared" si="75"/>
        <v>Correct</v>
      </c>
      <c r="BA80" s="1584" t="s">
        <v>375</v>
      </c>
      <c r="BB80" s="1048" t="s">
        <v>229</v>
      </c>
      <c r="BC80" s="314" t="str">
        <f>IFERROR(INDEX('[11]Annex 2_Code'!$J$122:$J$139,MATCH('Annex 4_MoWRAM'!BA80,'[11]Annex 2_Code'!$G$122:$G$139,0)),"")</f>
        <v>MOWRAM</v>
      </c>
      <c r="BD80" s="1084" t="str">
        <f t="shared" si="33"/>
        <v>MOWRAM</v>
      </c>
    </row>
    <row r="81" spans="1:56" s="308" customFormat="1" ht="15" customHeight="1">
      <c r="A81" s="531" t="str">
        <f t="shared" si="81"/>
        <v>Govt</v>
      </c>
      <c r="B81" s="531" t="str">
        <f t="shared" si="81"/>
        <v>Govt</v>
      </c>
      <c r="C81" s="531" t="s">
        <v>42</v>
      </c>
      <c r="D81" s="55"/>
      <c r="E81" s="52"/>
      <c r="G81" s="1206" t="s">
        <v>155</v>
      </c>
      <c r="H81" s="1214"/>
      <c r="I81" s="52"/>
      <c r="J81" s="52"/>
      <c r="K81" s="494" t="s">
        <v>55</v>
      </c>
      <c r="L81" s="477">
        <f>100/1000</f>
        <v>0.1</v>
      </c>
      <c r="M81" s="66">
        <v>12</v>
      </c>
      <c r="N81" s="66">
        <v>12</v>
      </c>
      <c r="O81" s="66">
        <v>12</v>
      </c>
      <c r="P81" s="66">
        <v>12</v>
      </c>
      <c r="Q81" s="47">
        <f>SUM(M81:P81)</f>
        <v>48</v>
      </c>
      <c r="R81" s="547">
        <f t="shared" si="76"/>
        <v>1.2000000000000002</v>
      </c>
      <c r="S81" s="79">
        <f t="shared" si="77"/>
        <v>1.2000000000000002</v>
      </c>
      <c r="T81" s="79">
        <f t="shared" si="77"/>
        <v>1.2000000000000002</v>
      </c>
      <c r="U81" s="79">
        <f t="shared" si="77"/>
        <v>1.2000000000000002</v>
      </c>
      <c r="V81" s="181">
        <f>SUM(R81:U81)</f>
        <v>4.8000000000000007</v>
      </c>
      <c r="W81" s="32"/>
      <c r="X81" s="551">
        <f>IFERROR(INDEX('[11]Annex 2_Code'!I$8:I$33,MATCH('Annex 4_MoWRAM'!$BB81,'[11]Annex 2_Code'!$G$8:$G$33,0)),"")</f>
        <v>0</v>
      </c>
      <c r="Y81" s="552">
        <f>IFERROR(INDEX('[11]Annex 2_Code'!J$8:J$33,MATCH('Annex 4_MoWRAM'!$BB81,'[11]Annex 2_Code'!$G$8:$G$33,0)),"")</f>
        <v>0</v>
      </c>
      <c r="Z81" s="552">
        <f>IFERROR(INDEX('[11]Annex 2_Code'!K$8:K$33,MATCH('Annex 4_MoWRAM'!$BB81,'[11]Annex 2_Code'!$G$8:$G$33,0)),"")</f>
        <v>0</v>
      </c>
      <c r="AA81" s="1630">
        <f>IFERROR(INDEX('[11]Annex 2_Code'!L$8:L$33,MATCH('Annex 4_MoWRAM'!$BB81,'[11]Annex 2_Code'!$G$8:$G$33,0)),"")</f>
        <v>1</v>
      </c>
      <c r="AB81" s="553">
        <f>IFERROR(INDEX('[11]Annex 2_Code'!M$8:M$33,MATCH('Annex 4_MoWRAM'!$BB81,'[11]Annex 2_Code'!$G$8:$G$33,0)),"")</f>
        <v>0</v>
      </c>
      <c r="AC81" s="31"/>
      <c r="AD81" s="547">
        <f t="shared" si="79"/>
        <v>0</v>
      </c>
      <c r="AE81" s="79">
        <f t="shared" si="79"/>
        <v>0</v>
      </c>
      <c r="AF81" s="79">
        <f t="shared" si="79"/>
        <v>0</v>
      </c>
      <c r="AG81" s="79">
        <f t="shared" si="79"/>
        <v>4.8000000000000007</v>
      </c>
      <c r="AH81" s="549">
        <f t="shared" si="79"/>
        <v>0</v>
      </c>
      <c r="AI81" s="548">
        <f t="shared" si="71"/>
        <v>0</v>
      </c>
      <c r="AJ81" s="74">
        <f t="shared" si="71"/>
        <v>0</v>
      </c>
      <c r="AK81" s="74">
        <f t="shared" si="71"/>
        <v>0</v>
      </c>
      <c r="AL81" s="544">
        <f t="shared" si="71"/>
        <v>0</v>
      </c>
      <c r="AM81" s="548">
        <f t="shared" si="72"/>
        <v>0</v>
      </c>
      <c r="AN81" s="74">
        <f t="shared" si="72"/>
        <v>0</v>
      </c>
      <c r="AO81" s="74">
        <f t="shared" si="72"/>
        <v>0</v>
      </c>
      <c r="AP81" s="544">
        <f t="shared" si="72"/>
        <v>0</v>
      </c>
      <c r="AQ81" s="548">
        <f t="shared" si="73"/>
        <v>0</v>
      </c>
      <c r="AR81" s="74">
        <f t="shared" si="73"/>
        <v>0</v>
      </c>
      <c r="AS81" s="74">
        <f t="shared" si="73"/>
        <v>0</v>
      </c>
      <c r="AT81" s="544">
        <f t="shared" si="73"/>
        <v>0</v>
      </c>
      <c r="AU81" s="548">
        <f t="shared" si="80"/>
        <v>1.2000000000000002</v>
      </c>
      <c r="AV81" s="74">
        <f t="shared" si="80"/>
        <v>1.2000000000000002</v>
      </c>
      <c r="AW81" s="74">
        <f t="shared" si="80"/>
        <v>1.2000000000000002</v>
      </c>
      <c r="AX81" s="544">
        <f t="shared" si="80"/>
        <v>1.2000000000000002</v>
      </c>
      <c r="AY81" s="550">
        <f>SUM(AD81:AH81)</f>
        <v>4.8000000000000007</v>
      </c>
      <c r="AZ81" s="537" t="str">
        <f t="shared" si="75"/>
        <v>Correct</v>
      </c>
      <c r="BA81" s="1584" t="s">
        <v>375</v>
      </c>
      <c r="BB81" s="1048" t="s">
        <v>229</v>
      </c>
      <c r="BC81" s="314" t="str">
        <f>IFERROR(INDEX('[11]Annex 2_Code'!$J$122:$J$139,MATCH('Annex 4_MoWRAM'!BA81,'[11]Annex 2_Code'!$G$122:$G$139,0)),"")</f>
        <v>MOWRAM</v>
      </c>
      <c r="BD81" s="1084" t="str">
        <f t="shared" si="33"/>
        <v>MOWRAM</v>
      </c>
    </row>
    <row r="82" spans="1:56" s="214" customFormat="1" ht="15.95" customHeight="1">
      <c r="A82" s="534" t="str">
        <f t="shared" si="81"/>
        <v/>
      </c>
      <c r="B82" s="534" t="str">
        <f t="shared" si="81"/>
        <v/>
      </c>
      <c r="C82" s="534"/>
      <c r="D82" s="206"/>
      <c r="E82" s="206"/>
      <c r="F82" s="206" t="s">
        <v>36</v>
      </c>
      <c r="G82" s="206" t="s">
        <v>1322</v>
      </c>
      <c r="H82" s="206"/>
      <c r="I82" s="206"/>
      <c r="J82" s="206"/>
      <c r="K82" s="495"/>
      <c r="L82" s="496"/>
      <c r="M82" s="212"/>
      <c r="N82" s="210"/>
      <c r="O82" s="210"/>
      <c r="P82" s="210"/>
      <c r="Q82" s="1660"/>
      <c r="R82" s="239">
        <f>SUM(R72:R81)</f>
        <v>12.059999999999999</v>
      </c>
      <c r="S82" s="213">
        <f>SUM(S72:S81)</f>
        <v>12.059999999999999</v>
      </c>
      <c r="T82" s="213">
        <f>SUM(T72:T81)</f>
        <v>12.059999999999999</v>
      </c>
      <c r="U82" s="213">
        <f>SUM(U72:U81)</f>
        <v>12.059999999999999</v>
      </c>
      <c r="V82" s="215">
        <f>SUM(V72:V81,0)</f>
        <v>48.239999999999995</v>
      </c>
      <c r="W82" s="211"/>
      <c r="X82" s="551" t="str">
        <f>IFERROR(INDEX('[11]Annex 2_Code'!I$8:I$33,MATCH('Annex 4_MoWRAM'!$BB82,'[11]Annex 2_Code'!$G$8:$G$33,0)),"")</f>
        <v/>
      </c>
      <c r="Y82" s="552" t="str">
        <f>IFERROR(INDEX('[11]Annex 2_Code'!J$8:J$33,MATCH('Annex 4_MoWRAM'!$BB82,'[11]Annex 2_Code'!$G$8:$G$33,0)),"")</f>
        <v/>
      </c>
      <c r="Z82" s="552" t="str">
        <f>IFERROR(INDEX('[11]Annex 2_Code'!K$8:K$33,MATCH('Annex 4_MoWRAM'!$BB82,'[11]Annex 2_Code'!$G$8:$G$33,0)),"")</f>
        <v/>
      </c>
      <c r="AA82" s="552" t="str">
        <f>IFERROR(INDEX('[11]Annex 2_Code'!L$8:L$33,MATCH('Annex 4_MoWRAM'!$BB82,'[11]Annex 2_Code'!$G$8:$G$33,0)),"")</f>
        <v/>
      </c>
      <c r="AB82" s="553" t="str">
        <f>IFERROR(INDEX('[11]Annex 2_Code'!M$8:M$33,MATCH('Annex 4_MoWRAM'!$BB82,'[11]Annex 2_Code'!$G$8:$G$33,0)),"")</f>
        <v/>
      </c>
      <c r="AC82" s="210"/>
      <c r="AD82" s="243">
        <f t="shared" ref="AD82:AX82" si="82">SUM(AD72:AD81,0)</f>
        <v>0</v>
      </c>
      <c r="AE82" s="238">
        <f t="shared" si="82"/>
        <v>0</v>
      </c>
      <c r="AF82" s="238">
        <f t="shared" si="82"/>
        <v>0</v>
      </c>
      <c r="AG82" s="238">
        <f t="shared" si="82"/>
        <v>48.239999999999995</v>
      </c>
      <c r="AH82" s="244">
        <f t="shared" si="82"/>
        <v>0</v>
      </c>
      <c r="AI82" s="238">
        <f t="shared" si="82"/>
        <v>0</v>
      </c>
      <c r="AJ82" s="238">
        <f t="shared" si="82"/>
        <v>0</v>
      </c>
      <c r="AK82" s="238">
        <f t="shared" si="82"/>
        <v>0</v>
      </c>
      <c r="AL82" s="244">
        <f t="shared" si="82"/>
        <v>0</v>
      </c>
      <c r="AM82" s="238">
        <f t="shared" si="82"/>
        <v>0</v>
      </c>
      <c r="AN82" s="238">
        <f t="shared" si="82"/>
        <v>0</v>
      </c>
      <c r="AO82" s="238">
        <f t="shared" si="82"/>
        <v>0</v>
      </c>
      <c r="AP82" s="238">
        <f t="shared" si="82"/>
        <v>0</v>
      </c>
      <c r="AQ82" s="243">
        <f t="shared" si="82"/>
        <v>0</v>
      </c>
      <c r="AR82" s="238">
        <f t="shared" si="82"/>
        <v>0</v>
      </c>
      <c r="AS82" s="238">
        <f t="shared" si="82"/>
        <v>0</v>
      </c>
      <c r="AT82" s="238">
        <f t="shared" si="82"/>
        <v>0</v>
      </c>
      <c r="AU82" s="243">
        <f t="shared" si="82"/>
        <v>12.059999999999999</v>
      </c>
      <c r="AV82" s="238">
        <f t="shared" si="82"/>
        <v>12.059999999999999</v>
      </c>
      <c r="AW82" s="238">
        <f t="shared" si="82"/>
        <v>12.059999999999999</v>
      </c>
      <c r="AX82" s="238">
        <f t="shared" si="82"/>
        <v>12.059999999999999</v>
      </c>
      <c r="AY82" s="241">
        <f>SUM(AY72:AY81)</f>
        <v>48.239999999999995</v>
      </c>
      <c r="AZ82" s="1661" t="str">
        <f>IF(V82=AY82,"Correct","Incorrect")</f>
        <v>Correct</v>
      </c>
      <c r="BA82" s="1584"/>
      <c r="BB82" s="1048"/>
      <c r="BC82" s="314">
        <f>IFERROR(INDEX('[11]Annex 2_Code'!$J$122:$J$139,MATCH('Annex 4_MoWRAM'!BA82,'[11]Annex 2_Code'!$G$122:$G$139,0)),"")</f>
        <v>0</v>
      </c>
      <c r="BD82" s="1084" t="str">
        <f t="shared" si="33"/>
        <v>0</v>
      </c>
    </row>
    <row r="83" spans="1:56" s="308" customFormat="1" ht="15.95" customHeight="1">
      <c r="A83" s="531" t="str">
        <f t="shared" si="81"/>
        <v/>
      </c>
      <c r="B83" s="531" t="str">
        <f t="shared" si="81"/>
        <v/>
      </c>
      <c r="C83" s="531"/>
      <c r="D83" s="52"/>
      <c r="E83" s="53" t="s">
        <v>46</v>
      </c>
      <c r="F83" s="52"/>
      <c r="G83" s="52"/>
      <c r="H83" s="52"/>
      <c r="I83" s="52"/>
      <c r="J83" s="52"/>
      <c r="K83" s="497"/>
      <c r="L83" s="498"/>
      <c r="M83" s="205"/>
      <c r="N83" s="47"/>
      <c r="O83" s="47"/>
      <c r="P83" s="47"/>
      <c r="Q83" s="32"/>
      <c r="R83" s="54"/>
      <c r="S83" s="31"/>
      <c r="T83" s="31"/>
      <c r="U83" s="31"/>
      <c r="V83" s="51"/>
      <c r="W83" s="32"/>
      <c r="X83" s="551" t="str">
        <f>IFERROR(INDEX('[11]Annex 2_Code'!I$8:I$33,MATCH('Annex 4_MoWRAM'!$BB83,'[11]Annex 2_Code'!$G$8:$G$33,0)),"")</f>
        <v/>
      </c>
      <c r="Y83" s="552" t="str">
        <f>IFERROR(INDEX('[11]Annex 2_Code'!J$8:J$33,MATCH('Annex 4_MoWRAM'!$BB83,'[11]Annex 2_Code'!$G$8:$G$33,0)),"")</f>
        <v/>
      </c>
      <c r="Z83" s="552" t="str">
        <f>IFERROR(INDEX('[11]Annex 2_Code'!K$8:K$33,MATCH('Annex 4_MoWRAM'!$BB83,'[11]Annex 2_Code'!$G$8:$G$33,0)),"")</f>
        <v/>
      </c>
      <c r="AA83" s="552" t="str">
        <f>IFERROR(INDEX('[11]Annex 2_Code'!L$8:L$33,MATCH('Annex 4_MoWRAM'!$BB83,'[11]Annex 2_Code'!$G$8:$G$33,0)),"")</f>
        <v/>
      </c>
      <c r="AB83" s="553" t="str">
        <f>IFERROR(INDEX('[11]Annex 2_Code'!M$8:M$33,MATCH('Annex 4_MoWRAM'!$BB83,'[11]Annex 2_Code'!$G$8:$G$33,0)),"")</f>
        <v/>
      </c>
      <c r="AC83" s="31"/>
      <c r="AD83" s="547"/>
      <c r="AE83" s="74"/>
      <c r="AF83" s="74"/>
      <c r="AG83" s="74"/>
      <c r="AH83" s="544"/>
      <c r="AI83" s="74"/>
      <c r="AJ83" s="74"/>
      <c r="AK83" s="74"/>
      <c r="AL83" s="544"/>
      <c r="AM83" s="74"/>
      <c r="AN83" s="74"/>
      <c r="AO83" s="74"/>
      <c r="AP83" s="74"/>
      <c r="AQ83" s="548"/>
      <c r="AR83" s="74"/>
      <c r="AS83" s="74"/>
      <c r="AT83" s="74"/>
      <c r="AU83" s="548"/>
      <c r="AV83" s="74"/>
      <c r="AW83" s="74"/>
      <c r="AX83" s="544"/>
      <c r="AY83" s="174"/>
      <c r="AZ83" s="1662"/>
      <c r="BA83" s="1584"/>
      <c r="BB83" s="1048"/>
      <c r="BC83" s="314">
        <f>IFERROR(INDEX('[11]Annex 2_Code'!$J$122:$J$139,MATCH('Annex 4_MoWRAM'!BA83,'[11]Annex 2_Code'!$G$122:$G$139,0)),"")</f>
        <v>0</v>
      </c>
      <c r="BD83" s="1084" t="str">
        <f t="shared" si="33"/>
        <v>0</v>
      </c>
    </row>
    <row r="84" spans="1:56" s="308" customFormat="1" ht="15.95" customHeight="1">
      <c r="A84" s="531" t="str">
        <f t="shared" si="81"/>
        <v/>
      </c>
      <c r="B84" s="531" t="str">
        <f t="shared" si="81"/>
        <v/>
      </c>
      <c r="C84" s="531"/>
      <c r="D84" s="52"/>
      <c r="E84" s="52"/>
      <c r="F84" s="53" t="s">
        <v>47</v>
      </c>
      <c r="G84" s="52"/>
      <c r="H84" s="52"/>
      <c r="I84" s="52"/>
      <c r="J84" s="52"/>
      <c r="K84" s="497"/>
      <c r="L84" s="499"/>
      <c r="M84" s="205"/>
      <c r="N84" s="47"/>
      <c r="O84" s="47"/>
      <c r="P84" s="47"/>
      <c r="Q84" s="32"/>
      <c r="R84" s="54"/>
      <c r="S84" s="31"/>
      <c r="T84" s="31"/>
      <c r="U84" s="31"/>
      <c r="V84" s="51"/>
      <c r="W84" s="32"/>
      <c r="X84" s="551" t="str">
        <f>IFERROR(INDEX('[11]Annex 2_Code'!I$8:I$33,MATCH('Annex 4_MoWRAM'!$BB84,'[11]Annex 2_Code'!$G$8:$G$33,0)),"")</f>
        <v/>
      </c>
      <c r="Y84" s="552" t="str">
        <f>IFERROR(INDEX('[11]Annex 2_Code'!J$8:J$33,MATCH('Annex 4_MoWRAM'!$BB84,'[11]Annex 2_Code'!$G$8:$G$33,0)),"")</f>
        <v/>
      </c>
      <c r="Z84" s="552" t="str">
        <f>IFERROR(INDEX('[11]Annex 2_Code'!K$8:K$33,MATCH('Annex 4_MoWRAM'!$BB84,'[11]Annex 2_Code'!$G$8:$G$33,0)),"")</f>
        <v/>
      </c>
      <c r="AA84" s="552" t="str">
        <f>IFERROR(INDEX('[11]Annex 2_Code'!L$8:L$33,MATCH('Annex 4_MoWRAM'!$BB84,'[11]Annex 2_Code'!$G$8:$G$33,0)),"")</f>
        <v/>
      </c>
      <c r="AB84" s="553" t="str">
        <f>IFERROR(INDEX('[11]Annex 2_Code'!M$8:M$33,MATCH('Annex 4_MoWRAM'!$BB84,'[11]Annex 2_Code'!$G$8:$G$33,0)),"")</f>
        <v/>
      </c>
      <c r="AC84" s="31"/>
      <c r="AD84" s="547"/>
      <c r="AE84" s="74"/>
      <c r="AF84" s="74"/>
      <c r="AG84" s="74"/>
      <c r="AH84" s="544"/>
      <c r="AI84" s="74"/>
      <c r="AJ84" s="74"/>
      <c r="AK84" s="74"/>
      <c r="AL84" s="544"/>
      <c r="AM84" s="74"/>
      <c r="AN84" s="74"/>
      <c r="AO84" s="74"/>
      <c r="AP84" s="74"/>
      <c r="AQ84" s="548"/>
      <c r="AR84" s="74"/>
      <c r="AS84" s="74"/>
      <c r="AT84" s="74"/>
      <c r="AU84" s="548"/>
      <c r="AV84" s="74"/>
      <c r="AW84" s="74"/>
      <c r="AX84" s="544"/>
      <c r="AY84" s="174"/>
      <c r="AZ84" s="1662"/>
      <c r="BA84" s="1584"/>
      <c r="BB84" s="1048"/>
      <c r="BC84" s="314">
        <f>IFERROR(INDEX('[11]Annex 2_Code'!$J$122:$J$139,MATCH('Annex 4_MoWRAM'!BA84,'[11]Annex 2_Code'!$G$122:$G$139,0)),"")</f>
        <v>0</v>
      </c>
      <c r="BD84" s="1084" t="str">
        <f t="shared" si="33"/>
        <v>0</v>
      </c>
    </row>
    <row r="85" spans="1:56" s="308" customFormat="1" ht="16.350000000000001" customHeight="1">
      <c r="A85" s="531" t="str">
        <f t="shared" si="81"/>
        <v>IOC</v>
      </c>
      <c r="B85" s="531" t="str">
        <f t="shared" si="81"/>
        <v>IOC</v>
      </c>
      <c r="C85" s="531" t="s">
        <v>114</v>
      </c>
      <c r="D85" s="55"/>
      <c r="E85" s="52"/>
      <c r="F85" s="52"/>
      <c r="G85" s="52" t="s">
        <v>151</v>
      </c>
      <c r="H85" s="52"/>
      <c r="I85" s="52"/>
      <c r="J85" s="52"/>
      <c r="K85" s="494" t="s">
        <v>55</v>
      </c>
      <c r="L85" s="478">
        <v>1.2</v>
      </c>
      <c r="M85" s="47">
        <v>2</v>
      </c>
      <c r="N85" s="47">
        <v>2</v>
      </c>
      <c r="O85" s="47">
        <v>2</v>
      </c>
      <c r="P85" s="47">
        <v>2</v>
      </c>
      <c r="Q85" s="324">
        <f>SUM(M85:P85)</f>
        <v>8</v>
      </c>
      <c r="R85" s="547">
        <f>$M85*$L85</f>
        <v>2.4</v>
      </c>
      <c r="S85" s="79">
        <f>$N85*$L85</f>
        <v>2.4</v>
      </c>
      <c r="T85" s="79">
        <f t="shared" ref="T85:U85" si="83">$N85*$L85</f>
        <v>2.4</v>
      </c>
      <c r="U85" s="79">
        <f t="shared" si="83"/>
        <v>2.4</v>
      </c>
      <c r="V85" s="181">
        <f>SUM(R85:U85)</f>
        <v>9.6</v>
      </c>
      <c r="W85" s="32"/>
      <c r="X85" s="1663">
        <f>IFERROR(INDEX('[11]Annex 2_Code'!I$8:I$33,MATCH('Annex 4_MoWRAM'!$BB85,'[11]Annex 2_Code'!$G$8:$G$33,0)),"")</f>
        <v>1</v>
      </c>
      <c r="Y85" s="552">
        <f>IFERROR(INDEX('[11]Annex 2_Code'!J$8:J$33,MATCH('Annex 4_MoWRAM'!$BB85,'[11]Annex 2_Code'!$G$8:$G$33,0)),"")</f>
        <v>0</v>
      </c>
      <c r="Z85" s="552">
        <f>IFERROR(INDEX('[11]Annex 2_Code'!K$8:K$33,MATCH('Annex 4_MoWRAM'!$BB85,'[11]Annex 2_Code'!$G$8:$G$33,0)),"")</f>
        <v>0</v>
      </c>
      <c r="AA85" s="552">
        <f>IFERROR(INDEX('[11]Annex 2_Code'!L$8:L$33,MATCH('Annex 4_MoWRAM'!$BB85,'[11]Annex 2_Code'!$G$8:$G$33,0)),"")</f>
        <v>0</v>
      </c>
      <c r="AB85" s="553">
        <f>IFERROR(INDEX('[11]Annex 2_Code'!M$8:M$33,MATCH('Annex 4_MoWRAM'!$BB85,'[11]Annex 2_Code'!$G$8:$G$33,0)),"")</f>
        <v>0</v>
      </c>
      <c r="AC85" s="31"/>
      <c r="AD85" s="547">
        <f>$V85*X85</f>
        <v>9.6</v>
      </c>
      <c r="AE85" s="79">
        <f t="shared" ref="AD85:AH88" si="84">$V85*Y85</f>
        <v>0</v>
      </c>
      <c r="AF85" s="79">
        <f t="shared" si="84"/>
        <v>0</v>
      </c>
      <c r="AG85" s="79">
        <f t="shared" si="84"/>
        <v>0</v>
      </c>
      <c r="AH85" s="549">
        <f t="shared" si="84"/>
        <v>0</v>
      </c>
      <c r="AI85" s="548">
        <f t="shared" ref="AI85:AL88" si="85">R85*$X85</f>
        <v>2.4</v>
      </c>
      <c r="AJ85" s="74">
        <f t="shared" si="85"/>
        <v>2.4</v>
      </c>
      <c r="AK85" s="74">
        <f t="shared" si="85"/>
        <v>2.4</v>
      </c>
      <c r="AL85" s="544">
        <f t="shared" si="85"/>
        <v>2.4</v>
      </c>
      <c r="AM85" s="548">
        <f t="shared" ref="AM85:AP88" si="86">$Y85*R85</f>
        <v>0</v>
      </c>
      <c r="AN85" s="74">
        <f t="shared" si="86"/>
        <v>0</v>
      </c>
      <c r="AO85" s="74">
        <f t="shared" si="86"/>
        <v>0</v>
      </c>
      <c r="AP85" s="544">
        <f t="shared" si="86"/>
        <v>0</v>
      </c>
      <c r="AQ85" s="548">
        <f t="shared" ref="AQ85:AT88" si="87">$Z85*R85</f>
        <v>0</v>
      </c>
      <c r="AR85" s="74">
        <f t="shared" si="87"/>
        <v>0</v>
      </c>
      <c r="AS85" s="74">
        <f t="shared" si="87"/>
        <v>0</v>
      </c>
      <c r="AT85" s="544">
        <f t="shared" si="87"/>
        <v>0</v>
      </c>
      <c r="AU85" s="548">
        <f>$AA85*R85</f>
        <v>0</v>
      </c>
      <c r="AV85" s="74">
        <f>$AA85*S85</f>
        <v>0</v>
      </c>
      <c r="AW85" s="74">
        <f>$AA85*T85</f>
        <v>0</v>
      </c>
      <c r="AX85" s="544">
        <f>$AA85*U85</f>
        <v>0</v>
      </c>
      <c r="AY85" s="550">
        <f t="shared" ref="AY85:AY88" si="88">SUM(AD85:AH85)</f>
        <v>9.6</v>
      </c>
      <c r="AZ85" s="1662" t="str">
        <f t="shared" ref="AZ85:AZ89" si="89">IF(V85=AY85,"Correct","Incorrect")</f>
        <v>Correct</v>
      </c>
      <c r="BA85" s="1584" t="s">
        <v>375</v>
      </c>
      <c r="BB85" s="1048" t="s">
        <v>227</v>
      </c>
      <c r="BC85" s="314" t="str">
        <f>IFERROR(INDEX('[11]Annex 2_Code'!$J$122:$J$139,MATCH('Annex 4_MoWRAM'!BA85,'[11]Annex 2_Code'!$G$122:$G$139,0)),"")</f>
        <v>MOWRAM</v>
      </c>
      <c r="BD85" s="1084" t="str">
        <f t="shared" si="33"/>
        <v>MOWRAM</v>
      </c>
    </row>
    <row r="86" spans="1:56" s="308" customFormat="1" ht="16.350000000000001" customHeight="1">
      <c r="A86" s="531" t="str">
        <f t="shared" si="81"/>
        <v>IOC</v>
      </c>
      <c r="B86" s="531" t="str">
        <f t="shared" si="81"/>
        <v>IOC</v>
      </c>
      <c r="C86" s="531" t="s">
        <v>114</v>
      </c>
      <c r="D86" s="55"/>
      <c r="E86" s="52"/>
      <c r="F86" s="52"/>
      <c r="G86" s="52" t="s">
        <v>150</v>
      </c>
      <c r="H86" s="52"/>
      <c r="I86" s="52"/>
      <c r="J86" s="52"/>
      <c r="K86" s="494" t="s">
        <v>55</v>
      </c>
      <c r="L86" s="478">
        <v>1.62</v>
      </c>
      <c r="M86" s="47">
        <v>2</v>
      </c>
      <c r="N86" s="47">
        <v>2</v>
      </c>
      <c r="O86" s="47">
        <v>2</v>
      </c>
      <c r="P86" s="47">
        <v>2</v>
      </c>
      <c r="Q86" s="324">
        <f>SUM(M86:P86)</f>
        <v>8</v>
      </c>
      <c r="R86" s="547">
        <f>$M86*$L86</f>
        <v>3.24</v>
      </c>
      <c r="S86" s="79">
        <f t="shared" ref="S86:U89" si="90">$N86*$L86</f>
        <v>3.24</v>
      </c>
      <c r="T86" s="79">
        <f t="shared" si="90"/>
        <v>3.24</v>
      </c>
      <c r="U86" s="79">
        <f t="shared" si="90"/>
        <v>3.24</v>
      </c>
      <c r="V86" s="181">
        <f>SUM(R86:U86)</f>
        <v>12.96</v>
      </c>
      <c r="W86" s="32"/>
      <c r="X86" s="1663">
        <f>IFERROR(INDEX('[11]Annex 2_Code'!I$8:I$33,MATCH('Annex 4_MoWRAM'!$BB86,'[11]Annex 2_Code'!$G$8:$G$33,0)),"")</f>
        <v>1</v>
      </c>
      <c r="Y86" s="552">
        <f>IFERROR(INDEX('[11]Annex 2_Code'!J$8:J$33,MATCH('Annex 4_MoWRAM'!$BB86,'[11]Annex 2_Code'!$G$8:$G$33,0)),"")</f>
        <v>0</v>
      </c>
      <c r="Z86" s="552">
        <f>IFERROR(INDEX('[11]Annex 2_Code'!K$8:K$33,MATCH('Annex 4_MoWRAM'!$BB86,'[11]Annex 2_Code'!$G$8:$G$33,0)),"")</f>
        <v>0</v>
      </c>
      <c r="AA86" s="552">
        <f>IFERROR(INDEX('[11]Annex 2_Code'!L$8:L$33,MATCH('Annex 4_MoWRAM'!$BB86,'[11]Annex 2_Code'!$G$8:$G$33,0)),"")</f>
        <v>0</v>
      </c>
      <c r="AB86" s="553">
        <f>IFERROR(INDEX('[11]Annex 2_Code'!M$8:M$33,MATCH('Annex 4_MoWRAM'!$BB86,'[11]Annex 2_Code'!$G$8:$G$33,0)),"")</f>
        <v>0</v>
      </c>
      <c r="AC86" s="31"/>
      <c r="AD86" s="547">
        <f t="shared" si="84"/>
        <v>12.96</v>
      </c>
      <c r="AE86" s="79">
        <f t="shared" si="84"/>
        <v>0</v>
      </c>
      <c r="AF86" s="79">
        <f t="shared" si="84"/>
        <v>0</v>
      </c>
      <c r="AG86" s="79">
        <f t="shared" si="84"/>
        <v>0</v>
      </c>
      <c r="AH86" s="549">
        <f t="shared" si="84"/>
        <v>0</v>
      </c>
      <c r="AI86" s="548">
        <f t="shared" si="85"/>
        <v>3.24</v>
      </c>
      <c r="AJ86" s="74">
        <f t="shared" si="85"/>
        <v>3.24</v>
      </c>
      <c r="AK86" s="74">
        <f t="shared" si="85"/>
        <v>3.24</v>
      </c>
      <c r="AL86" s="544">
        <f t="shared" si="85"/>
        <v>3.24</v>
      </c>
      <c r="AM86" s="548">
        <f t="shared" si="86"/>
        <v>0</v>
      </c>
      <c r="AN86" s="74">
        <f t="shared" si="86"/>
        <v>0</v>
      </c>
      <c r="AO86" s="74">
        <f t="shared" si="86"/>
        <v>0</v>
      </c>
      <c r="AP86" s="544">
        <f t="shared" si="86"/>
        <v>0</v>
      </c>
      <c r="AQ86" s="548">
        <f t="shared" si="87"/>
        <v>0</v>
      </c>
      <c r="AR86" s="74">
        <f t="shared" si="87"/>
        <v>0</v>
      </c>
      <c r="AS86" s="74">
        <f t="shared" si="87"/>
        <v>0</v>
      </c>
      <c r="AT86" s="544">
        <f t="shared" si="87"/>
        <v>0</v>
      </c>
      <c r="AU86" s="548">
        <f t="shared" ref="AU86:AX89" si="91">$AA86*R86</f>
        <v>0</v>
      </c>
      <c r="AV86" s="74">
        <f t="shared" si="91"/>
        <v>0</v>
      </c>
      <c r="AW86" s="74">
        <f t="shared" si="91"/>
        <v>0</v>
      </c>
      <c r="AX86" s="544">
        <f t="shared" si="91"/>
        <v>0</v>
      </c>
      <c r="AY86" s="550">
        <f t="shared" si="88"/>
        <v>12.96</v>
      </c>
      <c r="AZ86" s="1662" t="str">
        <f t="shared" si="89"/>
        <v>Correct</v>
      </c>
      <c r="BA86" s="1584" t="s">
        <v>375</v>
      </c>
      <c r="BB86" s="1048" t="s">
        <v>227</v>
      </c>
      <c r="BC86" s="314" t="str">
        <f>IFERROR(INDEX('[11]Annex 2_Code'!$J$122:$J$139,MATCH('Annex 4_MoWRAM'!BA86,'[11]Annex 2_Code'!$G$122:$G$139,0)),"")</f>
        <v>MOWRAM</v>
      </c>
      <c r="BD86" s="1084" t="str">
        <f t="shared" si="33"/>
        <v>MOWRAM</v>
      </c>
    </row>
    <row r="87" spans="1:56" s="308" customFormat="1" ht="16.350000000000001" customHeight="1">
      <c r="A87" s="531" t="str">
        <f t="shared" si="81"/>
        <v>IOC</v>
      </c>
      <c r="B87" s="531" t="str">
        <f t="shared" si="81"/>
        <v>IOC</v>
      </c>
      <c r="C87" s="531" t="s">
        <v>114</v>
      </c>
      <c r="D87" s="55"/>
      <c r="E87" s="52"/>
      <c r="F87" s="52"/>
      <c r="G87" s="52" t="s">
        <v>61</v>
      </c>
      <c r="H87" s="52"/>
      <c r="I87" s="52"/>
      <c r="J87" s="52"/>
      <c r="K87" s="494" t="s">
        <v>55</v>
      </c>
      <c r="L87" s="478">
        <v>0.6</v>
      </c>
      <c r="M87" s="47">
        <v>2</v>
      </c>
      <c r="N87" s="47">
        <v>2</v>
      </c>
      <c r="O87" s="47">
        <v>2</v>
      </c>
      <c r="P87" s="47">
        <v>2</v>
      </c>
      <c r="Q87" s="324">
        <f>SUM(M87:P87)</f>
        <v>8</v>
      </c>
      <c r="R87" s="547">
        <f t="shared" ref="R87:R89" si="92">$M87*$L87</f>
        <v>1.2</v>
      </c>
      <c r="S87" s="79">
        <f t="shared" si="90"/>
        <v>1.2</v>
      </c>
      <c r="T87" s="79">
        <f t="shared" si="90"/>
        <v>1.2</v>
      </c>
      <c r="U87" s="79">
        <f t="shared" si="90"/>
        <v>1.2</v>
      </c>
      <c r="V87" s="181">
        <f>SUM(R87:U87)</f>
        <v>4.8</v>
      </c>
      <c r="W87" s="32"/>
      <c r="X87" s="1663">
        <f>IFERROR(INDEX('[11]Annex 2_Code'!I$8:I$33,MATCH('Annex 4_MoWRAM'!$BB87,'[11]Annex 2_Code'!$G$8:$G$33,0)),"")</f>
        <v>1</v>
      </c>
      <c r="Y87" s="552">
        <f>IFERROR(INDEX('[11]Annex 2_Code'!J$8:J$33,MATCH('Annex 4_MoWRAM'!$BB87,'[11]Annex 2_Code'!$G$8:$G$33,0)),"")</f>
        <v>0</v>
      </c>
      <c r="Z87" s="552">
        <f>IFERROR(INDEX('[11]Annex 2_Code'!K$8:K$33,MATCH('Annex 4_MoWRAM'!$BB87,'[11]Annex 2_Code'!$G$8:$G$33,0)),"")</f>
        <v>0</v>
      </c>
      <c r="AA87" s="552">
        <f>IFERROR(INDEX('[11]Annex 2_Code'!L$8:L$33,MATCH('Annex 4_MoWRAM'!$BB87,'[11]Annex 2_Code'!$G$8:$G$33,0)),"")</f>
        <v>0</v>
      </c>
      <c r="AB87" s="553">
        <f>IFERROR(INDEX('[11]Annex 2_Code'!M$8:M$33,MATCH('Annex 4_MoWRAM'!$BB87,'[11]Annex 2_Code'!$G$8:$G$33,0)),"")</f>
        <v>0</v>
      </c>
      <c r="AC87" s="31"/>
      <c r="AD87" s="547">
        <f t="shared" si="84"/>
        <v>4.8</v>
      </c>
      <c r="AE87" s="79">
        <f t="shared" si="84"/>
        <v>0</v>
      </c>
      <c r="AF87" s="79">
        <f t="shared" si="84"/>
        <v>0</v>
      </c>
      <c r="AG87" s="79">
        <f t="shared" si="84"/>
        <v>0</v>
      </c>
      <c r="AH87" s="549">
        <f t="shared" si="84"/>
        <v>0</v>
      </c>
      <c r="AI87" s="548">
        <f t="shared" si="85"/>
        <v>1.2</v>
      </c>
      <c r="AJ87" s="74">
        <f t="shared" si="85"/>
        <v>1.2</v>
      </c>
      <c r="AK87" s="74">
        <f t="shared" si="85"/>
        <v>1.2</v>
      </c>
      <c r="AL87" s="544">
        <f t="shared" si="85"/>
        <v>1.2</v>
      </c>
      <c r="AM87" s="548">
        <f t="shared" si="86"/>
        <v>0</v>
      </c>
      <c r="AN87" s="74">
        <f t="shared" si="86"/>
        <v>0</v>
      </c>
      <c r="AO87" s="74">
        <f t="shared" si="86"/>
        <v>0</v>
      </c>
      <c r="AP87" s="544">
        <f t="shared" si="86"/>
        <v>0</v>
      </c>
      <c r="AQ87" s="548">
        <f t="shared" si="87"/>
        <v>0</v>
      </c>
      <c r="AR87" s="74">
        <f t="shared" si="87"/>
        <v>0</v>
      </c>
      <c r="AS87" s="74">
        <f t="shared" si="87"/>
        <v>0</v>
      </c>
      <c r="AT87" s="544">
        <f t="shared" si="87"/>
        <v>0</v>
      </c>
      <c r="AU87" s="548">
        <f t="shared" si="91"/>
        <v>0</v>
      </c>
      <c r="AV87" s="74">
        <f t="shared" si="91"/>
        <v>0</v>
      </c>
      <c r="AW87" s="74">
        <f t="shared" si="91"/>
        <v>0</v>
      </c>
      <c r="AX87" s="544">
        <f t="shared" si="91"/>
        <v>0</v>
      </c>
      <c r="AY87" s="550">
        <f t="shared" si="88"/>
        <v>4.8</v>
      </c>
      <c r="AZ87" s="1662" t="str">
        <f t="shared" si="89"/>
        <v>Correct</v>
      </c>
      <c r="BA87" s="1584" t="s">
        <v>375</v>
      </c>
      <c r="BB87" s="1048" t="s">
        <v>227</v>
      </c>
      <c r="BC87" s="314" t="str">
        <f>IFERROR(INDEX('[11]Annex 2_Code'!$J$122:$J$139,MATCH('Annex 4_MoWRAM'!BA87,'[11]Annex 2_Code'!$G$122:$G$139,0)),"")</f>
        <v>MOWRAM</v>
      </c>
      <c r="BD87" s="1084" t="str">
        <f t="shared" si="33"/>
        <v>MOWRAM</v>
      </c>
    </row>
    <row r="88" spans="1:56" s="308" customFormat="1" ht="16.350000000000001" customHeight="1">
      <c r="A88" s="531" t="str">
        <f t="shared" si="81"/>
        <v>Govt</v>
      </c>
      <c r="B88" s="531" t="str">
        <f t="shared" si="81"/>
        <v>Govt</v>
      </c>
      <c r="C88" s="531" t="s">
        <v>42</v>
      </c>
      <c r="D88" s="55"/>
      <c r="E88" s="52"/>
      <c r="F88" s="52"/>
      <c r="G88" s="52" t="s">
        <v>48</v>
      </c>
      <c r="H88" s="52"/>
      <c r="I88" s="52"/>
      <c r="J88" s="52"/>
      <c r="K88" s="494" t="s">
        <v>55</v>
      </c>
      <c r="L88" s="478">
        <f>ROUND(7942.92067088333/1000,2)</f>
        <v>7.94</v>
      </c>
      <c r="M88" s="2539">
        <v>0</v>
      </c>
      <c r="N88" s="2539">
        <v>0</v>
      </c>
      <c r="O88" s="2539">
        <v>0</v>
      </c>
      <c r="P88" s="2539">
        <v>0</v>
      </c>
      <c r="Q88" s="2540">
        <f>SUM(M88:P88)</f>
        <v>0</v>
      </c>
      <c r="R88" s="547">
        <f t="shared" si="92"/>
        <v>0</v>
      </c>
      <c r="S88" s="79">
        <f t="shared" si="90"/>
        <v>0</v>
      </c>
      <c r="T88" s="79">
        <f t="shared" si="90"/>
        <v>0</v>
      </c>
      <c r="U88" s="79">
        <f t="shared" si="90"/>
        <v>0</v>
      </c>
      <c r="V88" s="181">
        <f>SUM(R88:U88)</f>
        <v>0</v>
      </c>
      <c r="W88" s="32"/>
      <c r="X88" s="1663">
        <f>IFERROR(INDEX('[11]Annex 2_Code'!I$8:I$33,MATCH('Annex 4_MoWRAM'!$BB88,'[11]Annex 2_Code'!$G$8:$G$33,0)),"")</f>
        <v>0</v>
      </c>
      <c r="Y88" s="552">
        <f>IFERROR(INDEX('[11]Annex 2_Code'!J$8:J$33,MATCH('Annex 4_MoWRAM'!$BB88,'[11]Annex 2_Code'!$G$8:$G$33,0)),"")</f>
        <v>0</v>
      </c>
      <c r="Z88" s="552">
        <f>IFERROR(INDEX('[11]Annex 2_Code'!K$8:K$33,MATCH('Annex 4_MoWRAM'!$BB88,'[11]Annex 2_Code'!$G$8:$G$33,0)),"")</f>
        <v>0</v>
      </c>
      <c r="AA88" s="1630">
        <f>IFERROR(INDEX('[11]Annex 2_Code'!L$8:L$33,MATCH('Annex 4_MoWRAM'!$BB88,'[11]Annex 2_Code'!$G$8:$G$33,0)),"")</f>
        <v>1</v>
      </c>
      <c r="AB88" s="553">
        <f>IFERROR(INDEX('[11]Annex 2_Code'!M$8:M$33,MATCH('Annex 4_MoWRAM'!$BB88,'[11]Annex 2_Code'!$G$8:$G$33,0)),"")</f>
        <v>0</v>
      </c>
      <c r="AC88" s="31"/>
      <c r="AD88" s="547">
        <f t="shared" si="84"/>
        <v>0</v>
      </c>
      <c r="AE88" s="79">
        <f t="shared" si="84"/>
        <v>0</v>
      </c>
      <c r="AF88" s="79">
        <f t="shared" si="84"/>
        <v>0</v>
      </c>
      <c r="AG88" s="79">
        <f>$V88*AA88</f>
        <v>0</v>
      </c>
      <c r="AH88" s="549">
        <f t="shared" si="84"/>
        <v>0</v>
      </c>
      <c r="AI88" s="548">
        <f t="shared" si="85"/>
        <v>0</v>
      </c>
      <c r="AJ88" s="74">
        <f t="shared" si="85"/>
        <v>0</v>
      </c>
      <c r="AK88" s="74">
        <f t="shared" si="85"/>
        <v>0</v>
      </c>
      <c r="AL88" s="544">
        <f t="shared" si="85"/>
        <v>0</v>
      </c>
      <c r="AM88" s="548">
        <f t="shared" si="86"/>
        <v>0</v>
      </c>
      <c r="AN88" s="74">
        <f t="shared" si="86"/>
        <v>0</v>
      </c>
      <c r="AO88" s="74">
        <f t="shared" si="86"/>
        <v>0</v>
      </c>
      <c r="AP88" s="544">
        <f t="shared" si="86"/>
        <v>0</v>
      </c>
      <c r="AQ88" s="548">
        <f t="shared" si="87"/>
        <v>0</v>
      </c>
      <c r="AR88" s="74">
        <f t="shared" si="87"/>
        <v>0</v>
      </c>
      <c r="AS88" s="74">
        <f t="shared" si="87"/>
        <v>0</v>
      </c>
      <c r="AT88" s="544">
        <f t="shared" si="87"/>
        <v>0</v>
      </c>
      <c r="AU88" s="548">
        <f t="shared" si="91"/>
        <v>0</v>
      </c>
      <c r="AV88" s="74">
        <f t="shared" si="91"/>
        <v>0</v>
      </c>
      <c r="AW88" s="74">
        <f t="shared" si="91"/>
        <v>0</v>
      </c>
      <c r="AX88" s="544">
        <f t="shared" si="91"/>
        <v>0</v>
      </c>
      <c r="AY88" s="550">
        <f t="shared" si="88"/>
        <v>0</v>
      </c>
      <c r="AZ88" s="1662" t="str">
        <f t="shared" si="89"/>
        <v>Correct</v>
      </c>
      <c r="BA88" s="1584" t="s">
        <v>375</v>
      </c>
      <c r="BB88" s="1048" t="s">
        <v>229</v>
      </c>
      <c r="BC88" s="314" t="str">
        <f>IFERROR(INDEX('[11]Annex 2_Code'!$J$122:$J$139,MATCH('Annex 4_MoWRAM'!BA88,'[11]Annex 2_Code'!$G$122:$G$139,0)),"")</f>
        <v>MOWRAM</v>
      </c>
      <c r="BD88" s="1084" t="str">
        <f t="shared" si="33"/>
        <v>MOWRAM</v>
      </c>
    </row>
    <row r="89" spans="1:56" s="308" customFormat="1" ht="16.350000000000001" customHeight="1">
      <c r="A89" s="531" t="str">
        <f>IF(ISNUMBER(FIND("-",B89,1))=FALSE,LEFT(B89,LEN(B89)),LEFT(B89,(FIND("-",B89,1))-1))</f>
        <v>Govt</v>
      </c>
      <c r="B89" s="531" t="str">
        <f>IF(ISNUMBER(FIND("-",C89,1))=FALSE,LEFT(C89,LEN(C89)),LEFT(C89,(FIND("-",C89,1))-1))</f>
        <v>Govt</v>
      </c>
      <c r="C89" s="531" t="s">
        <v>42</v>
      </c>
      <c r="D89" s="55"/>
      <c r="E89" s="52"/>
      <c r="F89" s="52"/>
      <c r="G89" s="52" t="s">
        <v>113</v>
      </c>
      <c r="H89" s="52"/>
      <c r="I89" s="52"/>
      <c r="J89" s="52"/>
      <c r="K89" s="494" t="s">
        <v>55</v>
      </c>
      <c r="L89" s="478">
        <f>150000/1000</f>
        <v>150</v>
      </c>
      <c r="M89" s="79">
        <v>0</v>
      </c>
      <c r="N89" s="79">
        <v>0</v>
      </c>
      <c r="O89" s="79">
        <v>0</v>
      </c>
      <c r="P89" s="79">
        <v>0</v>
      </c>
      <c r="Q89" s="324">
        <f>SUM(M89:P89)</f>
        <v>0</v>
      </c>
      <c r="R89" s="547">
        <f t="shared" si="92"/>
        <v>0</v>
      </c>
      <c r="S89" s="79">
        <f t="shared" si="90"/>
        <v>0</v>
      </c>
      <c r="T89" s="79">
        <f t="shared" si="90"/>
        <v>0</v>
      </c>
      <c r="U89" s="79">
        <f t="shared" si="90"/>
        <v>0</v>
      </c>
      <c r="V89" s="181">
        <f>SUM(R89:U89)</f>
        <v>0</v>
      </c>
      <c r="W89" s="78"/>
      <c r="X89" s="1663">
        <f>IFERROR(INDEX('[11]Annex 2_Code'!I$8:I$33,MATCH('Annex 4_MoWRAM'!$BB89,'[11]Annex 2_Code'!$G$8:$G$33,0)),"")</f>
        <v>0</v>
      </c>
      <c r="Y89" s="552">
        <f>IFERROR(INDEX('[11]Annex 2_Code'!J$8:J$33,MATCH('Annex 4_MoWRAM'!$BB89,'[11]Annex 2_Code'!$G$8:$G$33,0)),"")</f>
        <v>0</v>
      </c>
      <c r="Z89" s="552">
        <f>IFERROR(INDEX('[11]Annex 2_Code'!K$8:K$33,MATCH('Annex 4_MoWRAM'!$BB89,'[11]Annex 2_Code'!$G$8:$G$33,0)),"")</f>
        <v>0</v>
      </c>
      <c r="AA89" s="1630">
        <f>IFERROR(INDEX('[11]Annex 2_Code'!L$8:L$33,MATCH('Annex 4_MoWRAM'!$BB89,'[11]Annex 2_Code'!$G$8:$G$33,0)),"")</f>
        <v>1</v>
      </c>
      <c r="AB89" s="553">
        <f>IFERROR(INDEX('[11]Annex 2_Code'!M$8:M$33,MATCH('Annex 4_MoWRAM'!$BB89,'[11]Annex 2_Code'!$G$8:$G$33,0)),"")</f>
        <v>0</v>
      </c>
      <c r="AC89" s="31"/>
      <c r="AD89" s="547">
        <f>$V89*X89</f>
        <v>0</v>
      </c>
      <c r="AE89" s="79">
        <f>$V89*Y89</f>
        <v>0</v>
      </c>
      <c r="AF89" s="79">
        <f>$V89*Z89</f>
        <v>0</v>
      </c>
      <c r="AG89" s="79">
        <f>$V89*AA89</f>
        <v>0</v>
      </c>
      <c r="AH89" s="549">
        <f>$V89*AB89</f>
        <v>0</v>
      </c>
      <c r="AI89" s="548">
        <f>R89*$X89</f>
        <v>0</v>
      </c>
      <c r="AJ89" s="74">
        <f>S89*$X89</f>
        <v>0</v>
      </c>
      <c r="AK89" s="74">
        <f>T89*$X89</f>
        <v>0</v>
      </c>
      <c r="AL89" s="544">
        <f>U89*$X89</f>
        <v>0</v>
      </c>
      <c r="AM89" s="548">
        <f>$Y89*R89</f>
        <v>0</v>
      </c>
      <c r="AN89" s="74">
        <f>$Y89*S89</f>
        <v>0</v>
      </c>
      <c r="AO89" s="74">
        <f>$Y89*T89</f>
        <v>0</v>
      </c>
      <c r="AP89" s="544">
        <f>$Y89*U89</f>
        <v>0</v>
      </c>
      <c r="AQ89" s="548">
        <f>$Z89*R89</f>
        <v>0</v>
      </c>
      <c r="AR89" s="74">
        <f>$Z89*S89</f>
        <v>0</v>
      </c>
      <c r="AS89" s="74">
        <f>$Z89*T89</f>
        <v>0</v>
      </c>
      <c r="AT89" s="544">
        <f>$Z89*U89</f>
        <v>0</v>
      </c>
      <c r="AU89" s="548">
        <f t="shared" si="91"/>
        <v>0</v>
      </c>
      <c r="AV89" s="74">
        <f t="shared" si="91"/>
        <v>0</v>
      </c>
      <c r="AW89" s="74">
        <f t="shared" si="91"/>
        <v>0</v>
      </c>
      <c r="AX89" s="544">
        <f t="shared" si="91"/>
        <v>0</v>
      </c>
      <c r="AY89" s="550">
        <f>SUM(AD89:AH89)</f>
        <v>0</v>
      </c>
      <c r="AZ89" s="1662" t="str">
        <f t="shared" si="89"/>
        <v>Correct</v>
      </c>
      <c r="BA89" s="1584" t="s">
        <v>375</v>
      </c>
      <c r="BB89" s="1048" t="s">
        <v>229</v>
      </c>
      <c r="BC89" s="314" t="str">
        <f>IFERROR(INDEX('[11]Annex 2_Code'!$J$122:$J$139,MATCH('Annex 4_MoWRAM'!BA89,'[11]Annex 2_Code'!$G$122:$G$139,0)),"")</f>
        <v>MOWRAM</v>
      </c>
      <c r="BD89" s="1084" t="str">
        <f t="shared" si="33"/>
        <v>MOWRAM</v>
      </c>
    </row>
    <row r="90" spans="1:56" s="214" customFormat="1" ht="15.95" customHeight="1">
      <c r="A90" s="534" t="str">
        <f t="shared" ref="A90:B98" si="93">IF(ISNUMBER(FIND("-",B90,1))=FALSE,LEFT(B90,LEN(B90)),LEFT(B90,(FIND("-",B90,1))-1))</f>
        <v/>
      </c>
      <c r="B90" s="534" t="str">
        <f t="shared" si="93"/>
        <v/>
      </c>
      <c r="C90" s="534"/>
      <c r="D90" s="206"/>
      <c r="E90" s="206"/>
      <c r="F90" s="206" t="s">
        <v>36</v>
      </c>
      <c r="G90" s="206"/>
      <c r="H90" s="206"/>
      <c r="I90" s="206"/>
      <c r="J90" s="206"/>
      <c r="K90" s="500"/>
      <c r="L90" s="501" t="s">
        <v>54</v>
      </c>
      <c r="M90" s="207"/>
      <c r="N90" s="208"/>
      <c r="O90" s="208"/>
      <c r="P90" s="208"/>
      <c r="Q90" s="211"/>
      <c r="R90" s="239">
        <f>SUM(R85:R89)</f>
        <v>6.8400000000000007</v>
      </c>
      <c r="S90" s="213">
        <f>SUM(S85:S89)</f>
        <v>6.8400000000000007</v>
      </c>
      <c r="T90" s="213">
        <f>SUM(T85:T89)</f>
        <v>6.8400000000000007</v>
      </c>
      <c r="U90" s="213">
        <f>SUM(U85:U89)</f>
        <v>6.8400000000000007</v>
      </c>
      <c r="V90" s="215">
        <f>SUM(V85:V89,0)</f>
        <v>27.360000000000003</v>
      </c>
      <c r="W90" s="211"/>
      <c r="X90" s="1663" t="str">
        <f>IFERROR(INDEX('[11]Annex 2_Code'!I$8:I$33,MATCH('Annex 4_MoWRAM'!$BB90,'[11]Annex 2_Code'!$G$8:$G$33,0)),"")</f>
        <v/>
      </c>
      <c r="Y90" s="552" t="str">
        <f>IFERROR(INDEX('[11]Annex 2_Code'!J$8:J$33,MATCH('Annex 4_MoWRAM'!$BB90,'[11]Annex 2_Code'!$G$8:$G$33,0)),"")</f>
        <v/>
      </c>
      <c r="Z90" s="552" t="str">
        <f>IFERROR(INDEX('[11]Annex 2_Code'!K$8:K$33,MATCH('Annex 4_MoWRAM'!$BB90,'[11]Annex 2_Code'!$G$8:$G$33,0)),"")</f>
        <v/>
      </c>
      <c r="AA90" s="1630" t="str">
        <f>IFERROR(INDEX('[11]Annex 2_Code'!L$8:L$33,MATCH('Annex 4_MoWRAM'!$BB90,'[11]Annex 2_Code'!$G$8:$G$33,0)),"")</f>
        <v/>
      </c>
      <c r="AB90" s="553" t="str">
        <f>IFERROR(INDEX('[11]Annex 2_Code'!M$8:M$33,MATCH('Annex 4_MoWRAM'!$BB90,'[11]Annex 2_Code'!$G$8:$G$33,0)),"")</f>
        <v/>
      </c>
      <c r="AC90" s="210"/>
      <c r="AD90" s="239">
        <f>SUM(AD85:AD89,0)</f>
        <v>27.360000000000003</v>
      </c>
      <c r="AE90" s="213">
        <f>SUM(AE85:AE89,0)</f>
        <v>0</v>
      </c>
      <c r="AF90" s="213">
        <f>SUM(AF85:AF89,0)</f>
        <v>0</v>
      </c>
      <c r="AG90" s="213">
        <f>SUM(AG85:AG89,0)</f>
        <v>0</v>
      </c>
      <c r="AH90" s="215">
        <f>SUM(AH85:AH89,0)</f>
        <v>0</v>
      </c>
      <c r="AI90" s="213">
        <f>SUM(AI85:AI89)</f>
        <v>6.8400000000000007</v>
      </c>
      <c r="AJ90" s="213">
        <f t="shared" ref="AJ90:AX90" si="94">SUM(AJ85:AJ89)</f>
        <v>6.8400000000000007</v>
      </c>
      <c r="AK90" s="213">
        <f t="shared" si="94"/>
        <v>6.8400000000000007</v>
      </c>
      <c r="AL90" s="215">
        <f t="shared" si="94"/>
        <v>6.8400000000000007</v>
      </c>
      <c r="AM90" s="213">
        <f t="shared" si="94"/>
        <v>0</v>
      </c>
      <c r="AN90" s="213">
        <f t="shared" si="94"/>
        <v>0</v>
      </c>
      <c r="AO90" s="213">
        <f t="shared" si="94"/>
        <v>0</v>
      </c>
      <c r="AP90" s="213">
        <f t="shared" si="94"/>
        <v>0</v>
      </c>
      <c r="AQ90" s="239">
        <f t="shared" si="94"/>
        <v>0</v>
      </c>
      <c r="AR90" s="213">
        <f t="shared" si="94"/>
        <v>0</v>
      </c>
      <c r="AS90" s="213">
        <f t="shared" si="94"/>
        <v>0</v>
      </c>
      <c r="AT90" s="213">
        <f t="shared" si="94"/>
        <v>0</v>
      </c>
      <c r="AU90" s="239">
        <f t="shared" si="94"/>
        <v>0</v>
      </c>
      <c r="AV90" s="213">
        <f t="shared" si="94"/>
        <v>0</v>
      </c>
      <c r="AW90" s="213">
        <f t="shared" si="94"/>
        <v>0</v>
      </c>
      <c r="AX90" s="215">
        <f t="shared" si="94"/>
        <v>0</v>
      </c>
      <c r="AY90" s="243">
        <f>SUM(AY85:AY89)</f>
        <v>27.360000000000003</v>
      </c>
      <c r="AZ90" s="1661" t="str">
        <f>IF(V90=AY90,"Correct","Incorrect")</f>
        <v>Correct</v>
      </c>
      <c r="BA90" s="1584"/>
      <c r="BB90" s="1048"/>
      <c r="BC90" s="314">
        <f>IFERROR(INDEX('[11]Annex 2_Code'!$J$122:$J$139,MATCH('Annex 4_MoWRAM'!BA90,'[11]Annex 2_Code'!$G$122:$G$139,0)),"")</f>
        <v>0</v>
      </c>
      <c r="BD90" s="1084" t="str">
        <f t="shared" si="33"/>
        <v>0</v>
      </c>
    </row>
    <row r="91" spans="1:56" s="308" customFormat="1" ht="15.95" customHeight="1">
      <c r="A91" s="531" t="str">
        <f t="shared" si="93"/>
        <v/>
      </c>
      <c r="B91" s="531" t="str">
        <f t="shared" si="93"/>
        <v/>
      </c>
      <c r="C91" s="531"/>
      <c r="D91" s="52"/>
      <c r="E91" s="53" t="s">
        <v>49</v>
      </c>
      <c r="F91" s="52"/>
      <c r="G91" s="52"/>
      <c r="H91" s="52"/>
      <c r="I91" s="52"/>
      <c r="J91" s="52"/>
      <c r="K91" s="497"/>
      <c r="L91" s="498" t="s">
        <v>54</v>
      </c>
      <c r="M91" s="205"/>
      <c r="N91" s="47"/>
      <c r="O91" s="47"/>
      <c r="P91" s="47"/>
      <c r="Q91" s="32"/>
      <c r="R91" s="547"/>
      <c r="S91" s="79"/>
      <c r="T91" s="79"/>
      <c r="U91" s="79"/>
      <c r="V91" s="181"/>
      <c r="W91" s="32"/>
      <c r="X91" s="1663" t="str">
        <f>IFERROR(INDEX('[11]Annex 2_Code'!I$8:I$33,MATCH('Annex 4_MoWRAM'!$BB91,'[11]Annex 2_Code'!$G$8:$G$33,0)),"")</f>
        <v/>
      </c>
      <c r="Y91" s="552" t="str">
        <f>IFERROR(INDEX('[11]Annex 2_Code'!J$8:J$33,MATCH('Annex 4_MoWRAM'!$BB91,'[11]Annex 2_Code'!$G$8:$G$33,0)),"")</f>
        <v/>
      </c>
      <c r="Z91" s="552" t="str">
        <f>IFERROR(INDEX('[11]Annex 2_Code'!K$8:K$33,MATCH('Annex 4_MoWRAM'!$BB91,'[11]Annex 2_Code'!$G$8:$G$33,0)),"")</f>
        <v/>
      </c>
      <c r="AA91" s="1630" t="str">
        <f>IFERROR(INDEX('[11]Annex 2_Code'!L$8:L$33,MATCH('Annex 4_MoWRAM'!$BB91,'[11]Annex 2_Code'!$G$8:$G$33,0)),"")</f>
        <v/>
      </c>
      <c r="AB91" s="553" t="str">
        <f>IFERROR(INDEX('[11]Annex 2_Code'!M$8:M$33,MATCH('Annex 4_MoWRAM'!$BB91,'[11]Annex 2_Code'!$G$8:$G$33,0)),"")</f>
        <v/>
      </c>
      <c r="AC91" s="31"/>
      <c r="AD91" s="547"/>
      <c r="AE91" s="74"/>
      <c r="AF91" s="74"/>
      <c r="AG91" s="74"/>
      <c r="AH91" s="544"/>
      <c r="AI91" s="74"/>
      <c r="AJ91" s="74"/>
      <c r="AK91" s="74"/>
      <c r="AL91" s="544"/>
      <c r="AM91" s="74"/>
      <c r="AN91" s="74"/>
      <c r="AO91" s="74"/>
      <c r="AP91" s="74"/>
      <c r="AQ91" s="548"/>
      <c r="AR91" s="74"/>
      <c r="AS91" s="74"/>
      <c r="AT91" s="74"/>
      <c r="AU91" s="548"/>
      <c r="AV91" s="74"/>
      <c r="AW91" s="74"/>
      <c r="AX91" s="544"/>
      <c r="AY91" s="174"/>
      <c r="AZ91" s="1662"/>
      <c r="BA91" s="1584"/>
      <c r="BB91" s="1048"/>
      <c r="BC91" s="314">
        <f>IFERROR(INDEX('[11]Annex 2_Code'!$J$122:$J$139,MATCH('Annex 4_MoWRAM'!BA91,'[11]Annex 2_Code'!$G$122:$G$139,0)),"")</f>
        <v>0</v>
      </c>
      <c r="BD91" s="1084" t="str">
        <f t="shared" si="33"/>
        <v>0</v>
      </c>
    </row>
    <row r="92" spans="1:56" s="308" customFormat="1" ht="15.95" customHeight="1">
      <c r="A92" s="531" t="str">
        <f t="shared" si="93"/>
        <v>IOC</v>
      </c>
      <c r="B92" s="531" t="str">
        <f t="shared" si="93"/>
        <v>IOC</v>
      </c>
      <c r="C92" s="531" t="s">
        <v>114</v>
      </c>
      <c r="D92" s="52"/>
      <c r="E92" s="52"/>
      <c r="F92" s="52"/>
      <c r="G92" s="52" t="s">
        <v>152</v>
      </c>
      <c r="H92" s="52"/>
      <c r="I92" s="52"/>
      <c r="J92" s="52"/>
      <c r="K92" s="497" t="s">
        <v>55</v>
      </c>
      <c r="L92" s="477">
        <f>450/1000</f>
        <v>0.45</v>
      </c>
      <c r="M92" s="1811">
        <v>6</v>
      </c>
      <c r="N92" s="1811">
        <v>6</v>
      </c>
      <c r="O92" s="1811">
        <v>6</v>
      </c>
      <c r="P92" s="1811">
        <v>6</v>
      </c>
      <c r="Q92" s="2011">
        <f>SUM(M92:P92)</f>
        <v>24</v>
      </c>
      <c r="R92" s="2012">
        <f>$M92*$L92</f>
        <v>2.7</v>
      </c>
      <c r="S92" s="2013">
        <f>$N92*$L92</f>
        <v>2.7</v>
      </c>
      <c r="T92" s="2013">
        <f t="shared" ref="T92:U92" si="95">$N92*$L92</f>
        <v>2.7</v>
      </c>
      <c r="U92" s="2013">
        <f t="shared" si="95"/>
        <v>2.7</v>
      </c>
      <c r="V92" s="2004">
        <f>SUM(R92:U92)</f>
        <v>10.8</v>
      </c>
      <c r="W92" s="32"/>
      <c r="X92" s="1663">
        <f>IFERROR(INDEX('[11]Annex 2_Code'!I$8:I$33,MATCH('Annex 4_MoWRAM'!$BB92,'[11]Annex 2_Code'!$G$8:$G$33,0)),"")</f>
        <v>1</v>
      </c>
      <c r="Y92" s="552">
        <f>IFERROR(INDEX('[11]Annex 2_Code'!J$8:J$33,MATCH('Annex 4_MoWRAM'!$BB92,'[11]Annex 2_Code'!$G$8:$G$33,0)),"")</f>
        <v>0</v>
      </c>
      <c r="Z92" s="552">
        <f>IFERROR(INDEX('[11]Annex 2_Code'!K$8:K$33,MATCH('Annex 4_MoWRAM'!$BB92,'[11]Annex 2_Code'!$G$8:$G$33,0)),"")</f>
        <v>0</v>
      </c>
      <c r="AA92" s="1630">
        <f>IFERROR(INDEX('[11]Annex 2_Code'!L$8:L$33,MATCH('Annex 4_MoWRAM'!$BB92,'[11]Annex 2_Code'!$G$8:$G$33,0)),"")</f>
        <v>0</v>
      </c>
      <c r="AB92" s="553">
        <f>IFERROR(INDEX('[11]Annex 2_Code'!M$8:M$33,MATCH('Annex 4_MoWRAM'!$BB92,'[11]Annex 2_Code'!$G$8:$G$33,0)),"")</f>
        <v>0</v>
      </c>
      <c r="AC92" s="31"/>
      <c r="AD92" s="547">
        <f t="shared" ref="AD92:AH94" si="96">$V92*X92</f>
        <v>10.8</v>
      </c>
      <c r="AE92" s="79">
        <f t="shared" si="96"/>
        <v>0</v>
      </c>
      <c r="AF92" s="79">
        <f t="shared" si="96"/>
        <v>0</v>
      </c>
      <c r="AG92" s="79">
        <f t="shared" si="96"/>
        <v>0</v>
      </c>
      <c r="AH92" s="549">
        <f t="shared" si="96"/>
        <v>0</v>
      </c>
      <c r="AI92" s="74">
        <f>R92*$X92</f>
        <v>2.7</v>
      </c>
      <c r="AJ92" s="74">
        <f>S92*$X92</f>
        <v>2.7</v>
      </c>
      <c r="AK92" s="74">
        <f t="shared" ref="AI92:AL94" si="97">T92*$X92</f>
        <v>2.7</v>
      </c>
      <c r="AL92" s="74">
        <f>U92*$X92</f>
        <v>2.7</v>
      </c>
      <c r="AM92" s="548">
        <f t="shared" ref="AM92:AP94" si="98">$Y92*R92</f>
        <v>0</v>
      </c>
      <c r="AN92" s="74">
        <f t="shared" si="98"/>
        <v>0</v>
      </c>
      <c r="AO92" s="74">
        <f t="shared" si="98"/>
        <v>0</v>
      </c>
      <c r="AP92" s="74">
        <f t="shared" si="98"/>
        <v>0</v>
      </c>
      <c r="AQ92" s="548">
        <f t="shared" ref="AQ92:AT94" si="99">$Z92*R92</f>
        <v>0</v>
      </c>
      <c r="AR92" s="74">
        <f t="shared" si="99"/>
        <v>0</v>
      </c>
      <c r="AS92" s="74">
        <f t="shared" si="99"/>
        <v>0</v>
      </c>
      <c r="AT92" s="74">
        <f t="shared" si="99"/>
        <v>0</v>
      </c>
      <c r="AU92" s="546">
        <f>$AA92*R92</f>
        <v>0</v>
      </c>
      <c r="AV92" s="202">
        <f t="shared" ref="AV92:AX94" si="100">$AA92*S92</f>
        <v>0</v>
      </c>
      <c r="AW92" s="202">
        <f t="shared" si="100"/>
        <v>0</v>
      </c>
      <c r="AX92" s="545">
        <f t="shared" si="100"/>
        <v>0</v>
      </c>
      <c r="AY92" s="174">
        <f t="shared" ref="AY92:AY98" si="101">SUM(AD92:AH92)</f>
        <v>10.8</v>
      </c>
      <c r="AZ92" s="1662" t="str">
        <f t="shared" ref="AZ92:AZ98" si="102">IF(V92=AY92,"Correct","Incorrect")</f>
        <v>Correct</v>
      </c>
      <c r="BA92" s="1584" t="s">
        <v>375</v>
      </c>
      <c r="BB92" s="1048" t="s">
        <v>227</v>
      </c>
      <c r="BC92" s="314" t="str">
        <f>IFERROR(INDEX('[11]Annex 2_Code'!$J$122:$J$139,MATCH('Annex 4_MoWRAM'!BA92,'[11]Annex 2_Code'!$G$122:$G$139,0)),"")</f>
        <v>MOWRAM</v>
      </c>
      <c r="BD92" s="1084" t="str">
        <f t="shared" si="33"/>
        <v>MOWRAM</v>
      </c>
    </row>
    <row r="93" spans="1:56" s="308" customFormat="1" ht="15.95" customHeight="1">
      <c r="A93" s="531" t="str">
        <f t="shared" si="93"/>
        <v>IOC</v>
      </c>
      <c r="B93" s="531" t="str">
        <f t="shared" si="93"/>
        <v>IOC</v>
      </c>
      <c r="C93" s="531" t="s">
        <v>114</v>
      </c>
      <c r="D93" s="52"/>
      <c r="E93" s="52"/>
      <c r="F93" s="52"/>
      <c r="G93" s="52" t="s">
        <v>387</v>
      </c>
      <c r="H93" s="52"/>
      <c r="I93" s="52"/>
      <c r="J93" s="52"/>
      <c r="K93" s="497" t="s">
        <v>55</v>
      </c>
      <c r="L93" s="477">
        <f>50/1000</f>
        <v>0.05</v>
      </c>
      <c r="M93" s="1811">
        <v>9</v>
      </c>
      <c r="N93" s="1811">
        <v>9</v>
      </c>
      <c r="O93" s="1811">
        <v>9</v>
      </c>
      <c r="P93" s="1811">
        <v>9</v>
      </c>
      <c r="Q93" s="2011">
        <f>SUM(M93:P93)</f>
        <v>36</v>
      </c>
      <c r="R93" s="2012">
        <f t="shared" ref="R93:R94" si="103">$M93*$L93</f>
        <v>0.45</v>
      </c>
      <c r="S93" s="2013">
        <f t="shared" ref="S93:U94" si="104">$N93*$L93</f>
        <v>0.45</v>
      </c>
      <c r="T93" s="2013">
        <f t="shared" si="104"/>
        <v>0.45</v>
      </c>
      <c r="U93" s="2013">
        <f t="shared" si="104"/>
        <v>0.45</v>
      </c>
      <c r="V93" s="2004">
        <f>SUM(R93:U93)</f>
        <v>1.8</v>
      </c>
      <c r="W93" s="32"/>
      <c r="X93" s="1663">
        <f>IFERROR(INDEX('[11]Annex 2_Code'!I$8:I$33,MATCH('Annex 4_MoWRAM'!$BB93,'[11]Annex 2_Code'!$G$8:$G$33,0)),"")</f>
        <v>1</v>
      </c>
      <c r="Y93" s="552">
        <f>IFERROR(INDEX('[11]Annex 2_Code'!J$8:J$33,MATCH('Annex 4_MoWRAM'!$BB93,'[11]Annex 2_Code'!$G$8:$G$33,0)),"")</f>
        <v>0</v>
      </c>
      <c r="Z93" s="552">
        <f>IFERROR(INDEX('[11]Annex 2_Code'!K$8:K$33,MATCH('Annex 4_MoWRAM'!$BB93,'[11]Annex 2_Code'!$G$8:$G$33,0)),"")</f>
        <v>0</v>
      </c>
      <c r="AA93" s="1630">
        <f>IFERROR(INDEX('[11]Annex 2_Code'!L$8:L$33,MATCH('Annex 4_MoWRAM'!$BB93,'[11]Annex 2_Code'!$G$8:$G$33,0)),"")</f>
        <v>0</v>
      </c>
      <c r="AB93" s="553">
        <f>IFERROR(INDEX('[11]Annex 2_Code'!M$8:M$33,MATCH('Annex 4_MoWRAM'!$BB93,'[11]Annex 2_Code'!$G$8:$G$33,0)),"")</f>
        <v>0</v>
      </c>
      <c r="AC93" s="31"/>
      <c r="AD93" s="547">
        <f t="shared" si="96"/>
        <v>1.8</v>
      </c>
      <c r="AE93" s="79">
        <f t="shared" si="96"/>
        <v>0</v>
      </c>
      <c r="AF93" s="79">
        <f t="shared" si="96"/>
        <v>0</v>
      </c>
      <c r="AG93" s="79">
        <f t="shared" si="96"/>
        <v>0</v>
      </c>
      <c r="AH93" s="549">
        <f t="shared" si="96"/>
        <v>0</v>
      </c>
      <c r="AI93" s="74">
        <f t="shared" si="97"/>
        <v>0.45</v>
      </c>
      <c r="AJ93" s="74">
        <f t="shared" si="97"/>
        <v>0.45</v>
      </c>
      <c r="AK93" s="74">
        <f t="shared" si="97"/>
        <v>0.45</v>
      </c>
      <c r="AL93" s="74">
        <f t="shared" si="97"/>
        <v>0.45</v>
      </c>
      <c r="AM93" s="548">
        <f t="shared" si="98"/>
        <v>0</v>
      </c>
      <c r="AN93" s="74">
        <f t="shared" si="98"/>
        <v>0</v>
      </c>
      <c r="AO93" s="74">
        <f t="shared" si="98"/>
        <v>0</v>
      </c>
      <c r="AP93" s="74">
        <f t="shared" si="98"/>
        <v>0</v>
      </c>
      <c r="AQ93" s="548">
        <f t="shared" si="99"/>
        <v>0</v>
      </c>
      <c r="AR93" s="74">
        <f t="shared" si="99"/>
        <v>0</v>
      </c>
      <c r="AS93" s="74">
        <f t="shared" si="99"/>
        <v>0</v>
      </c>
      <c r="AT93" s="74">
        <f t="shared" si="99"/>
        <v>0</v>
      </c>
      <c r="AU93" s="546">
        <f>$AA93*R93</f>
        <v>0</v>
      </c>
      <c r="AV93" s="202">
        <f t="shared" si="100"/>
        <v>0</v>
      </c>
      <c r="AW93" s="202">
        <f t="shared" si="100"/>
        <v>0</v>
      </c>
      <c r="AX93" s="545">
        <f t="shared" si="100"/>
        <v>0</v>
      </c>
      <c r="AY93" s="174">
        <f t="shared" si="101"/>
        <v>1.8</v>
      </c>
      <c r="AZ93" s="1662" t="str">
        <f t="shared" si="102"/>
        <v>Correct</v>
      </c>
      <c r="BA93" s="1584" t="s">
        <v>375</v>
      </c>
      <c r="BB93" s="1048" t="s">
        <v>227</v>
      </c>
      <c r="BC93" s="314" t="str">
        <f>IFERROR(INDEX('[11]Annex 2_Code'!$J$122:$J$139,MATCH('Annex 4_MoWRAM'!BA93,'[11]Annex 2_Code'!$G$122:$G$139,0)),"")</f>
        <v>MOWRAM</v>
      </c>
      <c r="BD93" s="1084" t="str">
        <f t="shared" si="33"/>
        <v>MOWRAM</v>
      </c>
    </row>
    <row r="94" spans="1:56" s="308" customFormat="1" ht="15.95" customHeight="1">
      <c r="A94" s="531" t="str">
        <f t="shared" si="93"/>
        <v>IOC</v>
      </c>
      <c r="B94" s="531" t="str">
        <f t="shared" si="93"/>
        <v>IOC</v>
      </c>
      <c r="C94" s="531" t="s">
        <v>114</v>
      </c>
      <c r="D94" s="52"/>
      <c r="E94" s="52"/>
      <c r="F94" s="52"/>
      <c r="G94" s="52" t="s">
        <v>153</v>
      </c>
      <c r="H94" s="52"/>
      <c r="I94" s="52"/>
      <c r="J94" s="52"/>
      <c r="K94" s="497" t="s">
        <v>55</v>
      </c>
      <c r="L94" s="477">
        <f>250/1000</f>
        <v>0.25</v>
      </c>
      <c r="M94" s="1811">
        <v>6</v>
      </c>
      <c r="N94" s="1811">
        <v>6</v>
      </c>
      <c r="O94" s="1811">
        <v>6</v>
      </c>
      <c r="P94" s="1811">
        <v>6</v>
      </c>
      <c r="Q94" s="2011">
        <f>SUM(M94:P94)</f>
        <v>24</v>
      </c>
      <c r="R94" s="2012">
        <f t="shared" si="103"/>
        <v>1.5</v>
      </c>
      <c r="S94" s="2013">
        <f t="shared" si="104"/>
        <v>1.5</v>
      </c>
      <c r="T94" s="2013">
        <f t="shared" si="104"/>
        <v>1.5</v>
      </c>
      <c r="U94" s="2013">
        <f t="shared" si="104"/>
        <v>1.5</v>
      </c>
      <c r="V94" s="2004">
        <f>SUM(R94:U94)</f>
        <v>6</v>
      </c>
      <c r="W94" s="32"/>
      <c r="X94" s="1663">
        <f>IFERROR(INDEX('[11]Annex 2_Code'!I$8:I$33,MATCH('Annex 4_MoWRAM'!$BB94,'[11]Annex 2_Code'!$G$8:$G$33,0)),"")</f>
        <v>1</v>
      </c>
      <c r="Y94" s="552">
        <f>IFERROR(INDEX('[11]Annex 2_Code'!J$8:J$33,MATCH('Annex 4_MoWRAM'!$BB94,'[11]Annex 2_Code'!$G$8:$G$33,0)),"")</f>
        <v>0</v>
      </c>
      <c r="Z94" s="552">
        <f>IFERROR(INDEX('[11]Annex 2_Code'!K$8:K$33,MATCH('Annex 4_MoWRAM'!$BB94,'[11]Annex 2_Code'!$G$8:$G$33,0)),"")</f>
        <v>0</v>
      </c>
      <c r="AA94" s="1630">
        <f>IFERROR(INDEX('[11]Annex 2_Code'!L$8:L$33,MATCH('Annex 4_MoWRAM'!$BB94,'[11]Annex 2_Code'!$G$8:$G$33,0)),"")</f>
        <v>0</v>
      </c>
      <c r="AB94" s="553">
        <f>IFERROR(INDEX('[11]Annex 2_Code'!M$8:M$33,MATCH('Annex 4_MoWRAM'!$BB94,'[11]Annex 2_Code'!$G$8:$G$33,0)),"")</f>
        <v>0</v>
      </c>
      <c r="AC94" s="31"/>
      <c r="AD94" s="547">
        <f t="shared" si="96"/>
        <v>6</v>
      </c>
      <c r="AE94" s="79">
        <f t="shared" si="96"/>
        <v>0</v>
      </c>
      <c r="AF94" s="79">
        <f t="shared" si="96"/>
        <v>0</v>
      </c>
      <c r="AG94" s="79">
        <f t="shared" si="96"/>
        <v>0</v>
      </c>
      <c r="AH94" s="549">
        <f t="shared" si="96"/>
        <v>0</v>
      </c>
      <c r="AI94" s="74">
        <f t="shared" si="97"/>
        <v>1.5</v>
      </c>
      <c r="AJ94" s="74">
        <f t="shared" si="97"/>
        <v>1.5</v>
      </c>
      <c r="AK94" s="74">
        <f t="shared" si="97"/>
        <v>1.5</v>
      </c>
      <c r="AL94" s="74">
        <f t="shared" si="97"/>
        <v>1.5</v>
      </c>
      <c r="AM94" s="548">
        <f t="shared" si="98"/>
        <v>0</v>
      </c>
      <c r="AN94" s="74">
        <f t="shared" si="98"/>
        <v>0</v>
      </c>
      <c r="AO94" s="74">
        <f t="shared" si="98"/>
        <v>0</v>
      </c>
      <c r="AP94" s="74">
        <f t="shared" si="98"/>
        <v>0</v>
      </c>
      <c r="AQ94" s="548">
        <f t="shared" si="99"/>
        <v>0</v>
      </c>
      <c r="AR94" s="74">
        <f t="shared" si="99"/>
        <v>0</v>
      </c>
      <c r="AS94" s="74">
        <f t="shared" si="99"/>
        <v>0</v>
      </c>
      <c r="AT94" s="74">
        <f t="shared" si="99"/>
        <v>0</v>
      </c>
      <c r="AU94" s="546">
        <f>$AA94*R94</f>
        <v>0</v>
      </c>
      <c r="AV94" s="202">
        <f t="shared" si="100"/>
        <v>0</v>
      </c>
      <c r="AW94" s="202">
        <f t="shared" si="100"/>
        <v>0</v>
      </c>
      <c r="AX94" s="545">
        <f t="shared" si="100"/>
        <v>0</v>
      </c>
      <c r="AY94" s="174">
        <f t="shared" si="101"/>
        <v>6</v>
      </c>
      <c r="AZ94" s="1662" t="str">
        <f t="shared" si="102"/>
        <v>Correct</v>
      </c>
      <c r="BA94" s="1584" t="s">
        <v>375</v>
      </c>
      <c r="BB94" s="1048" t="s">
        <v>221</v>
      </c>
      <c r="BC94" s="314" t="str">
        <f>IFERROR(INDEX('[11]Annex 2_Code'!$J$122:$J$139,MATCH('Annex 4_MoWRAM'!BA94,'[11]Annex 2_Code'!$G$122:$G$139,0)),"")</f>
        <v>MOWRAM</v>
      </c>
      <c r="BD94" s="1084" t="str">
        <f t="shared" ref="BD94:BD100" si="105">IF(ISNUMBER(FIND("-",BC94,1))=FALSE,LEFT(BC94,LEN(BC94)),LEFT(BC94,(FIND("-",BC94,1))-1))</f>
        <v>MOWRAM</v>
      </c>
    </row>
    <row r="95" spans="1:56" s="308" customFormat="1" ht="15.95" customHeight="1">
      <c r="A95" s="531" t="str">
        <f t="shared" si="93"/>
        <v/>
      </c>
      <c r="B95" s="531" t="str">
        <f t="shared" si="93"/>
        <v/>
      </c>
      <c r="C95" s="531"/>
      <c r="D95" s="52"/>
      <c r="E95" s="52"/>
      <c r="F95" s="53" t="s">
        <v>50</v>
      </c>
      <c r="G95" s="52"/>
      <c r="H95" s="52"/>
      <c r="I95" s="52"/>
      <c r="J95" s="52"/>
      <c r="K95" s="497"/>
      <c r="L95" s="498"/>
      <c r="M95" s="1812"/>
      <c r="N95" s="1811"/>
      <c r="O95" s="1811"/>
      <c r="P95" s="1811"/>
      <c r="Q95" s="2011"/>
      <c r="R95" s="2012"/>
      <c r="S95" s="2013"/>
      <c r="T95" s="2013"/>
      <c r="U95" s="2013"/>
      <c r="V95" s="2004"/>
      <c r="W95" s="32"/>
      <c r="X95" s="1663" t="str">
        <f>IFERROR(INDEX('[11]Annex 2_Code'!I$8:I$33,MATCH('Annex 4_MoWRAM'!$BB95,'[11]Annex 2_Code'!$G$8:$G$33,0)),"")</f>
        <v/>
      </c>
      <c r="Y95" s="552" t="str">
        <f>IFERROR(INDEX('[11]Annex 2_Code'!J$8:J$33,MATCH('Annex 4_MoWRAM'!$BB95,'[11]Annex 2_Code'!$G$8:$G$33,0)),"")</f>
        <v/>
      </c>
      <c r="Z95" s="552" t="str">
        <f>IFERROR(INDEX('[11]Annex 2_Code'!K$8:K$33,MATCH('Annex 4_MoWRAM'!$BB95,'[11]Annex 2_Code'!$G$8:$G$33,0)),"")</f>
        <v/>
      </c>
      <c r="AA95" s="1630" t="str">
        <f>IFERROR(INDEX('[11]Annex 2_Code'!L$8:L$33,MATCH('Annex 4_MoWRAM'!$BB95,'[11]Annex 2_Code'!$G$8:$G$33,0)),"")</f>
        <v/>
      </c>
      <c r="AB95" s="553" t="str">
        <f>IFERROR(INDEX('[11]Annex 2_Code'!M$8:M$33,MATCH('Annex 4_MoWRAM'!$BB95,'[11]Annex 2_Code'!$G$8:$G$33,0)),"")</f>
        <v/>
      </c>
      <c r="AC95" s="31"/>
      <c r="AD95" s="550"/>
      <c r="AE95" s="74"/>
      <c r="AF95" s="74"/>
      <c r="AG95" s="76"/>
      <c r="AH95" s="544"/>
      <c r="AI95" s="74"/>
      <c r="AJ95" s="74"/>
      <c r="AK95" s="74"/>
      <c r="AL95" s="544"/>
      <c r="AM95" s="74"/>
      <c r="AN95" s="74"/>
      <c r="AO95" s="74"/>
      <c r="AP95" s="74"/>
      <c r="AQ95" s="548"/>
      <c r="AR95" s="74"/>
      <c r="AS95" s="74"/>
      <c r="AT95" s="74"/>
      <c r="AU95" s="548"/>
      <c r="AV95" s="74"/>
      <c r="AW95" s="74"/>
      <c r="AX95" s="544"/>
      <c r="AY95" s="174">
        <f t="shared" si="101"/>
        <v>0</v>
      </c>
      <c r="AZ95" s="1662" t="str">
        <f t="shared" si="102"/>
        <v>Correct</v>
      </c>
      <c r="BA95" s="1584"/>
      <c r="BB95" s="1048"/>
      <c r="BC95" s="314">
        <f>IFERROR(INDEX('[11]Annex 2_Code'!$J$122:$J$139,MATCH('Annex 4_MoWRAM'!BA95,'[11]Annex 2_Code'!$G$122:$G$139,0)),"")</f>
        <v>0</v>
      </c>
      <c r="BD95" s="1084" t="str">
        <f t="shared" si="105"/>
        <v>0</v>
      </c>
    </row>
    <row r="96" spans="1:56" s="309" customFormat="1" ht="15.95" customHeight="1">
      <c r="A96" s="1083" t="str">
        <f t="shared" si="93"/>
        <v>IOC</v>
      </c>
      <c r="B96" s="1083" t="str">
        <f t="shared" si="93"/>
        <v>IOC</v>
      </c>
      <c r="C96" s="1083" t="s">
        <v>114</v>
      </c>
      <c r="D96" s="311"/>
      <c r="E96" s="311"/>
      <c r="F96" s="311"/>
      <c r="G96" s="311" t="s">
        <v>385</v>
      </c>
      <c r="H96" s="311"/>
      <c r="I96" s="311"/>
      <c r="J96" s="311"/>
      <c r="K96" s="2014" t="s">
        <v>55</v>
      </c>
      <c r="L96" s="2553">
        <f>350/1000</f>
        <v>0.35</v>
      </c>
      <c r="M96" s="1813">
        <v>6</v>
      </c>
      <c r="N96" s="1814">
        <v>6</v>
      </c>
      <c r="O96" s="1814">
        <v>6</v>
      </c>
      <c r="P96" s="1814">
        <v>6</v>
      </c>
      <c r="Q96" s="78">
        <f>SUM(M96:P96)</f>
        <v>24</v>
      </c>
      <c r="R96" s="2554">
        <f>$L96*M96</f>
        <v>2.0999999999999996</v>
      </c>
      <c r="S96" s="2555">
        <f>$L96*N96</f>
        <v>2.0999999999999996</v>
      </c>
      <c r="T96" s="2555">
        <f t="shared" ref="T96:U98" si="106">$L96*O96</f>
        <v>2.0999999999999996</v>
      </c>
      <c r="U96" s="2555">
        <f t="shared" si="106"/>
        <v>2.0999999999999996</v>
      </c>
      <c r="V96" s="2556">
        <f>SUM(R96:U96)</f>
        <v>8.3999999999999986</v>
      </c>
      <c r="W96" s="78"/>
      <c r="X96" s="2016">
        <f>IFERROR(INDEX('[11]Annex 2_Code'!I$8:I$33,MATCH('Annex 4_MoWRAM'!$BB96,'[11]Annex 2_Code'!$G$8:$G$33,0)),"")</f>
        <v>1</v>
      </c>
      <c r="Y96" s="2017">
        <f>IFERROR(INDEX('[11]Annex 2_Code'!J$8:J$33,MATCH('Annex 4_MoWRAM'!$BB96,'[11]Annex 2_Code'!$G$8:$G$33,0)),"")</f>
        <v>0</v>
      </c>
      <c r="Z96" s="2017">
        <f>IFERROR(INDEX('[11]Annex 2_Code'!K$8:K$33,MATCH('Annex 4_MoWRAM'!$BB96,'[11]Annex 2_Code'!$G$8:$G$33,0)),"")</f>
        <v>0</v>
      </c>
      <c r="AA96" s="2018">
        <f>IFERROR(INDEX('[11]Annex 2_Code'!L$8:L$33,MATCH('Annex 4_MoWRAM'!$BB96,'[11]Annex 2_Code'!$G$8:$G$33,0)),"")</f>
        <v>0</v>
      </c>
      <c r="AB96" s="2019">
        <f>IFERROR(INDEX('[11]Annex 2_Code'!M$8:M$33,MATCH('Annex 4_MoWRAM'!$BB96,'[11]Annex 2_Code'!$G$8:$G$33,0)),"")</f>
        <v>0</v>
      </c>
      <c r="AC96" s="2020"/>
      <c r="AD96" s="2015">
        <f t="shared" ref="AD96:AH98" si="107">$V96*X96</f>
        <v>8.3999999999999986</v>
      </c>
      <c r="AE96" s="1961">
        <f t="shared" si="107"/>
        <v>0</v>
      </c>
      <c r="AF96" s="1961">
        <f t="shared" si="107"/>
        <v>0</v>
      </c>
      <c r="AG96" s="1961">
        <f t="shared" si="107"/>
        <v>0</v>
      </c>
      <c r="AH96" s="1647">
        <f t="shared" si="107"/>
        <v>0</v>
      </c>
      <c r="AI96" s="2021">
        <f t="shared" ref="AI96:AL98" si="108">R96*$X96</f>
        <v>2.0999999999999996</v>
      </c>
      <c r="AJ96" s="2021">
        <f t="shared" si="108"/>
        <v>2.0999999999999996</v>
      </c>
      <c r="AK96" s="2021">
        <f t="shared" si="108"/>
        <v>2.0999999999999996</v>
      </c>
      <c r="AL96" s="2022">
        <f t="shared" si="108"/>
        <v>2.0999999999999996</v>
      </c>
      <c r="AM96" s="2023">
        <f t="shared" ref="AM96:AP98" si="109">$Y96*R96</f>
        <v>0</v>
      </c>
      <c r="AN96" s="2021">
        <f t="shared" si="109"/>
        <v>0</v>
      </c>
      <c r="AO96" s="2021">
        <f t="shared" si="109"/>
        <v>0</v>
      </c>
      <c r="AP96" s="2021">
        <f t="shared" si="109"/>
        <v>0</v>
      </c>
      <c r="AQ96" s="2023">
        <f t="shared" ref="AQ96:AT98" si="110">$Z96*R96</f>
        <v>0</v>
      </c>
      <c r="AR96" s="2021">
        <f t="shared" si="110"/>
        <v>0</v>
      </c>
      <c r="AS96" s="2021">
        <f t="shared" si="110"/>
        <v>0</v>
      </c>
      <c r="AT96" s="2021">
        <f t="shared" si="110"/>
        <v>0</v>
      </c>
      <c r="AU96" s="2024">
        <f>$AA96*R96</f>
        <v>0</v>
      </c>
      <c r="AV96" s="2025">
        <f>$AA96*S96</f>
        <v>0</v>
      </c>
      <c r="AW96" s="2025">
        <f t="shared" ref="AV96:AX98" si="111">$AA96*T96</f>
        <v>0</v>
      </c>
      <c r="AX96" s="2026">
        <f t="shared" si="111"/>
        <v>0</v>
      </c>
      <c r="AY96" s="2027">
        <f t="shared" si="101"/>
        <v>8.3999999999999986</v>
      </c>
      <c r="AZ96" s="2028" t="str">
        <f t="shared" si="102"/>
        <v>Correct</v>
      </c>
      <c r="BA96" s="58" t="s">
        <v>375</v>
      </c>
      <c r="BB96" s="1083" t="s">
        <v>227</v>
      </c>
      <c r="BC96" s="2029" t="str">
        <f>IFERROR(INDEX('[11]Annex 2_Code'!$J$122:$J$139,MATCH('Annex 4_MoWRAM'!BA96,'[11]Annex 2_Code'!$G$122:$G$139,0)),"")</f>
        <v>MOWRAM</v>
      </c>
      <c r="BD96" s="1084" t="str">
        <f t="shared" si="105"/>
        <v>MOWRAM</v>
      </c>
    </row>
    <row r="97" spans="1:56" s="309" customFormat="1" ht="15.95" customHeight="1">
      <c r="A97" s="1083" t="str">
        <f t="shared" si="93"/>
        <v>IOC</v>
      </c>
      <c r="B97" s="1083" t="str">
        <f t="shared" si="93"/>
        <v>IOC</v>
      </c>
      <c r="C97" s="1083" t="s">
        <v>114</v>
      </c>
      <c r="D97" s="311"/>
      <c r="E97" s="311"/>
      <c r="F97" s="311"/>
      <c r="G97" s="311" t="s">
        <v>156</v>
      </c>
      <c r="H97" s="311"/>
      <c r="I97" s="311"/>
      <c r="J97" s="311"/>
      <c r="K97" s="2014" t="s">
        <v>386</v>
      </c>
      <c r="L97" s="2553">
        <f>50/1000</f>
        <v>0.05</v>
      </c>
      <c r="M97" s="1813">
        <v>18</v>
      </c>
      <c r="N97" s="1814">
        <v>18</v>
      </c>
      <c r="O97" s="1814">
        <v>18</v>
      </c>
      <c r="P97" s="1814">
        <v>18</v>
      </c>
      <c r="Q97" s="78">
        <f>SUM(M97:P97)</f>
        <v>72</v>
      </c>
      <c r="R97" s="2554">
        <f t="shared" ref="R97:S98" si="112">$L97*M97</f>
        <v>0.9</v>
      </c>
      <c r="S97" s="2555">
        <f t="shared" si="112"/>
        <v>0.9</v>
      </c>
      <c r="T97" s="2555">
        <f t="shared" si="106"/>
        <v>0.9</v>
      </c>
      <c r="U97" s="2555">
        <f t="shared" si="106"/>
        <v>0.9</v>
      </c>
      <c r="V97" s="2556">
        <f>SUM(R97:U97)</f>
        <v>3.6</v>
      </c>
      <c r="W97" s="78"/>
      <c r="X97" s="2016">
        <f>IFERROR(INDEX('[11]Annex 2_Code'!I$8:I$33,MATCH('Annex 4_MoWRAM'!$BB97,'[11]Annex 2_Code'!$G$8:$G$33,0)),"")</f>
        <v>1</v>
      </c>
      <c r="Y97" s="2017">
        <f>IFERROR(INDEX('[11]Annex 2_Code'!J$8:J$33,MATCH('Annex 4_MoWRAM'!$BB97,'[11]Annex 2_Code'!$G$8:$G$33,0)),"")</f>
        <v>0</v>
      </c>
      <c r="Z97" s="2017">
        <f>IFERROR(INDEX('[11]Annex 2_Code'!K$8:K$33,MATCH('Annex 4_MoWRAM'!$BB97,'[11]Annex 2_Code'!$G$8:$G$33,0)),"")</f>
        <v>0</v>
      </c>
      <c r="AA97" s="2018">
        <f>IFERROR(INDEX('[11]Annex 2_Code'!L$8:L$33,MATCH('Annex 4_MoWRAM'!$BB97,'[11]Annex 2_Code'!$G$8:$G$33,0)),"")</f>
        <v>0</v>
      </c>
      <c r="AB97" s="2019">
        <f>IFERROR(INDEX('[11]Annex 2_Code'!M$8:M$33,MATCH('Annex 4_MoWRAM'!$BB97,'[11]Annex 2_Code'!$G$8:$G$33,0)),"")</f>
        <v>0</v>
      </c>
      <c r="AC97" s="2020"/>
      <c r="AD97" s="2015">
        <f t="shared" si="107"/>
        <v>3.6</v>
      </c>
      <c r="AE97" s="1961">
        <f t="shared" si="107"/>
        <v>0</v>
      </c>
      <c r="AF97" s="1961">
        <f t="shared" si="107"/>
        <v>0</v>
      </c>
      <c r="AG97" s="1961">
        <f t="shared" si="107"/>
        <v>0</v>
      </c>
      <c r="AH97" s="1647">
        <f t="shared" si="107"/>
        <v>0</v>
      </c>
      <c r="AI97" s="2021">
        <f t="shared" si="108"/>
        <v>0.9</v>
      </c>
      <c r="AJ97" s="2021">
        <f t="shared" si="108"/>
        <v>0.9</v>
      </c>
      <c r="AK97" s="2021">
        <f t="shared" si="108"/>
        <v>0.9</v>
      </c>
      <c r="AL97" s="2022">
        <f t="shared" si="108"/>
        <v>0.9</v>
      </c>
      <c r="AM97" s="2023">
        <f t="shared" si="109"/>
        <v>0</v>
      </c>
      <c r="AN97" s="2021">
        <f t="shared" si="109"/>
        <v>0</v>
      </c>
      <c r="AO97" s="2021">
        <f t="shared" si="109"/>
        <v>0</v>
      </c>
      <c r="AP97" s="2021">
        <f t="shared" si="109"/>
        <v>0</v>
      </c>
      <c r="AQ97" s="2023">
        <f t="shared" si="110"/>
        <v>0</v>
      </c>
      <c r="AR97" s="2021">
        <f t="shared" si="110"/>
        <v>0</v>
      </c>
      <c r="AS97" s="2021">
        <f t="shared" si="110"/>
        <v>0</v>
      </c>
      <c r="AT97" s="2021">
        <f t="shared" si="110"/>
        <v>0</v>
      </c>
      <c r="AU97" s="2024">
        <f>$AA97*R97</f>
        <v>0</v>
      </c>
      <c r="AV97" s="2025">
        <f t="shared" si="111"/>
        <v>0</v>
      </c>
      <c r="AW97" s="2025">
        <f t="shared" si="111"/>
        <v>0</v>
      </c>
      <c r="AX97" s="2026">
        <f t="shared" si="111"/>
        <v>0</v>
      </c>
      <c r="AY97" s="2027">
        <f t="shared" si="101"/>
        <v>3.6</v>
      </c>
      <c r="AZ97" s="2028" t="str">
        <f t="shared" si="102"/>
        <v>Correct</v>
      </c>
      <c r="BA97" s="58" t="s">
        <v>375</v>
      </c>
      <c r="BB97" s="1083" t="s">
        <v>227</v>
      </c>
      <c r="BC97" s="2029" t="str">
        <f>IFERROR(INDEX('[11]Annex 2_Code'!$J$122:$J$139,MATCH('Annex 4_MoWRAM'!BA97,'[11]Annex 2_Code'!$G$122:$G$139,0)),"")</f>
        <v>MOWRAM</v>
      </c>
      <c r="BD97" s="1084" t="str">
        <f t="shared" si="105"/>
        <v>MOWRAM</v>
      </c>
    </row>
    <row r="98" spans="1:56" s="308" customFormat="1" ht="15.95" customHeight="1">
      <c r="A98" s="531" t="str">
        <f t="shared" si="93"/>
        <v>IOC</v>
      </c>
      <c r="B98" s="531" t="str">
        <f t="shared" si="93"/>
        <v>IOC</v>
      </c>
      <c r="C98" s="531" t="s">
        <v>114</v>
      </c>
      <c r="D98" s="52"/>
      <c r="E98" s="52"/>
      <c r="F98" s="52"/>
      <c r="G98" s="52" t="s">
        <v>379</v>
      </c>
      <c r="H98" s="52"/>
      <c r="I98" s="52"/>
      <c r="J98" s="52"/>
      <c r="K98" s="497" t="s">
        <v>55</v>
      </c>
      <c r="L98" s="499">
        <f>250/1000</f>
        <v>0.25</v>
      </c>
      <c r="M98" s="1812">
        <v>6</v>
      </c>
      <c r="N98" s="1811">
        <v>6</v>
      </c>
      <c r="O98" s="1811">
        <v>6</v>
      </c>
      <c r="P98" s="1811">
        <v>6</v>
      </c>
      <c r="Q98" s="2011">
        <f>SUM(M98:P98)</f>
        <v>24</v>
      </c>
      <c r="R98" s="2012">
        <f t="shared" si="112"/>
        <v>1.5</v>
      </c>
      <c r="S98" s="2013">
        <f t="shared" si="112"/>
        <v>1.5</v>
      </c>
      <c r="T98" s="2013">
        <f t="shared" si="106"/>
        <v>1.5</v>
      </c>
      <c r="U98" s="2013">
        <f t="shared" si="106"/>
        <v>1.5</v>
      </c>
      <c r="V98" s="2004">
        <f>SUM(R98:U98)</f>
        <v>6</v>
      </c>
      <c r="W98" s="32"/>
      <c r="X98" s="1663">
        <f>IFERROR(INDEX('[11]Annex 2_Code'!I$8:I$33,MATCH('Annex 4_MoWRAM'!$BB98,'[11]Annex 2_Code'!$G$8:$G$33,0)),"")</f>
        <v>1</v>
      </c>
      <c r="Y98" s="552">
        <f>IFERROR(INDEX('[11]Annex 2_Code'!J$8:J$33,MATCH('Annex 4_MoWRAM'!$BB98,'[11]Annex 2_Code'!$G$8:$G$33,0)),"")</f>
        <v>0</v>
      </c>
      <c r="Z98" s="552">
        <f>IFERROR(INDEX('[11]Annex 2_Code'!K$8:K$33,MATCH('Annex 4_MoWRAM'!$BB98,'[11]Annex 2_Code'!$G$8:$G$33,0)),"")</f>
        <v>0</v>
      </c>
      <c r="AA98" s="1630">
        <f>IFERROR(INDEX('[11]Annex 2_Code'!L$8:L$33,MATCH('Annex 4_MoWRAM'!$BB98,'[11]Annex 2_Code'!$G$8:$G$33,0)),"")</f>
        <v>0</v>
      </c>
      <c r="AB98" s="553">
        <f>IFERROR(INDEX('[11]Annex 2_Code'!M$8:M$33,MATCH('Annex 4_MoWRAM'!$BB98,'[11]Annex 2_Code'!$G$8:$G$33,0)),"")</f>
        <v>0</v>
      </c>
      <c r="AC98" s="31"/>
      <c r="AD98" s="547">
        <f t="shared" si="107"/>
        <v>6</v>
      </c>
      <c r="AE98" s="79">
        <f t="shared" si="107"/>
        <v>0</v>
      </c>
      <c r="AF98" s="79">
        <f t="shared" si="107"/>
        <v>0</v>
      </c>
      <c r="AG98" s="79">
        <f t="shared" si="107"/>
        <v>0</v>
      </c>
      <c r="AH98" s="549">
        <f t="shared" si="107"/>
        <v>0</v>
      </c>
      <c r="AI98" s="74">
        <f t="shared" si="108"/>
        <v>1.5</v>
      </c>
      <c r="AJ98" s="74">
        <f t="shared" si="108"/>
        <v>1.5</v>
      </c>
      <c r="AK98" s="74">
        <f t="shared" si="108"/>
        <v>1.5</v>
      </c>
      <c r="AL98" s="544">
        <f>U98*$X98</f>
        <v>1.5</v>
      </c>
      <c r="AM98" s="548">
        <f t="shared" si="109"/>
        <v>0</v>
      </c>
      <c r="AN98" s="74">
        <f t="shared" si="109"/>
        <v>0</v>
      </c>
      <c r="AO98" s="74">
        <f t="shared" si="109"/>
        <v>0</v>
      </c>
      <c r="AP98" s="74">
        <f t="shared" si="109"/>
        <v>0</v>
      </c>
      <c r="AQ98" s="548">
        <f t="shared" si="110"/>
        <v>0</v>
      </c>
      <c r="AR98" s="74">
        <f t="shared" si="110"/>
        <v>0</v>
      </c>
      <c r="AS98" s="74">
        <f t="shared" si="110"/>
        <v>0</v>
      </c>
      <c r="AT98" s="74">
        <f t="shared" si="110"/>
        <v>0</v>
      </c>
      <c r="AU98" s="546">
        <f>$AA98*R98</f>
        <v>0</v>
      </c>
      <c r="AV98" s="202">
        <f t="shared" si="111"/>
        <v>0</v>
      </c>
      <c r="AW98" s="202">
        <f t="shared" si="111"/>
        <v>0</v>
      </c>
      <c r="AX98" s="545">
        <f t="shared" si="111"/>
        <v>0</v>
      </c>
      <c r="AY98" s="174">
        <f t="shared" si="101"/>
        <v>6</v>
      </c>
      <c r="AZ98" s="1662" t="str">
        <f t="shared" si="102"/>
        <v>Correct</v>
      </c>
      <c r="BA98" s="1584" t="s">
        <v>375</v>
      </c>
      <c r="BB98" s="1048" t="s">
        <v>221</v>
      </c>
      <c r="BC98" s="314" t="str">
        <f>IFERROR(INDEX('[11]Annex 2_Code'!$J$122:$J$139,MATCH('Annex 4_MoWRAM'!BA98,'[11]Annex 2_Code'!$G$122:$G$139,0)),"")</f>
        <v>MOWRAM</v>
      </c>
      <c r="BD98" s="1084" t="str">
        <f t="shared" si="105"/>
        <v>MOWRAM</v>
      </c>
    </row>
    <row r="99" spans="1:56" s="214" customFormat="1" ht="15.95" customHeight="1">
      <c r="A99" s="535"/>
      <c r="B99" s="535"/>
      <c r="C99" s="535"/>
      <c r="D99" s="206"/>
      <c r="E99" s="206"/>
      <c r="F99" s="206" t="s">
        <v>36</v>
      </c>
      <c r="G99" s="206"/>
      <c r="H99" s="206"/>
      <c r="I99" s="206"/>
      <c r="J99" s="206"/>
      <c r="K99" s="502"/>
      <c r="L99" s="503" t="s">
        <v>54</v>
      </c>
      <c r="M99" s="207"/>
      <c r="N99" s="208"/>
      <c r="O99" s="208"/>
      <c r="P99" s="208"/>
      <c r="Q99" s="211"/>
      <c r="R99" s="432">
        <f>SUM(R92:R98)</f>
        <v>9.15</v>
      </c>
      <c r="S99" s="433">
        <f>SUM(S92:S98)</f>
        <v>9.15</v>
      </c>
      <c r="T99" s="433">
        <f>SUM(T92:T98)</f>
        <v>9.15</v>
      </c>
      <c r="U99" s="433">
        <f>SUM(U92:U98)</f>
        <v>9.15</v>
      </c>
      <c r="V99" s="435">
        <f>SUM(V92:V98)</f>
        <v>36.6</v>
      </c>
      <c r="W99" s="211"/>
      <c r="X99" s="241"/>
      <c r="Y99" s="211"/>
      <c r="Z99" s="211"/>
      <c r="AA99" s="211"/>
      <c r="AB99" s="209"/>
      <c r="AC99" s="210"/>
      <c r="AD99" s="239">
        <f>SUM(AD92:AD98)</f>
        <v>36.6</v>
      </c>
      <c r="AE99" s="213">
        <f>SUM(AE92:AE98)</f>
        <v>0</v>
      </c>
      <c r="AF99" s="213">
        <f>SUM(AF92:AF98)</f>
        <v>0</v>
      </c>
      <c r="AG99" s="213">
        <f>SUM(AG93:AG98)</f>
        <v>0</v>
      </c>
      <c r="AH99" s="215">
        <f t="shared" ref="AH99:AX99" si="113">SUM(AH92:AH98)</f>
        <v>0</v>
      </c>
      <c r="AI99" s="213">
        <f>SUM(AI92:AI98)</f>
        <v>9.15</v>
      </c>
      <c r="AJ99" s="213">
        <f t="shared" si="113"/>
        <v>9.15</v>
      </c>
      <c r="AK99" s="213">
        <f t="shared" si="113"/>
        <v>9.15</v>
      </c>
      <c r="AL99" s="215">
        <f t="shared" si="113"/>
        <v>9.15</v>
      </c>
      <c r="AM99" s="213">
        <f t="shared" si="113"/>
        <v>0</v>
      </c>
      <c r="AN99" s="213">
        <f t="shared" si="113"/>
        <v>0</v>
      </c>
      <c r="AO99" s="213">
        <f t="shared" si="113"/>
        <v>0</v>
      </c>
      <c r="AP99" s="213">
        <f t="shared" si="113"/>
        <v>0</v>
      </c>
      <c r="AQ99" s="239">
        <f t="shared" si="113"/>
        <v>0</v>
      </c>
      <c r="AR99" s="213">
        <f t="shared" si="113"/>
        <v>0</v>
      </c>
      <c r="AS99" s="213">
        <f t="shared" si="113"/>
        <v>0</v>
      </c>
      <c r="AT99" s="213">
        <f t="shared" si="113"/>
        <v>0</v>
      </c>
      <c r="AU99" s="432">
        <f t="shared" si="113"/>
        <v>0</v>
      </c>
      <c r="AV99" s="433">
        <f t="shared" si="113"/>
        <v>0</v>
      </c>
      <c r="AW99" s="433">
        <f t="shared" si="113"/>
        <v>0</v>
      </c>
      <c r="AX99" s="434">
        <f t="shared" si="113"/>
        <v>0</v>
      </c>
      <c r="AY99" s="241">
        <f>SUM(AD99:AH99)</f>
        <v>36.6</v>
      </c>
      <c r="AZ99" s="1661" t="str">
        <f>IF(V99=AY99,"Correct","Incorrect")</f>
        <v>Correct</v>
      </c>
      <c r="BA99" s="1664"/>
      <c r="BB99" s="1665"/>
      <c r="BC99" s="1666"/>
      <c r="BD99" s="1665" t="str">
        <f t="shared" si="105"/>
        <v/>
      </c>
    </row>
    <row r="100" spans="1:56" s="1832" customFormat="1" ht="24" customHeight="1">
      <c r="A100" s="1819"/>
      <c r="B100" s="1819"/>
      <c r="C100" s="1819"/>
      <c r="D100" s="1820" t="s">
        <v>157</v>
      </c>
      <c r="E100" s="1820"/>
      <c r="F100" s="1820"/>
      <c r="G100" s="1821"/>
      <c r="H100" s="1821"/>
      <c r="I100" s="1821"/>
      <c r="J100" s="1821"/>
      <c r="K100" s="1822"/>
      <c r="L100" s="1823"/>
      <c r="M100" s="430"/>
      <c r="N100" s="431"/>
      <c r="O100" s="431"/>
      <c r="P100" s="431"/>
      <c r="Q100" s="1824"/>
      <c r="R100" s="2557">
        <f>SUM(R99+R90+R82)</f>
        <v>28.05</v>
      </c>
      <c r="S100" s="2558">
        <f>SUM(S99+S90+S82)</f>
        <v>28.05</v>
      </c>
      <c r="T100" s="2558">
        <f>SUM(T99+T90+T82)</f>
        <v>28.05</v>
      </c>
      <c r="U100" s="2558">
        <f>SUM(U99+U90+U82)</f>
        <v>28.05</v>
      </c>
      <c r="V100" s="2559">
        <f>SUM(V99+V90+V82)</f>
        <v>112.2</v>
      </c>
      <c r="W100" s="1824"/>
      <c r="X100" s="1825"/>
      <c r="Y100" s="1824"/>
      <c r="Z100" s="1824"/>
      <c r="AA100" s="1824"/>
      <c r="AB100" s="1826"/>
      <c r="AC100" s="1823"/>
      <c r="AD100" s="1827">
        <f>SUM(AD99+AD90+AD82)</f>
        <v>63.960000000000008</v>
      </c>
      <c r="AE100" s="1828">
        <f>ROUND(AE99+AE90+AE82,0)</f>
        <v>0</v>
      </c>
      <c r="AF100" s="1828">
        <f>ROUND(AF99+AF90+AF82,0)</f>
        <v>0</v>
      </c>
      <c r="AG100" s="2030">
        <f>AG99+AG90+AG214+AG82</f>
        <v>48.239999999999995</v>
      </c>
      <c r="AH100" s="1829">
        <f>ROUND(AH99+AH90+AH82,0)</f>
        <v>0</v>
      </c>
      <c r="AI100" s="1828">
        <f>AI99+AI90+AI82</f>
        <v>15.990000000000002</v>
      </c>
      <c r="AJ100" s="1828">
        <f>AJ99+AJ90+AJ82</f>
        <v>15.990000000000002</v>
      </c>
      <c r="AK100" s="1828">
        <f>AK99+AK90+AK82</f>
        <v>15.990000000000002</v>
      </c>
      <c r="AL100" s="1828">
        <f t="shared" ref="AL100:AW100" si="114">AL99+AL90+AL82</f>
        <v>15.990000000000002</v>
      </c>
      <c r="AM100" s="1828">
        <f t="shared" si="114"/>
        <v>0</v>
      </c>
      <c r="AN100" s="1828">
        <f t="shared" si="114"/>
        <v>0</v>
      </c>
      <c r="AO100" s="1828">
        <f t="shared" si="114"/>
        <v>0</v>
      </c>
      <c r="AP100" s="1828">
        <f t="shared" si="114"/>
        <v>0</v>
      </c>
      <c r="AQ100" s="1827">
        <f t="shared" si="114"/>
        <v>0</v>
      </c>
      <c r="AR100" s="1828">
        <f t="shared" si="114"/>
        <v>0</v>
      </c>
      <c r="AS100" s="1828">
        <f t="shared" si="114"/>
        <v>0</v>
      </c>
      <c r="AT100" s="1828">
        <f t="shared" si="114"/>
        <v>0</v>
      </c>
      <c r="AU100" s="1827">
        <f t="shared" si="114"/>
        <v>12.059999999999999</v>
      </c>
      <c r="AV100" s="1827">
        <f t="shared" si="114"/>
        <v>12.059999999999999</v>
      </c>
      <c r="AW100" s="1827">
        <f t="shared" si="114"/>
        <v>12.059999999999999</v>
      </c>
      <c r="AX100" s="1827">
        <f>AX99+AX90+AX82</f>
        <v>12.059999999999999</v>
      </c>
      <c r="AY100" s="1830">
        <f>AY99+AY90+AY82</f>
        <v>112.2</v>
      </c>
      <c r="AZ100" s="1831" t="str">
        <f>IF(V100=AY100,"Correct","Incorrect")</f>
        <v>Correct</v>
      </c>
      <c r="BD100" s="1832" t="str">
        <f t="shared" si="105"/>
        <v/>
      </c>
    </row>
    <row r="101" spans="1:56" ht="15.75">
      <c r="A101" s="527"/>
      <c r="B101" s="527"/>
      <c r="C101" s="369"/>
      <c r="D101" s="246"/>
      <c r="E101" s="247"/>
      <c r="F101" s="247" t="s">
        <v>1019</v>
      </c>
      <c r="G101" s="248"/>
      <c r="H101" s="249"/>
      <c r="I101" s="250"/>
      <c r="J101" s="250"/>
      <c r="K101" s="251"/>
      <c r="L101" s="251"/>
      <c r="M101" s="251"/>
      <c r="N101" s="251"/>
      <c r="O101" s="251"/>
      <c r="P101" s="251"/>
      <c r="Q101" s="251"/>
      <c r="R101" s="253">
        <f>R100+R67</f>
        <v>76.55</v>
      </c>
      <c r="S101" s="253">
        <f>S100+S67</f>
        <v>6527.0035000000007</v>
      </c>
      <c r="T101" s="253">
        <f>T100+T67</f>
        <v>6119.3964999999998</v>
      </c>
      <c r="U101" s="253">
        <f>U100+U67</f>
        <v>3758.9509999999996</v>
      </c>
      <c r="V101" s="2534">
        <f>V100+V67</f>
        <v>16481.901000000005</v>
      </c>
      <c r="W101" s="517"/>
      <c r="X101" s="251"/>
      <c r="Y101" s="252"/>
      <c r="Z101" s="252"/>
      <c r="AA101" s="252"/>
      <c r="AB101" s="252"/>
      <c r="AC101" s="252">
        <f>+AC100+AC67</f>
        <v>0</v>
      </c>
      <c r="AD101" s="2031">
        <f>AD100+AD67</f>
        <v>13145.180869459535</v>
      </c>
      <c r="AE101" s="2032">
        <f>AE100+AE67</f>
        <v>1501.360479117812</v>
      </c>
      <c r="AF101" s="2032">
        <f>AF10+AF67</f>
        <v>1793.6490698392454</v>
      </c>
      <c r="AG101" s="2032">
        <f>AG100+AG67</f>
        <v>48.239999999999995</v>
      </c>
      <c r="AH101" s="2033">
        <f t="shared" ref="AH101:AX101" si="115">+AH100+AH67</f>
        <v>0</v>
      </c>
      <c r="AI101" s="2032">
        <f t="shared" si="115"/>
        <v>15.990000000000002</v>
      </c>
      <c r="AJ101" s="2032">
        <f t="shared" si="115"/>
        <v>5332.3213648504116</v>
      </c>
      <c r="AK101" s="2032">
        <f t="shared" si="115"/>
        <v>4928.5018378172008</v>
      </c>
      <c r="AL101" s="2033">
        <f t="shared" si="115"/>
        <v>2868.3676667919203</v>
      </c>
      <c r="AM101" s="2031">
        <f t="shared" si="115"/>
        <v>0</v>
      </c>
      <c r="AN101" s="2032">
        <f t="shared" si="115"/>
        <v>516.65857107151635</v>
      </c>
      <c r="AO101" s="2032">
        <f t="shared" si="115"/>
        <v>534.40086804938994</v>
      </c>
      <c r="AP101" s="2033">
        <f t="shared" si="115"/>
        <v>450.30103999690533</v>
      </c>
      <c r="AQ101" s="2031">
        <f t="shared" si="115"/>
        <v>48.5</v>
      </c>
      <c r="AR101" s="2032">
        <f t="shared" si="115"/>
        <v>665.96356407807116</v>
      </c>
      <c r="AS101" s="2032">
        <f t="shared" si="115"/>
        <v>644.43379413340824</v>
      </c>
      <c r="AT101" s="2033">
        <f t="shared" si="115"/>
        <v>428.22229321117453</v>
      </c>
      <c r="AU101" s="2031">
        <f t="shared" si="115"/>
        <v>12.059999999999999</v>
      </c>
      <c r="AV101" s="2032">
        <f t="shared" si="115"/>
        <v>12.059999999999999</v>
      </c>
      <c r="AW101" s="252">
        <f t="shared" si="115"/>
        <v>12.059999999999999</v>
      </c>
      <c r="AX101" s="254">
        <f t="shared" si="115"/>
        <v>12.059999999999999</v>
      </c>
      <c r="AY101" s="253">
        <f>AY100+AY67</f>
        <v>16481.901000000005</v>
      </c>
      <c r="AZ101" s="1667" t="str">
        <f>IF(V101=AY101,"Correct","Incorrect")</f>
        <v>Correct</v>
      </c>
    </row>
    <row r="102" spans="1:56">
      <c r="B102" s="52"/>
      <c r="C102" s="52"/>
      <c r="D102" s="52"/>
      <c r="E102" s="52"/>
      <c r="F102" s="52"/>
      <c r="G102" s="52"/>
      <c r="H102" s="52"/>
      <c r="I102" s="52"/>
      <c r="J102" s="52"/>
      <c r="K102" s="52"/>
      <c r="L102" s="31"/>
      <c r="M102" s="31"/>
      <c r="N102" s="31"/>
      <c r="O102" s="31"/>
      <c r="P102" s="31"/>
      <c r="Q102" s="31"/>
      <c r="R102" s="31"/>
      <c r="S102" s="31"/>
      <c r="T102" s="31"/>
      <c r="U102" s="31"/>
      <c r="V102" s="204"/>
      <c r="W102" s="29"/>
      <c r="X102" s="29"/>
      <c r="Y102" s="29"/>
      <c r="Z102" s="29"/>
      <c r="AA102" s="29"/>
      <c r="AB102" s="29"/>
      <c r="AC102" s="31"/>
      <c r="AD102" s="255"/>
      <c r="AE102" s="256"/>
      <c r="AF102" s="257"/>
      <c r="AG102" s="256"/>
      <c r="AH102" s="256"/>
      <c r="AI102" s="256" t="e">
        <f>AI</f>
        <v>#NAME?</v>
      </c>
      <c r="AJ102" s="256"/>
      <c r="AK102" s="256"/>
      <c r="AL102" s="257"/>
      <c r="AM102" s="256"/>
      <c r="AN102" s="256"/>
      <c r="AO102" s="256"/>
      <c r="AP102" s="256"/>
      <c r="AQ102" s="256"/>
      <c r="AR102" s="256"/>
      <c r="AS102" s="256"/>
      <c r="AT102" s="256"/>
      <c r="AU102" s="256"/>
      <c r="AV102" s="256"/>
      <c r="AW102" s="256"/>
      <c r="AX102" s="256"/>
      <c r="AY102" s="53"/>
      <c r="AZ102" s="52"/>
    </row>
    <row r="103" spans="1:56" ht="13.5">
      <c r="A103" s="1668"/>
      <c r="B103" s="1669"/>
      <c r="C103" s="1670" t="s">
        <v>21</v>
      </c>
      <c r="D103" s="1671" t="s">
        <v>158</v>
      </c>
      <c r="E103" s="1671" t="s">
        <v>6</v>
      </c>
      <c r="F103" s="1671" t="s">
        <v>7</v>
      </c>
      <c r="G103" s="1671" t="s">
        <v>8</v>
      </c>
      <c r="H103" s="1671" t="s">
        <v>9</v>
      </c>
      <c r="I103" s="52"/>
      <c r="J103" s="52"/>
      <c r="L103" s="3"/>
      <c r="M103" s="3"/>
      <c r="N103" s="3"/>
      <c r="O103" s="3"/>
      <c r="P103" s="3"/>
      <c r="Q103" s="3"/>
      <c r="R103" s="3"/>
      <c r="S103" s="3"/>
      <c r="T103" s="3"/>
      <c r="U103" s="3"/>
      <c r="W103" s="25"/>
      <c r="X103" s="25"/>
      <c r="Y103" s="25"/>
      <c r="Z103" s="25"/>
      <c r="AA103" s="1672"/>
      <c r="AB103" s="1672"/>
      <c r="AC103" s="67"/>
      <c r="AD103" s="1673"/>
      <c r="AE103" s="1673"/>
      <c r="AF103" s="1673"/>
      <c r="AG103" s="1673"/>
      <c r="AH103" s="1673"/>
      <c r="AI103" s="1674"/>
      <c r="AJ103" s="1674"/>
      <c r="AK103" s="1674"/>
      <c r="AL103" s="1674"/>
      <c r="AM103" s="1674"/>
      <c r="AN103" s="1674"/>
      <c r="AO103" s="1674"/>
      <c r="AP103" s="1674"/>
      <c r="AQ103" s="1674"/>
      <c r="AR103" s="1674"/>
      <c r="AS103" s="1674"/>
      <c r="AT103" s="1674"/>
      <c r="AU103" s="1674"/>
      <c r="AV103" s="1674"/>
      <c r="AW103" s="1674"/>
      <c r="AX103" s="1674"/>
      <c r="AY103" s="2034"/>
    </row>
    <row r="104" spans="1:56">
      <c r="B104" s="2659" t="s">
        <v>51</v>
      </c>
      <c r="C104" s="2660"/>
      <c r="D104" s="2035">
        <f>SUM(E104:H104)</f>
        <v>13145.180869459533</v>
      </c>
      <c r="E104" s="530">
        <f>AI101</f>
        <v>15.990000000000002</v>
      </c>
      <c r="F104" s="530">
        <f t="shared" ref="F104:H104" si="116">AJ101</f>
        <v>5332.3213648504116</v>
      </c>
      <c r="G104" s="530">
        <f t="shared" si="116"/>
        <v>4928.5018378172008</v>
      </c>
      <c r="H104" s="530">
        <f t="shared" si="116"/>
        <v>2868.3676667919203</v>
      </c>
      <c r="I104" s="72" t="str">
        <f t="shared" ref="I104:I108" si="117">IF(D104=SUM(E104:H104),"Correct","Incorrect")</f>
        <v>Correct</v>
      </c>
      <c r="J104" s="1675"/>
      <c r="K104" s="2036">
        <f>D104/D109</f>
        <v>0.79755247100801852</v>
      </c>
      <c r="L104" s="2658"/>
      <c r="M104" s="2658"/>
      <c r="N104" s="3"/>
      <c r="O104" s="3"/>
      <c r="P104" s="3"/>
      <c r="Q104" s="3"/>
      <c r="R104" s="3"/>
      <c r="S104" s="3"/>
      <c r="T104" s="3"/>
      <c r="U104" s="3"/>
      <c r="W104" s="25"/>
      <c r="X104" s="25"/>
      <c r="Y104" s="25"/>
      <c r="Z104" s="25"/>
      <c r="AA104" s="1672"/>
      <c r="AB104" s="1672"/>
      <c r="AC104" s="68"/>
      <c r="AD104" s="75"/>
      <c r="AE104" s="395"/>
      <c r="AF104" s="395"/>
      <c r="AG104" s="395"/>
      <c r="AH104" s="395"/>
      <c r="AJ104" s="314"/>
      <c r="AK104" s="314"/>
      <c r="AL104" s="314"/>
      <c r="AM104" s="314"/>
      <c r="AN104" s="314"/>
      <c r="AO104" s="314"/>
      <c r="AP104" s="314"/>
      <c r="AQ104" s="314"/>
      <c r="AR104" s="314"/>
      <c r="AS104" s="314"/>
      <c r="AT104" s="314"/>
      <c r="AU104" s="314"/>
      <c r="AV104" s="314"/>
      <c r="AW104" s="314"/>
      <c r="AX104" s="314"/>
    </row>
    <row r="105" spans="1:56">
      <c r="B105" s="2659" t="s">
        <v>37</v>
      </c>
      <c r="C105" s="2660"/>
      <c r="D105" s="2035">
        <f t="shared" ref="D105:D108" si="118">SUM(E105:H105)</f>
        <v>1501.3604791178116</v>
      </c>
      <c r="E105" s="529">
        <f>AM101</f>
        <v>0</v>
      </c>
      <c r="F105" s="529">
        <f t="shared" ref="F105:H105" si="119">AN101</f>
        <v>516.65857107151635</v>
      </c>
      <c r="G105" s="529">
        <f t="shared" si="119"/>
        <v>534.40086804938994</v>
      </c>
      <c r="H105" s="529">
        <f t="shared" si="119"/>
        <v>450.30103999690533</v>
      </c>
      <c r="I105" s="72" t="str">
        <f t="shared" si="117"/>
        <v>Correct</v>
      </c>
      <c r="J105" s="52"/>
      <c r="K105" s="2036">
        <f>D105/D109</f>
        <v>9.1091463243093834E-2</v>
      </c>
      <c r="L105" s="2658"/>
      <c r="M105" s="2658"/>
      <c r="N105" s="3"/>
      <c r="O105" s="3"/>
      <c r="P105" s="3"/>
      <c r="Q105" s="3"/>
      <c r="R105" s="3"/>
      <c r="S105" s="3"/>
      <c r="T105" s="3"/>
      <c r="U105" s="3"/>
      <c r="V105" s="2037"/>
      <c r="W105" s="25"/>
      <c r="X105" s="25"/>
      <c r="Y105" s="25"/>
      <c r="Z105" s="25"/>
      <c r="AA105" s="1672"/>
      <c r="AB105" s="1672"/>
      <c r="AC105" s="68"/>
      <c r="AD105" s="75"/>
      <c r="AE105" s="75"/>
      <c r="AF105" s="75"/>
      <c r="AG105" s="75"/>
      <c r="AH105" s="75"/>
      <c r="AJ105" s="75"/>
      <c r="AK105" s="75"/>
      <c r="AL105" s="75"/>
      <c r="AM105" s="75"/>
      <c r="AN105" s="75"/>
      <c r="AO105" s="75"/>
      <c r="AP105" s="75"/>
      <c r="AQ105" s="75"/>
      <c r="AR105" s="75"/>
      <c r="AS105" s="75"/>
      <c r="AT105" s="75"/>
      <c r="AU105" s="75"/>
      <c r="AV105" s="75"/>
      <c r="AW105" s="75"/>
      <c r="AX105" s="75"/>
      <c r="AZ105" s="363"/>
      <c r="BA105" s="363"/>
    </row>
    <row r="106" spans="1:56">
      <c r="B106" s="2659" t="s">
        <v>52</v>
      </c>
      <c r="C106" s="2660"/>
      <c r="D106" s="2035">
        <f t="shared" si="118"/>
        <v>1787.119651422654</v>
      </c>
      <c r="E106" s="529">
        <f>AQ101</f>
        <v>48.5</v>
      </c>
      <c r="F106" s="529">
        <f t="shared" ref="F106:H106" si="120">AR101</f>
        <v>665.96356407807116</v>
      </c>
      <c r="G106" s="529">
        <f t="shared" si="120"/>
        <v>644.43379413340824</v>
      </c>
      <c r="H106" s="529">
        <f t="shared" si="120"/>
        <v>428.22229321117453</v>
      </c>
      <c r="I106" s="72" t="str">
        <f t="shared" si="117"/>
        <v>Correct</v>
      </c>
      <c r="K106" s="2036">
        <f>D106/D109</f>
        <v>0.10842921890033522</v>
      </c>
      <c r="L106" s="2658"/>
      <c r="M106" s="2658"/>
      <c r="N106" s="3"/>
      <c r="O106" s="3"/>
      <c r="P106" s="3"/>
      <c r="Q106" s="3"/>
      <c r="R106" s="3"/>
      <c r="S106" s="3"/>
      <c r="T106" s="37"/>
      <c r="U106" s="37"/>
      <c r="V106" s="2038"/>
      <c r="W106" s="25"/>
      <c r="X106" s="25"/>
      <c r="Y106" s="25"/>
      <c r="Z106" s="25"/>
      <c r="AA106" s="1672"/>
      <c r="AB106" s="1672"/>
      <c r="AC106" s="68"/>
      <c r="AD106" s="75"/>
      <c r="AE106" s="75"/>
      <c r="AF106" s="75"/>
      <c r="AG106" s="75"/>
      <c r="AH106" s="75"/>
      <c r="AJ106" s="75"/>
      <c r="AK106" s="75"/>
      <c r="AL106" s="75"/>
      <c r="AM106" s="75"/>
      <c r="AN106" s="75"/>
      <c r="AO106" s="75"/>
      <c r="AP106" s="75"/>
      <c r="AQ106" s="75"/>
      <c r="AR106" s="75"/>
      <c r="AS106" s="75"/>
      <c r="AT106" s="75"/>
      <c r="AU106" s="75"/>
      <c r="AV106" s="75"/>
      <c r="AW106" s="75"/>
      <c r="AX106" s="75"/>
      <c r="AZ106" s="363"/>
      <c r="BA106" s="363"/>
    </row>
    <row r="107" spans="1:56">
      <c r="B107" s="2659" t="s">
        <v>25</v>
      </c>
      <c r="C107" s="2660"/>
      <c r="D107" s="2035">
        <f>SUM(E107:H107)</f>
        <v>48.239999999999995</v>
      </c>
      <c r="E107" s="529">
        <f>AU101</f>
        <v>12.059999999999999</v>
      </c>
      <c r="F107" s="529">
        <f t="shared" ref="F107:H107" si="121">AV101</f>
        <v>12.059999999999999</v>
      </c>
      <c r="G107" s="529">
        <f t="shared" si="121"/>
        <v>12.059999999999999</v>
      </c>
      <c r="H107" s="529">
        <f t="shared" si="121"/>
        <v>12.059999999999999</v>
      </c>
      <c r="I107" s="72" t="str">
        <f t="shared" si="117"/>
        <v>Correct</v>
      </c>
      <c r="K107" s="2036">
        <f>D107/D109</f>
        <v>2.9268468485522388E-3</v>
      </c>
      <c r="L107" s="2658"/>
      <c r="M107" s="2658"/>
      <c r="N107" s="3"/>
      <c r="O107" s="3"/>
      <c r="P107" s="3"/>
      <c r="Q107" s="3"/>
      <c r="R107" s="3"/>
      <c r="S107" s="3"/>
      <c r="T107" s="3"/>
      <c r="U107" s="3"/>
      <c r="W107" s="25"/>
      <c r="X107" s="25"/>
      <c r="Y107" s="25"/>
      <c r="Z107" s="25"/>
      <c r="AA107" s="1672"/>
      <c r="AB107" s="1672"/>
      <c r="AC107" s="68"/>
      <c r="AD107" s="75"/>
      <c r="AE107" s="75"/>
      <c r="AF107" s="75"/>
      <c r="AG107" s="75"/>
      <c r="AH107" s="75"/>
      <c r="AJ107" s="75"/>
      <c r="AK107" s="75"/>
      <c r="AL107" s="75"/>
      <c r="AM107" s="75"/>
      <c r="AN107" s="75"/>
      <c r="AO107" s="75"/>
      <c r="AP107" s="75"/>
      <c r="AQ107" s="75"/>
      <c r="AR107" s="75"/>
      <c r="AS107" s="75"/>
      <c r="AT107" s="75"/>
      <c r="AU107" s="75"/>
      <c r="AV107" s="75"/>
      <c r="AW107" s="75"/>
      <c r="AX107" s="75"/>
      <c r="AZ107" s="363"/>
      <c r="BA107" s="363"/>
    </row>
    <row r="108" spans="1:56">
      <c r="B108" s="1676"/>
      <c r="C108" s="1677" t="s">
        <v>40</v>
      </c>
      <c r="D108" s="529">
        <f t="shared" si="118"/>
        <v>0</v>
      </c>
      <c r="E108" s="529"/>
      <c r="F108" s="529"/>
      <c r="G108" s="529">
        <f>$BA$101</f>
        <v>0</v>
      </c>
      <c r="H108" s="529">
        <f>$BB$101</f>
        <v>0</v>
      </c>
      <c r="I108" s="72" t="str">
        <f t="shared" si="117"/>
        <v>Correct</v>
      </c>
      <c r="K108" s="2036">
        <f>D108/D109</f>
        <v>0</v>
      </c>
      <c r="L108" s="2655"/>
      <c r="M108" s="2655"/>
      <c r="N108" s="3"/>
      <c r="O108" s="3"/>
      <c r="P108" s="3"/>
      <c r="Q108" s="3"/>
      <c r="R108" s="3"/>
      <c r="S108" s="3"/>
      <c r="T108" s="3"/>
      <c r="U108" s="3"/>
      <c r="W108" s="25"/>
      <c r="X108" s="25"/>
      <c r="Y108" s="25"/>
      <c r="Z108" s="25"/>
      <c r="AA108" s="1672"/>
      <c r="AB108" s="1672"/>
      <c r="AC108" s="68"/>
      <c r="AD108" s="75"/>
      <c r="AE108" s="75"/>
      <c r="AF108" s="75"/>
      <c r="AG108" s="75"/>
      <c r="AH108" s="75"/>
      <c r="AJ108" s="75"/>
      <c r="AK108" s="75"/>
      <c r="AL108" s="75"/>
      <c r="AM108" s="75"/>
      <c r="AN108" s="75"/>
      <c r="AO108" s="75"/>
      <c r="AP108" s="75"/>
      <c r="AQ108" s="75"/>
      <c r="AR108" s="75"/>
      <c r="AS108" s="75"/>
      <c r="AT108" s="75"/>
      <c r="AU108" s="75"/>
      <c r="AV108" s="75"/>
      <c r="AW108" s="75"/>
      <c r="AX108" s="75"/>
      <c r="AZ108" s="363"/>
      <c r="BA108" s="363"/>
    </row>
    <row r="109" spans="1:56" ht="13.5">
      <c r="A109" s="1668"/>
      <c r="B109" s="1678"/>
      <c r="C109" s="1679" t="s">
        <v>119</v>
      </c>
      <c r="D109" s="1680">
        <f>SUM(D104:D108)</f>
        <v>16481.901000000002</v>
      </c>
      <c r="E109" s="1680">
        <f>SUM(E104:E108)</f>
        <v>76.550000000000011</v>
      </c>
      <c r="F109" s="1680">
        <f t="shared" ref="F109:H109" si="122">SUM(F104:F108)</f>
        <v>6527.0034999999998</v>
      </c>
      <c r="G109" s="1680">
        <f t="shared" si="122"/>
        <v>6119.3964999999989</v>
      </c>
      <c r="H109" s="1680">
        <f t="shared" si="122"/>
        <v>3758.951</v>
      </c>
      <c r="I109" s="72" t="str">
        <f>IF(D109=SUM(E109:H109),"Correct","Incorrect")</f>
        <v>Correct</v>
      </c>
      <c r="J109" s="363">
        <f>D109-V101</f>
        <v>0</v>
      </c>
      <c r="K109" s="37">
        <f>SUM(K104:K108)</f>
        <v>0.99999999999999978</v>
      </c>
      <c r="L109" s="2656"/>
      <c r="M109" s="2656"/>
      <c r="N109" s="3"/>
      <c r="O109" s="3"/>
      <c r="P109" s="3"/>
      <c r="Q109" s="3"/>
      <c r="R109" s="1962"/>
      <c r="S109" s="258"/>
      <c r="T109" s="3"/>
      <c r="U109" s="3"/>
      <c r="W109" s="25"/>
      <c r="X109" s="25"/>
      <c r="Y109" s="25"/>
      <c r="Z109" s="25"/>
      <c r="AA109" s="1672"/>
      <c r="AB109" s="1672"/>
      <c r="AC109" s="1301"/>
      <c r="AD109" s="77">
        <f>D109-AY101</f>
        <v>0</v>
      </c>
      <c r="AE109" s="77"/>
      <c r="AF109" s="77"/>
      <c r="AG109" s="77"/>
      <c r="AH109" s="77"/>
      <c r="AJ109" s="75"/>
      <c r="AK109" s="75"/>
      <c r="AL109" s="75"/>
      <c r="AM109" s="75"/>
      <c r="AN109" s="75"/>
      <c r="AO109" s="75"/>
      <c r="AP109" s="75"/>
      <c r="AQ109" s="75"/>
      <c r="AR109" s="75"/>
      <c r="AS109" s="75"/>
      <c r="AT109" s="75"/>
      <c r="AU109" s="75"/>
      <c r="AV109" s="75"/>
      <c r="AW109" s="75"/>
      <c r="AX109" s="75"/>
    </row>
    <row r="110" spans="1:56">
      <c r="A110" s="1681"/>
      <c r="B110" s="3"/>
      <c r="C110" s="1301"/>
      <c r="D110" s="77"/>
      <c r="E110" s="77"/>
      <c r="F110" s="77"/>
      <c r="G110" s="77"/>
      <c r="H110" s="77"/>
      <c r="J110" s="363"/>
      <c r="M110" s="3"/>
      <c r="P110" s="3"/>
      <c r="Q110" s="3"/>
      <c r="R110" s="1962"/>
      <c r="S110" s="258"/>
      <c r="T110" s="3"/>
      <c r="U110" s="3"/>
      <c r="W110" s="25"/>
      <c r="X110" s="25"/>
      <c r="Y110" s="25"/>
      <c r="Z110" s="25"/>
      <c r="AA110" s="1672"/>
      <c r="AB110" s="1672"/>
      <c r="AC110" s="1301"/>
      <c r="AD110" s="77"/>
      <c r="AE110" s="77"/>
      <c r="AF110" s="77"/>
      <c r="AG110" s="77"/>
      <c r="AH110" s="77"/>
      <c r="AJ110" s="75"/>
      <c r="AK110" s="75"/>
      <c r="AL110" s="75"/>
      <c r="AM110" s="75"/>
      <c r="AN110" s="75"/>
      <c r="AO110" s="75"/>
      <c r="AP110" s="75"/>
      <c r="AQ110" s="75"/>
      <c r="AR110" s="75"/>
      <c r="AS110" s="75"/>
      <c r="AT110" s="75"/>
      <c r="AU110" s="75"/>
      <c r="AV110" s="75"/>
      <c r="AW110" s="75"/>
      <c r="AX110" s="75"/>
    </row>
    <row r="111" spans="1:56" ht="15.75">
      <c r="B111" s="2"/>
      <c r="C111" s="1682" t="s">
        <v>159</v>
      </c>
      <c r="E111" s="1683"/>
      <c r="F111" s="1683"/>
      <c r="G111" s="1683"/>
      <c r="H111" s="1683"/>
      <c r="K111" s="2657"/>
      <c r="L111" s="2657"/>
      <c r="M111" s="3"/>
      <c r="N111" s="3"/>
      <c r="O111" s="3"/>
      <c r="P111" s="258"/>
      <c r="Q111" s="3"/>
      <c r="R111" s="1962"/>
      <c r="S111" s="258"/>
      <c r="T111" s="3"/>
      <c r="U111" s="3"/>
      <c r="W111" s="25"/>
      <c r="X111" s="25"/>
      <c r="Y111" s="25"/>
      <c r="Z111" s="25"/>
      <c r="AA111" s="1672"/>
      <c r="AB111" s="1672"/>
      <c r="AC111" s="71"/>
      <c r="AD111" s="72"/>
      <c r="AE111" s="554"/>
      <c r="AF111" s="554"/>
      <c r="AG111" s="554"/>
      <c r="AH111" s="396"/>
      <c r="AJ111" s="77"/>
      <c r="AK111" s="77"/>
      <c r="AL111" s="77"/>
      <c r="AM111" s="77"/>
      <c r="AN111" s="77"/>
      <c r="AO111" s="77"/>
      <c r="AP111" s="77"/>
      <c r="AQ111" s="77"/>
      <c r="AR111" s="77"/>
      <c r="AS111" s="77"/>
      <c r="AT111" s="77"/>
      <c r="AU111" s="77"/>
      <c r="AV111" s="77"/>
      <c r="AW111" s="77"/>
      <c r="AX111" s="77"/>
    </row>
    <row r="112" spans="1:56">
      <c r="B112" s="308"/>
      <c r="C112" s="1684" t="s">
        <v>1020</v>
      </c>
      <c r="D112" s="1685" t="s">
        <v>6</v>
      </c>
      <c r="E112" s="1685" t="s">
        <v>7</v>
      </c>
      <c r="F112" s="1685" t="s">
        <v>8</v>
      </c>
      <c r="G112" s="1685" t="s">
        <v>9</v>
      </c>
      <c r="H112" s="1685" t="s">
        <v>10</v>
      </c>
      <c r="L112" s="3"/>
      <c r="M112" s="3"/>
      <c r="N112" s="2039"/>
      <c r="O112" s="3"/>
      <c r="R112" s="1962"/>
      <c r="S112" s="258"/>
      <c r="AA112" s="4"/>
      <c r="AB112" s="4"/>
    </row>
    <row r="113" spans="1:70">
      <c r="B113" s="308"/>
      <c r="C113" s="1686" t="s">
        <v>22</v>
      </c>
      <c r="D113" s="1687">
        <f>SUMIFS(D$121:D$129,$B$121:$B$129,$C113)</f>
        <v>0</v>
      </c>
      <c r="E113" s="1687">
        <f>SUMIFS(E$121:E$129,$B$121:$B$129,$C113)</f>
        <v>6449.9054999999998</v>
      </c>
      <c r="F113" s="1687">
        <f>SUMIFS(F$121:F$129,$B$121:$B$129,$C113)</f>
        <v>6034.7155000000002</v>
      </c>
      <c r="G113" s="1687">
        <f>SUMIFS(G$121:G$129,$B$121:$B$129,$C113)</f>
        <v>3687.58</v>
      </c>
      <c r="H113" s="2040">
        <f>SUMIFS(H$121:H$129,$B$121:$B$129,$C113)</f>
        <v>16172.201000000001</v>
      </c>
      <c r="K113" s="2658"/>
      <c r="L113" s="2658"/>
      <c r="AA113" s="4"/>
      <c r="AB113" s="4"/>
    </row>
    <row r="114" spans="1:70">
      <c r="B114" s="308"/>
      <c r="C114" s="1686" t="s">
        <v>42</v>
      </c>
      <c r="D114" s="1687">
        <f t="shared" ref="D114:G116" si="123">SUMIFS(D$121:D$129,$B$121:$B$129,$C114)</f>
        <v>12.059999999999999</v>
      </c>
      <c r="E114" s="1687">
        <f t="shared" si="123"/>
        <v>12.059999999999999</v>
      </c>
      <c r="F114" s="1687">
        <f t="shared" si="123"/>
        <v>12.059999999999999</v>
      </c>
      <c r="G114" s="1687">
        <f>SUMIFS(G$121:G$129,$B$121:$B$129,$C114)</f>
        <v>12.059999999999999</v>
      </c>
      <c r="H114" s="2040">
        <f t="shared" ref="H114:H115" si="124">SUMIFS(H$122:H$129,$B$122:$B$129,$C114)</f>
        <v>48.239999999999995</v>
      </c>
    </row>
    <row r="115" spans="1:70">
      <c r="B115" s="308"/>
      <c r="C115" s="1686" t="s">
        <v>114</v>
      </c>
      <c r="D115" s="1687">
        <f t="shared" si="123"/>
        <v>15.99</v>
      </c>
      <c r="E115" s="1687">
        <f t="shared" si="123"/>
        <v>15.99</v>
      </c>
      <c r="F115" s="1687">
        <f t="shared" si="123"/>
        <v>15.99</v>
      </c>
      <c r="G115" s="1687">
        <f t="shared" si="123"/>
        <v>15.99</v>
      </c>
      <c r="H115" s="2040">
        <f t="shared" si="124"/>
        <v>63.96</v>
      </c>
    </row>
    <row r="116" spans="1:70">
      <c r="B116" s="308"/>
      <c r="C116" s="1686" t="s">
        <v>41</v>
      </c>
      <c r="D116" s="1687">
        <f t="shared" si="123"/>
        <v>48.5</v>
      </c>
      <c r="E116" s="1687">
        <f t="shared" si="123"/>
        <v>49.048000000000002</v>
      </c>
      <c r="F116" s="1687">
        <f t="shared" si="123"/>
        <v>56.631</v>
      </c>
      <c r="G116" s="1687">
        <f>SUMIFS(G$121:G$129,$B$121:$B$129,$C116)</f>
        <v>43.320999999999998</v>
      </c>
      <c r="H116" s="2040">
        <f>SUMIFS(H$122:H$129,$B$122:$B$129,$C116)</f>
        <v>197.5</v>
      </c>
      <c r="I116" s="308" t="s">
        <v>1021</v>
      </c>
      <c r="K116" s="363"/>
      <c r="L116" s="2041"/>
      <c r="AE116" s="260"/>
      <c r="AF116" s="260"/>
      <c r="AG116" s="260"/>
      <c r="AH116" s="260"/>
    </row>
    <row r="117" spans="1:70">
      <c r="B117" s="308"/>
      <c r="C117" s="1688" t="s">
        <v>10</v>
      </c>
      <c r="D117" s="1689">
        <f>SUM(D113:D116)</f>
        <v>76.55</v>
      </c>
      <c r="E117" s="1689">
        <f>SUM(E113:E116)</f>
        <v>6527.0034999999998</v>
      </c>
      <c r="F117" s="1689">
        <f>SUM(F113:F116)</f>
        <v>6119.3965000000007</v>
      </c>
      <c r="G117" s="1689">
        <f>SUM(G113:G116)</f>
        <v>3758.9509999999996</v>
      </c>
      <c r="H117" s="1689">
        <f>SUM(H113:H116)</f>
        <v>16481.900999999998</v>
      </c>
      <c r="I117" s="363"/>
      <c r="K117" s="363"/>
      <c r="AB117" s="259"/>
      <c r="AD117" s="261"/>
      <c r="AE117" s="260"/>
      <c r="AF117" s="260"/>
      <c r="AG117" s="260"/>
      <c r="AH117" s="260"/>
    </row>
    <row r="118" spans="1:70">
      <c r="A118" s="1681"/>
      <c r="B118" s="308"/>
      <c r="C118" s="308"/>
      <c r="D118" s="258"/>
      <c r="E118" s="258"/>
      <c r="F118" s="258"/>
      <c r="G118" s="258"/>
      <c r="H118" s="258"/>
      <c r="AB118" s="259"/>
    </row>
    <row r="119" spans="1:70" ht="15.75">
      <c r="B119" s="2"/>
      <c r="C119" s="1690" t="s">
        <v>1022</v>
      </c>
      <c r="D119" s="1691"/>
      <c r="E119" s="245"/>
      <c r="F119" s="5"/>
      <c r="G119" s="5"/>
      <c r="H119" s="5"/>
    </row>
    <row r="120" spans="1:70">
      <c r="B120" s="308"/>
      <c r="C120" s="1686"/>
      <c r="D120" s="1692" t="s">
        <v>6</v>
      </c>
      <c r="E120" s="1692" t="s">
        <v>7</v>
      </c>
      <c r="F120" s="1692" t="s">
        <v>8</v>
      </c>
      <c r="G120" s="1692" t="s">
        <v>9</v>
      </c>
      <c r="H120" s="1692" t="s">
        <v>10</v>
      </c>
    </row>
    <row r="121" spans="1:70">
      <c r="B121" s="308" t="s">
        <v>22</v>
      </c>
      <c r="C121" s="1686" t="s">
        <v>232</v>
      </c>
      <c r="D121" s="1693">
        <f>SUMIFS(R$9:R$101,$B$9:$B$101,$C121)</f>
        <v>0</v>
      </c>
      <c r="E121" s="1693">
        <f t="shared" ref="E121:G129" si="125">SUMIFS(S$9:S$104,$B$9:$B$104,$C121)</f>
        <v>2364.0554999999999</v>
      </c>
      <c r="F121" s="1693">
        <f t="shared" si="125"/>
        <v>1808.5554999999999</v>
      </c>
      <c r="G121" s="1693">
        <f t="shared" si="125"/>
        <v>126.5</v>
      </c>
      <c r="H121" s="2042">
        <f t="shared" ref="H121:H129" si="126">SUM(D121:G121)</f>
        <v>4299.1109999999999</v>
      </c>
      <c r="I121" s="2"/>
    </row>
    <row r="122" spans="1:70">
      <c r="B122" s="308" t="s">
        <v>22</v>
      </c>
      <c r="C122" s="1686" t="s">
        <v>141</v>
      </c>
      <c r="D122" s="1693">
        <f t="shared" ref="D122:D129" si="127">SUMIFS(R$9:R$104,$B$9:$B$104,$C122)</f>
        <v>0</v>
      </c>
      <c r="E122" s="1693">
        <f t="shared" si="125"/>
        <v>0</v>
      </c>
      <c r="F122" s="1693">
        <f t="shared" si="125"/>
        <v>0</v>
      </c>
      <c r="G122" s="1693">
        <f t="shared" si="125"/>
        <v>0</v>
      </c>
      <c r="H122" s="1693">
        <f t="shared" si="126"/>
        <v>0</v>
      </c>
      <c r="I122" s="2"/>
    </row>
    <row r="123" spans="1:70">
      <c r="B123" s="308" t="s">
        <v>22</v>
      </c>
      <c r="C123" s="1686" t="s">
        <v>142</v>
      </c>
      <c r="D123" s="1693">
        <f t="shared" si="127"/>
        <v>0</v>
      </c>
      <c r="E123" s="1693">
        <f t="shared" si="125"/>
        <v>1353.75</v>
      </c>
      <c r="F123" s="1693">
        <f t="shared" si="125"/>
        <v>1624.5</v>
      </c>
      <c r="G123" s="1693">
        <f t="shared" si="125"/>
        <v>1957.27</v>
      </c>
      <c r="H123" s="2042">
        <f t="shared" si="126"/>
        <v>4935.5200000000004</v>
      </c>
      <c r="I123" s="2"/>
    </row>
    <row r="124" spans="1:70">
      <c r="B124" s="308" t="s">
        <v>22</v>
      </c>
      <c r="C124" s="1686" t="s">
        <v>144</v>
      </c>
      <c r="D124" s="1693">
        <f t="shared" si="127"/>
        <v>0</v>
      </c>
      <c r="E124" s="1693">
        <f t="shared" si="125"/>
        <v>546.40000000000009</v>
      </c>
      <c r="F124" s="1693">
        <f t="shared" si="125"/>
        <v>1335.4600000000003</v>
      </c>
      <c r="G124" s="1693">
        <f t="shared" si="125"/>
        <v>1084.81</v>
      </c>
      <c r="H124" s="2042">
        <f t="shared" si="126"/>
        <v>2966.67</v>
      </c>
      <c r="I124" s="2"/>
    </row>
    <row r="125" spans="1:70">
      <c r="B125" s="308" t="s">
        <v>22</v>
      </c>
      <c r="C125" s="1686" t="s">
        <v>145</v>
      </c>
      <c r="D125" s="1693">
        <f t="shared" si="127"/>
        <v>0</v>
      </c>
      <c r="E125" s="1693">
        <f t="shared" si="125"/>
        <v>1672.7</v>
      </c>
      <c r="F125" s="1693">
        <f t="shared" si="125"/>
        <v>228.2</v>
      </c>
      <c r="G125" s="1693">
        <f t="shared" si="125"/>
        <v>0</v>
      </c>
      <c r="H125" s="2042">
        <f t="shared" si="126"/>
        <v>1900.9</v>
      </c>
      <c r="I125" s="2"/>
    </row>
    <row r="126" spans="1:70" s="5" customFormat="1">
      <c r="B126" s="308" t="s">
        <v>22</v>
      </c>
      <c r="C126" s="1686" t="s">
        <v>143</v>
      </c>
      <c r="D126" s="1693">
        <f t="shared" si="127"/>
        <v>0</v>
      </c>
      <c r="E126" s="1693">
        <f t="shared" si="125"/>
        <v>513</v>
      </c>
      <c r="F126" s="1693">
        <f t="shared" si="125"/>
        <v>1038</v>
      </c>
      <c r="G126" s="1693">
        <f t="shared" si="125"/>
        <v>519</v>
      </c>
      <c r="H126" s="2042">
        <f t="shared" si="126"/>
        <v>2070</v>
      </c>
      <c r="I126" s="2043"/>
      <c r="J126" s="308"/>
      <c r="K126" s="363"/>
      <c r="L126" s="308"/>
      <c r="M126" s="308"/>
      <c r="N126" s="308"/>
      <c r="O126" s="308"/>
      <c r="P126" s="308"/>
      <c r="Q126" s="308"/>
      <c r="R126" s="308"/>
      <c r="AC126" s="2"/>
      <c r="AD126" s="23"/>
      <c r="AE126" s="24"/>
      <c r="AF126" s="24"/>
      <c r="AG126" s="24"/>
      <c r="AH126" s="24"/>
      <c r="AI126" s="24"/>
      <c r="AJ126" s="24"/>
      <c r="AK126" s="24"/>
      <c r="AL126" s="24"/>
      <c r="AM126" s="24"/>
      <c r="AN126" s="24"/>
      <c r="AO126" s="24"/>
      <c r="AP126" s="24"/>
      <c r="AQ126" s="24"/>
      <c r="AR126" s="24"/>
      <c r="AS126" s="24"/>
      <c r="AT126" s="24"/>
      <c r="AU126" s="24"/>
      <c r="AV126" s="24"/>
      <c r="AW126" s="24"/>
      <c r="AX126" s="24"/>
      <c r="AY126" s="4"/>
      <c r="AZ126" s="308"/>
      <c r="BA126" s="308"/>
      <c r="BB126" s="308"/>
      <c r="BC126" s="308"/>
      <c r="BD126" s="308"/>
      <c r="BE126" s="308"/>
      <c r="BF126" s="2"/>
      <c r="BG126" s="2"/>
      <c r="BH126" s="2"/>
      <c r="BI126" s="2"/>
      <c r="BJ126" s="2"/>
      <c r="BK126" s="2"/>
      <c r="BL126" s="2"/>
      <c r="BM126" s="2"/>
      <c r="BN126" s="2"/>
      <c r="BO126" s="2"/>
      <c r="BP126" s="2"/>
      <c r="BQ126" s="2"/>
      <c r="BR126" s="2"/>
    </row>
    <row r="127" spans="1:70" s="5" customFormat="1">
      <c r="B127" s="308" t="s">
        <v>42</v>
      </c>
      <c r="C127" s="1686" t="s">
        <v>42</v>
      </c>
      <c r="D127" s="1693">
        <f t="shared" si="127"/>
        <v>12.059999999999999</v>
      </c>
      <c r="E127" s="1693">
        <f t="shared" si="125"/>
        <v>12.059999999999999</v>
      </c>
      <c r="F127" s="1693">
        <f t="shared" si="125"/>
        <v>12.059999999999999</v>
      </c>
      <c r="G127" s="1693">
        <f t="shared" si="125"/>
        <v>12.059999999999999</v>
      </c>
      <c r="H127" s="1693">
        <f t="shared" si="126"/>
        <v>48.239999999999995</v>
      </c>
      <c r="J127" s="308"/>
      <c r="K127" s="308"/>
      <c r="L127" s="308"/>
      <c r="M127" s="308"/>
      <c r="N127" s="308"/>
      <c r="O127" s="308"/>
      <c r="P127" s="308"/>
      <c r="Q127" s="308"/>
      <c r="R127" s="308"/>
      <c r="AC127" s="2"/>
      <c r="AD127" s="23"/>
      <c r="AE127" s="24"/>
      <c r="AF127" s="24"/>
      <c r="AG127" s="24"/>
      <c r="AH127" s="24"/>
      <c r="AI127" s="24"/>
      <c r="AJ127" s="24"/>
      <c r="AK127" s="24"/>
      <c r="AL127" s="24"/>
      <c r="AM127" s="24"/>
      <c r="AN127" s="24"/>
      <c r="AO127" s="24"/>
      <c r="AP127" s="24"/>
      <c r="AQ127" s="24"/>
      <c r="AR127" s="24"/>
      <c r="AS127" s="24"/>
      <c r="AT127" s="24"/>
      <c r="AU127" s="24"/>
      <c r="AV127" s="24"/>
      <c r="AW127" s="24"/>
      <c r="AX127" s="24"/>
      <c r="AY127" s="4"/>
      <c r="AZ127" s="308"/>
      <c r="BA127" s="308"/>
      <c r="BB127" s="308"/>
      <c r="BC127" s="308"/>
      <c r="BD127" s="308"/>
      <c r="BE127" s="308"/>
      <c r="BF127" s="2"/>
      <c r="BG127" s="2"/>
      <c r="BH127" s="2"/>
      <c r="BI127" s="2"/>
      <c r="BJ127" s="2"/>
      <c r="BK127" s="2"/>
      <c r="BL127" s="2"/>
      <c r="BM127" s="2"/>
      <c r="BN127" s="2"/>
      <c r="BO127" s="2"/>
      <c r="BP127" s="2"/>
      <c r="BQ127" s="2"/>
      <c r="BR127" s="2"/>
    </row>
    <row r="128" spans="1:70" s="5" customFormat="1">
      <c r="B128" s="308" t="s">
        <v>114</v>
      </c>
      <c r="C128" s="1686" t="s">
        <v>114</v>
      </c>
      <c r="D128" s="1693">
        <f t="shared" si="127"/>
        <v>15.99</v>
      </c>
      <c r="E128" s="1693">
        <f t="shared" si="125"/>
        <v>15.99</v>
      </c>
      <c r="F128" s="1693">
        <f t="shared" si="125"/>
        <v>15.99</v>
      </c>
      <c r="G128" s="1693">
        <f t="shared" si="125"/>
        <v>15.99</v>
      </c>
      <c r="H128" s="1693">
        <f t="shared" si="126"/>
        <v>63.96</v>
      </c>
      <c r="J128" s="308"/>
      <c r="K128" s="308"/>
      <c r="L128" s="308"/>
      <c r="M128" s="308"/>
      <c r="N128" s="308"/>
      <c r="O128" s="308"/>
      <c r="P128" s="308"/>
      <c r="Q128" s="308"/>
      <c r="R128" s="308"/>
      <c r="AC128" s="2"/>
      <c r="AD128" s="23"/>
      <c r="AE128" s="24"/>
      <c r="AF128" s="24"/>
      <c r="AG128" s="24"/>
      <c r="AH128" s="24"/>
      <c r="AI128" s="24"/>
      <c r="AJ128" s="24"/>
      <c r="AK128" s="24"/>
      <c r="AL128" s="24"/>
      <c r="AM128" s="24"/>
      <c r="AN128" s="24"/>
      <c r="AO128" s="24"/>
      <c r="AP128" s="24"/>
      <c r="AQ128" s="24"/>
      <c r="AR128" s="24"/>
      <c r="AS128" s="24"/>
      <c r="AT128" s="24"/>
      <c r="AU128" s="24"/>
      <c r="AV128" s="24"/>
      <c r="AW128" s="24"/>
      <c r="AX128" s="24"/>
      <c r="AY128" s="4"/>
      <c r="AZ128" s="308"/>
      <c r="BA128" s="308"/>
      <c r="BB128" s="308"/>
      <c r="BC128" s="308"/>
      <c r="BD128" s="308"/>
      <c r="BE128" s="308"/>
      <c r="BF128" s="2"/>
      <c r="BG128" s="2"/>
      <c r="BH128" s="2"/>
      <c r="BI128" s="2"/>
      <c r="BJ128" s="2"/>
      <c r="BK128" s="2"/>
      <c r="BL128" s="2"/>
      <c r="BM128" s="2"/>
      <c r="BN128" s="2"/>
      <c r="BO128" s="2"/>
      <c r="BP128" s="2"/>
      <c r="BQ128" s="2"/>
      <c r="BR128" s="2"/>
    </row>
    <row r="129" spans="2:70" s="5" customFormat="1">
      <c r="B129" s="308" t="s">
        <v>41</v>
      </c>
      <c r="C129" s="1686" t="s">
        <v>41</v>
      </c>
      <c r="D129" s="1693">
        <f t="shared" si="127"/>
        <v>48.5</v>
      </c>
      <c r="E129" s="1693">
        <f t="shared" si="125"/>
        <v>49.048000000000002</v>
      </c>
      <c r="F129" s="1693">
        <f t="shared" si="125"/>
        <v>56.631</v>
      </c>
      <c r="G129" s="1693">
        <f t="shared" si="125"/>
        <v>43.320999999999998</v>
      </c>
      <c r="H129" s="1693">
        <f t="shared" si="126"/>
        <v>197.5</v>
      </c>
      <c r="I129" s="363"/>
      <c r="J129" s="308"/>
      <c r="K129" s="2657"/>
      <c r="L129" s="2657"/>
      <c r="M129" s="308"/>
      <c r="N129" s="308"/>
      <c r="O129" s="308"/>
      <c r="P129" s="308"/>
      <c r="Q129" s="308"/>
      <c r="R129" s="308"/>
      <c r="AC129" s="2"/>
      <c r="AD129" s="23"/>
      <c r="AE129" s="24"/>
      <c r="AF129" s="24"/>
      <c r="AG129" s="24"/>
      <c r="AH129" s="24"/>
      <c r="AI129" s="24"/>
      <c r="AJ129" s="24"/>
      <c r="AK129" s="24"/>
      <c r="AL129" s="24"/>
      <c r="AM129" s="24"/>
      <c r="AN129" s="24"/>
      <c r="AO129" s="24"/>
      <c r="AP129" s="24"/>
      <c r="AQ129" s="24"/>
      <c r="AR129" s="24"/>
      <c r="AS129" s="24"/>
      <c r="AT129" s="24"/>
      <c r="AU129" s="24"/>
      <c r="AV129" s="24"/>
      <c r="AW129" s="24"/>
      <c r="AX129" s="24"/>
      <c r="AY129" s="4"/>
      <c r="AZ129" s="308"/>
      <c r="BA129" s="308"/>
      <c r="BB129" s="308"/>
      <c r="BC129" s="308"/>
      <c r="BD129" s="308"/>
      <c r="BE129" s="308"/>
      <c r="BF129" s="2"/>
      <c r="BG129" s="2"/>
      <c r="BH129" s="2"/>
      <c r="BI129" s="2"/>
      <c r="BJ129" s="2"/>
      <c r="BK129" s="2"/>
      <c r="BL129" s="2"/>
      <c r="BM129" s="2"/>
      <c r="BN129" s="2"/>
      <c r="BO129" s="2"/>
      <c r="BP129" s="2"/>
      <c r="BQ129" s="2"/>
      <c r="BR129" s="2"/>
    </row>
    <row r="130" spans="2:70" s="5" customFormat="1" ht="21.75" customHeight="1">
      <c r="B130" s="308"/>
      <c r="C130" s="1694" t="s">
        <v>10</v>
      </c>
      <c r="D130" s="1694">
        <f>SUM(D121:D129)</f>
        <v>76.55</v>
      </c>
      <c r="E130" s="1694">
        <f>SUM(E121:E129)</f>
        <v>6527.0034999999998</v>
      </c>
      <c r="F130" s="1694">
        <f>SUM(F121:F129)</f>
        <v>6119.3965000000007</v>
      </c>
      <c r="G130" s="1694">
        <f>SUM(G121:G129)</f>
        <v>3758.9509999999996</v>
      </c>
      <c r="H130" s="1694">
        <f>SUM(H121:H129)</f>
        <v>16481.900999999998</v>
      </c>
      <c r="I130" s="363"/>
      <c r="J130" s="308"/>
      <c r="K130" s="308"/>
      <c r="L130" s="2044"/>
      <c r="M130" s="308"/>
      <c r="N130" s="308"/>
      <c r="O130" s="308"/>
      <c r="P130" s="308"/>
      <c r="Q130" s="308"/>
      <c r="R130" s="308"/>
      <c r="AC130" s="2"/>
      <c r="AD130" s="23"/>
      <c r="AE130" s="24"/>
      <c r="AF130" s="24"/>
      <c r="AG130" s="24"/>
      <c r="AH130" s="24"/>
      <c r="AI130" s="24"/>
      <c r="AJ130" s="24"/>
      <c r="AK130" s="24"/>
      <c r="AL130" s="24"/>
      <c r="AM130" s="24"/>
      <c r="AN130" s="24"/>
      <c r="AO130" s="24"/>
      <c r="AP130" s="24"/>
      <c r="AQ130" s="24"/>
      <c r="AR130" s="24"/>
      <c r="AS130" s="24"/>
      <c r="AT130" s="24"/>
      <c r="AU130" s="24"/>
      <c r="AV130" s="24"/>
      <c r="AW130" s="24"/>
      <c r="AX130" s="24"/>
      <c r="AY130" s="4"/>
      <c r="AZ130" s="308"/>
      <c r="BA130" s="308"/>
      <c r="BB130" s="308"/>
      <c r="BC130" s="308"/>
      <c r="BD130" s="308"/>
      <c r="BE130" s="308"/>
      <c r="BF130" s="2"/>
      <c r="BG130" s="2"/>
      <c r="BH130" s="2"/>
      <c r="BI130" s="2"/>
      <c r="BJ130" s="2"/>
      <c r="BK130" s="2"/>
      <c r="BL130" s="2"/>
      <c r="BM130" s="2"/>
      <c r="BN130" s="2"/>
      <c r="BO130" s="2"/>
      <c r="BP130" s="2"/>
      <c r="BQ130" s="2"/>
      <c r="BR130" s="2"/>
    </row>
    <row r="131" spans="2:70">
      <c r="I131" s="2045"/>
      <c r="L131" s="363"/>
    </row>
    <row r="132" spans="2:70">
      <c r="I132" s="363"/>
    </row>
    <row r="133" spans="2:70">
      <c r="I133" s="363"/>
    </row>
    <row r="134" spans="2:70">
      <c r="I134" s="2041"/>
    </row>
    <row r="135" spans="2:70">
      <c r="I135" s="363"/>
    </row>
    <row r="136" spans="2:70">
      <c r="I136" s="363"/>
    </row>
    <row r="137" spans="2:70">
      <c r="I137" s="363">
        <f>I136-I135</f>
        <v>0</v>
      </c>
    </row>
    <row r="153" spans="15:20" ht="15">
      <c r="T153" s="2046"/>
    </row>
    <row r="154" spans="15:20" ht="15">
      <c r="O154" s="258"/>
      <c r="P154" s="258"/>
      <c r="T154" s="2046"/>
    </row>
    <row r="155" spans="15:20" ht="15">
      <c r="T155" s="2047"/>
    </row>
    <row r="156" spans="15:20">
      <c r="O156" s="258"/>
      <c r="P156" s="258"/>
    </row>
    <row r="157" spans="15:20">
      <c r="O157" s="258"/>
      <c r="P157" s="258"/>
    </row>
    <row r="158" spans="15:20">
      <c r="O158" s="258"/>
    </row>
  </sheetData>
  <autoFilter ref="BB1:BB130" xr:uid="{00000000-0009-0000-0000-000004000000}"/>
  <mergeCells count="23">
    <mergeCell ref="A5:A6"/>
    <mergeCell ref="B5:B7"/>
    <mergeCell ref="K5:K7"/>
    <mergeCell ref="AD5:AH5"/>
    <mergeCell ref="AI5:AL5"/>
    <mergeCell ref="AQ5:AT5"/>
    <mergeCell ref="AY5:AZ6"/>
    <mergeCell ref="D6:F6"/>
    <mergeCell ref="AI6:AL6"/>
    <mergeCell ref="B104:C104"/>
    <mergeCell ref="L104:M104"/>
    <mergeCell ref="AM5:AP5"/>
    <mergeCell ref="B105:C105"/>
    <mergeCell ref="L105:M105"/>
    <mergeCell ref="B106:C106"/>
    <mergeCell ref="L106:M106"/>
    <mergeCell ref="B107:C107"/>
    <mergeCell ref="L107:M107"/>
    <mergeCell ref="L108:M108"/>
    <mergeCell ref="L109:M109"/>
    <mergeCell ref="K111:L111"/>
    <mergeCell ref="K113:L113"/>
    <mergeCell ref="K129:L129"/>
  </mergeCells>
  <dataValidations count="2">
    <dataValidation type="list" allowBlank="1" showInputMessage="1" showErrorMessage="1" sqref="B45" xr:uid="{00000000-0002-0000-0400-000000000000}">
      <formula1>$G$38:$G$101</formula1>
    </dataValidation>
    <dataValidation type="list" allowBlank="1" showInputMessage="1" showErrorMessage="1" sqref="BA14:BA15 BA30 BA21:BA22 BA82:BA84 BA90:BA98 BA67:BA71" xr:uid="{00000000-0002-0000-0400-000001000000}">
      <formula1>$G$118:$G$135</formula1>
    </dataValidation>
  </dataValidations>
  <printOptions horizontalCentered="1"/>
  <pageMargins left="0.143700787" right="0.143700787" top="0.75" bottom="0" header="0.511811023622047" footer="0.511811023622047"/>
  <pageSetup paperSize="8" scale="75" orientation="landscape" r:id="rId1"/>
  <headerFooter scaleWithDoc="0" alignWithMargins="0">
    <oddHeader xml:space="preserve">&amp;L&amp;"Arial,Italic"&amp;12&amp;K002060TSSD-AF&amp;R&amp;"Calibri,Italic"&amp;12AWPB 2022 
Annex 4b&amp;10
</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errorTitle="Procurment code" error="Please select from list" xr:uid="{00000000-0002-0000-0400-000002000000}">
          <x14:formula1>
            <xm:f>'E:\SBK-CFAVC\DARA-2023\AWPB-2024\CS1-Team\[27_Oct_24_CFAVC_AWPB2024_FWUC_Updated.xlsx]Annex 2_Code'!#REF!</xm:f>
          </x14:formula1>
          <xm:sqref>C10:C101</xm:sqref>
        </x14:dataValidation>
        <x14:dataValidation type="list" allowBlank="1" showInputMessage="1" showErrorMessage="1" xr:uid="{00000000-0002-0000-0400-000003000000}">
          <x14:formula1>
            <xm:f>'E:\SBK-CFAVC\DARA-2023\AWPB-2024\CS1-Team\[27_Oct_24_CFAVC_AWPB2024_FWUC_Updated.xlsx]Annex 2_Code'!#REF!</xm:f>
          </x14:formula1>
          <xm:sqref>BB8:BB98 BA8:BA9 C9</xm:sqref>
        </x14:dataValidation>
        <x14:dataValidation type="list" allowBlank="1" showInputMessage="1" showErrorMessage="1" xr:uid="{00000000-0002-0000-0400-000005000000}">
          <x14:formula1>
            <xm:f>'C:\MAFF\Agribusiness\AWPB 2021\MOWRAM\[Final_CFAVC_AWPB2021_Accepted_format_by_MEF_MOWRAM_V2.xlsx]Annex 2'!#REF!</xm:f>
          </x14:formula1>
          <xm:sqref>BA23:BA29 BA85:BA89 BA31:BA66 BA72:BA81 BA16:BA20 BA10:BA13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pageSetUpPr fitToPage="1"/>
  </sheetPr>
  <dimension ref="A1:BK125"/>
  <sheetViews>
    <sheetView showGridLines="0" topLeftCell="C1" zoomScale="85" zoomScaleNormal="85" workbookViewId="0">
      <pane xSplit="10" ySplit="7" topLeftCell="S90" activePane="bottomRight" state="frozen"/>
      <selection activeCell="C1" sqref="C1"/>
      <selection pane="topRight" activeCell="K1" sqref="K1"/>
      <selection pane="bottomLeft" activeCell="C8" sqref="C8"/>
      <selection pane="bottomRight" activeCell="V99" sqref="V99"/>
    </sheetView>
  </sheetViews>
  <sheetFormatPr defaultColWidth="9" defaultRowHeight="12.75" outlineLevelCol="1"/>
  <cols>
    <col min="1" max="1" width="3.85546875" style="69" customWidth="1"/>
    <col min="2" max="2" width="7.140625" style="69" bestFit="1" customWidth="1"/>
    <col min="3" max="3" width="8.42578125" style="70" customWidth="1"/>
    <col min="4" max="4" width="5.42578125" style="62" customWidth="1"/>
    <col min="5" max="6" width="5" style="62" customWidth="1"/>
    <col min="7" max="7" width="62.42578125" style="62" customWidth="1"/>
    <col min="8" max="8" width="11" style="320" customWidth="1"/>
    <col min="9" max="10" width="12.85546875" style="320" customWidth="1" outlineLevel="1"/>
    <col min="11" max="11" width="15.7109375" style="320" customWidth="1"/>
    <col min="12" max="12" width="12.140625" style="320" customWidth="1"/>
    <col min="13" max="16" width="7.42578125" style="62" customWidth="1"/>
    <col min="17" max="17" width="10" style="62" customWidth="1"/>
    <col min="18" max="21" width="9.42578125" style="62" customWidth="1"/>
    <col min="22" max="22" width="13.42578125" style="62" customWidth="1"/>
    <col min="23" max="23" width="10.5703125" style="1320" bestFit="1" customWidth="1"/>
    <col min="24" max="24" width="9.42578125" style="336" bestFit="1" customWidth="1"/>
    <col min="25" max="25" width="10.140625" style="337" bestFit="1" customWidth="1"/>
    <col min="26" max="26" width="9.42578125" style="337" bestFit="1" customWidth="1"/>
    <col min="27" max="27" width="9.85546875" style="337" customWidth="1"/>
    <col min="28" max="31" width="9.85546875" style="62" customWidth="1"/>
    <col min="32" max="32" width="11" style="62" customWidth="1"/>
    <col min="33" max="36" width="8.7109375" style="62" customWidth="1"/>
    <col min="37" max="37" width="9.85546875" style="62" customWidth="1"/>
    <col min="38" max="41" width="8" style="62" customWidth="1"/>
    <col min="42" max="42" width="9.85546875" style="62" customWidth="1"/>
    <col min="43" max="46" width="8" style="62" customWidth="1"/>
    <col min="47" max="52" width="8.42578125" style="62" customWidth="1"/>
    <col min="53" max="53" width="11.7109375" style="62" customWidth="1"/>
    <col min="54" max="55" width="13.85546875" style="62" customWidth="1"/>
    <col min="56" max="56" width="14.85546875" style="62" customWidth="1"/>
    <col min="57" max="57" width="10.85546875" style="62" customWidth="1"/>
    <col min="58" max="58" width="3.42578125" style="62" customWidth="1"/>
    <col min="59" max="59" width="16" style="62" customWidth="1"/>
    <col min="60" max="60" width="22.85546875" style="62" customWidth="1"/>
    <col min="61" max="61" width="13" style="62" bestFit="1" customWidth="1"/>
    <col min="62" max="16384" width="9" style="62"/>
  </cols>
  <sheetData>
    <row r="1" spans="1:63" s="308" customFormat="1">
      <c r="A1" s="26"/>
      <c r="B1" s="22"/>
      <c r="C1" s="309"/>
      <c r="D1" s="53" t="s">
        <v>35</v>
      </c>
      <c r="E1" s="52"/>
      <c r="G1" s="52"/>
      <c r="H1" s="1009"/>
      <c r="I1" s="1009"/>
      <c r="J1" s="1009"/>
      <c r="K1" s="52"/>
      <c r="L1" s="52"/>
      <c r="M1" s="52"/>
      <c r="N1" s="52"/>
      <c r="O1" s="52"/>
      <c r="P1" s="52"/>
      <c r="Q1" s="52"/>
      <c r="R1" s="52" t="s">
        <v>12</v>
      </c>
      <c r="S1" s="52"/>
      <c r="T1" s="52"/>
      <c r="U1" s="52"/>
      <c r="V1" s="53"/>
      <c r="W1" s="325"/>
      <c r="X1" s="326"/>
      <c r="Y1" s="326"/>
      <c r="Z1" s="326"/>
      <c r="AA1" s="326"/>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row>
    <row r="2" spans="1:63" s="308" customFormat="1">
      <c r="A2" s="26"/>
      <c r="B2" s="22"/>
      <c r="C2" s="309"/>
      <c r="D2" s="2048" t="s">
        <v>1323</v>
      </c>
      <c r="E2" s="2049"/>
      <c r="F2" s="2050"/>
      <c r="G2" s="2049"/>
      <c r="I2" s="1009"/>
      <c r="J2" s="1009"/>
      <c r="K2" s="52"/>
      <c r="L2" s="52"/>
      <c r="M2" s="52"/>
      <c r="N2" s="52"/>
      <c r="O2" s="52"/>
      <c r="P2" s="52"/>
      <c r="Q2" s="52"/>
      <c r="R2" s="52"/>
      <c r="S2" s="52"/>
      <c r="T2" s="52"/>
      <c r="U2" s="52"/>
      <c r="V2" s="53"/>
      <c r="W2" s="325"/>
      <c r="X2" s="326"/>
      <c r="Y2" s="326"/>
      <c r="Z2" s="326"/>
      <c r="AA2" s="326"/>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row>
    <row r="3" spans="1:63" s="308" customFormat="1" ht="15.75">
      <c r="A3" s="26"/>
      <c r="B3" s="22"/>
      <c r="C3" s="309"/>
      <c r="D3" s="566" t="s">
        <v>58</v>
      </c>
      <c r="E3" s="52"/>
      <c r="G3" s="52"/>
      <c r="I3" s="1009"/>
      <c r="J3" s="1009"/>
      <c r="K3" s="52">
        <v>1000</v>
      </c>
      <c r="L3" s="52"/>
      <c r="M3" s="52"/>
      <c r="N3" s="52"/>
      <c r="O3" s="52"/>
      <c r="P3" s="52"/>
      <c r="R3" s="52"/>
      <c r="S3" s="52"/>
      <c r="T3" s="52"/>
      <c r="U3" s="52"/>
      <c r="V3" s="1646">
        <f>V71</f>
        <v>12942.30049931895</v>
      </c>
      <c r="W3" s="325"/>
      <c r="X3" s="326"/>
      <c r="Y3" s="326"/>
      <c r="Z3" s="326"/>
      <c r="AA3" s="326"/>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row>
    <row r="4" spans="1:63" s="308" customFormat="1" ht="6" customHeight="1">
      <c r="A4" s="26"/>
      <c r="B4" s="310"/>
      <c r="C4" s="311"/>
      <c r="D4" s="52"/>
      <c r="E4" s="52"/>
      <c r="F4" s="52"/>
      <c r="G4" s="52"/>
      <c r="H4" s="1009"/>
      <c r="I4" s="1009"/>
      <c r="J4" s="1009"/>
      <c r="K4" s="52"/>
      <c r="L4" s="52"/>
      <c r="M4" s="52"/>
      <c r="N4" s="52"/>
      <c r="O4" s="52"/>
      <c r="P4" s="52"/>
      <c r="Q4" s="52"/>
      <c r="R4" s="52"/>
      <c r="S4" s="52"/>
      <c r="T4" s="52"/>
      <c r="U4" s="52"/>
      <c r="V4" s="53"/>
      <c r="W4" s="325"/>
      <c r="X4" s="326"/>
      <c r="Y4" s="326"/>
      <c r="Z4" s="326"/>
      <c r="AA4" s="326"/>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row>
    <row r="5" spans="1:63" s="308" customFormat="1" ht="24" customHeight="1">
      <c r="A5" s="26"/>
      <c r="B5" s="2644" t="s">
        <v>0</v>
      </c>
      <c r="C5" s="2644" t="s">
        <v>313</v>
      </c>
      <c r="D5" s="2710" t="s">
        <v>712</v>
      </c>
      <c r="E5" s="2711"/>
      <c r="F5" s="2711"/>
      <c r="G5" s="222"/>
      <c r="H5" s="2714" t="s">
        <v>1</v>
      </c>
      <c r="I5" s="2644" t="s">
        <v>1324</v>
      </c>
      <c r="J5" s="2644" t="s">
        <v>1325</v>
      </c>
      <c r="K5" s="2644" t="s">
        <v>713</v>
      </c>
      <c r="L5" s="1928" t="s">
        <v>714</v>
      </c>
      <c r="M5" s="1011"/>
      <c r="N5" s="1012"/>
      <c r="O5" s="1012"/>
      <c r="P5" s="1012"/>
      <c r="Q5" s="1013"/>
      <c r="R5" s="1011"/>
      <c r="S5" s="1012"/>
      <c r="T5" s="1012"/>
      <c r="U5" s="1012"/>
      <c r="V5" s="1013"/>
      <c r="W5" s="1014" t="s">
        <v>715</v>
      </c>
      <c r="X5" s="1015"/>
      <c r="Y5" s="1015"/>
      <c r="Z5" s="1015"/>
      <c r="AA5" s="1016"/>
      <c r="AB5" s="2700" t="s">
        <v>716</v>
      </c>
      <c r="AC5" s="2701"/>
      <c r="AD5" s="2701"/>
      <c r="AE5" s="2701"/>
      <c r="AF5" s="2701"/>
      <c r="AG5" s="2701"/>
      <c r="AH5" s="2701"/>
      <c r="AI5" s="2701"/>
      <c r="AJ5" s="2701"/>
      <c r="AK5" s="2701"/>
      <c r="AL5" s="2701"/>
      <c r="AM5" s="2701"/>
      <c r="AN5" s="2701"/>
      <c r="AO5" s="2701"/>
      <c r="AP5" s="2701"/>
      <c r="AQ5" s="2701"/>
      <c r="AR5" s="2701"/>
      <c r="AS5" s="2701"/>
      <c r="AT5" s="2701"/>
      <c r="AU5" s="2701"/>
      <c r="AV5" s="2701"/>
      <c r="AW5" s="2701"/>
      <c r="AX5" s="2701"/>
      <c r="AY5" s="2701"/>
      <c r="AZ5" s="2702"/>
      <c r="BA5" s="1017"/>
      <c r="BB5" s="1018"/>
      <c r="BC5" s="1018"/>
      <c r="BD5" s="1018"/>
      <c r="BE5" s="1019"/>
      <c r="BF5" s="52"/>
      <c r="BG5" s="1020"/>
      <c r="BH5" s="1020"/>
      <c r="BI5" s="1020"/>
      <c r="BJ5" s="1020"/>
      <c r="BK5" s="52"/>
    </row>
    <row r="6" spans="1:63" s="308" customFormat="1" ht="24.75" customHeight="1">
      <c r="A6" s="26"/>
      <c r="B6" s="2671"/>
      <c r="C6" s="2671"/>
      <c r="D6" s="2668"/>
      <c r="E6" s="2669"/>
      <c r="F6" s="2669"/>
      <c r="G6" s="223" t="s">
        <v>5</v>
      </c>
      <c r="H6" s="2673"/>
      <c r="I6" s="2671"/>
      <c r="J6" s="2671"/>
      <c r="K6" s="2671"/>
      <c r="L6" s="2671" t="s">
        <v>717</v>
      </c>
      <c r="M6" s="373" t="s">
        <v>2</v>
      </c>
      <c r="N6" s="374"/>
      <c r="O6" s="374"/>
      <c r="P6" s="374"/>
      <c r="Q6" s="375"/>
      <c r="R6" s="373" t="s">
        <v>3</v>
      </c>
      <c r="S6" s="374"/>
      <c r="T6" s="374"/>
      <c r="U6" s="374"/>
      <c r="V6" s="375"/>
      <c r="W6" s="56" t="s">
        <v>12</v>
      </c>
      <c r="X6" s="56"/>
      <c r="Y6" s="56"/>
      <c r="Z6" s="56"/>
      <c r="AA6" s="1021"/>
      <c r="AB6" s="2703" t="s">
        <v>24</v>
      </c>
      <c r="AC6" s="2704"/>
      <c r="AD6" s="2704"/>
      <c r="AE6" s="2704"/>
      <c r="AF6" s="2705"/>
      <c r="AG6" s="2703" t="s">
        <v>37</v>
      </c>
      <c r="AH6" s="2704"/>
      <c r="AI6" s="2704"/>
      <c r="AJ6" s="2704"/>
      <c r="AK6" s="2705"/>
      <c r="AL6" s="2706" t="s">
        <v>38</v>
      </c>
      <c r="AM6" s="2706"/>
      <c r="AN6" s="2706"/>
      <c r="AO6" s="2706"/>
      <c r="AP6" s="2706"/>
      <c r="AQ6" s="2703" t="s">
        <v>39</v>
      </c>
      <c r="AR6" s="2704"/>
      <c r="AS6" s="2704"/>
      <c r="AT6" s="2704"/>
      <c r="AU6" s="2705"/>
      <c r="AV6" s="2706" t="s">
        <v>40</v>
      </c>
      <c r="AW6" s="2706"/>
      <c r="AX6" s="2706"/>
      <c r="AY6" s="2706"/>
      <c r="AZ6" s="2707"/>
      <c r="BA6" s="1022" t="s">
        <v>716</v>
      </c>
      <c r="BB6" s="1023"/>
      <c r="BC6" s="1023"/>
      <c r="BD6" s="1023"/>
      <c r="BE6" s="1024"/>
      <c r="BF6" s="52"/>
      <c r="BG6" s="1025" t="s">
        <v>369</v>
      </c>
      <c r="BH6" s="1025" t="s">
        <v>368</v>
      </c>
      <c r="BI6" s="1025" t="s">
        <v>283</v>
      </c>
      <c r="BJ6" s="1025" t="s">
        <v>370</v>
      </c>
      <c r="BK6" s="52"/>
    </row>
    <row r="7" spans="1:63" s="308" customFormat="1" ht="13.5">
      <c r="A7" s="26"/>
      <c r="B7" s="2645"/>
      <c r="C7" s="2645"/>
      <c r="D7" s="2712"/>
      <c r="E7" s="2713"/>
      <c r="F7" s="2713"/>
      <c r="G7" s="466"/>
      <c r="H7" s="2715"/>
      <c r="I7" s="2645"/>
      <c r="J7" s="2645"/>
      <c r="K7" s="2645"/>
      <c r="L7" s="2645"/>
      <c r="M7" s="1026" t="s">
        <v>6</v>
      </c>
      <c r="N7" s="1027" t="s">
        <v>7</v>
      </c>
      <c r="O7" s="1027" t="s">
        <v>8</v>
      </c>
      <c r="P7" s="1027" t="s">
        <v>9</v>
      </c>
      <c r="Q7" s="1028" t="s">
        <v>10</v>
      </c>
      <c r="R7" s="1027" t="s">
        <v>6</v>
      </c>
      <c r="S7" s="1027" t="s">
        <v>7</v>
      </c>
      <c r="T7" s="1027" t="s">
        <v>8</v>
      </c>
      <c r="U7" s="1027" t="s">
        <v>9</v>
      </c>
      <c r="V7" s="1028" t="s">
        <v>10</v>
      </c>
      <c r="W7" s="1029" t="s">
        <v>24</v>
      </c>
      <c r="X7" s="1029" t="s">
        <v>37</v>
      </c>
      <c r="Y7" s="1029" t="s">
        <v>38</v>
      </c>
      <c r="Z7" s="1029" t="s">
        <v>39</v>
      </c>
      <c r="AA7" s="1030" t="s">
        <v>40</v>
      </c>
      <c r="AB7" s="1031" t="s">
        <v>6</v>
      </c>
      <c r="AC7" s="230" t="s">
        <v>7</v>
      </c>
      <c r="AD7" s="230" t="s">
        <v>8</v>
      </c>
      <c r="AE7" s="230" t="s">
        <v>9</v>
      </c>
      <c r="AF7" s="1032" t="s">
        <v>10</v>
      </c>
      <c r="AG7" s="1031" t="s">
        <v>6</v>
      </c>
      <c r="AH7" s="230" t="s">
        <v>7</v>
      </c>
      <c r="AI7" s="230" t="s">
        <v>8</v>
      </c>
      <c r="AJ7" s="230" t="s">
        <v>9</v>
      </c>
      <c r="AK7" s="1032" t="s">
        <v>10</v>
      </c>
      <c r="AL7" s="230" t="s">
        <v>6</v>
      </c>
      <c r="AM7" s="230" t="s">
        <v>7</v>
      </c>
      <c r="AN7" s="230" t="s">
        <v>8</v>
      </c>
      <c r="AO7" s="230" t="s">
        <v>9</v>
      </c>
      <c r="AP7" s="230" t="s">
        <v>10</v>
      </c>
      <c r="AQ7" s="1031" t="s">
        <v>6</v>
      </c>
      <c r="AR7" s="230" t="s">
        <v>7</v>
      </c>
      <c r="AS7" s="230" t="s">
        <v>8</v>
      </c>
      <c r="AT7" s="230" t="s">
        <v>9</v>
      </c>
      <c r="AU7" s="1032" t="s">
        <v>10</v>
      </c>
      <c r="AV7" s="230" t="s">
        <v>6</v>
      </c>
      <c r="AW7" s="230" t="s">
        <v>7</v>
      </c>
      <c r="AX7" s="230" t="s">
        <v>8</v>
      </c>
      <c r="AY7" s="230" t="s">
        <v>9</v>
      </c>
      <c r="AZ7" s="1032" t="s">
        <v>10</v>
      </c>
      <c r="BA7" s="1033" t="s">
        <v>24</v>
      </c>
      <c r="BB7" s="1034" t="s">
        <v>37</v>
      </c>
      <c r="BC7" s="1034" t="s">
        <v>38</v>
      </c>
      <c r="BD7" s="1034" t="s">
        <v>39</v>
      </c>
      <c r="BE7" s="1035" t="s">
        <v>40</v>
      </c>
      <c r="BF7" s="52"/>
      <c r="BG7" s="1036"/>
      <c r="BH7" s="1036"/>
      <c r="BI7" s="1036"/>
      <c r="BJ7" s="1037"/>
      <c r="BK7" s="52"/>
    </row>
    <row r="8" spans="1:63" ht="21" customHeight="1">
      <c r="A8" s="63"/>
      <c r="B8" s="1038"/>
      <c r="C8" s="1039"/>
      <c r="D8" s="49" t="s">
        <v>718</v>
      </c>
      <c r="E8" s="176"/>
      <c r="F8" s="176"/>
      <c r="G8" s="176"/>
      <c r="H8" s="1040"/>
      <c r="I8" s="312"/>
      <c r="J8" s="312"/>
      <c r="K8" s="1041"/>
      <c r="L8" s="178"/>
      <c r="M8" s="178"/>
      <c r="N8" s="177"/>
      <c r="O8" s="177"/>
      <c r="P8" s="177"/>
      <c r="Q8" s="354"/>
      <c r="R8" s="177"/>
      <c r="S8" s="177"/>
      <c r="T8" s="177"/>
      <c r="U8" s="177"/>
      <c r="V8" s="1042"/>
      <c r="W8" s="1043"/>
      <c r="X8" s="1044"/>
      <c r="Y8" s="1044"/>
      <c r="Z8" s="1044"/>
      <c r="AA8" s="1045"/>
      <c r="AB8" s="1046"/>
      <c r="AC8" s="61"/>
      <c r="AD8" s="61"/>
      <c r="AE8" s="61"/>
      <c r="AF8" s="1047"/>
      <c r="AG8" s="1046"/>
      <c r="AH8" s="61"/>
      <c r="AI8" s="61"/>
      <c r="AJ8" s="61"/>
      <c r="AK8" s="1047"/>
      <c r="AL8" s="61"/>
      <c r="AM8" s="61"/>
      <c r="AN8" s="61"/>
      <c r="AO8" s="61"/>
      <c r="AP8" s="61"/>
      <c r="AQ8" s="1046"/>
      <c r="AR8" s="61"/>
      <c r="AS8" s="61"/>
      <c r="AT8" s="61"/>
      <c r="AU8" s="1047"/>
      <c r="AV8" s="1046"/>
      <c r="AW8" s="61"/>
      <c r="AX8" s="61"/>
      <c r="AY8" s="61"/>
      <c r="AZ8" s="1047"/>
      <c r="BA8" s="1046"/>
      <c r="BB8" s="61"/>
      <c r="BC8" s="61"/>
      <c r="BD8" s="61"/>
      <c r="BE8" s="1047"/>
      <c r="BF8" s="61"/>
      <c r="BG8" s="1048"/>
      <c r="BH8" s="1048"/>
      <c r="BI8" s="1048"/>
      <c r="BJ8" s="1049"/>
      <c r="BK8" s="61"/>
    </row>
    <row r="9" spans="1:63" s="217" customFormat="1" ht="20.25" customHeight="1">
      <c r="A9" s="1050"/>
      <c r="B9" s="469"/>
      <c r="C9" s="1051"/>
      <c r="D9" s="1052" t="s">
        <v>719</v>
      </c>
      <c r="E9" s="1053"/>
      <c r="F9" s="1054"/>
      <c r="G9" s="1055"/>
      <c r="H9" s="1056"/>
      <c r="I9" s="1056"/>
      <c r="J9" s="1056"/>
      <c r="K9" s="1057"/>
      <c r="L9" s="1058"/>
      <c r="M9" s="1059"/>
      <c r="N9" s="1060"/>
      <c r="O9" s="1060"/>
      <c r="P9" s="1060"/>
      <c r="Q9" s="1061"/>
      <c r="R9" s="561"/>
      <c r="S9" s="561"/>
      <c r="T9" s="561"/>
      <c r="U9" s="561"/>
      <c r="V9" s="1062"/>
      <c r="W9" s="1063"/>
      <c r="X9" s="1064"/>
      <c r="Y9" s="1064"/>
      <c r="Z9" s="1064"/>
      <c r="AA9" s="1065"/>
      <c r="AB9" s="1066"/>
      <c r="AC9" s="1067"/>
      <c r="AD9" s="1067"/>
      <c r="AE9" s="1067"/>
      <c r="AF9" s="1068"/>
      <c r="AG9" s="1066"/>
      <c r="AH9" s="1067"/>
      <c r="AI9" s="1067"/>
      <c r="AJ9" s="1067"/>
      <c r="AK9" s="1068"/>
      <c r="AL9" s="1067"/>
      <c r="AM9" s="1067"/>
      <c r="AN9" s="1067"/>
      <c r="AO9" s="1067"/>
      <c r="AP9" s="1067"/>
      <c r="AQ9" s="1066"/>
      <c r="AR9" s="1067"/>
      <c r="AS9" s="1067"/>
      <c r="AT9" s="1067"/>
      <c r="AU9" s="1068"/>
      <c r="AV9" s="1066"/>
      <c r="AW9" s="1067"/>
      <c r="AX9" s="1067"/>
      <c r="AY9" s="1067"/>
      <c r="AZ9" s="1068"/>
      <c r="BA9" s="1069"/>
      <c r="BB9" s="1067"/>
      <c r="BC9" s="1067"/>
      <c r="BD9" s="1067"/>
      <c r="BE9" s="1068"/>
      <c r="BF9" s="1067"/>
      <c r="BG9" s="1048"/>
      <c r="BH9" s="1048"/>
      <c r="BI9" s="1048"/>
      <c r="BJ9" s="1049"/>
      <c r="BK9" s="1067"/>
    </row>
    <row r="10" spans="1:63" s="217" customFormat="1" ht="20.25" customHeight="1">
      <c r="A10" s="1070"/>
      <c r="B10" s="57"/>
      <c r="C10" s="58"/>
      <c r="D10" s="1071" t="s">
        <v>720</v>
      </c>
      <c r="F10" s="1072"/>
      <c r="G10" s="1073"/>
      <c r="H10" s="315"/>
      <c r="I10" s="315"/>
      <c r="J10" s="315"/>
      <c r="K10" s="1074"/>
      <c r="L10" s="1074"/>
      <c r="M10" s="1075"/>
      <c r="N10" s="1075"/>
      <c r="O10" s="1075"/>
      <c r="P10" s="1075"/>
      <c r="Q10" s="1076"/>
      <c r="R10" s="561"/>
      <c r="S10" s="561"/>
      <c r="T10" s="561"/>
      <c r="U10" s="561"/>
      <c r="V10" s="1077"/>
      <c r="W10" s="1078"/>
      <c r="X10" s="1079"/>
      <c r="Y10" s="1079"/>
      <c r="Z10" s="1079"/>
      <c r="AA10" s="1080"/>
      <c r="AB10" s="1081"/>
      <c r="AC10" s="59"/>
      <c r="AD10" s="59"/>
      <c r="AE10" s="59"/>
      <c r="AF10" s="1082"/>
      <c r="AG10" s="1081"/>
      <c r="AH10" s="59"/>
      <c r="AI10" s="59"/>
      <c r="AJ10" s="59"/>
      <c r="AK10" s="1082"/>
      <c r="AL10" s="59"/>
      <c r="AM10" s="59"/>
      <c r="AN10" s="59"/>
      <c r="AO10" s="59"/>
      <c r="AP10" s="59"/>
      <c r="AQ10" s="1081"/>
      <c r="AR10" s="59"/>
      <c r="AS10" s="59"/>
      <c r="AT10" s="59"/>
      <c r="AU10" s="1082"/>
      <c r="AV10" s="1081"/>
      <c r="AW10" s="59"/>
      <c r="AX10" s="59"/>
      <c r="AY10" s="59"/>
      <c r="AZ10" s="1082"/>
      <c r="BA10" s="1046"/>
      <c r="BB10" s="59"/>
      <c r="BC10" s="59"/>
      <c r="BD10" s="59"/>
      <c r="BE10" s="1082"/>
      <c r="BF10" s="1067"/>
      <c r="BG10" s="1083"/>
      <c r="BH10" s="1083"/>
      <c r="BI10" s="1048"/>
      <c r="BJ10" s="1084"/>
      <c r="BK10" s="1067"/>
    </row>
    <row r="11" spans="1:63" s="217" customFormat="1" ht="24.6" customHeight="1">
      <c r="A11" s="1070"/>
      <c r="B11" s="57"/>
      <c r="C11" s="2708" t="s">
        <v>1326</v>
      </c>
      <c r="D11" s="2709"/>
      <c r="E11" s="2051"/>
      <c r="F11" s="2052"/>
      <c r="G11" s="2053"/>
      <c r="H11" s="2054"/>
      <c r="I11" s="2054"/>
      <c r="J11" s="2054"/>
      <c r="K11" s="2055"/>
      <c r="L11" s="2055"/>
      <c r="M11" s="2056"/>
      <c r="N11" s="2056"/>
      <c r="O11" s="2056"/>
      <c r="P11" s="2056"/>
      <c r="Q11" s="2055"/>
      <c r="R11" s="2057"/>
      <c r="S11" s="2057"/>
      <c r="T11" s="2057"/>
      <c r="U11" s="2057"/>
      <c r="V11" s="2058"/>
      <c r="W11" s="2059"/>
      <c r="X11" s="2059"/>
      <c r="Y11" s="2059"/>
      <c r="Z11" s="2059"/>
      <c r="AA11" s="2059"/>
      <c r="AB11" s="2060"/>
      <c r="AC11" s="2060"/>
      <c r="AD11" s="2060"/>
      <c r="AE11" s="2060"/>
      <c r="AF11" s="2060"/>
      <c r="AG11" s="2060"/>
      <c r="AH11" s="2060"/>
      <c r="AI11" s="2060"/>
      <c r="AJ11" s="2060"/>
      <c r="AK11" s="2060"/>
      <c r="AL11" s="2060"/>
      <c r="AM11" s="2060"/>
      <c r="AN11" s="2060"/>
      <c r="AO11" s="2060"/>
      <c r="AP11" s="2060"/>
      <c r="AQ11" s="2060"/>
      <c r="AR11" s="2060"/>
      <c r="AS11" s="2060"/>
      <c r="AT11" s="2060"/>
      <c r="AU11" s="2060"/>
      <c r="AV11" s="2060"/>
      <c r="AW11" s="2060"/>
      <c r="AX11" s="2060"/>
      <c r="AY11" s="2060"/>
      <c r="AZ11" s="2060"/>
      <c r="BA11" s="2061"/>
      <c r="BB11" s="2060"/>
      <c r="BC11" s="2060"/>
      <c r="BD11" s="2060"/>
      <c r="BE11" s="2060"/>
      <c r="BF11" s="2062"/>
      <c r="BG11" s="2063"/>
      <c r="BH11" s="2063"/>
      <c r="BI11" s="2064"/>
      <c r="BJ11" s="2065"/>
      <c r="BK11" s="1067"/>
    </row>
    <row r="12" spans="1:63" s="217" customFormat="1" ht="20.25" customHeight="1">
      <c r="A12" s="1070"/>
      <c r="B12" s="57"/>
      <c r="C12" s="57"/>
      <c r="D12" s="2687" t="s">
        <v>935</v>
      </c>
      <c r="E12" s="2688"/>
      <c r="F12" s="2688"/>
      <c r="G12" s="2689"/>
      <c r="K12" s="1085"/>
      <c r="L12" s="1085"/>
      <c r="M12" s="1086"/>
      <c r="N12" s="1086"/>
      <c r="O12" s="1087"/>
      <c r="P12" s="1087"/>
      <c r="Q12" s="1088"/>
      <c r="R12" s="1089"/>
      <c r="S12" s="1089"/>
      <c r="T12" s="1089"/>
      <c r="U12" s="1089"/>
      <c r="V12" s="1090"/>
      <c r="W12" s="1091"/>
      <c r="X12" s="1092"/>
      <c r="Y12" s="1092"/>
      <c r="Z12" s="1092"/>
      <c r="AA12" s="1093"/>
      <c r="AB12" s="1094">
        <f t="shared" ref="AB12:AE13" si="0">R12*$W12</f>
        <v>0</v>
      </c>
      <c r="AC12" s="1095">
        <f t="shared" si="0"/>
        <v>0</v>
      </c>
      <c r="AD12" s="1095">
        <f t="shared" si="0"/>
        <v>0</v>
      </c>
      <c r="AE12" s="1095">
        <f t="shared" si="0"/>
        <v>0</v>
      </c>
      <c r="AF12" s="1096">
        <f t="shared" ref="AF12" si="1">SUM(AB12:AE12)</f>
        <v>0</v>
      </c>
      <c r="AG12" s="1094">
        <f t="shared" ref="AG12:AK13" si="2">R12*$X12</f>
        <v>0</v>
      </c>
      <c r="AH12" s="1095">
        <f t="shared" si="2"/>
        <v>0</v>
      </c>
      <c r="AI12" s="1095">
        <f t="shared" si="2"/>
        <v>0</v>
      </c>
      <c r="AJ12" s="1095">
        <f t="shared" si="2"/>
        <v>0</v>
      </c>
      <c r="AK12" s="1096"/>
      <c r="AL12" s="1095"/>
      <c r="AM12" s="1095"/>
      <c r="AN12" s="1095"/>
      <c r="AO12" s="1095"/>
      <c r="AP12" s="1097"/>
      <c r="AQ12" s="1094"/>
      <c r="AR12" s="1095"/>
      <c r="AS12" s="1095"/>
      <c r="AT12" s="1095"/>
      <c r="AU12" s="1098"/>
      <c r="AV12" s="1094">
        <f t="shared" ref="AV12:AY13" si="3">R12*$AA12</f>
        <v>0</v>
      </c>
      <c r="AW12" s="1095">
        <f t="shared" si="3"/>
        <v>0</v>
      </c>
      <c r="AX12" s="1095">
        <f t="shared" si="3"/>
        <v>0</v>
      </c>
      <c r="AY12" s="1095">
        <f t="shared" si="3"/>
        <v>0</v>
      </c>
      <c r="AZ12" s="1098">
        <f t="shared" ref="AZ12:AZ13" si="4">SUM(AV12:AY12)</f>
        <v>0</v>
      </c>
      <c r="BA12" s="1099"/>
      <c r="BB12" s="1100"/>
      <c r="BC12" s="1100"/>
      <c r="BD12" s="1100"/>
      <c r="BE12" s="1101"/>
      <c r="BF12" s="1067"/>
      <c r="BG12" s="1083"/>
      <c r="BH12" s="1083"/>
      <c r="BI12" s="1048"/>
      <c r="BJ12" s="1084"/>
      <c r="BK12" s="1067"/>
    </row>
    <row r="13" spans="1:63" s="217" customFormat="1" ht="20.25" customHeight="1">
      <c r="A13" s="1070"/>
      <c r="B13" s="57" t="s">
        <v>22</v>
      </c>
      <c r="C13" s="57" t="s">
        <v>135</v>
      </c>
      <c r="D13" s="2697" t="s">
        <v>936</v>
      </c>
      <c r="E13" s="2698"/>
      <c r="F13" s="2698"/>
      <c r="G13" s="2699"/>
      <c r="H13" s="1534" t="s">
        <v>776</v>
      </c>
      <c r="I13" s="1534">
        <v>1243719.8613000002</v>
      </c>
      <c r="J13" s="1534">
        <v>103618.98842499999</v>
      </c>
      <c r="K13" s="1535">
        <f>I13+J13</f>
        <v>1347338.8497250001</v>
      </c>
      <c r="L13" s="1128">
        <f>K13/1000</f>
        <v>1347.338849725</v>
      </c>
      <c r="M13" s="1536">
        <v>0.09</v>
      </c>
      <c r="N13" s="1536">
        <f>0.1693-M13</f>
        <v>7.9300000000000009E-2</v>
      </c>
      <c r="O13" s="1536">
        <v>0</v>
      </c>
      <c r="P13" s="1536">
        <v>0</v>
      </c>
      <c r="Q13" s="1103">
        <f>SUM(M13:P13)</f>
        <v>0.16930000000000001</v>
      </c>
      <c r="R13" s="1100">
        <f>L13*M13</f>
        <v>121.26049647524999</v>
      </c>
      <c r="S13" s="1100">
        <f>L13*N13</f>
        <v>106.84397078319252</v>
      </c>
      <c r="T13" s="1100">
        <f>L13*O13</f>
        <v>0</v>
      </c>
      <c r="U13" s="1100">
        <f>L13*P13</f>
        <v>0</v>
      </c>
      <c r="V13" s="1104">
        <f>SUM(R13:U13)</f>
        <v>228.10446725844253</v>
      </c>
      <c r="W13" s="1537">
        <f>IFERROR(INDEX([13]Code!I$8:I$33,MATCH('[13]$MRD-Annex'!$BG13,[13]Code!$G$8:$G$33,0)),"")</f>
        <v>0.76827006604510995</v>
      </c>
      <c r="X13" s="1538">
        <f>IFERROR(INDEX([13]Code!J$8:J$33,MATCH('[13]$MRD-Annex'!$BG13,[13]Code!$G$8:$G$33,0)),"")</f>
        <v>0.12645069473218948</v>
      </c>
      <c r="Y13" s="1538">
        <f>IFERROR(INDEX([13]Code!K$8:K$33,MATCH('[13]$MRD-Annex'!$BG13,[13]Code!$G$8:$G$33,0)),"")</f>
        <v>0.10527923922270058</v>
      </c>
      <c r="Z13" s="1092">
        <f>IFERROR(INDEX([13]Code!L$8:L$33,MATCH('[13]$MRD-Annex'!$BG13,[13]Code!$G$8:$G$33,0)),"")</f>
        <v>0</v>
      </c>
      <c r="AA13" s="1093">
        <f>IFERROR(INDEX([13]Code!M$8:M$33,MATCH('[13]$MRD-Annex'!$BG13,[13]Code!$G$8:$G$33,0)),"")</f>
        <v>0</v>
      </c>
      <c r="AB13" s="1094">
        <f t="shared" si="0"/>
        <v>93.160809635703131</v>
      </c>
      <c r="AC13" s="1095">
        <f t="shared" si="0"/>
        <v>82.085024490125107</v>
      </c>
      <c r="AD13" s="1095">
        <f t="shared" si="0"/>
        <v>0</v>
      </c>
      <c r="AE13" s="1095">
        <f t="shared" si="0"/>
        <v>0</v>
      </c>
      <c r="AF13" s="1096">
        <f t="shared" ref="AF13" si="5">SUM(AB13:AE13)</f>
        <v>175.24583412582825</v>
      </c>
      <c r="AG13" s="1094">
        <f t="shared" si="2"/>
        <v>15.333474022865575</v>
      </c>
      <c r="AH13" s="1095">
        <f t="shared" si="2"/>
        <v>13.510494333480448</v>
      </c>
      <c r="AI13" s="1095">
        <f t="shared" si="2"/>
        <v>0</v>
      </c>
      <c r="AJ13" s="1095">
        <f t="shared" si="2"/>
        <v>0</v>
      </c>
      <c r="AK13" s="1096">
        <f t="shared" si="2"/>
        <v>28.843968356346025</v>
      </c>
      <c r="AL13" s="1095">
        <f>R13*$Y13</f>
        <v>12.766212816681284</v>
      </c>
      <c r="AM13" s="1095">
        <f t="shared" ref="AM13:AO13" si="6">S13*$Y13</f>
        <v>11.248451959586957</v>
      </c>
      <c r="AN13" s="1095">
        <f t="shared" si="6"/>
        <v>0</v>
      </c>
      <c r="AO13" s="1095">
        <f t="shared" si="6"/>
        <v>0</v>
      </c>
      <c r="AP13" s="1097">
        <f t="shared" ref="AP13" si="7">SUM(AL13:AO13)</f>
        <v>24.014664776268241</v>
      </c>
      <c r="AQ13" s="1094">
        <f t="shared" ref="AQ13:AT13" si="8">R13*$Z13</f>
        <v>0</v>
      </c>
      <c r="AR13" s="1095">
        <f t="shared" si="8"/>
        <v>0</v>
      </c>
      <c r="AS13" s="1095">
        <f t="shared" si="8"/>
        <v>0</v>
      </c>
      <c r="AT13" s="1095">
        <f t="shared" si="8"/>
        <v>0</v>
      </c>
      <c r="AU13" s="1098">
        <f t="shared" ref="AU13" si="9">SUM(AQ13:AT13)</f>
        <v>0</v>
      </c>
      <c r="AV13" s="1094">
        <f t="shared" si="3"/>
        <v>0</v>
      </c>
      <c r="AW13" s="1095">
        <f t="shared" si="3"/>
        <v>0</v>
      </c>
      <c r="AX13" s="1095">
        <f t="shared" si="3"/>
        <v>0</v>
      </c>
      <c r="AY13" s="1095">
        <f t="shared" si="3"/>
        <v>0</v>
      </c>
      <c r="AZ13" s="1098">
        <f t="shared" si="4"/>
        <v>0</v>
      </c>
      <c r="BA13" s="1099">
        <f>SUM($V13*W13)</f>
        <v>175.24583412582825</v>
      </c>
      <c r="BB13" s="1105">
        <f t="shared" ref="BB13:BE13" si="10">SUM($V13*X13)</f>
        <v>28.843968356346025</v>
      </c>
      <c r="BC13" s="1105">
        <f t="shared" si="10"/>
        <v>24.014664776268241</v>
      </c>
      <c r="BD13" s="1105">
        <f t="shared" si="10"/>
        <v>0</v>
      </c>
      <c r="BE13" s="1104">
        <f t="shared" si="10"/>
        <v>0</v>
      </c>
      <c r="BF13" s="1067"/>
      <c r="BG13" s="1048" t="s">
        <v>181</v>
      </c>
      <c r="BH13" s="1048" t="s">
        <v>181</v>
      </c>
      <c r="BI13" s="1048" t="str">
        <f>IFERROR(INDEX('[14]Annex 2_Code'!$J$110:$J$127,MATCH('Annex 5_MRD'!BG13,'[14]Annex 2_Code'!$G$110:$G$127,0)),"")</f>
        <v>MRD</v>
      </c>
      <c r="BJ13" s="1084" t="str">
        <f t="shared" ref="BJ13:BJ61" si="11">IF(ISNUMBER(FIND("-",BI13,1))=FALSE,LEFT(BI13,LEN(BI13)),LEFT(BI13,(FIND("-",BI13,1))-1))</f>
        <v>MRD</v>
      </c>
      <c r="BK13" s="1067"/>
    </row>
    <row r="14" spans="1:63" s="217" customFormat="1" ht="20.25" customHeight="1">
      <c r="A14" s="1070"/>
      <c r="B14" s="1106"/>
      <c r="C14" s="1107"/>
      <c r="D14" s="1108"/>
      <c r="E14" s="1109" t="s">
        <v>36</v>
      </c>
      <c r="F14" s="1110"/>
      <c r="G14" s="1111"/>
      <c r="H14" s="1112"/>
      <c r="I14" s="1112"/>
      <c r="J14" s="1112"/>
      <c r="K14" s="1113"/>
      <c r="L14" s="1114"/>
      <c r="M14" s="1115"/>
      <c r="N14" s="1115"/>
      <c r="O14" s="1116"/>
      <c r="P14" s="1117"/>
      <c r="Q14" s="1118"/>
      <c r="R14" s="1119">
        <f>SUM(R13:R13)</f>
        <v>121.26049647524999</v>
      </c>
      <c r="S14" s="1119">
        <f>SUM(S13:S13)</f>
        <v>106.84397078319252</v>
      </c>
      <c r="T14" s="1119">
        <f>SUM(T13:T13)</f>
        <v>0</v>
      </c>
      <c r="U14" s="1119">
        <f>SUM(U13:U13)</f>
        <v>0</v>
      </c>
      <c r="V14" s="2527">
        <f>SUM(V13:V13)</f>
        <v>228.10446725844253</v>
      </c>
      <c r="W14" s="1091">
        <f>IFERROR(INDEX([13]Code!I$8:I$33,MATCH('[13]$MRD-Annex'!$BG14,[13]Code!$G$8:$G$33,0)),"")</f>
        <v>0.76827006604510995</v>
      </c>
      <c r="X14" s="1539">
        <f>IFERROR(INDEX([13]Code!J$8:J$33,MATCH('[13]$MRD-Annex'!$BG14,[13]Code!$G$8:$G$33,0)),"")</f>
        <v>0.12645069473218948</v>
      </c>
      <c r="Y14" s="1092">
        <f>IFERROR(INDEX([13]Code!K$8:K$33,MATCH('[13]$MRD-Annex'!$BG14,[13]Code!$G$8:$G$33,0)),"")</f>
        <v>0.10527923922270058</v>
      </c>
      <c r="Z14" s="1092">
        <f>IFERROR(INDEX([13]Code!L$8:L$33,MATCH('[13]$MRD-Annex'!$BG14,[13]Code!$G$8:$G$33,0)),"")</f>
        <v>0</v>
      </c>
      <c r="AA14" s="1093">
        <f>IFERROR(INDEX([13]Code!M$8:M$33,MATCH('[13]$MRD-Annex'!$BG14,[13]Code!$G$8:$G$33,0)),"")</f>
        <v>0</v>
      </c>
      <c r="AB14" s="1121">
        <f>SUM(AB12:AB13)</f>
        <v>93.160809635703131</v>
      </c>
      <c r="AC14" s="1119">
        <f t="shared" ref="AC14:AF14" si="12">SUM(AC12:AC13)</f>
        <v>82.085024490125107</v>
      </c>
      <c r="AD14" s="1119">
        <f t="shared" si="12"/>
        <v>0</v>
      </c>
      <c r="AE14" s="1119">
        <f t="shared" si="12"/>
        <v>0</v>
      </c>
      <c r="AF14" s="1122">
        <f t="shared" si="12"/>
        <v>175.24583412582825</v>
      </c>
      <c r="AG14" s="1119">
        <f>SUM(AG8:AG13)</f>
        <v>15.333474022865575</v>
      </c>
      <c r="AH14" s="1119">
        <f t="shared" ref="AH14:AK14" si="13">SUM(AH8:AH13)</f>
        <v>13.510494333480448</v>
      </c>
      <c r="AI14" s="1119">
        <f t="shared" si="13"/>
        <v>0</v>
      </c>
      <c r="AJ14" s="1119">
        <f t="shared" si="13"/>
        <v>0</v>
      </c>
      <c r="AK14" s="1119">
        <f t="shared" si="13"/>
        <v>28.843968356346025</v>
      </c>
      <c r="AL14" s="1121">
        <f>SUM(AL8:AL13)</f>
        <v>12.766212816681284</v>
      </c>
      <c r="AM14" s="1119">
        <f t="shared" ref="AM14:AP14" si="14">SUM(AM8:AM13)</f>
        <v>11.248451959586957</v>
      </c>
      <c r="AN14" s="1119">
        <f t="shared" si="14"/>
        <v>0</v>
      </c>
      <c r="AO14" s="1119">
        <f t="shared" si="14"/>
        <v>0</v>
      </c>
      <c r="AP14" s="1119">
        <f t="shared" si="14"/>
        <v>24.014664776268241</v>
      </c>
      <c r="AQ14" s="1121"/>
      <c r="AR14" s="1119"/>
      <c r="AS14" s="1119"/>
      <c r="AT14" s="1119"/>
      <c r="AU14" s="1123"/>
      <c r="AV14" s="1124"/>
      <c r="AW14" s="1125"/>
      <c r="AX14" s="1125"/>
      <c r="AY14" s="1125"/>
      <c r="AZ14" s="1123"/>
      <c r="BA14" s="1126">
        <f>BA13</f>
        <v>175.24583412582825</v>
      </c>
      <c r="BB14" s="1127">
        <f>SUM(BB13)</f>
        <v>28.843968356346025</v>
      </c>
      <c r="BC14" s="1127">
        <f>SUM(BC13)</f>
        <v>24.014664776268241</v>
      </c>
      <c r="BD14" s="1127">
        <f>SUM(BD13)</f>
        <v>0</v>
      </c>
      <c r="BE14" s="1127">
        <f>SUM(BE13)</f>
        <v>0</v>
      </c>
      <c r="BF14" s="1067"/>
      <c r="BG14" s="1048"/>
      <c r="BH14" s="1048"/>
      <c r="BI14" s="1048">
        <f>IFERROR(INDEX('[14]Annex 2_Code'!$J$110:$J$127,MATCH('Annex 5_MRD'!BG14,'[14]Annex 2_Code'!$G$110:$G$127,0)),"")</f>
        <v>0</v>
      </c>
      <c r="BJ14" s="1084" t="str">
        <f t="shared" si="11"/>
        <v>0</v>
      </c>
      <c r="BK14" s="1067"/>
    </row>
    <row r="15" spans="1:63" s="217" customFormat="1" ht="20.25" customHeight="1">
      <c r="A15" s="1070"/>
      <c r="B15" s="57"/>
      <c r="C15" s="57"/>
      <c r="D15" s="2687" t="s">
        <v>937</v>
      </c>
      <c r="E15" s="2688"/>
      <c r="F15" s="2688"/>
      <c r="G15" s="2689"/>
      <c r="K15" s="1085"/>
      <c r="L15" s="1085"/>
      <c r="M15" s="1086"/>
      <c r="N15" s="1086"/>
      <c r="O15" s="1087"/>
      <c r="P15" s="1087"/>
      <c r="Q15" s="1088"/>
      <c r="R15" s="1089"/>
      <c r="S15" s="1089"/>
      <c r="T15" s="1089"/>
      <c r="U15" s="1089"/>
      <c r="V15" s="1090"/>
      <c r="W15" s="1091"/>
      <c r="X15" s="1092"/>
      <c r="Y15" s="1092"/>
      <c r="Z15" s="1092"/>
      <c r="AA15" s="1093"/>
      <c r="AB15" s="1094">
        <f t="shared" ref="AB15:AE16" si="15">R15*$W15</f>
        <v>0</v>
      </c>
      <c r="AC15" s="1095">
        <f t="shared" si="15"/>
        <v>0</v>
      </c>
      <c r="AD15" s="1095">
        <f t="shared" si="15"/>
        <v>0</v>
      </c>
      <c r="AE15" s="1095">
        <f t="shared" si="15"/>
        <v>0</v>
      </c>
      <c r="AF15" s="1096">
        <f t="shared" ref="AF15" si="16">SUM(AB15:AE15)</f>
        <v>0</v>
      </c>
      <c r="AG15" s="1094">
        <f t="shared" ref="AG15:AK16" si="17">R15*$X15</f>
        <v>0</v>
      </c>
      <c r="AH15" s="1095">
        <f t="shared" si="17"/>
        <v>0</v>
      </c>
      <c r="AI15" s="1095">
        <f t="shared" si="17"/>
        <v>0</v>
      </c>
      <c r="AJ15" s="1095">
        <f t="shared" si="17"/>
        <v>0</v>
      </c>
      <c r="AK15" s="1096"/>
      <c r="AL15" s="1095"/>
      <c r="AM15" s="1095"/>
      <c r="AN15" s="1095"/>
      <c r="AO15" s="1095"/>
      <c r="AP15" s="1097"/>
      <c r="AQ15" s="1094"/>
      <c r="AR15" s="1095"/>
      <c r="AS15" s="1095"/>
      <c r="AT15" s="1095"/>
      <c r="AU15" s="1098"/>
      <c r="AV15" s="1094">
        <f t="shared" ref="AV15:AY16" si="18">R15*$AA15</f>
        <v>0</v>
      </c>
      <c r="AW15" s="1095">
        <f t="shared" si="18"/>
        <v>0</v>
      </c>
      <c r="AX15" s="1095">
        <f t="shared" si="18"/>
        <v>0</v>
      </c>
      <c r="AY15" s="1095">
        <f t="shared" si="18"/>
        <v>0</v>
      </c>
      <c r="AZ15" s="1098">
        <f t="shared" ref="AZ15:AZ16" si="19">SUM(AV15:AY15)</f>
        <v>0</v>
      </c>
      <c r="BA15" s="1099"/>
      <c r="BB15" s="1100"/>
      <c r="BC15" s="1100"/>
      <c r="BD15" s="1100"/>
      <c r="BE15" s="1101"/>
      <c r="BF15" s="1067"/>
      <c r="BG15" s="1083"/>
      <c r="BH15" s="1083"/>
      <c r="BI15" s="1048"/>
      <c r="BJ15" s="1084"/>
      <c r="BK15" s="1067"/>
    </row>
    <row r="16" spans="1:63" s="217" customFormat="1" ht="20.25" customHeight="1">
      <c r="A16" s="1070"/>
      <c r="B16" s="57" t="s">
        <v>22</v>
      </c>
      <c r="C16" s="57" t="s">
        <v>135</v>
      </c>
      <c r="D16" s="2697" t="s">
        <v>938</v>
      </c>
      <c r="E16" s="2698"/>
      <c r="F16" s="2698"/>
      <c r="G16" s="2699"/>
      <c r="H16" s="1534" t="s">
        <v>776</v>
      </c>
      <c r="I16" s="1534">
        <v>879298.63769999996</v>
      </c>
      <c r="J16" s="1534">
        <v>41758.979999999996</v>
      </c>
      <c r="K16" s="1535">
        <f>I16+J16</f>
        <v>921057.61769999994</v>
      </c>
      <c r="L16" s="1128">
        <f>K16/1000</f>
        <v>921.05761769999992</v>
      </c>
      <c r="M16" s="1536">
        <v>0.1</v>
      </c>
      <c r="N16" s="1536">
        <f>0.1408-M16</f>
        <v>4.0800000000000003E-2</v>
      </c>
      <c r="O16" s="1536">
        <v>0</v>
      </c>
      <c r="P16" s="1536">
        <v>0</v>
      </c>
      <c r="Q16" s="1103">
        <f>SUM(M16:P16)</f>
        <v>0.14080000000000001</v>
      </c>
      <c r="R16" s="1100">
        <f>L16*M16</f>
        <v>92.105761770000001</v>
      </c>
      <c r="S16" s="1100">
        <f>L16*N16</f>
        <v>37.579150802160001</v>
      </c>
      <c r="T16" s="1100">
        <f>L16*O16</f>
        <v>0</v>
      </c>
      <c r="U16" s="1100">
        <f>L16*P16</f>
        <v>0</v>
      </c>
      <c r="V16" s="1104">
        <f>SUM(R16:U16)</f>
        <v>129.68491257215999</v>
      </c>
      <c r="W16" s="1091">
        <f>IFERROR(INDEX([13]Code!I$8:I$33,MATCH('[13]$MRD-Annex'!$BG16,[13]Code!$G$8:$G$33,0)),"")</f>
        <v>0.76827006604510995</v>
      </c>
      <c r="X16" s="1092">
        <f>IFERROR(INDEX([13]Code!J$8:J$33,MATCH('[13]$MRD-Annex'!$BG16,[13]Code!$G$8:$G$33,0)),"")</f>
        <v>0.12645069473218948</v>
      </c>
      <c r="Y16" s="1092">
        <f>IFERROR(INDEX([13]Code!K$8:K$33,MATCH('[13]$MRD-Annex'!$BG16,[13]Code!$G$8:$G$33,0)),"")</f>
        <v>0.10527923922270058</v>
      </c>
      <c r="Z16" s="1092">
        <f>IFERROR(INDEX([13]Code!L$8:L$33,MATCH('[13]$MRD-Annex'!$BG16,[13]Code!$G$8:$G$33,0)),"")</f>
        <v>0</v>
      </c>
      <c r="AA16" s="1093">
        <f>IFERROR(INDEX([13]Code!M$8:M$33,MATCH('[13]$MRD-Annex'!$BG16,[13]Code!$G$8:$G$33,0)),"")</f>
        <v>0</v>
      </c>
      <c r="AB16" s="1094">
        <f t="shared" si="15"/>
        <v>70.762099678173058</v>
      </c>
      <c r="AC16" s="1095">
        <f t="shared" si="15"/>
        <v>28.870936668694611</v>
      </c>
      <c r="AD16" s="1095">
        <f t="shared" si="15"/>
        <v>0</v>
      </c>
      <c r="AE16" s="1095">
        <f t="shared" si="15"/>
        <v>0</v>
      </c>
      <c r="AF16" s="1096">
        <f t="shared" ref="AF16" si="20">SUM(AB16:AE16)</f>
        <v>99.633036346867669</v>
      </c>
      <c r="AG16" s="1094">
        <f t="shared" si="17"/>
        <v>11.646837564654039</v>
      </c>
      <c r="AH16" s="1095">
        <f t="shared" si="17"/>
        <v>4.7519097263788472</v>
      </c>
      <c r="AI16" s="1095">
        <f t="shared" si="17"/>
        <v>0</v>
      </c>
      <c r="AJ16" s="1095">
        <f t="shared" si="17"/>
        <v>0</v>
      </c>
      <c r="AK16" s="1096">
        <f t="shared" si="17"/>
        <v>16.398747291032883</v>
      </c>
      <c r="AL16" s="1095">
        <f>R16*$Y16</f>
        <v>9.6968245271728986</v>
      </c>
      <c r="AM16" s="1095">
        <f t="shared" ref="AM16:AO16" si="21">S16*$Y16</f>
        <v>3.956304407086543</v>
      </c>
      <c r="AN16" s="1095">
        <f t="shared" si="21"/>
        <v>0</v>
      </c>
      <c r="AO16" s="1095">
        <f t="shared" si="21"/>
        <v>0</v>
      </c>
      <c r="AP16" s="1097">
        <f t="shared" ref="AP16" si="22">SUM(AL16:AO16)</f>
        <v>13.653128934259442</v>
      </c>
      <c r="AQ16" s="1094">
        <f t="shared" ref="AQ16:AT16" si="23">R16*$Z16</f>
        <v>0</v>
      </c>
      <c r="AR16" s="1095">
        <f t="shared" si="23"/>
        <v>0</v>
      </c>
      <c r="AS16" s="1095">
        <f t="shared" si="23"/>
        <v>0</v>
      </c>
      <c r="AT16" s="1095">
        <f t="shared" si="23"/>
        <v>0</v>
      </c>
      <c r="AU16" s="1098">
        <f t="shared" ref="AU16" si="24">SUM(AQ16:AT16)</f>
        <v>0</v>
      </c>
      <c r="AV16" s="1094">
        <f t="shared" si="18"/>
        <v>0</v>
      </c>
      <c r="AW16" s="1095">
        <f t="shared" si="18"/>
        <v>0</v>
      </c>
      <c r="AX16" s="1095">
        <f t="shared" si="18"/>
        <v>0</v>
      </c>
      <c r="AY16" s="1095">
        <f t="shared" si="18"/>
        <v>0</v>
      </c>
      <c r="AZ16" s="1098">
        <f t="shared" si="19"/>
        <v>0</v>
      </c>
      <c r="BA16" s="1099">
        <f>SUM($V16*W16)</f>
        <v>99.633036346867669</v>
      </c>
      <c r="BB16" s="1105">
        <f t="shared" ref="BB16:BE16" si="25">SUM($V16*X16)</f>
        <v>16.398747291032883</v>
      </c>
      <c r="BC16" s="1105">
        <f t="shared" si="25"/>
        <v>13.65312893425944</v>
      </c>
      <c r="BD16" s="1105">
        <f t="shared" si="25"/>
        <v>0</v>
      </c>
      <c r="BE16" s="1104">
        <f t="shared" si="25"/>
        <v>0</v>
      </c>
      <c r="BF16" s="1067"/>
      <c r="BG16" s="1048" t="s">
        <v>181</v>
      </c>
      <c r="BH16" s="1048" t="s">
        <v>181</v>
      </c>
      <c r="BI16" s="1048" t="str">
        <f>IFERROR(INDEX('[14]Annex 2_Code'!$J$110:$J$127,MATCH('Annex 5_MRD'!BG16,'[14]Annex 2_Code'!$G$110:$G$127,0)),"")</f>
        <v>MRD</v>
      </c>
      <c r="BJ16" s="1084" t="str">
        <f t="shared" ref="BJ16:BJ17" si="26">IF(ISNUMBER(FIND("-",BI16,1))=FALSE,LEFT(BI16,LEN(BI16)),LEFT(BI16,(FIND("-",BI16,1))-1))</f>
        <v>MRD</v>
      </c>
      <c r="BK16" s="1067"/>
    </row>
    <row r="17" spans="1:63" s="217" customFormat="1" ht="20.25" customHeight="1">
      <c r="A17" s="1070"/>
      <c r="B17" s="1106"/>
      <c r="C17" s="1107"/>
      <c r="D17" s="1108"/>
      <c r="E17" s="1109" t="s">
        <v>36</v>
      </c>
      <c r="F17" s="1110"/>
      <c r="G17" s="1111"/>
      <c r="H17" s="1112"/>
      <c r="I17" s="1112"/>
      <c r="J17" s="1112"/>
      <c r="K17" s="1113"/>
      <c r="L17" s="1114"/>
      <c r="M17" s="1115"/>
      <c r="N17" s="1115"/>
      <c r="O17" s="1116"/>
      <c r="P17" s="1117"/>
      <c r="Q17" s="1118"/>
      <c r="R17" s="1119">
        <f>SUM(R16:R16)</f>
        <v>92.105761770000001</v>
      </c>
      <c r="S17" s="1119">
        <f>SUM(S16:S16)</f>
        <v>37.579150802160001</v>
      </c>
      <c r="T17" s="1119">
        <f>SUM(T16:T16)</f>
        <v>0</v>
      </c>
      <c r="U17" s="1119">
        <f>SUM(U16:U16)</f>
        <v>0</v>
      </c>
      <c r="V17" s="2527">
        <f>SUM(V16:V16)</f>
        <v>129.68491257215999</v>
      </c>
      <c r="W17" s="1091">
        <f>IFERROR(INDEX([13]Code!I$8:I$33,MATCH('[13]$MRD-Annex'!$BG17,[13]Code!$G$8:$G$33,0)),"")</f>
        <v>0.76827006604510995</v>
      </c>
      <c r="X17" s="1092">
        <f>IFERROR(INDEX([13]Code!J$8:J$33,MATCH('[13]$MRD-Annex'!$BG17,[13]Code!$G$8:$G$33,0)),"")</f>
        <v>0.12645069473218948</v>
      </c>
      <c r="Y17" s="1092">
        <f>IFERROR(INDEX([13]Code!K$8:K$33,MATCH('[13]$MRD-Annex'!$BG17,[13]Code!$G$8:$G$33,0)),"")</f>
        <v>0.10527923922270058</v>
      </c>
      <c r="Z17" s="1092">
        <f>IFERROR(INDEX([13]Code!L$8:L$33,MATCH('[13]$MRD-Annex'!$BG17,[13]Code!$G$8:$G$33,0)),"")</f>
        <v>0</v>
      </c>
      <c r="AA17" s="1093">
        <f>IFERROR(INDEX([13]Code!M$8:M$33,MATCH('[13]$MRD-Annex'!$BG17,[13]Code!$G$8:$G$33,0)),"")</f>
        <v>0</v>
      </c>
      <c r="AB17" s="1121">
        <f>SUM(AB15:AB16)</f>
        <v>70.762099678173058</v>
      </c>
      <c r="AC17" s="1119">
        <f t="shared" ref="AC17:AP17" si="27">SUM(AC15:AC16)</f>
        <v>28.870936668694611</v>
      </c>
      <c r="AD17" s="1119">
        <f t="shared" si="27"/>
        <v>0</v>
      </c>
      <c r="AE17" s="1119">
        <f t="shared" si="27"/>
        <v>0</v>
      </c>
      <c r="AF17" s="1122">
        <f t="shared" si="27"/>
        <v>99.633036346867669</v>
      </c>
      <c r="AG17" s="1121">
        <f t="shared" si="27"/>
        <v>11.646837564654039</v>
      </c>
      <c r="AH17" s="1119">
        <f t="shared" si="27"/>
        <v>4.7519097263788472</v>
      </c>
      <c r="AI17" s="1119">
        <f t="shared" si="27"/>
        <v>0</v>
      </c>
      <c r="AJ17" s="1119">
        <f t="shared" si="27"/>
        <v>0</v>
      </c>
      <c r="AK17" s="1122">
        <f t="shared" si="27"/>
        <v>16.398747291032883</v>
      </c>
      <c r="AL17" s="1121">
        <f t="shared" si="27"/>
        <v>9.6968245271728986</v>
      </c>
      <c r="AM17" s="1119">
        <f t="shared" si="27"/>
        <v>3.956304407086543</v>
      </c>
      <c r="AN17" s="1119">
        <f t="shared" si="27"/>
        <v>0</v>
      </c>
      <c r="AO17" s="1119">
        <f t="shared" si="27"/>
        <v>0</v>
      </c>
      <c r="AP17" s="1122">
        <f t="shared" si="27"/>
        <v>13.653128934259442</v>
      </c>
      <c r="AQ17" s="1121"/>
      <c r="AR17" s="1119"/>
      <c r="AS17" s="1119"/>
      <c r="AT17" s="1119"/>
      <c r="AU17" s="1123"/>
      <c r="AV17" s="1124"/>
      <c r="AW17" s="1125"/>
      <c r="AX17" s="1125"/>
      <c r="AY17" s="1125"/>
      <c r="AZ17" s="1123"/>
      <c r="BA17" s="1126">
        <f>BA16</f>
        <v>99.633036346867669</v>
      </c>
      <c r="BB17" s="1127">
        <f>SUM(BB16)</f>
        <v>16.398747291032883</v>
      </c>
      <c r="BC17" s="1127">
        <f>SUM(BC16)</f>
        <v>13.65312893425944</v>
      </c>
      <c r="BD17" s="1127">
        <f>SUM(BD16)</f>
        <v>0</v>
      </c>
      <c r="BE17" s="1127">
        <f>SUM(BE16)</f>
        <v>0</v>
      </c>
      <c r="BF17" s="1067"/>
      <c r="BG17" s="1048"/>
      <c r="BH17" s="1048"/>
      <c r="BI17" s="1048">
        <f>IFERROR(INDEX('[14]Annex 2_Code'!$J$110:$J$127,MATCH('Annex 5_MRD'!BG17,'[14]Annex 2_Code'!$G$110:$G$127,0)),"")</f>
        <v>0</v>
      </c>
      <c r="BJ17" s="1084" t="str">
        <f t="shared" si="26"/>
        <v>0</v>
      </c>
      <c r="BK17" s="1067"/>
    </row>
    <row r="18" spans="1:63" s="217" customFormat="1" ht="20.25" customHeight="1">
      <c r="A18" s="1070"/>
      <c r="B18" s="57"/>
      <c r="C18" s="57"/>
      <c r="D18" s="2687" t="s">
        <v>939</v>
      </c>
      <c r="E18" s="2688"/>
      <c r="F18" s="2688"/>
      <c r="G18" s="2689"/>
      <c r="K18" s="1129"/>
      <c r="L18" s="1130"/>
      <c r="M18" s="1131"/>
      <c r="N18" s="1132"/>
      <c r="O18" s="1133"/>
      <c r="P18" s="1133"/>
      <c r="Q18" s="1134"/>
      <c r="R18" s="1089"/>
      <c r="S18" s="1089"/>
      <c r="T18" s="1089"/>
      <c r="U18" s="1089"/>
      <c r="V18" s="1090"/>
      <c r="W18" s="1091">
        <f>IFERROR(INDEX([13]Code!I$8:I$33,MATCH('[13]$MRD-Annex'!$BG15,[13]Code!$G$8:$G$33,0)),"")</f>
        <v>0.76827006604510995</v>
      </c>
      <c r="X18" s="1092">
        <f>IFERROR(INDEX([13]Code!J$8:J$33,MATCH('[13]$MRD-Annex'!$BG15,[13]Code!$G$8:$G$33,0)),"")</f>
        <v>0.12645069473218948</v>
      </c>
      <c r="Y18" s="1092">
        <f>IFERROR(INDEX([13]Code!K$8:K$33,MATCH('[13]$MRD-Annex'!$BG15,[13]Code!$G$8:$G$33,0)),"")</f>
        <v>0.10527923922270058</v>
      </c>
      <c r="Z18" s="1092">
        <f>IFERROR(INDEX([13]Code!L$8:L$33,MATCH('[13]$MRD-Annex'!$BG15,[13]Code!$G$8:$G$33,0)),"")</f>
        <v>0</v>
      </c>
      <c r="AA18" s="1093">
        <f>IFERROR(INDEX([13]Code!M$8:M$33,MATCH('[13]$MRD-Annex'!$BG15,[13]Code!$G$8:$G$33,0)),"")</f>
        <v>0</v>
      </c>
      <c r="AB18" s="1094">
        <f t="shared" ref="AB18:AE19" si="28">R18*$W18</f>
        <v>0</v>
      </c>
      <c r="AC18" s="1095">
        <f t="shared" si="28"/>
        <v>0</v>
      </c>
      <c r="AD18" s="1095">
        <f t="shared" si="28"/>
        <v>0</v>
      </c>
      <c r="AE18" s="1095">
        <f t="shared" si="28"/>
        <v>0</v>
      </c>
      <c r="AF18" s="1096">
        <f t="shared" ref="AF18:AF19" si="29">SUM(AB18:AE18)</f>
        <v>0</v>
      </c>
      <c r="AG18" s="1094">
        <f t="shared" ref="AG18:AK19" si="30">R18*$X18</f>
        <v>0</v>
      </c>
      <c r="AH18" s="1095">
        <f t="shared" si="30"/>
        <v>0</v>
      </c>
      <c r="AI18" s="1095">
        <f t="shared" si="30"/>
        <v>0</v>
      </c>
      <c r="AJ18" s="1095">
        <f t="shared" si="30"/>
        <v>0</v>
      </c>
      <c r="AK18" s="1096">
        <f t="shared" si="30"/>
        <v>0</v>
      </c>
      <c r="AL18" s="1095"/>
      <c r="AM18" s="1095"/>
      <c r="AN18" s="1095"/>
      <c r="AO18" s="1095"/>
      <c r="AP18" s="1097"/>
      <c r="AQ18" s="1094">
        <f t="shared" ref="AQ18:AT19" si="31">R18*$Z18</f>
        <v>0</v>
      </c>
      <c r="AR18" s="1095">
        <f t="shared" si="31"/>
        <v>0</v>
      </c>
      <c r="AS18" s="1095">
        <f t="shared" si="31"/>
        <v>0</v>
      </c>
      <c r="AT18" s="1095">
        <f t="shared" si="31"/>
        <v>0</v>
      </c>
      <c r="AU18" s="1098">
        <f t="shared" ref="AU18:AU19" si="32">SUM(AQ18:AT18)</f>
        <v>0</v>
      </c>
      <c r="AV18" s="1094">
        <f t="shared" ref="AV18:AY19" si="33">R18*$AA18</f>
        <v>0</v>
      </c>
      <c r="AW18" s="1095">
        <f t="shared" si="33"/>
        <v>0</v>
      </c>
      <c r="AX18" s="1095">
        <f t="shared" si="33"/>
        <v>0</v>
      </c>
      <c r="AY18" s="1095">
        <f t="shared" si="33"/>
        <v>0</v>
      </c>
      <c r="AZ18" s="1098">
        <f t="shared" ref="AZ18:AZ19" si="34">SUM(AV18:AY18)</f>
        <v>0</v>
      </c>
      <c r="BA18" s="1099">
        <f t="shared" ref="BA18:BA19" si="35">SUM($V18*W18)</f>
        <v>0</v>
      </c>
      <c r="BB18" s="1105">
        <f t="shared" ref="BB18:BE19" si="36">SUM($V18*X18)</f>
        <v>0</v>
      </c>
      <c r="BC18" s="1105">
        <f t="shared" si="36"/>
        <v>0</v>
      </c>
      <c r="BD18" s="1105">
        <f t="shared" si="36"/>
        <v>0</v>
      </c>
      <c r="BE18" s="1104">
        <f t="shared" si="36"/>
        <v>0</v>
      </c>
      <c r="BF18" s="1067"/>
      <c r="BG18" s="1048"/>
      <c r="BH18" s="1048"/>
      <c r="BI18" s="1048">
        <f>IFERROR(INDEX('[14]Annex 2_Code'!$J$110:$J$127,MATCH('Annex 5_MRD'!BG18,'[14]Annex 2_Code'!$G$110:$G$127,0)),"")</f>
        <v>0</v>
      </c>
      <c r="BJ18" s="1084" t="str">
        <f t="shared" si="11"/>
        <v>0</v>
      </c>
      <c r="BK18" s="1067"/>
    </row>
    <row r="19" spans="1:63" s="217" customFormat="1" ht="30" customHeight="1">
      <c r="A19" s="1070"/>
      <c r="B19" s="57" t="s">
        <v>22</v>
      </c>
      <c r="C19" s="57" t="s">
        <v>135</v>
      </c>
      <c r="D19" s="2692" t="s">
        <v>940</v>
      </c>
      <c r="E19" s="2693"/>
      <c r="F19" s="2693"/>
      <c r="G19" s="2694"/>
      <c r="H19" s="1534" t="s">
        <v>776</v>
      </c>
      <c r="I19" s="1534">
        <v>1239711.2000000002</v>
      </c>
      <c r="J19" s="1534">
        <v>-123077.13999999998</v>
      </c>
      <c r="K19" s="1535">
        <f>I19+J19</f>
        <v>1116634.0600000003</v>
      </c>
      <c r="L19" s="1128">
        <f>K19/1000</f>
        <v>1116.6340600000003</v>
      </c>
      <c r="M19" s="1536">
        <v>0.2283</v>
      </c>
      <c r="N19" s="1536">
        <v>0</v>
      </c>
      <c r="O19" s="1536">
        <v>0</v>
      </c>
      <c r="P19" s="1536">
        <v>0</v>
      </c>
      <c r="Q19" s="1103">
        <f t="shared" ref="Q19" si="37">SUM(M19:P19)</f>
        <v>0.2283</v>
      </c>
      <c r="R19" s="1100">
        <f>M19*L19</f>
        <v>254.92755589800007</v>
      </c>
      <c r="S19" s="1100">
        <f>N19*L19</f>
        <v>0</v>
      </c>
      <c r="T19" s="1100">
        <f>O19*L19</f>
        <v>0</v>
      </c>
      <c r="U19" s="1100">
        <f>P19*L19</f>
        <v>0</v>
      </c>
      <c r="V19" s="1135">
        <f>SUM(R19:U19)</f>
        <v>254.92755589800007</v>
      </c>
      <c r="W19" s="1091">
        <f>IFERROR(INDEX([13]Code!I$8:I$33,MATCH('[13]$MRD-Annex'!$BG16,[13]Code!$G$8:$G$33,0)),"")</f>
        <v>0.76827006604510995</v>
      </c>
      <c r="X19" s="1092">
        <f>IFERROR(INDEX([13]Code!J$8:J$33,MATCH('[13]$MRD-Annex'!$BG16,[13]Code!$G$8:$G$33,0)),"")</f>
        <v>0.12645069473218948</v>
      </c>
      <c r="Y19" s="1092">
        <f>IFERROR(INDEX([13]Code!K$8:K$33,MATCH('[13]$MRD-Annex'!$BG16,[13]Code!$G$8:$G$33,0)),"")</f>
        <v>0.10527923922270058</v>
      </c>
      <c r="Z19" s="1092">
        <f>IFERROR(INDEX([13]Code!L$8:L$33,MATCH('[13]$MRD-Annex'!$BG16,[13]Code!$G$8:$G$33,0)),"")</f>
        <v>0</v>
      </c>
      <c r="AA19" s="1093">
        <f>IFERROR(INDEX([13]Code!M$8:M$33,MATCH('[13]$MRD-Annex'!$BG16,[13]Code!$G$8:$G$33,0)),"")</f>
        <v>0</v>
      </c>
      <c r="AB19" s="1094">
        <f t="shared" si="28"/>
        <v>195.85321020647496</v>
      </c>
      <c r="AC19" s="1095">
        <f t="shared" si="28"/>
        <v>0</v>
      </c>
      <c r="AD19" s="1095">
        <f t="shared" si="28"/>
        <v>0</v>
      </c>
      <c r="AE19" s="1095">
        <f t="shared" si="28"/>
        <v>0</v>
      </c>
      <c r="AF19" s="1096">
        <f t="shared" si="29"/>
        <v>195.85321020647496</v>
      </c>
      <c r="AG19" s="1094">
        <f t="shared" si="30"/>
        <v>32.235766549681173</v>
      </c>
      <c r="AH19" s="1095">
        <f t="shared" si="30"/>
        <v>0</v>
      </c>
      <c r="AI19" s="1095">
        <f t="shared" si="30"/>
        <v>0</v>
      </c>
      <c r="AJ19" s="1095">
        <f t="shared" si="30"/>
        <v>0</v>
      </c>
      <c r="AK19" s="1096">
        <f t="shared" si="30"/>
        <v>32.235766549681173</v>
      </c>
      <c r="AL19" s="1095">
        <f t="shared" ref="AL19:AO19" si="38">R19*$Y19</f>
        <v>26.838579141843923</v>
      </c>
      <c r="AM19" s="1095">
        <f t="shared" si="38"/>
        <v>0</v>
      </c>
      <c r="AN19" s="1095">
        <f t="shared" si="38"/>
        <v>0</v>
      </c>
      <c r="AO19" s="1095">
        <f t="shared" si="38"/>
        <v>0</v>
      </c>
      <c r="AP19" s="1097">
        <f t="shared" ref="AP19" si="39">SUM(AL19:AO19)</f>
        <v>26.838579141843923</v>
      </c>
      <c r="AQ19" s="1094">
        <f t="shared" si="31"/>
        <v>0</v>
      </c>
      <c r="AR19" s="1095">
        <f t="shared" si="31"/>
        <v>0</v>
      </c>
      <c r="AS19" s="1095">
        <f t="shared" si="31"/>
        <v>0</v>
      </c>
      <c r="AT19" s="1095">
        <f t="shared" si="31"/>
        <v>0</v>
      </c>
      <c r="AU19" s="1098">
        <f t="shared" si="32"/>
        <v>0</v>
      </c>
      <c r="AV19" s="1094">
        <f t="shared" si="33"/>
        <v>0</v>
      </c>
      <c r="AW19" s="1095">
        <f t="shared" si="33"/>
        <v>0</v>
      </c>
      <c r="AX19" s="1095">
        <f t="shared" si="33"/>
        <v>0</v>
      </c>
      <c r="AY19" s="1095">
        <f t="shared" si="33"/>
        <v>0</v>
      </c>
      <c r="AZ19" s="1098">
        <f t="shared" si="34"/>
        <v>0</v>
      </c>
      <c r="BA19" s="1099">
        <f t="shared" si="35"/>
        <v>195.85321020647496</v>
      </c>
      <c r="BB19" s="1105">
        <f t="shared" si="36"/>
        <v>32.235766549681173</v>
      </c>
      <c r="BC19" s="1105">
        <f t="shared" si="36"/>
        <v>26.838579141843923</v>
      </c>
      <c r="BD19" s="1105">
        <f t="shared" si="36"/>
        <v>0</v>
      </c>
      <c r="BE19" s="1104">
        <f t="shared" si="36"/>
        <v>0</v>
      </c>
      <c r="BF19" s="1067"/>
      <c r="BG19" s="1048" t="s">
        <v>181</v>
      </c>
      <c r="BH19" s="1048" t="s">
        <v>181</v>
      </c>
      <c r="BI19" s="1048" t="str">
        <f>IFERROR(INDEX('[14]Annex 2_Code'!$J$110:$J$127,MATCH('Annex 5_MRD'!BG19,'[14]Annex 2_Code'!$G$110:$G$127,0)),"")</f>
        <v>MRD</v>
      </c>
      <c r="BJ19" s="1084" t="str">
        <f t="shared" si="11"/>
        <v>MRD</v>
      </c>
      <c r="BK19" s="1067"/>
    </row>
    <row r="20" spans="1:63" s="217" customFormat="1" ht="20.25" customHeight="1">
      <c r="A20" s="1070"/>
      <c r="B20" s="1106"/>
      <c r="C20" s="1107"/>
      <c r="D20" s="1108"/>
      <c r="E20" s="1109" t="s">
        <v>36</v>
      </c>
      <c r="F20" s="1110"/>
      <c r="G20" s="1111"/>
      <c r="H20" s="1112"/>
      <c r="I20" s="1112"/>
      <c r="J20" s="1112"/>
      <c r="K20" s="1113"/>
      <c r="L20" s="1114"/>
      <c r="M20" s="1136"/>
      <c r="N20" s="1115"/>
      <c r="O20" s="1116"/>
      <c r="P20" s="1117"/>
      <c r="Q20" s="1118"/>
      <c r="R20" s="1119">
        <f>SUM(R19:R19)</f>
        <v>254.92755589800007</v>
      </c>
      <c r="S20" s="1119">
        <f>SUM(S19:S19)</f>
        <v>0</v>
      </c>
      <c r="T20" s="1119">
        <f>SUM(T19:T19)</f>
        <v>0</v>
      </c>
      <c r="U20" s="1119">
        <f>SUM(U19:U19)</f>
        <v>0</v>
      </c>
      <c r="V20" s="2527">
        <f>SUM(V19:V19)</f>
        <v>254.92755589800007</v>
      </c>
      <c r="W20" s="1091">
        <f>IFERROR(INDEX([13]Code!I$8:I$33,MATCH('[13]$MRD-Annex'!$BG17,[13]Code!$G$8:$G$33,0)),"")</f>
        <v>0.76827006604510995</v>
      </c>
      <c r="X20" s="1092">
        <f>IFERROR(INDEX([13]Code!J$8:J$33,MATCH('[13]$MRD-Annex'!$BG17,[13]Code!$G$8:$G$33,0)),"")</f>
        <v>0.12645069473218948</v>
      </c>
      <c r="Y20" s="1092">
        <f>IFERROR(INDEX([13]Code!K$8:K$33,MATCH('[13]$MRD-Annex'!$BG17,[13]Code!$G$8:$G$33,0)),"")</f>
        <v>0.10527923922270058</v>
      </c>
      <c r="Z20" s="1092">
        <f>IFERROR(INDEX([13]Code!L$8:L$33,MATCH('[13]$MRD-Annex'!$BG17,[13]Code!$G$8:$G$33,0)),"")</f>
        <v>0</v>
      </c>
      <c r="AA20" s="1093">
        <f>IFERROR(INDEX([13]Code!M$8:M$33,MATCH('[13]$MRD-Annex'!$BG17,[13]Code!$G$8:$G$33,0)),"")</f>
        <v>0</v>
      </c>
      <c r="AB20" s="1121">
        <f t="shared" ref="AB20:AP20" si="40">SUM(AB18:AB19)</f>
        <v>195.85321020647496</v>
      </c>
      <c r="AC20" s="1119">
        <f t="shared" si="40"/>
        <v>0</v>
      </c>
      <c r="AD20" s="1119">
        <f t="shared" si="40"/>
        <v>0</v>
      </c>
      <c r="AE20" s="1119">
        <f t="shared" si="40"/>
        <v>0</v>
      </c>
      <c r="AF20" s="1122">
        <f t="shared" si="40"/>
        <v>195.85321020647496</v>
      </c>
      <c r="AG20" s="1121">
        <f t="shared" si="40"/>
        <v>32.235766549681173</v>
      </c>
      <c r="AH20" s="1119">
        <f t="shared" si="40"/>
        <v>0</v>
      </c>
      <c r="AI20" s="1119">
        <f t="shared" si="40"/>
        <v>0</v>
      </c>
      <c r="AJ20" s="1119">
        <f t="shared" si="40"/>
        <v>0</v>
      </c>
      <c r="AK20" s="1122">
        <f t="shared" si="40"/>
        <v>32.235766549681173</v>
      </c>
      <c r="AL20" s="1121">
        <f t="shared" si="40"/>
        <v>26.838579141843923</v>
      </c>
      <c r="AM20" s="1119">
        <f t="shared" si="40"/>
        <v>0</v>
      </c>
      <c r="AN20" s="1119">
        <f t="shared" si="40"/>
        <v>0</v>
      </c>
      <c r="AO20" s="1119">
        <f t="shared" si="40"/>
        <v>0</v>
      </c>
      <c r="AP20" s="1122">
        <f t="shared" si="40"/>
        <v>26.838579141843923</v>
      </c>
      <c r="AQ20" s="1121"/>
      <c r="AR20" s="1119"/>
      <c r="AS20" s="1119"/>
      <c r="AT20" s="1119"/>
      <c r="AU20" s="1123"/>
      <c r="AV20" s="1124"/>
      <c r="AW20" s="1125"/>
      <c r="AX20" s="1125"/>
      <c r="AY20" s="1125"/>
      <c r="AZ20" s="1123"/>
      <c r="BA20" s="1126">
        <f>SUM(BA19)</f>
        <v>195.85321020647496</v>
      </c>
      <c r="BB20" s="1127">
        <f>SUM(BB18:BB19)</f>
        <v>32.235766549681173</v>
      </c>
      <c r="BC20" s="1127">
        <f>SUM(BC18:BC19)</f>
        <v>26.838579141843923</v>
      </c>
      <c r="BD20" s="1127">
        <f>SUM(BD18:BD19)</f>
        <v>0</v>
      </c>
      <c r="BE20" s="1120">
        <f>SUM(BE18:BE19)</f>
        <v>0</v>
      </c>
      <c r="BF20" s="1067"/>
      <c r="BG20" s="1048"/>
      <c r="BH20" s="1048"/>
      <c r="BI20" s="1048">
        <f>IFERROR(INDEX('[14]Annex 2_Code'!$J$110:$J$127,MATCH('Annex 5_MRD'!BG20,'[14]Annex 2_Code'!$G$110:$G$127,0)),"")</f>
        <v>0</v>
      </c>
      <c r="BJ20" s="1084" t="str">
        <f t="shared" si="11"/>
        <v>0</v>
      </c>
      <c r="BK20" s="1067"/>
    </row>
    <row r="21" spans="1:63" s="217" customFormat="1" ht="20.25" customHeight="1">
      <c r="A21" s="1070"/>
      <c r="B21" s="57"/>
      <c r="C21" s="57"/>
      <c r="D21" s="2687" t="s">
        <v>941</v>
      </c>
      <c r="E21" s="2688"/>
      <c r="F21" s="2688"/>
      <c r="G21" s="2689"/>
      <c r="K21" s="1129"/>
      <c r="L21" s="1130"/>
      <c r="M21" s="1131"/>
      <c r="N21" s="1132"/>
      <c r="O21" s="1133"/>
      <c r="P21" s="1133"/>
      <c r="Q21" s="1134"/>
      <c r="R21" s="1089"/>
      <c r="S21" s="1089"/>
      <c r="T21" s="1089"/>
      <c r="U21" s="1089"/>
      <c r="V21" s="1090"/>
      <c r="W21" s="1091">
        <f>IFERROR(INDEX([13]Code!I$8:I$33,MATCH('[13]$MRD-Annex'!$BG18,[13]Code!$G$8:$G$33,0)),"")</f>
        <v>0.76827006604510995</v>
      </c>
      <c r="X21" s="1092">
        <f>IFERROR(INDEX([13]Code!J$8:J$33,MATCH('[13]$MRD-Annex'!$BG18,[13]Code!$G$8:$G$33,0)),"")</f>
        <v>0.12645069473218948</v>
      </c>
      <c r="Y21" s="1092">
        <f>IFERROR(INDEX([13]Code!K$8:K$33,MATCH('[13]$MRD-Annex'!$BG18,[13]Code!$G$8:$G$33,0)),"")</f>
        <v>0.10527923922270058</v>
      </c>
      <c r="Z21" s="1092">
        <f>IFERROR(INDEX([13]Code!L$8:L$33,MATCH('[13]$MRD-Annex'!$BG18,[13]Code!$G$8:$G$33,0)),"")</f>
        <v>0</v>
      </c>
      <c r="AA21" s="1093">
        <f>IFERROR(INDEX([13]Code!M$8:M$33,MATCH('[13]$MRD-Annex'!$BG18,[13]Code!$G$8:$G$33,0)),"")</f>
        <v>0</v>
      </c>
      <c r="AB21" s="1094">
        <f t="shared" ref="AB21:AE22" si="41">R21*$W21</f>
        <v>0</v>
      </c>
      <c r="AC21" s="1095">
        <f t="shared" si="41"/>
        <v>0</v>
      </c>
      <c r="AD21" s="1095">
        <f t="shared" si="41"/>
        <v>0</v>
      </c>
      <c r="AE21" s="1095">
        <f t="shared" si="41"/>
        <v>0</v>
      </c>
      <c r="AF21" s="1096">
        <f t="shared" ref="AF21:AF22" si="42">SUM(AB21:AE21)</f>
        <v>0</v>
      </c>
      <c r="AG21" s="1094">
        <f t="shared" ref="AG21:AK22" si="43">R21*$X21</f>
        <v>0</v>
      </c>
      <c r="AH21" s="1095">
        <f t="shared" si="43"/>
        <v>0</v>
      </c>
      <c r="AI21" s="1095">
        <f t="shared" si="43"/>
        <v>0</v>
      </c>
      <c r="AJ21" s="1095">
        <f t="shared" si="43"/>
        <v>0</v>
      </c>
      <c r="AK21" s="1096">
        <f t="shared" si="43"/>
        <v>0</v>
      </c>
      <c r="AL21" s="1095"/>
      <c r="AM21" s="1095"/>
      <c r="AN21" s="1095"/>
      <c r="AO21" s="1095"/>
      <c r="AP21" s="1097"/>
      <c r="AQ21" s="1094">
        <f t="shared" ref="AQ21:AT22" si="44">R21*$Z21</f>
        <v>0</v>
      </c>
      <c r="AR21" s="1095">
        <f t="shared" si="44"/>
        <v>0</v>
      </c>
      <c r="AS21" s="1095">
        <f t="shared" si="44"/>
        <v>0</v>
      </c>
      <c r="AT21" s="1095">
        <f t="shared" si="44"/>
        <v>0</v>
      </c>
      <c r="AU21" s="1098">
        <f t="shared" ref="AU21:AU22" si="45">SUM(AQ21:AT21)</f>
        <v>0</v>
      </c>
      <c r="AV21" s="1094">
        <f t="shared" ref="AV21:AY22" si="46">R21*$AA21</f>
        <v>0</v>
      </c>
      <c r="AW21" s="1095">
        <f t="shared" si="46"/>
        <v>0</v>
      </c>
      <c r="AX21" s="1095">
        <f t="shared" si="46"/>
        <v>0</v>
      </c>
      <c r="AY21" s="1095">
        <f t="shared" si="46"/>
        <v>0</v>
      </c>
      <c r="AZ21" s="1098">
        <f t="shared" ref="AZ21:AZ22" si="47">SUM(AV21:AY21)</f>
        <v>0</v>
      </c>
      <c r="BA21" s="1099">
        <f t="shared" ref="BA21:BA22" si="48">SUM($V21*W21)</f>
        <v>0</v>
      </c>
      <c r="BB21" s="1105">
        <f t="shared" ref="BB21:BE22" si="49">SUM($V21*X21)</f>
        <v>0</v>
      </c>
      <c r="BC21" s="1105">
        <f t="shared" si="49"/>
        <v>0</v>
      </c>
      <c r="BD21" s="1105">
        <f t="shared" si="49"/>
        <v>0</v>
      </c>
      <c r="BE21" s="1104">
        <f t="shared" si="49"/>
        <v>0</v>
      </c>
      <c r="BF21" s="1067"/>
      <c r="BG21" s="1048"/>
      <c r="BH21" s="1048"/>
      <c r="BI21" s="1048">
        <f>IFERROR(INDEX('[14]Annex 2_Code'!$J$110:$J$127,MATCH('Annex 5_MRD'!BG21,'[14]Annex 2_Code'!$G$110:$G$127,0)),"")</f>
        <v>0</v>
      </c>
      <c r="BJ21" s="1084" t="str">
        <f t="shared" si="11"/>
        <v>0</v>
      </c>
      <c r="BK21" s="1067"/>
    </row>
    <row r="22" spans="1:63" s="217" customFormat="1" ht="30" customHeight="1">
      <c r="A22" s="1070"/>
      <c r="B22" s="57" t="s">
        <v>22</v>
      </c>
      <c r="C22" s="57" t="s">
        <v>135</v>
      </c>
      <c r="D22" s="2692" t="s">
        <v>942</v>
      </c>
      <c r="E22" s="2693"/>
      <c r="F22" s="2693"/>
      <c r="G22" s="2694"/>
      <c r="H22" s="1534" t="s">
        <v>776</v>
      </c>
      <c r="I22" s="1534">
        <v>1444588.37</v>
      </c>
      <c r="J22" s="1534">
        <v>221091.16999999998</v>
      </c>
      <c r="K22" s="1535">
        <f>I22+J22</f>
        <v>1665679.54</v>
      </c>
      <c r="L22" s="1128">
        <f>K22/1000</f>
        <v>1665.6795400000001</v>
      </c>
      <c r="M22" s="1536">
        <v>0.18</v>
      </c>
      <c r="N22" s="1536">
        <f>0.3757-0.18</f>
        <v>0.19569999999999999</v>
      </c>
      <c r="O22" s="1536">
        <v>0</v>
      </c>
      <c r="P22" s="1536">
        <v>0</v>
      </c>
      <c r="Q22" s="1103">
        <f t="shared" ref="Q22" si="50">SUM(M22:P22)</f>
        <v>0.37569999999999998</v>
      </c>
      <c r="R22" s="1100">
        <f>M22*L22</f>
        <v>299.82231719999999</v>
      </c>
      <c r="S22" s="1100">
        <f>N22*L22</f>
        <v>325.97348597799999</v>
      </c>
      <c r="T22" s="1100">
        <f>O22*L22</f>
        <v>0</v>
      </c>
      <c r="U22" s="1100">
        <f>P22*L22</f>
        <v>0</v>
      </c>
      <c r="V22" s="1135">
        <f>SUM(R22:U22)</f>
        <v>625.79580317799991</v>
      </c>
      <c r="W22" s="1091">
        <f>IFERROR(INDEX([13]Code!I$8:I$33,MATCH('[13]$MRD-Annex'!$BG19,[13]Code!$G$8:$G$33,0)),"")</f>
        <v>0.76827006604510995</v>
      </c>
      <c r="X22" s="1092">
        <f>IFERROR(INDEX([13]Code!J$8:J$33,MATCH('[13]$MRD-Annex'!$BG19,[13]Code!$G$8:$G$33,0)),"")</f>
        <v>0.12645069473218948</v>
      </c>
      <c r="Y22" s="1092">
        <f>IFERROR(INDEX([13]Code!K$8:K$33,MATCH('[13]$MRD-Annex'!$BG19,[13]Code!$G$8:$G$33,0)),"")</f>
        <v>0.10527923922270058</v>
      </c>
      <c r="Z22" s="1092">
        <f>IFERROR(INDEX([13]Code!L$8:L$33,MATCH('[13]$MRD-Annex'!$BG19,[13]Code!$G$8:$G$33,0)),"")</f>
        <v>0</v>
      </c>
      <c r="AA22" s="1093">
        <f>IFERROR(INDEX([13]Code!M$8:M$33,MATCH('[13]$MRD-Annex'!$BG19,[13]Code!$G$8:$G$33,0)),"")</f>
        <v>0</v>
      </c>
      <c r="AB22" s="1094">
        <f t="shared" si="41"/>
        <v>230.34451143704189</v>
      </c>
      <c r="AC22" s="1095">
        <f t="shared" si="41"/>
        <v>250.43567160127276</v>
      </c>
      <c r="AD22" s="1095">
        <f t="shared" si="41"/>
        <v>0</v>
      </c>
      <c r="AE22" s="1095">
        <f t="shared" si="41"/>
        <v>0</v>
      </c>
      <c r="AF22" s="1096">
        <f t="shared" si="42"/>
        <v>480.78018303831465</v>
      </c>
      <c r="AG22" s="1094">
        <f t="shared" si="43"/>
        <v>37.91274030615488</v>
      </c>
      <c r="AH22" s="1095">
        <f t="shared" si="43"/>
        <v>41.219573766191722</v>
      </c>
      <c r="AI22" s="1095">
        <f t="shared" si="43"/>
        <v>0</v>
      </c>
      <c r="AJ22" s="1095">
        <f t="shared" si="43"/>
        <v>0</v>
      </c>
      <c r="AK22" s="1096">
        <f t="shared" si="43"/>
        <v>79.132314072346603</v>
      </c>
      <c r="AL22" s="1095">
        <f t="shared" ref="AL22:AO22" si="51">R22*$Y22</f>
        <v>31.565065456803211</v>
      </c>
      <c r="AM22" s="1095">
        <f t="shared" si="51"/>
        <v>34.31824061053549</v>
      </c>
      <c r="AN22" s="1095">
        <f t="shared" si="51"/>
        <v>0</v>
      </c>
      <c r="AO22" s="1095">
        <f t="shared" si="51"/>
        <v>0</v>
      </c>
      <c r="AP22" s="1097">
        <f t="shared" ref="AP22" si="52">SUM(AL22:AO22)</f>
        <v>65.883306067338708</v>
      </c>
      <c r="AQ22" s="1094">
        <f t="shared" si="44"/>
        <v>0</v>
      </c>
      <c r="AR22" s="1095">
        <f t="shared" si="44"/>
        <v>0</v>
      </c>
      <c r="AS22" s="1095">
        <f t="shared" si="44"/>
        <v>0</v>
      </c>
      <c r="AT22" s="1095">
        <f t="shared" si="44"/>
        <v>0</v>
      </c>
      <c r="AU22" s="1098">
        <f t="shared" si="45"/>
        <v>0</v>
      </c>
      <c r="AV22" s="1094">
        <f t="shared" si="46"/>
        <v>0</v>
      </c>
      <c r="AW22" s="1095">
        <f t="shared" si="46"/>
        <v>0</v>
      </c>
      <c r="AX22" s="1095">
        <f t="shared" si="46"/>
        <v>0</v>
      </c>
      <c r="AY22" s="1095">
        <f t="shared" si="46"/>
        <v>0</v>
      </c>
      <c r="AZ22" s="1098">
        <f t="shared" si="47"/>
        <v>0</v>
      </c>
      <c r="BA22" s="1099">
        <f t="shared" si="48"/>
        <v>480.78018303831465</v>
      </c>
      <c r="BB22" s="1105">
        <f t="shared" si="49"/>
        <v>79.132314072346603</v>
      </c>
      <c r="BC22" s="1105">
        <f t="shared" si="49"/>
        <v>65.883306067338694</v>
      </c>
      <c r="BD22" s="1105">
        <f t="shared" si="49"/>
        <v>0</v>
      </c>
      <c r="BE22" s="1104">
        <f t="shared" si="49"/>
        <v>0</v>
      </c>
      <c r="BF22" s="1067"/>
      <c r="BG22" s="1048" t="s">
        <v>181</v>
      </c>
      <c r="BH22" s="1048" t="s">
        <v>181</v>
      </c>
      <c r="BI22" s="1048" t="str">
        <f>IFERROR(INDEX('[14]Annex 2_Code'!$J$110:$J$127,MATCH('Annex 5_MRD'!BG22,'[14]Annex 2_Code'!$G$110:$G$127,0)),"")</f>
        <v>MRD</v>
      </c>
      <c r="BJ22" s="1084" t="str">
        <f t="shared" si="11"/>
        <v>MRD</v>
      </c>
      <c r="BK22" s="1067"/>
    </row>
    <row r="23" spans="1:63" s="217" customFormat="1" ht="20.25" customHeight="1">
      <c r="A23" s="1070"/>
      <c r="B23" s="1106"/>
      <c r="C23" s="1107"/>
      <c r="D23" s="1108"/>
      <c r="E23" s="1109" t="s">
        <v>36</v>
      </c>
      <c r="F23" s="1110"/>
      <c r="G23" s="1111"/>
      <c r="H23" s="1112"/>
      <c r="I23" s="1112"/>
      <c r="J23" s="1112"/>
      <c r="K23" s="1113"/>
      <c r="L23" s="1114"/>
      <c r="M23" s="1136"/>
      <c r="N23" s="1115"/>
      <c r="O23" s="1116"/>
      <c r="P23" s="1117"/>
      <c r="Q23" s="1118"/>
      <c r="R23" s="1119">
        <f>SUM(R22:R22)</f>
        <v>299.82231719999999</v>
      </c>
      <c r="S23" s="1119">
        <f>SUM(S22:S22)</f>
        <v>325.97348597799999</v>
      </c>
      <c r="T23" s="1119">
        <f>SUM(T22:T22)</f>
        <v>0</v>
      </c>
      <c r="U23" s="1119">
        <f>SUM(U22:U22)</f>
        <v>0</v>
      </c>
      <c r="V23" s="2527">
        <f>SUM(V22:V22)</f>
        <v>625.79580317799991</v>
      </c>
      <c r="W23" s="1091">
        <f>IFERROR(INDEX([13]Code!I$8:I$33,MATCH('[13]$MRD-Annex'!$BG20,[13]Code!$G$8:$G$33,0)),"")</f>
        <v>0.76827006604510995</v>
      </c>
      <c r="X23" s="1092">
        <f>IFERROR(INDEX([13]Code!J$8:J$33,MATCH('[13]$MRD-Annex'!$BG20,[13]Code!$G$8:$G$33,0)),"")</f>
        <v>0.12645069473218948</v>
      </c>
      <c r="Y23" s="1092">
        <f>IFERROR(INDEX([13]Code!K$8:K$33,MATCH('[13]$MRD-Annex'!$BG20,[13]Code!$G$8:$G$33,0)),"")</f>
        <v>0.10527923922270058</v>
      </c>
      <c r="Z23" s="1092">
        <f>IFERROR(INDEX([13]Code!L$8:L$33,MATCH('[13]$MRD-Annex'!$BG20,[13]Code!$G$8:$G$33,0)),"")</f>
        <v>0</v>
      </c>
      <c r="AA23" s="1093">
        <f>IFERROR(INDEX([13]Code!M$8:M$33,MATCH('[13]$MRD-Annex'!$BG20,[13]Code!$G$8:$G$33,0)),"")</f>
        <v>0</v>
      </c>
      <c r="AB23" s="1121">
        <f t="shared" ref="AB23:AP23" si="53">SUM(AB21:AB22)</f>
        <v>230.34451143704189</v>
      </c>
      <c r="AC23" s="1119">
        <f t="shared" si="53"/>
        <v>250.43567160127276</v>
      </c>
      <c r="AD23" s="1119">
        <f t="shared" si="53"/>
        <v>0</v>
      </c>
      <c r="AE23" s="1119">
        <f t="shared" si="53"/>
        <v>0</v>
      </c>
      <c r="AF23" s="1122">
        <f t="shared" si="53"/>
        <v>480.78018303831465</v>
      </c>
      <c r="AG23" s="1121">
        <f t="shared" si="53"/>
        <v>37.91274030615488</v>
      </c>
      <c r="AH23" s="1119">
        <f t="shared" si="53"/>
        <v>41.219573766191722</v>
      </c>
      <c r="AI23" s="1119">
        <f t="shared" si="53"/>
        <v>0</v>
      </c>
      <c r="AJ23" s="1119">
        <f t="shared" si="53"/>
        <v>0</v>
      </c>
      <c r="AK23" s="1122">
        <f t="shared" si="53"/>
        <v>79.132314072346603</v>
      </c>
      <c r="AL23" s="1121">
        <f t="shared" si="53"/>
        <v>31.565065456803211</v>
      </c>
      <c r="AM23" s="1119">
        <f t="shared" si="53"/>
        <v>34.31824061053549</v>
      </c>
      <c r="AN23" s="1119">
        <f t="shared" si="53"/>
        <v>0</v>
      </c>
      <c r="AO23" s="1119">
        <f t="shared" si="53"/>
        <v>0</v>
      </c>
      <c r="AP23" s="1122">
        <f t="shared" si="53"/>
        <v>65.883306067338708</v>
      </c>
      <c r="AQ23" s="1121"/>
      <c r="AR23" s="1119"/>
      <c r="AS23" s="1119"/>
      <c r="AT23" s="1119"/>
      <c r="AU23" s="1123"/>
      <c r="AV23" s="1124"/>
      <c r="AW23" s="1125"/>
      <c r="AX23" s="1125"/>
      <c r="AY23" s="1125"/>
      <c r="AZ23" s="1123"/>
      <c r="BA23" s="1126">
        <f>SUM(BA22)</f>
        <v>480.78018303831465</v>
      </c>
      <c r="BB23" s="1127">
        <f>SUM(BB21:BB22)</f>
        <v>79.132314072346603</v>
      </c>
      <c r="BC23" s="1127">
        <f>SUM(BC21:BC22)</f>
        <v>65.883306067338694</v>
      </c>
      <c r="BD23" s="1127">
        <f>SUM(BD21:BD22)</f>
        <v>0</v>
      </c>
      <c r="BE23" s="1120">
        <f>SUM(BE21:BE22)</f>
        <v>0</v>
      </c>
      <c r="BF23" s="1067"/>
      <c r="BG23" s="1048"/>
      <c r="BH23" s="1048"/>
      <c r="BI23" s="1048">
        <f>IFERROR(INDEX('[14]Annex 2_Code'!$J$110:$J$127,MATCH('Annex 5_MRD'!BG23,'[14]Annex 2_Code'!$G$110:$G$127,0)),"")</f>
        <v>0</v>
      </c>
      <c r="BJ23" s="1084" t="str">
        <f t="shared" si="11"/>
        <v>0</v>
      </c>
      <c r="BK23" s="1067"/>
    </row>
    <row r="24" spans="1:63" s="217" customFormat="1" ht="20.25" customHeight="1">
      <c r="A24" s="1070"/>
      <c r="B24" s="57"/>
      <c r="C24" s="57"/>
      <c r="D24" s="2687" t="s">
        <v>943</v>
      </c>
      <c r="E24" s="2688"/>
      <c r="F24" s="2688"/>
      <c r="G24" s="2689"/>
      <c r="K24" s="1137"/>
      <c r="L24" s="1130"/>
      <c r="M24" s="1132"/>
      <c r="N24" s="1132"/>
      <c r="O24" s="1133"/>
      <c r="P24" s="1133"/>
      <c r="Q24" s="182"/>
      <c r="R24" s="1089"/>
      <c r="S24" s="1089"/>
      <c r="T24" s="1089"/>
      <c r="U24" s="1089"/>
      <c r="V24" s="1090"/>
      <c r="W24" s="1091">
        <f>IFERROR(INDEX([13]Code!I$8:I$33,MATCH('[13]$MRD-Annex'!$BG18,[13]Code!$G$8:$G$33,0)),"")</f>
        <v>0.76827006604510995</v>
      </c>
      <c r="X24" s="1092">
        <f>IFERROR(INDEX([13]Code!J$8:J$33,MATCH('[13]$MRD-Annex'!$BG18,[13]Code!$G$8:$G$33,0)),"")</f>
        <v>0.12645069473218948</v>
      </c>
      <c r="Y24" s="1092">
        <f>IFERROR(INDEX([13]Code!K$8:K$33,MATCH('[13]$MRD-Annex'!$BG18,[13]Code!$G$8:$G$33,0)),"")</f>
        <v>0.10527923922270058</v>
      </c>
      <c r="Z24" s="1092">
        <f>IFERROR(INDEX([13]Code!L$8:L$33,MATCH('[13]$MRD-Annex'!$BG18,[13]Code!$G$8:$G$33,0)),"")</f>
        <v>0</v>
      </c>
      <c r="AA24" s="1093">
        <f>IFERROR(INDEX([13]Code!M$8:M$33,MATCH('[13]$MRD-Annex'!$BG18,[13]Code!$G$8:$G$33,0)),"")</f>
        <v>0</v>
      </c>
      <c r="AB24" s="1094">
        <f t="shared" ref="AB24:AE25" si="54">R24*$W24</f>
        <v>0</v>
      </c>
      <c r="AC24" s="1095">
        <f t="shared" si="54"/>
        <v>0</v>
      </c>
      <c r="AD24" s="1095">
        <f t="shared" si="54"/>
        <v>0</v>
      </c>
      <c r="AE24" s="1095">
        <f t="shared" si="54"/>
        <v>0</v>
      </c>
      <c r="AF24" s="1096">
        <f t="shared" ref="AF24:AF25" si="55">SUM(AB24:AE24)</f>
        <v>0</v>
      </c>
      <c r="AG24" s="1094">
        <f t="shared" ref="AG24:AK25" si="56">R24*$X24</f>
        <v>0</v>
      </c>
      <c r="AH24" s="1095">
        <f t="shared" si="56"/>
        <v>0</v>
      </c>
      <c r="AI24" s="1095">
        <f t="shared" si="56"/>
        <v>0</v>
      </c>
      <c r="AJ24" s="1095">
        <f t="shared" si="56"/>
        <v>0</v>
      </c>
      <c r="AK24" s="1096">
        <f t="shared" si="56"/>
        <v>0</v>
      </c>
      <c r="AL24" s="1095"/>
      <c r="AM24" s="1095"/>
      <c r="AN24" s="1095"/>
      <c r="AO24" s="1095"/>
      <c r="AP24" s="1097"/>
      <c r="AQ24" s="1094">
        <f t="shared" ref="AQ24:AT25" si="57">R24*$Z24</f>
        <v>0</v>
      </c>
      <c r="AR24" s="1095">
        <f t="shared" si="57"/>
        <v>0</v>
      </c>
      <c r="AS24" s="1095">
        <f t="shared" si="57"/>
        <v>0</v>
      </c>
      <c r="AT24" s="1095">
        <f t="shared" si="57"/>
        <v>0</v>
      </c>
      <c r="AU24" s="1098">
        <f>SUM(AQ24:AT24)</f>
        <v>0</v>
      </c>
      <c r="AV24" s="1094">
        <f t="shared" ref="AV24:AY25" si="58">R24*$AA24</f>
        <v>0</v>
      </c>
      <c r="AW24" s="1095">
        <f t="shared" si="58"/>
        <v>0</v>
      </c>
      <c r="AX24" s="1095">
        <f t="shared" si="58"/>
        <v>0</v>
      </c>
      <c r="AY24" s="1095">
        <f t="shared" si="58"/>
        <v>0</v>
      </c>
      <c r="AZ24" s="1098">
        <f>SUM(AV24:AY24)</f>
        <v>0</v>
      </c>
      <c r="BA24" s="1099"/>
      <c r="BB24" s="1100"/>
      <c r="BC24" s="1100"/>
      <c r="BD24" s="1100"/>
      <c r="BE24" s="1101"/>
      <c r="BF24" s="1067"/>
      <c r="BG24" s="1048"/>
      <c r="BH24" s="1048"/>
      <c r="BI24" s="1048">
        <f>IFERROR(INDEX('[14]Annex 2_Code'!$J$110:$J$127,MATCH('Annex 5_MRD'!BG24,'[14]Annex 2_Code'!$G$110:$G$127,0)),"")</f>
        <v>0</v>
      </c>
      <c r="BJ24" s="1084" t="str">
        <f t="shared" si="11"/>
        <v>0</v>
      </c>
      <c r="BK24" s="1067"/>
    </row>
    <row r="25" spans="1:63" s="217" customFormat="1" ht="32.25" customHeight="1">
      <c r="A25" s="1070"/>
      <c r="B25" s="57" t="s">
        <v>22</v>
      </c>
      <c r="C25" s="57" t="s">
        <v>135</v>
      </c>
      <c r="D25" s="2692" t="s">
        <v>944</v>
      </c>
      <c r="E25" s="2693"/>
      <c r="F25" s="2693"/>
      <c r="G25" s="2694"/>
      <c r="H25" s="1534" t="s">
        <v>776</v>
      </c>
      <c r="I25" s="1534">
        <v>1103011.81</v>
      </c>
      <c r="J25" s="1534">
        <v>31447.769999999993</v>
      </c>
      <c r="K25" s="1535">
        <f>I25+J25</f>
        <v>1134459.58</v>
      </c>
      <c r="L25" s="1128">
        <f>K25/1000</f>
        <v>1134.4595800000002</v>
      </c>
      <c r="M25" s="1536">
        <v>0.3</v>
      </c>
      <c r="N25" s="1536">
        <f>0.4831-M25</f>
        <v>0.18309999999999998</v>
      </c>
      <c r="O25" s="1536">
        <v>0</v>
      </c>
      <c r="P25" s="1536">
        <v>0</v>
      </c>
      <c r="Q25" s="1103">
        <f>SUM(M25:P25)</f>
        <v>0.48309999999999997</v>
      </c>
      <c r="R25" s="1100">
        <f>M25*L25</f>
        <v>340.33787400000006</v>
      </c>
      <c r="S25" s="1100">
        <f>N25*L25</f>
        <v>207.71954909800002</v>
      </c>
      <c r="T25" s="1100">
        <f>O25*L25</f>
        <v>0</v>
      </c>
      <c r="U25" s="1100">
        <f>P25*L25</f>
        <v>0</v>
      </c>
      <c r="V25" s="1104">
        <f t="shared" ref="V25" si="59">SUM(R25:U25)</f>
        <v>548.05742309800007</v>
      </c>
      <c r="W25" s="1091">
        <f>IFERROR(INDEX([13]Code!I$8:I$33,MATCH('[13]$MRD-Annex'!$BG19,[13]Code!$G$8:$G$33,0)),"")</f>
        <v>0.76827006604510995</v>
      </c>
      <c r="X25" s="1092">
        <f>IFERROR(INDEX([13]Code!J$8:J$33,MATCH('[13]$MRD-Annex'!$BG19,[13]Code!$G$8:$G$33,0)),"")</f>
        <v>0.12645069473218948</v>
      </c>
      <c r="Y25" s="1092">
        <f>IFERROR(INDEX([13]Code!K$8:K$33,MATCH('[13]$MRD-Annex'!$BG19,[13]Code!$G$8:$G$33,0)),"")</f>
        <v>0.10527923922270058</v>
      </c>
      <c r="Z25" s="1092">
        <f>IFERROR(INDEX([13]Code!L$8:L$33,MATCH('[13]$MRD-Annex'!$BG19,[13]Code!$G$8:$G$33,0)),"")</f>
        <v>0</v>
      </c>
      <c r="AA25" s="1093">
        <f>IFERROR(INDEX([13]Code!M$8:M$33,MATCH('[13]$MRD-Annex'!$BG19,[13]Code!$G$8:$G$33,0)),"")</f>
        <v>0</v>
      </c>
      <c r="AB25" s="1094">
        <f t="shared" si="54"/>
        <v>261.47140093563235</v>
      </c>
      <c r="AC25" s="1095">
        <f t="shared" si="54"/>
        <v>159.58471170438094</v>
      </c>
      <c r="AD25" s="1095">
        <f t="shared" si="54"/>
        <v>0</v>
      </c>
      <c r="AE25" s="1095">
        <f t="shared" si="54"/>
        <v>0</v>
      </c>
      <c r="AF25" s="1096">
        <f t="shared" si="55"/>
        <v>421.05611264001328</v>
      </c>
      <c r="AG25" s="1094">
        <f t="shared" si="56"/>
        <v>43.035960610976375</v>
      </c>
      <c r="AH25" s="1095">
        <f t="shared" si="56"/>
        <v>26.266281292899244</v>
      </c>
      <c r="AI25" s="1095">
        <f t="shared" si="56"/>
        <v>0</v>
      </c>
      <c r="AJ25" s="1095">
        <f t="shared" si="56"/>
        <v>0</v>
      </c>
      <c r="AK25" s="1096">
        <f t="shared" si="56"/>
        <v>69.302241903875611</v>
      </c>
      <c r="AL25" s="1095">
        <f t="shared" ref="AL25:AO25" si="60">R25*$Y25</f>
        <v>35.830512453391336</v>
      </c>
      <c r="AM25" s="1095">
        <f t="shared" si="60"/>
        <v>21.868556100719843</v>
      </c>
      <c r="AN25" s="1095">
        <f t="shared" si="60"/>
        <v>0</v>
      </c>
      <c r="AO25" s="1095">
        <f t="shared" si="60"/>
        <v>0</v>
      </c>
      <c r="AP25" s="1097">
        <f t="shared" ref="AP25" si="61">SUM(AL25:AO25)</f>
        <v>57.699068554111179</v>
      </c>
      <c r="AQ25" s="1094">
        <f t="shared" si="57"/>
        <v>0</v>
      </c>
      <c r="AR25" s="1095">
        <f t="shared" si="57"/>
        <v>0</v>
      </c>
      <c r="AS25" s="1095">
        <f t="shared" si="57"/>
        <v>0</v>
      </c>
      <c r="AT25" s="1095">
        <f t="shared" si="57"/>
        <v>0</v>
      </c>
      <c r="AU25" s="1098">
        <f t="shared" ref="AU25" si="62">SUM(AQ25:AT25)</f>
        <v>0</v>
      </c>
      <c r="AV25" s="1094">
        <f t="shared" si="58"/>
        <v>0</v>
      </c>
      <c r="AW25" s="1095">
        <f t="shared" si="58"/>
        <v>0</v>
      </c>
      <c r="AX25" s="1095">
        <f t="shared" si="58"/>
        <v>0</v>
      </c>
      <c r="AY25" s="1095">
        <f t="shared" si="58"/>
        <v>0</v>
      </c>
      <c r="AZ25" s="1098">
        <f t="shared" ref="AZ25" si="63">SUM(AV25:AY25)</f>
        <v>0</v>
      </c>
      <c r="BA25" s="1099">
        <f t="shared" ref="BA25" si="64">SUM($V25*W25)</f>
        <v>421.05611264001328</v>
      </c>
      <c r="BB25" s="1105">
        <f t="shared" ref="BB25:BE25" si="65">SUM($V25*X25)</f>
        <v>69.302241903875611</v>
      </c>
      <c r="BC25" s="1105">
        <f t="shared" si="65"/>
        <v>57.699068554111172</v>
      </c>
      <c r="BD25" s="1105">
        <f t="shared" si="65"/>
        <v>0</v>
      </c>
      <c r="BE25" s="1104">
        <f t="shared" si="65"/>
        <v>0</v>
      </c>
      <c r="BF25" s="1067"/>
      <c r="BG25" s="1048" t="s">
        <v>181</v>
      </c>
      <c r="BH25" s="1048" t="s">
        <v>181</v>
      </c>
      <c r="BI25" s="1048" t="str">
        <f>IFERROR(INDEX('[14]Annex 2_Code'!$J$110:$J$127,MATCH('Annex 5_MRD'!BG25,'[14]Annex 2_Code'!$G$110:$G$127,0)),"")</f>
        <v>MRD</v>
      </c>
      <c r="BJ25" s="1084" t="str">
        <f t="shared" si="11"/>
        <v>MRD</v>
      </c>
      <c r="BK25" s="1067"/>
    </row>
    <row r="26" spans="1:63" s="217" customFormat="1" ht="20.25" customHeight="1">
      <c r="A26" s="1070"/>
      <c r="B26" s="1106"/>
      <c r="C26" s="1107"/>
      <c r="D26" s="1108"/>
      <c r="E26" s="1109" t="s">
        <v>36</v>
      </c>
      <c r="F26" s="1110"/>
      <c r="G26" s="1111"/>
      <c r="H26" s="1112"/>
      <c r="I26" s="1112"/>
      <c r="J26" s="1112"/>
      <c r="K26" s="1113"/>
      <c r="L26" s="1114"/>
      <c r="M26" s="1136"/>
      <c r="N26" s="1115"/>
      <c r="O26" s="1116"/>
      <c r="P26" s="1117"/>
      <c r="Q26" s="1118"/>
      <c r="R26" s="1119">
        <f>SUM(R25:R25)</f>
        <v>340.33787400000006</v>
      </c>
      <c r="S26" s="1119">
        <f>SUM(S25:S25)</f>
        <v>207.71954909800002</v>
      </c>
      <c r="T26" s="1119">
        <f>SUM(T25:T25)</f>
        <v>0</v>
      </c>
      <c r="U26" s="1119">
        <f>SUM(U25:U25)</f>
        <v>0</v>
      </c>
      <c r="V26" s="2527">
        <f>SUM(V25:V25)</f>
        <v>548.05742309800007</v>
      </c>
      <c r="W26" s="1091">
        <f>IFERROR(INDEX([13]Code!I$8:I$33,MATCH('[13]$MRD-Annex'!$BG20,[13]Code!$G$8:$G$33,0)),"")</f>
        <v>0.76827006604510995</v>
      </c>
      <c r="X26" s="1092">
        <f>IFERROR(INDEX([13]Code!J$8:J$33,MATCH('[13]$MRD-Annex'!$BG20,[13]Code!$G$8:$G$33,0)),"")</f>
        <v>0.12645069473218948</v>
      </c>
      <c r="Y26" s="1092">
        <f>IFERROR(INDEX([13]Code!K$8:K$33,MATCH('[13]$MRD-Annex'!$BG20,[13]Code!$G$8:$G$33,0)),"")</f>
        <v>0.10527923922270058</v>
      </c>
      <c r="Z26" s="1092">
        <f>IFERROR(INDEX([13]Code!L$8:L$33,MATCH('[13]$MRD-Annex'!$BG20,[13]Code!$G$8:$G$33,0)),"")</f>
        <v>0</v>
      </c>
      <c r="AA26" s="1093">
        <f>IFERROR(INDEX([13]Code!M$8:M$33,MATCH('[13]$MRD-Annex'!$BG20,[13]Code!$G$8:$G$33,0)),"")</f>
        <v>0</v>
      </c>
      <c r="AB26" s="1121">
        <f t="shared" ref="AB26:AP26" si="66">SUM(AB24:AB25)</f>
        <v>261.47140093563235</v>
      </c>
      <c r="AC26" s="1119">
        <f t="shared" si="66"/>
        <v>159.58471170438094</v>
      </c>
      <c r="AD26" s="1119">
        <f t="shared" si="66"/>
        <v>0</v>
      </c>
      <c r="AE26" s="1119">
        <f t="shared" si="66"/>
        <v>0</v>
      </c>
      <c r="AF26" s="1122">
        <f t="shared" si="66"/>
        <v>421.05611264001328</v>
      </c>
      <c r="AG26" s="1121">
        <f t="shared" si="66"/>
        <v>43.035960610976375</v>
      </c>
      <c r="AH26" s="1119">
        <f t="shared" si="66"/>
        <v>26.266281292899244</v>
      </c>
      <c r="AI26" s="1119">
        <f t="shared" si="66"/>
        <v>0</v>
      </c>
      <c r="AJ26" s="1119">
        <f t="shared" si="66"/>
        <v>0</v>
      </c>
      <c r="AK26" s="1122">
        <f t="shared" si="66"/>
        <v>69.302241903875611</v>
      </c>
      <c r="AL26" s="1121">
        <f t="shared" si="66"/>
        <v>35.830512453391336</v>
      </c>
      <c r="AM26" s="1119">
        <f t="shared" si="66"/>
        <v>21.868556100719843</v>
      </c>
      <c r="AN26" s="1119">
        <f t="shared" si="66"/>
        <v>0</v>
      </c>
      <c r="AO26" s="1119">
        <f t="shared" si="66"/>
        <v>0</v>
      </c>
      <c r="AP26" s="1122">
        <f t="shared" si="66"/>
        <v>57.699068554111179</v>
      </c>
      <c r="AQ26" s="1121"/>
      <c r="AR26" s="1119"/>
      <c r="AS26" s="1119"/>
      <c r="AT26" s="1119"/>
      <c r="AU26" s="1123"/>
      <c r="AV26" s="1124"/>
      <c r="AW26" s="1125"/>
      <c r="AX26" s="1125"/>
      <c r="AY26" s="1125"/>
      <c r="AZ26" s="1123"/>
      <c r="BA26" s="1126">
        <f>SUM(BA25)</f>
        <v>421.05611264001328</v>
      </c>
      <c r="BB26" s="1127">
        <f>SUM(BB25)</f>
        <v>69.302241903875611</v>
      </c>
      <c r="BC26" s="1127">
        <f>SUM(BC25)</f>
        <v>57.699068554111172</v>
      </c>
      <c r="BD26" s="1127">
        <f>SUM(BD25)</f>
        <v>0</v>
      </c>
      <c r="BE26" s="1120">
        <f>SUM(BE25)</f>
        <v>0</v>
      </c>
      <c r="BF26" s="1067"/>
      <c r="BG26" s="1048"/>
      <c r="BH26" s="1048"/>
      <c r="BI26" s="1048">
        <f>IFERROR(INDEX('[14]Annex 2_Code'!$J$110:$J$127,MATCH('Annex 5_MRD'!BG26,'[14]Annex 2_Code'!$G$110:$G$127,0)),"")</f>
        <v>0</v>
      </c>
      <c r="BJ26" s="1084" t="str">
        <f t="shared" si="11"/>
        <v>0</v>
      </c>
      <c r="BK26" s="1067"/>
    </row>
    <row r="27" spans="1:63" s="217" customFormat="1" ht="20.25" customHeight="1">
      <c r="A27" s="1070"/>
      <c r="B27" s="57"/>
      <c r="C27" s="57"/>
      <c r="D27" s="2687" t="s">
        <v>945</v>
      </c>
      <c r="E27" s="2688"/>
      <c r="F27" s="2688"/>
      <c r="G27" s="2689"/>
      <c r="K27" s="1137"/>
      <c r="L27" s="1130"/>
      <c r="M27" s="1132"/>
      <c r="N27" s="1132"/>
      <c r="O27" s="1133"/>
      <c r="P27" s="1133"/>
      <c r="Q27" s="182"/>
      <c r="R27" s="1089"/>
      <c r="S27" s="1089"/>
      <c r="T27" s="1089"/>
      <c r="U27" s="1089"/>
      <c r="V27" s="1090"/>
      <c r="W27" s="1091">
        <f>IFERROR(INDEX([13]Code!I$8:I$33,MATCH('[13]$MRD-Annex'!$BG21,[13]Code!$G$8:$G$33,0)),"")</f>
        <v>0.76827006604510995</v>
      </c>
      <c r="X27" s="1092">
        <f>IFERROR(INDEX([13]Code!J$8:J$33,MATCH('[13]$MRD-Annex'!$BG21,[13]Code!$G$8:$G$33,0)),"")</f>
        <v>0.12645069473218948</v>
      </c>
      <c r="Y27" s="1092">
        <f>IFERROR(INDEX([13]Code!K$8:K$33,MATCH('[13]$MRD-Annex'!$BG21,[13]Code!$G$8:$G$33,0)),"")</f>
        <v>0.10527923922270058</v>
      </c>
      <c r="Z27" s="1092">
        <f>IFERROR(INDEX([13]Code!L$8:L$33,MATCH('[13]$MRD-Annex'!$BG21,[13]Code!$G$8:$G$33,0)),"")</f>
        <v>0</v>
      </c>
      <c r="AA27" s="1093">
        <f>IFERROR(INDEX([13]Code!M$8:M$33,MATCH('[13]$MRD-Annex'!$BG21,[13]Code!$G$8:$G$33,0)),"")</f>
        <v>0</v>
      </c>
      <c r="AB27" s="1094">
        <f t="shared" ref="AB27:AE28" si="67">R27*$W27</f>
        <v>0</v>
      </c>
      <c r="AC27" s="1095">
        <f t="shared" si="67"/>
        <v>0</v>
      </c>
      <c r="AD27" s="1095">
        <f t="shared" si="67"/>
        <v>0</v>
      </c>
      <c r="AE27" s="1095">
        <f t="shared" si="67"/>
        <v>0</v>
      </c>
      <c r="AF27" s="1096">
        <f t="shared" ref="AF27:AF28" si="68">SUM(AB27:AE27)</f>
        <v>0</v>
      </c>
      <c r="AG27" s="1094">
        <f t="shared" ref="AG27:AK28" si="69">R27*$X27</f>
        <v>0</v>
      </c>
      <c r="AH27" s="1095">
        <f t="shared" si="69"/>
        <v>0</v>
      </c>
      <c r="AI27" s="1095">
        <f t="shared" si="69"/>
        <v>0</v>
      </c>
      <c r="AJ27" s="1095">
        <f t="shared" si="69"/>
        <v>0</v>
      </c>
      <c r="AK27" s="1096">
        <f t="shared" si="69"/>
        <v>0</v>
      </c>
      <c r="AL27" s="1095"/>
      <c r="AM27" s="1095"/>
      <c r="AN27" s="1095"/>
      <c r="AO27" s="1095"/>
      <c r="AP27" s="1097"/>
      <c r="AQ27" s="1094">
        <f t="shared" ref="AQ27:AT28" si="70">R27*$Z27</f>
        <v>0</v>
      </c>
      <c r="AR27" s="1095">
        <f t="shared" si="70"/>
        <v>0</v>
      </c>
      <c r="AS27" s="1095">
        <f t="shared" si="70"/>
        <v>0</v>
      </c>
      <c r="AT27" s="1095">
        <f t="shared" si="70"/>
        <v>0</v>
      </c>
      <c r="AU27" s="1098">
        <f>SUM(AQ27:AT27)</f>
        <v>0</v>
      </c>
      <c r="AV27" s="1094">
        <f t="shared" ref="AV27:AY28" si="71">R27*$AA27</f>
        <v>0</v>
      </c>
      <c r="AW27" s="1095">
        <f t="shared" si="71"/>
        <v>0</v>
      </c>
      <c r="AX27" s="1095">
        <f t="shared" si="71"/>
        <v>0</v>
      </c>
      <c r="AY27" s="1095">
        <f t="shared" si="71"/>
        <v>0</v>
      </c>
      <c r="AZ27" s="1098">
        <f>SUM(AV27:AY27)</f>
        <v>0</v>
      </c>
      <c r="BA27" s="1099"/>
      <c r="BB27" s="1100"/>
      <c r="BC27" s="1100"/>
      <c r="BD27" s="1100"/>
      <c r="BE27" s="1101"/>
      <c r="BF27" s="1067"/>
      <c r="BG27" s="1048"/>
      <c r="BH27" s="1048"/>
      <c r="BI27" s="1048">
        <f>IFERROR(INDEX('[14]Annex 2_Code'!$J$110:$J$127,MATCH('Annex 5_MRD'!BG27,'[14]Annex 2_Code'!$G$110:$G$127,0)),"")</f>
        <v>0</v>
      </c>
      <c r="BJ27" s="1084" t="str">
        <f t="shared" si="11"/>
        <v>0</v>
      </c>
      <c r="BK27" s="1067"/>
    </row>
    <row r="28" spans="1:63" s="217" customFormat="1" ht="32.25" customHeight="1">
      <c r="A28" s="1070"/>
      <c r="B28" s="57" t="s">
        <v>22</v>
      </c>
      <c r="C28" s="57" t="s">
        <v>135</v>
      </c>
      <c r="D28" s="2692" t="s">
        <v>946</v>
      </c>
      <c r="E28" s="2693"/>
      <c r="F28" s="2693"/>
      <c r="G28" s="2694"/>
      <c r="H28" s="1534" t="s">
        <v>776</v>
      </c>
      <c r="I28" s="1534">
        <v>611183.48</v>
      </c>
      <c r="J28" s="1534">
        <v>76442.31</v>
      </c>
      <c r="K28" s="1535">
        <f>I28+J28</f>
        <v>687625.79</v>
      </c>
      <c r="L28" s="1128">
        <f>K28/1000</f>
        <v>687.62579000000005</v>
      </c>
      <c r="M28" s="1536">
        <v>0.49</v>
      </c>
      <c r="N28" s="1536">
        <f>0.6356-M28</f>
        <v>0.14560000000000006</v>
      </c>
      <c r="O28" s="1536">
        <v>0</v>
      </c>
      <c r="P28" s="1536">
        <v>0</v>
      </c>
      <c r="Q28" s="1103">
        <f>SUM(M28:P28)</f>
        <v>0.63560000000000005</v>
      </c>
      <c r="R28" s="1100">
        <f>M28*L28</f>
        <v>336.93663710000004</v>
      </c>
      <c r="S28" s="1100">
        <f>N28*L28</f>
        <v>100.11831502400005</v>
      </c>
      <c r="T28" s="1100">
        <f>O28*L28</f>
        <v>0</v>
      </c>
      <c r="U28" s="1100">
        <f>P28*L28</f>
        <v>0</v>
      </c>
      <c r="V28" s="1104">
        <f t="shared" ref="V28" si="72">SUM(R28:U28)</f>
        <v>437.05495212400012</v>
      </c>
      <c r="W28" s="1091">
        <f>IFERROR(INDEX([13]Code!I$8:I$33,MATCH('[13]$MRD-Annex'!$BG22,[13]Code!$G$8:$G$33,0)),"")</f>
        <v>0.76827006604510995</v>
      </c>
      <c r="X28" s="1092">
        <f>IFERROR(INDEX([13]Code!J$8:J$33,MATCH('[13]$MRD-Annex'!$BG22,[13]Code!$G$8:$G$33,0)),"")</f>
        <v>0.12645069473218948</v>
      </c>
      <c r="Y28" s="1092">
        <f>IFERROR(INDEX([13]Code!K$8:K$33,MATCH('[13]$MRD-Annex'!$BG22,[13]Code!$G$8:$G$33,0)),"")</f>
        <v>0.10527923922270058</v>
      </c>
      <c r="Z28" s="1092">
        <f>IFERROR(INDEX([13]Code!L$8:L$33,MATCH('[13]$MRD-Annex'!$BG22,[13]Code!$G$8:$G$33,0)),"")</f>
        <v>0</v>
      </c>
      <c r="AA28" s="1093">
        <f>IFERROR(INDEX([13]Code!M$8:M$33,MATCH('[13]$MRD-Annex'!$BG22,[13]Code!$G$8:$G$33,0)),"")</f>
        <v>0</v>
      </c>
      <c r="AB28" s="1094">
        <f t="shared" si="67"/>
        <v>258.85833243783429</v>
      </c>
      <c r="AC28" s="1095">
        <f t="shared" si="67"/>
        <v>76.917904495813644</v>
      </c>
      <c r="AD28" s="1095">
        <f t="shared" si="67"/>
        <v>0</v>
      </c>
      <c r="AE28" s="1095">
        <f t="shared" si="67"/>
        <v>0</v>
      </c>
      <c r="AF28" s="1096">
        <f t="shared" si="68"/>
        <v>335.77623693364797</v>
      </c>
      <c r="AG28" s="1094">
        <f t="shared" si="69"/>
        <v>42.605871842022616</v>
      </c>
      <c r="AH28" s="1095">
        <f t="shared" si="69"/>
        <v>12.660030490201011</v>
      </c>
      <c r="AI28" s="1095">
        <f t="shared" si="69"/>
        <v>0</v>
      </c>
      <c r="AJ28" s="1095">
        <f t="shared" si="69"/>
        <v>0</v>
      </c>
      <c r="AK28" s="1096">
        <f t="shared" si="69"/>
        <v>55.265902332223625</v>
      </c>
      <c r="AL28" s="1095">
        <f t="shared" ref="AL28:AO28" si="73">R28*$Y28</f>
        <v>35.472432820143155</v>
      </c>
      <c r="AM28" s="1095">
        <f t="shared" si="73"/>
        <v>10.540380037985399</v>
      </c>
      <c r="AN28" s="1095">
        <f t="shared" si="73"/>
        <v>0</v>
      </c>
      <c r="AO28" s="1095">
        <f t="shared" si="73"/>
        <v>0</v>
      </c>
      <c r="AP28" s="1097">
        <f t="shared" ref="AP28" si="74">SUM(AL28:AO28)</f>
        <v>46.012812858128555</v>
      </c>
      <c r="AQ28" s="1094">
        <f t="shared" si="70"/>
        <v>0</v>
      </c>
      <c r="AR28" s="1095">
        <f t="shared" si="70"/>
        <v>0</v>
      </c>
      <c r="AS28" s="1095">
        <f t="shared" si="70"/>
        <v>0</v>
      </c>
      <c r="AT28" s="1095">
        <f t="shared" si="70"/>
        <v>0</v>
      </c>
      <c r="AU28" s="1098">
        <f t="shared" ref="AU28" si="75">SUM(AQ28:AT28)</f>
        <v>0</v>
      </c>
      <c r="AV28" s="1094">
        <f t="shared" si="71"/>
        <v>0</v>
      </c>
      <c r="AW28" s="1095">
        <f t="shared" si="71"/>
        <v>0</v>
      </c>
      <c r="AX28" s="1095">
        <f t="shared" si="71"/>
        <v>0</v>
      </c>
      <c r="AY28" s="1095">
        <f t="shared" si="71"/>
        <v>0</v>
      </c>
      <c r="AZ28" s="1098">
        <f t="shared" ref="AZ28" si="76">SUM(AV28:AY28)</f>
        <v>0</v>
      </c>
      <c r="BA28" s="1099">
        <f t="shared" ref="BA28" si="77">SUM($V28*W28)</f>
        <v>335.77623693364797</v>
      </c>
      <c r="BB28" s="1105">
        <f t="shared" ref="BB28:BE28" si="78">SUM($V28*X28)</f>
        <v>55.265902332223625</v>
      </c>
      <c r="BC28" s="1105">
        <f t="shared" si="78"/>
        <v>46.012812858128555</v>
      </c>
      <c r="BD28" s="1105">
        <f t="shared" si="78"/>
        <v>0</v>
      </c>
      <c r="BE28" s="1104">
        <f t="shared" si="78"/>
        <v>0</v>
      </c>
      <c r="BF28" s="1067"/>
      <c r="BG28" s="1048" t="s">
        <v>181</v>
      </c>
      <c r="BH28" s="1048" t="s">
        <v>181</v>
      </c>
      <c r="BI28" s="1048" t="str">
        <f>IFERROR(INDEX('[14]Annex 2_Code'!$J$110:$J$127,MATCH('Annex 5_MRD'!BG28,'[14]Annex 2_Code'!$G$110:$G$127,0)),"")</f>
        <v>MRD</v>
      </c>
      <c r="BJ28" s="1084" t="str">
        <f t="shared" si="11"/>
        <v>MRD</v>
      </c>
      <c r="BK28" s="1067"/>
    </row>
    <row r="29" spans="1:63" s="217" customFormat="1" ht="20.25" customHeight="1">
      <c r="A29" s="1070"/>
      <c r="B29" s="1106"/>
      <c r="C29" s="1107"/>
      <c r="D29" s="1108"/>
      <c r="E29" s="1109" t="s">
        <v>36</v>
      </c>
      <c r="F29" s="1110"/>
      <c r="G29" s="1111"/>
      <c r="H29" s="1112"/>
      <c r="I29" s="1112"/>
      <c r="J29" s="1112"/>
      <c r="K29" s="1113"/>
      <c r="L29" s="1114"/>
      <c r="M29" s="1136"/>
      <c r="N29" s="1115"/>
      <c r="O29" s="1116"/>
      <c r="P29" s="1117"/>
      <c r="Q29" s="1118"/>
      <c r="R29" s="1119">
        <f>SUM(R28:R28)</f>
        <v>336.93663710000004</v>
      </c>
      <c r="S29" s="1119">
        <f>SUM(S28:S28)</f>
        <v>100.11831502400005</v>
      </c>
      <c r="T29" s="1119">
        <f>SUM(T28:T28)</f>
        <v>0</v>
      </c>
      <c r="U29" s="1119">
        <f>SUM(U28:U28)</f>
        <v>0</v>
      </c>
      <c r="V29" s="2527">
        <f>SUM(V28:V28)</f>
        <v>437.05495212400012</v>
      </c>
      <c r="W29" s="1091">
        <f>IFERROR(INDEX([13]Code!I$8:I$33,MATCH('[13]$MRD-Annex'!$BG23,[13]Code!$G$8:$G$33,0)),"")</f>
        <v>0.76827006604510995</v>
      </c>
      <c r="X29" s="1092">
        <f>IFERROR(INDEX([13]Code!J$8:J$33,MATCH('[13]$MRD-Annex'!$BG23,[13]Code!$G$8:$G$33,0)),"")</f>
        <v>0.12645069473218948</v>
      </c>
      <c r="Y29" s="1092">
        <f>IFERROR(INDEX([13]Code!K$8:K$33,MATCH('[13]$MRD-Annex'!$BG23,[13]Code!$G$8:$G$33,0)),"")</f>
        <v>0.10527923922270058</v>
      </c>
      <c r="Z29" s="1092">
        <f>IFERROR(INDEX([13]Code!L$8:L$33,MATCH('[13]$MRD-Annex'!$BG23,[13]Code!$G$8:$G$33,0)),"")</f>
        <v>0</v>
      </c>
      <c r="AA29" s="1093">
        <f>IFERROR(INDEX([13]Code!M$8:M$33,MATCH('[13]$MRD-Annex'!$BG23,[13]Code!$G$8:$G$33,0)),"")</f>
        <v>0</v>
      </c>
      <c r="AB29" s="1121">
        <f t="shared" ref="AB29:AP29" si="79">SUM(AB27:AB28)</f>
        <v>258.85833243783429</v>
      </c>
      <c r="AC29" s="1119">
        <f t="shared" si="79"/>
        <v>76.917904495813644</v>
      </c>
      <c r="AD29" s="1119">
        <f t="shared" si="79"/>
        <v>0</v>
      </c>
      <c r="AE29" s="1119">
        <f t="shared" si="79"/>
        <v>0</v>
      </c>
      <c r="AF29" s="1122">
        <f t="shared" si="79"/>
        <v>335.77623693364797</v>
      </c>
      <c r="AG29" s="1121">
        <f t="shared" si="79"/>
        <v>42.605871842022616</v>
      </c>
      <c r="AH29" s="1119">
        <f t="shared" si="79"/>
        <v>12.660030490201011</v>
      </c>
      <c r="AI29" s="1119">
        <f t="shared" si="79"/>
        <v>0</v>
      </c>
      <c r="AJ29" s="1119">
        <f t="shared" si="79"/>
        <v>0</v>
      </c>
      <c r="AK29" s="1122">
        <f t="shared" si="79"/>
        <v>55.265902332223625</v>
      </c>
      <c r="AL29" s="1121">
        <f t="shared" si="79"/>
        <v>35.472432820143155</v>
      </c>
      <c r="AM29" s="1119">
        <f t="shared" si="79"/>
        <v>10.540380037985399</v>
      </c>
      <c r="AN29" s="1119">
        <f t="shared" si="79"/>
        <v>0</v>
      </c>
      <c r="AO29" s="1119">
        <f t="shared" si="79"/>
        <v>0</v>
      </c>
      <c r="AP29" s="1122">
        <f t="shared" si="79"/>
        <v>46.012812858128555</v>
      </c>
      <c r="AQ29" s="1121"/>
      <c r="AR29" s="1119"/>
      <c r="AS29" s="1119"/>
      <c r="AT29" s="1119"/>
      <c r="AU29" s="1123"/>
      <c r="AV29" s="1124"/>
      <c r="AW29" s="1125"/>
      <c r="AX29" s="1125"/>
      <c r="AY29" s="1125"/>
      <c r="AZ29" s="1123"/>
      <c r="BA29" s="1126">
        <f>SUM(BA28)</f>
        <v>335.77623693364797</v>
      </c>
      <c r="BB29" s="1127">
        <f>SUM(BB28)</f>
        <v>55.265902332223625</v>
      </c>
      <c r="BC29" s="1127">
        <f>SUM(BC28)</f>
        <v>46.012812858128555</v>
      </c>
      <c r="BD29" s="1127">
        <f>SUM(BD28)</f>
        <v>0</v>
      </c>
      <c r="BE29" s="1120">
        <f>SUM(BE28)</f>
        <v>0</v>
      </c>
      <c r="BF29" s="1067"/>
      <c r="BG29" s="1048"/>
      <c r="BH29" s="1048"/>
      <c r="BI29" s="1048">
        <f>IFERROR(INDEX('[14]Annex 2_Code'!$J$110:$J$127,MATCH('Annex 5_MRD'!BG29,'[14]Annex 2_Code'!$G$110:$G$127,0)),"")</f>
        <v>0</v>
      </c>
      <c r="BJ29" s="1084" t="str">
        <f t="shared" si="11"/>
        <v>0</v>
      </c>
      <c r="BK29" s="1067"/>
    </row>
    <row r="30" spans="1:63" s="217" customFormat="1" ht="20.25" customHeight="1">
      <c r="A30" s="1070"/>
      <c r="B30" s="57"/>
      <c r="C30" s="57"/>
      <c r="D30" s="2687" t="s">
        <v>947</v>
      </c>
      <c r="E30" s="2688"/>
      <c r="F30" s="2688"/>
      <c r="G30" s="2689"/>
      <c r="K30" s="1137"/>
      <c r="L30" s="1130"/>
      <c r="M30" s="1132"/>
      <c r="N30" s="1132"/>
      <c r="O30" s="1138"/>
      <c r="P30" s="1138"/>
      <c r="Q30" s="1139"/>
      <c r="R30" s="1140"/>
      <c r="S30" s="1140"/>
      <c r="T30" s="1140"/>
      <c r="U30" s="1140"/>
      <c r="V30" s="1141"/>
      <c r="W30" s="1091">
        <f>IFERROR(INDEX([13]Code!I$8:I$33,MATCH('[13]$MRD-Annex'!$BG21,[13]Code!$G$8:$G$33,0)),"")</f>
        <v>0.76827006604510995</v>
      </c>
      <c r="X30" s="1092">
        <f>IFERROR(INDEX([13]Code!J$8:J$33,MATCH('[13]$MRD-Annex'!$BG21,[13]Code!$G$8:$G$33,0)),"")</f>
        <v>0.12645069473218948</v>
      </c>
      <c r="Y30" s="1092">
        <f>IFERROR(INDEX([13]Code!K$8:K$33,MATCH('[13]$MRD-Annex'!$BG21,[13]Code!$G$8:$G$33,0)),"")</f>
        <v>0.10527923922270058</v>
      </c>
      <c r="Z30" s="1092">
        <f>IFERROR(INDEX([13]Code!L$8:L$33,MATCH('[13]$MRD-Annex'!$BG21,[13]Code!$G$8:$G$33,0)),"")</f>
        <v>0</v>
      </c>
      <c r="AA30" s="1093">
        <f>IFERROR(INDEX([13]Code!M$8:M$33,MATCH('[13]$MRD-Annex'!$BG21,[13]Code!$G$8:$G$33,0)),"")</f>
        <v>0</v>
      </c>
      <c r="AB30" s="1142"/>
      <c r="AC30" s="1143"/>
      <c r="AD30" s="1143"/>
      <c r="AE30" s="1143"/>
      <c r="AF30" s="1144"/>
      <c r="AG30" s="1142"/>
      <c r="AH30" s="1143"/>
      <c r="AI30" s="1143"/>
      <c r="AJ30" s="1143"/>
      <c r="AK30" s="1144"/>
      <c r="AL30" s="1143"/>
      <c r="AM30" s="1143"/>
      <c r="AN30" s="1143"/>
      <c r="AO30" s="1143"/>
      <c r="AP30" s="1145"/>
      <c r="AQ30" s="1142"/>
      <c r="AR30" s="1143"/>
      <c r="AS30" s="1143"/>
      <c r="AT30" s="1143"/>
      <c r="AU30" s="1082"/>
      <c r="AV30" s="1081"/>
      <c r="AW30" s="59"/>
      <c r="AX30" s="59"/>
      <c r="AY30" s="59"/>
      <c r="AZ30" s="1082"/>
      <c r="BA30" s="1146"/>
      <c r="BB30" s="344"/>
      <c r="BC30" s="344"/>
      <c r="BD30" s="344"/>
      <c r="BE30" s="1147"/>
      <c r="BF30" s="1067"/>
      <c r="BG30" s="1048"/>
      <c r="BH30" s="1048"/>
      <c r="BI30" s="1048">
        <f>IFERROR(INDEX('[14]Annex 2_Code'!$J$110:$J$127,MATCH('Annex 5_MRD'!BG30,'[14]Annex 2_Code'!$G$110:$G$127,0)),"")</f>
        <v>0</v>
      </c>
      <c r="BJ30" s="1084" t="str">
        <f t="shared" si="11"/>
        <v>0</v>
      </c>
      <c r="BK30" s="1067"/>
    </row>
    <row r="31" spans="1:63" s="217" customFormat="1" ht="20.25" customHeight="1">
      <c r="A31" s="1070"/>
      <c r="B31" s="57" t="s">
        <v>22</v>
      </c>
      <c r="C31" s="57" t="s">
        <v>135</v>
      </c>
      <c r="D31" s="2697" t="s">
        <v>948</v>
      </c>
      <c r="E31" s="2698"/>
      <c r="F31" s="2698"/>
      <c r="G31" s="2699"/>
      <c r="H31" s="1534" t="s">
        <v>776</v>
      </c>
      <c r="I31" s="1534">
        <v>1266929.2180650001</v>
      </c>
      <c r="J31" s="1534">
        <v>33697.58723499997</v>
      </c>
      <c r="K31" s="1535">
        <f>I31+J31</f>
        <v>1300626.8053000001</v>
      </c>
      <c r="L31" s="1128">
        <f>K31/1000</f>
        <v>1300.6268053000001</v>
      </c>
      <c r="M31" s="1536">
        <v>0.2</v>
      </c>
      <c r="N31" s="1536">
        <f>0.2841-M31</f>
        <v>8.4100000000000008E-2</v>
      </c>
      <c r="O31" s="1536">
        <v>0</v>
      </c>
      <c r="P31" s="1536">
        <v>0</v>
      </c>
      <c r="Q31" s="1103">
        <f>SUM(M31:P31)</f>
        <v>0.28410000000000002</v>
      </c>
      <c r="R31" s="1100">
        <f>M31*L31</f>
        <v>260.12536106000005</v>
      </c>
      <c r="S31" s="1100">
        <f>N31*L31</f>
        <v>109.38271432573002</v>
      </c>
      <c r="T31" s="1100">
        <f>O31*L31</f>
        <v>0</v>
      </c>
      <c r="U31" s="1100">
        <f>P31*L31</f>
        <v>0</v>
      </c>
      <c r="V31" s="1104">
        <f t="shared" ref="V31" si="80">SUM(R31:U31)</f>
        <v>369.50807538573008</v>
      </c>
      <c r="W31" s="1091">
        <f>IFERROR(INDEX([13]Code!I$8:I$33,MATCH('[13]$MRD-Annex'!$BG22,[13]Code!$G$8:$G$33,0)),"")</f>
        <v>0.76827006604510995</v>
      </c>
      <c r="X31" s="1092">
        <f>IFERROR(INDEX([13]Code!J$8:J$33,MATCH('[13]$MRD-Annex'!$BG22,[13]Code!$G$8:$G$33,0)),"")</f>
        <v>0.12645069473218948</v>
      </c>
      <c r="Y31" s="1092">
        <f>IFERROR(INDEX([13]Code!K$8:K$33,MATCH('[13]$MRD-Annex'!$BG22,[13]Code!$G$8:$G$33,0)),"")</f>
        <v>0.10527923922270058</v>
      </c>
      <c r="Z31" s="1092">
        <f>IFERROR(INDEX([13]Code!L$8:L$33,MATCH('[13]$MRD-Annex'!$BG22,[13]Code!$G$8:$G$33,0)),"")</f>
        <v>0</v>
      </c>
      <c r="AA31" s="1093">
        <f>IFERROR(INDEX([13]Code!M$8:M$33,MATCH('[13]$MRD-Annex'!$BG22,[13]Code!$G$8:$G$33,0)),"")</f>
        <v>0</v>
      </c>
      <c r="AB31" s="1094">
        <f t="shared" ref="AB31:AE31" si="81">R31*$W31</f>
        <v>199.84652832157431</v>
      </c>
      <c r="AC31" s="1095">
        <f t="shared" si="81"/>
        <v>84.035465159221999</v>
      </c>
      <c r="AD31" s="1095">
        <f t="shared" si="81"/>
        <v>0</v>
      </c>
      <c r="AE31" s="1095">
        <f t="shared" si="81"/>
        <v>0</v>
      </c>
      <c r="AF31" s="1096">
        <f>SUM(AB31:AE31)</f>
        <v>283.88199348079633</v>
      </c>
      <c r="AG31" s="1094">
        <f t="shared" ref="AG31:AK31" si="82">R31*$X31</f>
        <v>32.893032623498634</v>
      </c>
      <c r="AH31" s="1095">
        <f t="shared" si="82"/>
        <v>13.831520218181176</v>
      </c>
      <c r="AI31" s="1095">
        <f t="shared" si="82"/>
        <v>0</v>
      </c>
      <c r="AJ31" s="1095">
        <f t="shared" si="82"/>
        <v>0</v>
      </c>
      <c r="AK31" s="1096">
        <f t="shared" si="82"/>
        <v>46.724552841679809</v>
      </c>
      <c r="AL31" s="1095">
        <f t="shared" ref="AL31:AO31" si="83">R31*$Y31</f>
        <v>27.385800114927108</v>
      </c>
      <c r="AM31" s="1095">
        <f t="shared" si="83"/>
        <v>11.515728948326847</v>
      </c>
      <c r="AN31" s="1095">
        <f t="shared" si="83"/>
        <v>0</v>
      </c>
      <c r="AO31" s="1095">
        <f t="shared" si="83"/>
        <v>0</v>
      </c>
      <c r="AP31" s="1097">
        <f>SUM(AL31:AO31)</f>
        <v>38.901529063253953</v>
      </c>
      <c r="AQ31" s="1094">
        <f t="shared" ref="AQ31:AT31" si="84">R31*$Z31</f>
        <v>0</v>
      </c>
      <c r="AR31" s="1095">
        <f t="shared" si="84"/>
        <v>0</v>
      </c>
      <c r="AS31" s="1095">
        <f t="shared" si="84"/>
        <v>0</v>
      </c>
      <c r="AT31" s="1095">
        <f t="shared" si="84"/>
        <v>0</v>
      </c>
      <c r="AU31" s="1098">
        <f>SUM(AQ31:AT31)</f>
        <v>0</v>
      </c>
      <c r="AV31" s="1094">
        <f t="shared" ref="AV31:AY31" si="85">R31*$AA31</f>
        <v>0</v>
      </c>
      <c r="AW31" s="1095">
        <f t="shared" si="85"/>
        <v>0</v>
      </c>
      <c r="AX31" s="1095">
        <f t="shared" si="85"/>
        <v>0</v>
      </c>
      <c r="AY31" s="1095">
        <f t="shared" si="85"/>
        <v>0</v>
      </c>
      <c r="AZ31" s="1098">
        <f>SUM(AV31:AY31)</f>
        <v>0</v>
      </c>
      <c r="BA31" s="1099">
        <f t="shared" ref="BA31" si="86">SUM($V31*W31)</f>
        <v>283.88199348079633</v>
      </c>
      <c r="BB31" s="1105">
        <f t="shared" ref="BB31:BE31" si="87">SUM($V31*X31)</f>
        <v>46.724552841679809</v>
      </c>
      <c r="BC31" s="1105">
        <f t="shared" si="87"/>
        <v>38.901529063253953</v>
      </c>
      <c r="BD31" s="1105">
        <f t="shared" si="87"/>
        <v>0</v>
      </c>
      <c r="BE31" s="1104">
        <f t="shared" si="87"/>
        <v>0</v>
      </c>
      <c r="BF31" s="59"/>
      <c r="BG31" s="1048" t="s">
        <v>181</v>
      </c>
      <c r="BH31" s="1048" t="s">
        <v>181</v>
      </c>
      <c r="BI31" s="1048" t="str">
        <f>IFERROR(INDEX('[14]Annex 2_Code'!$J$110:$J$127,MATCH('Annex 5_MRD'!BG31,'[14]Annex 2_Code'!$G$110:$G$127,0)),"")</f>
        <v>MRD</v>
      </c>
      <c r="BJ31" s="1084" t="str">
        <f t="shared" si="11"/>
        <v>MRD</v>
      </c>
      <c r="BK31" s="1067"/>
    </row>
    <row r="32" spans="1:63" s="217" customFormat="1" ht="20.25" customHeight="1">
      <c r="A32" s="1070"/>
      <c r="B32" s="1106"/>
      <c r="C32" s="1107"/>
      <c r="D32" s="1108"/>
      <c r="E32" s="1109" t="s">
        <v>36</v>
      </c>
      <c r="F32" s="1110"/>
      <c r="G32" s="1111"/>
      <c r="H32" s="1148"/>
      <c r="I32" s="1148"/>
      <c r="J32" s="1148"/>
      <c r="K32" s="1149"/>
      <c r="L32" s="1114"/>
      <c r="M32" s="1150"/>
      <c r="N32" s="1150"/>
      <c r="O32" s="1151"/>
      <c r="P32" s="1152"/>
      <c r="Q32" s="1120"/>
      <c r="R32" s="1119">
        <f>SUM(R31:R31)</f>
        <v>260.12536106000005</v>
      </c>
      <c r="S32" s="1119">
        <f>SUM(S31:S31)</f>
        <v>109.38271432573002</v>
      </c>
      <c r="T32" s="1119">
        <f>SUM(T31:T31)</f>
        <v>0</v>
      </c>
      <c r="U32" s="1119">
        <f>SUM(U31:U31)</f>
        <v>0</v>
      </c>
      <c r="V32" s="2527">
        <f>SUM(V31:V31)</f>
        <v>369.50807538573008</v>
      </c>
      <c r="W32" s="1091">
        <f>IFERROR(INDEX([13]Code!I$8:I$33,MATCH('[13]$MRD-Annex'!$BG23,[13]Code!$G$8:$G$33,0)),"")</f>
        <v>0.76827006604510995</v>
      </c>
      <c r="X32" s="1092">
        <f>IFERROR(INDEX([13]Code!J$8:J$33,MATCH('[13]$MRD-Annex'!$BG23,[13]Code!$G$8:$G$33,0)),"")</f>
        <v>0.12645069473218948</v>
      </c>
      <c r="Y32" s="1092">
        <f>IFERROR(INDEX([13]Code!K$8:K$33,MATCH('[13]$MRD-Annex'!$BG23,[13]Code!$G$8:$G$33,0)),"")</f>
        <v>0.10527923922270058</v>
      </c>
      <c r="Z32" s="1092">
        <f>IFERROR(INDEX([13]Code!L$8:L$33,MATCH('[13]$MRD-Annex'!$BG23,[13]Code!$G$8:$G$33,0)),"")</f>
        <v>0</v>
      </c>
      <c r="AA32" s="1093">
        <f>IFERROR(INDEX([13]Code!M$8:M$33,MATCH('[13]$MRD-Annex'!$BG23,[13]Code!$G$8:$G$33,0)),"")</f>
        <v>0</v>
      </c>
      <c r="AB32" s="1121">
        <f>SUM(AB31)</f>
        <v>199.84652832157431</v>
      </c>
      <c r="AC32" s="1119">
        <f>SUM(AC31)</f>
        <v>84.035465159221999</v>
      </c>
      <c r="AD32" s="1119">
        <f>SUM(AD31)</f>
        <v>0</v>
      </c>
      <c r="AE32" s="1119">
        <f>SUM(AE31)</f>
        <v>0</v>
      </c>
      <c r="AF32" s="1122">
        <f>SUM(AB32:AE32)</f>
        <v>283.88199348079633</v>
      </c>
      <c r="AG32" s="1121">
        <f t="shared" ref="AG32:AP32" si="88">SUM(AG30:AG31)</f>
        <v>32.893032623498634</v>
      </c>
      <c r="AH32" s="1119">
        <f t="shared" si="88"/>
        <v>13.831520218181176</v>
      </c>
      <c r="AI32" s="1119">
        <f t="shared" si="88"/>
        <v>0</v>
      </c>
      <c r="AJ32" s="1119">
        <f t="shared" si="88"/>
        <v>0</v>
      </c>
      <c r="AK32" s="1122">
        <f t="shared" si="88"/>
        <v>46.724552841679809</v>
      </c>
      <c r="AL32" s="1121">
        <f t="shared" si="88"/>
        <v>27.385800114927108</v>
      </c>
      <c r="AM32" s="1119">
        <f t="shared" si="88"/>
        <v>11.515728948326847</v>
      </c>
      <c r="AN32" s="1119">
        <f t="shared" si="88"/>
        <v>0</v>
      </c>
      <c r="AO32" s="1119">
        <f t="shared" si="88"/>
        <v>0</v>
      </c>
      <c r="AP32" s="1122">
        <f t="shared" si="88"/>
        <v>38.901529063253953</v>
      </c>
      <c r="AQ32" s="1121"/>
      <c r="AR32" s="1119"/>
      <c r="AS32" s="1119"/>
      <c r="AT32" s="1119"/>
      <c r="AU32" s="1123"/>
      <c r="AV32" s="1124"/>
      <c r="AW32" s="1125"/>
      <c r="AX32" s="1125"/>
      <c r="AY32" s="1125"/>
      <c r="AZ32" s="1123"/>
      <c r="BA32" s="1126">
        <f>BA31</f>
        <v>283.88199348079633</v>
      </c>
      <c r="BB32" s="1127">
        <f>BB31</f>
        <v>46.724552841679809</v>
      </c>
      <c r="BC32" s="1127">
        <f>BC31</f>
        <v>38.901529063253953</v>
      </c>
      <c r="BD32" s="1127">
        <f>BD31</f>
        <v>0</v>
      </c>
      <c r="BE32" s="1127">
        <f>BE31</f>
        <v>0</v>
      </c>
      <c r="BF32" s="59"/>
      <c r="BG32" s="1048"/>
      <c r="BH32" s="1048"/>
      <c r="BI32" s="1048">
        <f>IFERROR(INDEX('[14]Annex 2_Code'!$J$110:$J$127,MATCH('Annex 5_MRD'!BG32,'[14]Annex 2_Code'!$G$110:$G$127,0)),"")</f>
        <v>0</v>
      </c>
      <c r="BJ32" s="1084" t="str">
        <f t="shared" si="11"/>
        <v>0</v>
      </c>
      <c r="BK32" s="1067"/>
    </row>
    <row r="33" spans="1:63" s="217" customFormat="1" ht="20.25" customHeight="1">
      <c r="A33" s="1070"/>
      <c r="B33" s="57"/>
      <c r="C33" s="57"/>
      <c r="D33" s="2687" t="s">
        <v>949</v>
      </c>
      <c r="E33" s="2688"/>
      <c r="F33" s="2688"/>
      <c r="G33" s="2689"/>
      <c r="K33" s="1137"/>
      <c r="L33" s="1130"/>
      <c r="M33" s="1132"/>
      <c r="N33" s="1132"/>
      <c r="O33" s="1138"/>
      <c r="P33" s="1138"/>
      <c r="Q33" s="1139"/>
      <c r="R33" s="1140"/>
      <c r="S33" s="1140"/>
      <c r="T33" s="1140"/>
      <c r="U33" s="1140"/>
      <c r="V33" s="1141"/>
      <c r="W33" s="1091" t="str">
        <f>IFERROR(INDEX([13]Code!I$8:I$33,MATCH('[13]$MRD-Annex'!$BG24,[13]Code!$G$8:$G$33,0)),"")</f>
        <v/>
      </c>
      <c r="X33" s="1092" t="str">
        <f>IFERROR(INDEX([13]Code!J$8:J$33,MATCH('[13]$MRD-Annex'!$BG24,[13]Code!$G$8:$G$33,0)),"")</f>
        <v/>
      </c>
      <c r="Y33" s="1092" t="str">
        <f>IFERROR(INDEX([13]Code!K$8:K$33,MATCH('[13]$MRD-Annex'!$BG24,[13]Code!$G$8:$G$33,0)),"")</f>
        <v/>
      </c>
      <c r="Z33" s="1092" t="str">
        <f>IFERROR(INDEX([13]Code!L$8:L$33,MATCH('[13]$MRD-Annex'!$BG24,[13]Code!$G$8:$G$33,0)),"")</f>
        <v/>
      </c>
      <c r="AA33" s="1093" t="str">
        <f>IFERROR(INDEX([13]Code!M$8:M$33,MATCH('[13]$MRD-Annex'!$BG24,[13]Code!$G$8:$G$33,0)),"")</f>
        <v/>
      </c>
      <c r="AB33" s="1142"/>
      <c r="AC33" s="1143"/>
      <c r="AD33" s="1143"/>
      <c r="AE33" s="1143"/>
      <c r="AF33" s="1144"/>
      <c r="AG33" s="1142"/>
      <c r="AH33" s="1143"/>
      <c r="AI33" s="1143"/>
      <c r="AJ33" s="1143"/>
      <c r="AK33" s="1144"/>
      <c r="AL33" s="1143"/>
      <c r="AM33" s="1143"/>
      <c r="AN33" s="1143"/>
      <c r="AO33" s="1143"/>
      <c r="AP33" s="1145"/>
      <c r="AQ33" s="1142"/>
      <c r="AR33" s="1143"/>
      <c r="AS33" s="1143"/>
      <c r="AT33" s="1143"/>
      <c r="AU33" s="1082"/>
      <c r="AV33" s="1081"/>
      <c r="AW33" s="59"/>
      <c r="AX33" s="59"/>
      <c r="AY33" s="59"/>
      <c r="AZ33" s="1082"/>
      <c r="BA33" s="1146"/>
      <c r="BB33" s="344"/>
      <c r="BC33" s="344"/>
      <c r="BD33" s="344"/>
      <c r="BE33" s="1147"/>
      <c r="BF33" s="1067"/>
      <c r="BG33" s="1048"/>
      <c r="BH33" s="1048"/>
      <c r="BI33" s="1048">
        <f>IFERROR(INDEX('[14]Annex 2_Code'!$J$110:$J$127,MATCH('Annex 5_MRD'!BG33,'[14]Annex 2_Code'!$G$110:$G$127,0)),"")</f>
        <v>0</v>
      </c>
      <c r="BJ33" s="1084" t="str">
        <f t="shared" si="11"/>
        <v>0</v>
      </c>
      <c r="BK33" s="1067"/>
    </row>
    <row r="34" spans="1:63" s="217" customFormat="1" ht="20.25" customHeight="1">
      <c r="A34" s="1070"/>
      <c r="B34" s="57" t="s">
        <v>22</v>
      </c>
      <c r="C34" s="57" t="s">
        <v>135</v>
      </c>
      <c r="D34" s="2697" t="s">
        <v>950</v>
      </c>
      <c r="E34" s="2698"/>
      <c r="F34" s="2698"/>
      <c r="G34" s="2699"/>
      <c r="H34" s="1534" t="s">
        <v>776</v>
      </c>
      <c r="I34" s="1534">
        <v>877375.75968000002</v>
      </c>
      <c r="J34" s="1534">
        <v>82797.102419999981</v>
      </c>
      <c r="K34" s="1535">
        <f>I34+J34</f>
        <v>960172.86210000003</v>
      </c>
      <c r="L34" s="1128">
        <f>K34/1000</f>
        <v>960.17286209999997</v>
      </c>
      <c r="M34" s="1536">
        <v>0.15</v>
      </c>
      <c r="N34" s="1536">
        <f>0.2722-M34</f>
        <v>0.1222</v>
      </c>
      <c r="O34" s="1536">
        <v>0</v>
      </c>
      <c r="P34" s="1536">
        <v>0</v>
      </c>
      <c r="Q34" s="1103">
        <f>SUM(M34:P34)</f>
        <v>0.2722</v>
      </c>
      <c r="R34" s="1100">
        <f>M34*L34</f>
        <v>144.02592931499998</v>
      </c>
      <c r="S34" s="1100">
        <f>N34*L34</f>
        <v>117.33312374862</v>
      </c>
      <c r="T34" s="1100">
        <f>O34*L34</f>
        <v>0</v>
      </c>
      <c r="U34" s="1100">
        <f>P34*L34</f>
        <v>0</v>
      </c>
      <c r="V34" s="1104">
        <f t="shared" ref="V34" si="89">SUM(R34:U34)</f>
        <v>261.35905306361997</v>
      </c>
      <c r="W34" s="1091">
        <f>IFERROR(INDEX([13]Code!I$8:I$33,MATCH('[13]$MRD-Annex'!$BG25,[13]Code!$G$8:$G$33,0)),"")</f>
        <v>0.76827006604510995</v>
      </c>
      <c r="X34" s="1092">
        <f>IFERROR(INDEX([13]Code!J$8:J$33,MATCH('[13]$MRD-Annex'!$BG25,[13]Code!$G$8:$G$33,0)),"")</f>
        <v>0.12645069473218948</v>
      </c>
      <c r="Y34" s="1092">
        <f>IFERROR(INDEX([13]Code!K$8:K$33,MATCH('[13]$MRD-Annex'!$BG25,[13]Code!$G$8:$G$33,0)),"")</f>
        <v>0.10527923922270058</v>
      </c>
      <c r="Z34" s="1092">
        <f>IFERROR(INDEX([13]Code!L$8:L$33,MATCH('[13]$MRD-Annex'!$BG25,[13]Code!$G$8:$G$33,0)),"")</f>
        <v>0</v>
      </c>
      <c r="AA34" s="1093">
        <f>IFERROR(INDEX([13]Code!M$8:M$33,MATCH('[13]$MRD-Annex'!$BG25,[13]Code!$G$8:$G$33,0)),"")</f>
        <v>0</v>
      </c>
      <c r="AB34" s="1094">
        <f t="shared" ref="AB34:AE34" si="90">R34*$W34</f>
        <v>110.65081022704338</v>
      </c>
      <c r="AC34" s="1095">
        <f t="shared" si="90"/>
        <v>90.14352673163134</v>
      </c>
      <c r="AD34" s="1095">
        <f t="shared" si="90"/>
        <v>0</v>
      </c>
      <c r="AE34" s="1095">
        <f t="shared" si="90"/>
        <v>0</v>
      </c>
      <c r="AF34" s="1096">
        <f>SUM(AB34:AE34)</f>
        <v>200.79433695867471</v>
      </c>
      <c r="AG34" s="1094">
        <f t="shared" ref="AG34:AK34" si="91">R34*$X34</f>
        <v>18.212178821330962</v>
      </c>
      <c r="AH34" s="1095">
        <f t="shared" si="91"/>
        <v>14.836855013110959</v>
      </c>
      <c r="AI34" s="1095">
        <f t="shared" si="91"/>
        <v>0</v>
      </c>
      <c r="AJ34" s="1095">
        <f t="shared" si="91"/>
        <v>0</v>
      </c>
      <c r="AK34" s="1096">
        <f t="shared" si="91"/>
        <v>33.049033834441921</v>
      </c>
      <c r="AL34" s="1095">
        <f t="shared" ref="AL34:AO34" si="92">R34*$Y34</f>
        <v>15.162940266625647</v>
      </c>
      <c r="AM34" s="1095">
        <f t="shared" si="92"/>
        <v>12.352742003877696</v>
      </c>
      <c r="AN34" s="1095">
        <f t="shared" si="92"/>
        <v>0</v>
      </c>
      <c r="AO34" s="1095">
        <f t="shared" si="92"/>
        <v>0</v>
      </c>
      <c r="AP34" s="1097">
        <f>SUM(AL34:AO34)</f>
        <v>27.515682270503341</v>
      </c>
      <c r="AQ34" s="1094">
        <f t="shared" ref="AQ34:AT34" si="93">R34*$Z34</f>
        <v>0</v>
      </c>
      <c r="AR34" s="1095">
        <f t="shared" si="93"/>
        <v>0</v>
      </c>
      <c r="AS34" s="1095">
        <f t="shared" si="93"/>
        <v>0</v>
      </c>
      <c r="AT34" s="1095">
        <f t="shared" si="93"/>
        <v>0</v>
      </c>
      <c r="AU34" s="1098">
        <f>SUM(AQ34:AT34)</f>
        <v>0</v>
      </c>
      <c r="AV34" s="1094">
        <f t="shared" ref="AV34:AY34" si="94">R34*$AA34</f>
        <v>0</v>
      </c>
      <c r="AW34" s="1095">
        <f t="shared" si="94"/>
        <v>0</v>
      </c>
      <c r="AX34" s="1095">
        <f t="shared" si="94"/>
        <v>0</v>
      </c>
      <c r="AY34" s="1095">
        <f t="shared" si="94"/>
        <v>0</v>
      </c>
      <c r="AZ34" s="1098">
        <f>SUM(AV34:AY34)</f>
        <v>0</v>
      </c>
      <c r="BA34" s="1099">
        <f t="shared" ref="BA34" si="95">SUM($V34*W34)</f>
        <v>200.79433695867471</v>
      </c>
      <c r="BB34" s="1105">
        <f t="shared" ref="BB34:BE34" si="96">SUM($V34*X34)</f>
        <v>33.049033834441921</v>
      </c>
      <c r="BC34" s="1105">
        <f t="shared" si="96"/>
        <v>27.515682270503341</v>
      </c>
      <c r="BD34" s="1105">
        <f t="shared" si="96"/>
        <v>0</v>
      </c>
      <c r="BE34" s="1104">
        <f t="shared" si="96"/>
        <v>0</v>
      </c>
      <c r="BF34" s="59"/>
      <c r="BG34" s="1048" t="s">
        <v>181</v>
      </c>
      <c r="BH34" s="1048" t="s">
        <v>181</v>
      </c>
      <c r="BI34" s="1048" t="str">
        <f>IFERROR(INDEX('[14]Annex 2_Code'!$J$110:$J$127,MATCH('Annex 5_MRD'!BG34,'[14]Annex 2_Code'!$G$110:$G$127,0)),"")</f>
        <v>MRD</v>
      </c>
      <c r="BJ34" s="1084" t="str">
        <f t="shared" si="11"/>
        <v>MRD</v>
      </c>
      <c r="BK34" s="1067"/>
    </row>
    <row r="35" spans="1:63" s="217" customFormat="1" ht="20.25" customHeight="1">
      <c r="A35" s="1070"/>
      <c r="B35" s="1106"/>
      <c r="C35" s="1107"/>
      <c r="D35" s="1108"/>
      <c r="E35" s="1109" t="s">
        <v>36</v>
      </c>
      <c r="F35" s="1110"/>
      <c r="G35" s="1111"/>
      <c r="H35" s="1148"/>
      <c r="I35" s="1148"/>
      <c r="J35" s="1148"/>
      <c r="K35" s="1149"/>
      <c r="L35" s="1114"/>
      <c r="M35" s="1150"/>
      <c r="N35" s="1150"/>
      <c r="O35" s="1151"/>
      <c r="P35" s="1152"/>
      <c r="Q35" s="1120"/>
      <c r="R35" s="1119">
        <f>SUM(R34:R34)</f>
        <v>144.02592931499998</v>
      </c>
      <c r="S35" s="1119">
        <f>SUM(S34:S34)</f>
        <v>117.33312374862</v>
      </c>
      <c r="T35" s="1119">
        <f>SUM(T34:T34)</f>
        <v>0</v>
      </c>
      <c r="U35" s="1119">
        <f>SUM(U34:U34)</f>
        <v>0</v>
      </c>
      <c r="V35" s="2527">
        <f>SUM(V34:V34)</f>
        <v>261.35905306361997</v>
      </c>
      <c r="W35" s="1091">
        <f>IFERROR(INDEX([13]Code!I$8:I$33,MATCH('[13]$MRD-Annex'!$BG26,[13]Code!$G$8:$G$33,0)),"")</f>
        <v>0.76827006604510995</v>
      </c>
      <c r="X35" s="1092">
        <f>IFERROR(INDEX([13]Code!J$8:J$33,MATCH('[13]$MRD-Annex'!$BG26,[13]Code!$G$8:$G$33,0)),"")</f>
        <v>0.12645069473218948</v>
      </c>
      <c r="Y35" s="1092">
        <f>IFERROR(INDEX([13]Code!K$8:K$33,MATCH('[13]$MRD-Annex'!$BG26,[13]Code!$G$8:$G$33,0)),"")</f>
        <v>0.10527923922270058</v>
      </c>
      <c r="Z35" s="1092">
        <f>IFERROR(INDEX([13]Code!L$8:L$33,MATCH('[13]$MRD-Annex'!$BG26,[13]Code!$G$8:$G$33,0)),"")</f>
        <v>0</v>
      </c>
      <c r="AA35" s="1093">
        <f>IFERROR(INDEX([13]Code!M$8:M$33,MATCH('[13]$MRD-Annex'!$BG26,[13]Code!$G$8:$G$33,0)),"")</f>
        <v>0</v>
      </c>
      <c r="AB35" s="1121">
        <f>SUM(AB34)</f>
        <v>110.65081022704338</v>
      </c>
      <c r="AC35" s="1119">
        <f>SUM(AC34)</f>
        <v>90.14352673163134</v>
      </c>
      <c r="AD35" s="1119">
        <f>SUM(AD34)</f>
        <v>0</v>
      </c>
      <c r="AE35" s="1119">
        <f>SUM(AE34)</f>
        <v>0</v>
      </c>
      <c r="AF35" s="1122">
        <f>SUM(AB35:AE35)</f>
        <v>200.79433695867471</v>
      </c>
      <c r="AG35" s="1121">
        <f t="shared" ref="AG35:AP35" si="97">SUM(AG33:AG34)</f>
        <v>18.212178821330962</v>
      </c>
      <c r="AH35" s="1119">
        <f t="shared" si="97"/>
        <v>14.836855013110959</v>
      </c>
      <c r="AI35" s="1119">
        <f t="shared" si="97"/>
        <v>0</v>
      </c>
      <c r="AJ35" s="1119">
        <f t="shared" si="97"/>
        <v>0</v>
      </c>
      <c r="AK35" s="1122">
        <f t="shared" si="97"/>
        <v>33.049033834441921</v>
      </c>
      <c r="AL35" s="1121">
        <f t="shared" si="97"/>
        <v>15.162940266625647</v>
      </c>
      <c r="AM35" s="1119">
        <f t="shared" si="97"/>
        <v>12.352742003877696</v>
      </c>
      <c r="AN35" s="1119">
        <f t="shared" si="97"/>
        <v>0</v>
      </c>
      <c r="AO35" s="1119">
        <f t="shared" si="97"/>
        <v>0</v>
      </c>
      <c r="AP35" s="1122">
        <f t="shared" si="97"/>
        <v>27.515682270503341</v>
      </c>
      <c r="AQ35" s="1121"/>
      <c r="AR35" s="1119"/>
      <c r="AS35" s="1119"/>
      <c r="AT35" s="1119"/>
      <c r="AU35" s="1123"/>
      <c r="AV35" s="1124"/>
      <c r="AW35" s="1125"/>
      <c r="AX35" s="1125"/>
      <c r="AY35" s="1125"/>
      <c r="AZ35" s="1123"/>
      <c r="BA35" s="1126">
        <f>BA34</f>
        <v>200.79433695867471</v>
      </c>
      <c r="BB35" s="1127">
        <f>BB34</f>
        <v>33.049033834441921</v>
      </c>
      <c r="BC35" s="1127">
        <f>BC34</f>
        <v>27.515682270503341</v>
      </c>
      <c r="BD35" s="1127">
        <f>BD34</f>
        <v>0</v>
      </c>
      <c r="BE35" s="1127">
        <f>BE34</f>
        <v>0</v>
      </c>
      <c r="BF35" s="59"/>
      <c r="BG35" s="1048"/>
      <c r="BH35" s="1048"/>
      <c r="BI35" s="1048">
        <f>IFERROR(INDEX('[14]Annex 2_Code'!$J$110:$J$127,MATCH('Annex 5_MRD'!BG35,'[14]Annex 2_Code'!$G$110:$G$127,0)),"")</f>
        <v>0</v>
      </c>
      <c r="BJ35" s="1084" t="str">
        <f t="shared" si="11"/>
        <v>0</v>
      </c>
      <c r="BK35" s="1067"/>
    </row>
    <row r="36" spans="1:63" s="2071" customFormat="1" ht="20.25" customHeight="1">
      <c r="A36" s="2066"/>
      <c r="B36" s="2067"/>
      <c r="C36" s="2068"/>
      <c r="D36" s="2069"/>
      <c r="E36" s="2069"/>
      <c r="F36" s="2070"/>
      <c r="G36" s="2071" t="s">
        <v>1327</v>
      </c>
      <c r="H36" s="2072"/>
      <c r="I36" s="2073">
        <f>SUM(I13,I16,I19,I22,I25,I28,I31,I34)</f>
        <v>8665818.3367450014</v>
      </c>
      <c r="J36" s="2073">
        <f>SUM(J13,J16,J19,J22,J25,J28,J31,J34)</f>
        <v>467776.76807999995</v>
      </c>
      <c r="K36" s="2073">
        <f>SUM(K13,K16,K19,K22,K25,K28,K31,K34)</f>
        <v>9133595.1048250012</v>
      </c>
      <c r="L36" s="2074"/>
      <c r="M36" s="2075"/>
      <c r="N36" s="2075"/>
      <c r="O36" s="2076"/>
      <c r="P36" s="2077"/>
      <c r="Q36" s="2078"/>
      <c r="R36" s="2079">
        <f>SUM(R14,R17,R20,R23,R26,R29,R32,R35)</f>
        <v>1849.5419328182504</v>
      </c>
      <c r="S36" s="2079">
        <f t="shared" ref="S36:V36" si="98">SUM(S14,S17,S20,S23,S26,S29,S32,S35)</f>
        <v>1004.9503097597026</v>
      </c>
      <c r="T36" s="2079">
        <f t="shared" si="98"/>
        <v>0</v>
      </c>
      <c r="U36" s="2079">
        <f t="shared" si="98"/>
        <v>0</v>
      </c>
      <c r="V36" s="2528">
        <f t="shared" si="98"/>
        <v>2854.4922425779523</v>
      </c>
      <c r="W36" s="2080"/>
      <c r="X36" s="2080"/>
      <c r="Y36" s="2080"/>
      <c r="Z36" s="2080"/>
      <c r="AA36" s="2080"/>
      <c r="AB36" s="2081"/>
      <c r="AC36" s="2081"/>
      <c r="AD36" s="2081"/>
      <c r="AE36" s="2081"/>
      <c r="AF36" s="2081"/>
      <c r="AG36" s="2081"/>
      <c r="AH36" s="2081"/>
      <c r="AI36" s="2081"/>
      <c r="AJ36" s="2081"/>
      <c r="AK36" s="2081"/>
      <c r="AL36" s="2081"/>
      <c r="AM36" s="2081"/>
      <c r="AN36" s="2081"/>
      <c r="AO36" s="2081"/>
      <c r="AP36" s="2081"/>
      <c r="AQ36" s="2081"/>
      <c r="AR36" s="2081"/>
      <c r="AS36" s="2081"/>
      <c r="AT36" s="2081"/>
      <c r="AU36" s="2072"/>
      <c r="AV36" s="2072"/>
      <c r="AW36" s="2072"/>
      <c r="AX36" s="2072"/>
      <c r="AY36" s="2072"/>
      <c r="AZ36" s="2072"/>
      <c r="BA36" s="2078"/>
      <c r="BB36" s="2078"/>
      <c r="BC36" s="2078"/>
      <c r="BD36" s="2078"/>
      <c r="BE36" s="2078"/>
      <c r="BF36" s="2082"/>
      <c r="BG36" s="2083"/>
      <c r="BH36" s="2083"/>
      <c r="BI36" s="2083"/>
      <c r="BJ36" s="2084"/>
      <c r="BK36" s="2085"/>
    </row>
    <row r="37" spans="1:63" s="217" customFormat="1" ht="25.5" customHeight="1">
      <c r="A37" s="1070"/>
      <c r="B37" s="1106"/>
      <c r="C37" s="2695" t="s">
        <v>1328</v>
      </c>
      <c r="D37" s="2696"/>
      <c r="E37" s="2086"/>
      <c r="F37" s="2087"/>
      <c r="G37" s="2088"/>
      <c r="H37" s="2089"/>
      <c r="I37" s="2089"/>
      <c r="J37" s="2089"/>
      <c r="K37" s="2090"/>
      <c r="L37" s="2091"/>
      <c r="M37" s="2092"/>
      <c r="N37" s="2092"/>
      <c r="O37" s="2093"/>
      <c r="P37" s="2094"/>
      <c r="Q37" s="2095"/>
      <c r="R37" s="2096"/>
      <c r="S37" s="2096"/>
      <c r="T37" s="2096"/>
      <c r="U37" s="2096"/>
      <c r="V37" s="2095"/>
      <c r="W37" s="2097"/>
      <c r="X37" s="2097"/>
      <c r="Y37" s="2097"/>
      <c r="Z37" s="2097"/>
      <c r="AA37" s="2097"/>
      <c r="AB37" s="2096"/>
      <c r="AC37" s="2096"/>
      <c r="AD37" s="2096"/>
      <c r="AE37" s="2096"/>
      <c r="AF37" s="2096"/>
      <c r="AG37" s="2096"/>
      <c r="AH37" s="2096"/>
      <c r="AI37" s="2096"/>
      <c r="AJ37" s="2096"/>
      <c r="AK37" s="2096"/>
      <c r="AL37" s="2096"/>
      <c r="AM37" s="2096"/>
      <c r="AN37" s="2096"/>
      <c r="AO37" s="2096"/>
      <c r="AP37" s="2096"/>
      <c r="AQ37" s="2096"/>
      <c r="AR37" s="2096"/>
      <c r="AS37" s="2096"/>
      <c r="AT37" s="2096"/>
      <c r="AU37" s="2089"/>
      <c r="AV37" s="2089"/>
      <c r="AW37" s="2089"/>
      <c r="AX37" s="2089"/>
      <c r="AY37" s="2089"/>
      <c r="AZ37" s="2089"/>
      <c r="BA37" s="2095"/>
      <c r="BB37" s="2095"/>
      <c r="BC37" s="2095"/>
      <c r="BD37" s="2095"/>
      <c r="BE37" s="2095"/>
      <c r="BF37" s="2098"/>
      <c r="BG37" s="2099"/>
      <c r="BH37" s="2099"/>
      <c r="BI37" s="2099"/>
      <c r="BJ37" s="2100"/>
      <c r="BK37" s="1067"/>
    </row>
    <row r="38" spans="1:63" s="217" customFormat="1" ht="20.25" customHeight="1">
      <c r="A38" s="1070"/>
      <c r="B38" s="57"/>
      <c r="C38" s="57"/>
      <c r="D38" s="2687" t="s">
        <v>951</v>
      </c>
      <c r="E38" s="2688"/>
      <c r="F38" s="2688"/>
      <c r="G38" s="2689"/>
      <c r="K38" s="1154"/>
      <c r="L38" s="1130"/>
      <c r="M38" s="1155"/>
      <c r="N38" s="1156"/>
      <c r="O38" s="1157"/>
      <c r="P38" s="1158"/>
      <c r="Q38" s="1159"/>
      <c r="R38" s="1160"/>
      <c r="S38" s="1161"/>
      <c r="T38" s="1161"/>
      <c r="U38" s="1161"/>
      <c r="V38" s="1162"/>
      <c r="W38" s="1091" t="str">
        <f>IFERROR(INDEX([13]Code!I$8:I$33,MATCH('[13]$MRD-Annex'!$BG24,[13]Code!$G$8:$G$33,0)),"")</f>
        <v/>
      </c>
      <c r="X38" s="1092" t="str">
        <f>IFERROR(INDEX([13]Code!J$8:J$33,MATCH('[13]$MRD-Annex'!$BG24,[13]Code!$G$8:$G$33,0)),"")</f>
        <v/>
      </c>
      <c r="Y38" s="1092" t="str">
        <f>IFERROR(INDEX([13]Code!K$8:K$33,MATCH('[13]$MRD-Annex'!$BG24,[13]Code!$G$8:$G$33,0)),"")</f>
        <v/>
      </c>
      <c r="Z38" s="1092" t="str">
        <f>IFERROR(INDEX([13]Code!L$8:L$33,MATCH('[13]$MRD-Annex'!$BG24,[13]Code!$G$8:$G$33,0)),"")</f>
        <v/>
      </c>
      <c r="AA38" s="1093" t="str">
        <f>IFERROR(INDEX([13]Code!M$8:M$33,MATCH('[13]$MRD-Annex'!$BG24,[13]Code!$G$8:$G$33,0)),"")</f>
        <v/>
      </c>
      <c r="AB38" s="1163"/>
      <c r="AC38" s="1161"/>
      <c r="AD38" s="1161"/>
      <c r="AE38" s="1161"/>
      <c r="AF38" s="1164"/>
      <c r="AG38" s="1163"/>
      <c r="AH38" s="1161"/>
      <c r="AI38" s="1161"/>
      <c r="AJ38" s="1161"/>
      <c r="AK38" s="1164"/>
      <c r="AL38" s="1161"/>
      <c r="AM38" s="1161"/>
      <c r="AN38" s="1161"/>
      <c r="AO38" s="1161"/>
      <c r="AP38" s="1161"/>
      <c r="AQ38" s="1163"/>
      <c r="AR38" s="1161"/>
      <c r="AS38" s="1161"/>
      <c r="AT38" s="1161"/>
      <c r="AU38" s="1165"/>
      <c r="AV38" s="1166"/>
      <c r="AW38" s="1167"/>
      <c r="AX38" s="1167"/>
      <c r="AY38" s="1167"/>
      <c r="AZ38" s="1165"/>
      <c r="BA38" s="1168"/>
      <c r="BB38" s="1169"/>
      <c r="BC38" s="1169"/>
      <c r="BD38" s="1169"/>
      <c r="BE38" s="1162"/>
      <c r="BF38" s="59"/>
      <c r="BG38" s="1048"/>
      <c r="BH38" s="1048"/>
      <c r="BI38" s="1048">
        <f>IFERROR(INDEX('[14]Annex 2_Code'!$J$110:$J$127,MATCH('Annex 5_MRD'!BG38,'[14]Annex 2_Code'!$G$110:$G$127,0)),"")</f>
        <v>0</v>
      </c>
      <c r="BJ38" s="1084" t="str">
        <f t="shared" si="11"/>
        <v>0</v>
      </c>
      <c r="BK38" s="1067"/>
    </row>
    <row r="39" spans="1:63" s="217" customFormat="1" ht="32.25" customHeight="1">
      <c r="A39" s="1070"/>
      <c r="B39" s="57" t="s">
        <v>22</v>
      </c>
      <c r="C39" s="57" t="s">
        <v>135</v>
      </c>
      <c r="D39" s="2692" t="s">
        <v>952</v>
      </c>
      <c r="E39" s="2693"/>
      <c r="F39" s="2693"/>
      <c r="G39" s="2694"/>
      <c r="H39" s="1534" t="s">
        <v>776</v>
      </c>
      <c r="I39" s="1534">
        <v>1999673.93</v>
      </c>
      <c r="J39" s="1534">
        <v>99983.696500000005</v>
      </c>
      <c r="K39" s="1171">
        <f>I39+J39</f>
        <v>2099657.6264999998</v>
      </c>
      <c r="L39" s="1153">
        <f>K39/1000</f>
        <v>2099.6576264999999</v>
      </c>
      <c r="M39" s="1536">
        <v>0.2</v>
      </c>
      <c r="N39" s="1536">
        <v>0.2</v>
      </c>
      <c r="O39" s="1536">
        <v>0.1</v>
      </c>
      <c r="P39" s="1536">
        <v>0.1</v>
      </c>
      <c r="Q39" s="1103">
        <f t="shared" ref="Q39" si="99">SUM(M39:P39)</f>
        <v>0.6</v>
      </c>
      <c r="R39" s="1100">
        <f>M39*L39</f>
        <v>419.93152529999998</v>
      </c>
      <c r="S39" s="1100">
        <f>N39*L39</f>
        <v>419.93152529999998</v>
      </c>
      <c r="T39" s="1100">
        <f>O39*L39</f>
        <v>209.96576264999999</v>
      </c>
      <c r="U39" s="1100">
        <f>P39*L39</f>
        <v>209.96576264999999</v>
      </c>
      <c r="V39" s="1135">
        <f t="shared" ref="V39" si="100">SUM(R39:U39)</f>
        <v>1259.7945758999999</v>
      </c>
      <c r="W39" s="1091">
        <f>IFERROR(INDEX([13]Code!I$8:I$33,MATCH('[13]$MRD-Annex'!$BG25,[13]Code!$G$8:$G$33,0)),"")</f>
        <v>0.76827006604510995</v>
      </c>
      <c r="X39" s="1092">
        <f>IFERROR(INDEX([13]Code!J$8:J$33,MATCH('[13]$MRD-Annex'!$BG25,[13]Code!$G$8:$G$33,0)),"")</f>
        <v>0.12645069473218948</v>
      </c>
      <c r="Y39" s="1092">
        <f>IFERROR(INDEX([13]Code!K$8:K$33,MATCH('[13]$MRD-Annex'!$BG25,[13]Code!$G$8:$G$33,0)),"")</f>
        <v>0.10527923922270058</v>
      </c>
      <c r="Z39" s="1092">
        <f>IFERROR(INDEX([13]Code!L$8:L$33,MATCH('[13]$MRD-Annex'!$BG25,[13]Code!$G$8:$G$33,0)),"")</f>
        <v>0</v>
      </c>
      <c r="AA39" s="1093">
        <f>IFERROR(INDEX([13]Code!M$8:M$33,MATCH('[13]$MRD-Annex'!$BG25,[13]Code!$G$8:$G$33,0)),"")</f>
        <v>0</v>
      </c>
      <c r="AB39" s="1094">
        <f t="shared" ref="AB39:AE39" si="101">R39*$W39</f>
        <v>322.62082067665472</v>
      </c>
      <c r="AC39" s="1095">
        <f t="shared" si="101"/>
        <v>322.62082067665472</v>
      </c>
      <c r="AD39" s="1095">
        <f t="shared" si="101"/>
        <v>161.31041033832736</v>
      </c>
      <c r="AE39" s="1095">
        <f t="shared" si="101"/>
        <v>161.31041033832736</v>
      </c>
      <c r="AF39" s="1096">
        <f t="shared" ref="AF39" si="102">SUM(AB39:AE39)</f>
        <v>967.86246202996404</v>
      </c>
      <c r="AG39" s="1094">
        <f t="shared" ref="AG39:AK39" si="103">R39*$X39</f>
        <v>53.100633114132997</v>
      </c>
      <c r="AH39" s="1095">
        <f t="shared" si="103"/>
        <v>53.100633114132997</v>
      </c>
      <c r="AI39" s="1095">
        <f t="shared" si="103"/>
        <v>26.550316557066498</v>
      </c>
      <c r="AJ39" s="1095">
        <f t="shared" si="103"/>
        <v>26.550316557066498</v>
      </c>
      <c r="AK39" s="1096">
        <f t="shared" si="103"/>
        <v>159.301899342399</v>
      </c>
      <c r="AL39" s="1095">
        <f t="shared" ref="AL39:AO39" si="104">R39*$Y39</f>
        <v>44.210071509212234</v>
      </c>
      <c r="AM39" s="1095">
        <f t="shared" si="104"/>
        <v>44.210071509212234</v>
      </c>
      <c r="AN39" s="1095">
        <f t="shared" si="104"/>
        <v>22.105035754606117</v>
      </c>
      <c r="AO39" s="1095">
        <f t="shared" si="104"/>
        <v>22.105035754606117</v>
      </c>
      <c r="AP39" s="1097">
        <f t="shared" ref="AP39" si="105">SUM(AL39:AO39)</f>
        <v>132.6302145276367</v>
      </c>
      <c r="AQ39" s="1094">
        <f t="shared" ref="AQ39:AT39" si="106">R39*$Z39</f>
        <v>0</v>
      </c>
      <c r="AR39" s="1095">
        <f t="shared" si="106"/>
        <v>0</v>
      </c>
      <c r="AS39" s="1095">
        <f t="shared" si="106"/>
        <v>0</v>
      </c>
      <c r="AT39" s="1095">
        <f t="shared" si="106"/>
        <v>0</v>
      </c>
      <c r="AU39" s="1098">
        <f t="shared" ref="AU39" si="107">SUM(AQ39:AT39)</f>
        <v>0</v>
      </c>
      <c r="AV39" s="1094">
        <f t="shared" ref="AV39:AY39" si="108">R39*$AA39</f>
        <v>0</v>
      </c>
      <c r="AW39" s="1095">
        <f t="shared" si="108"/>
        <v>0</v>
      </c>
      <c r="AX39" s="1095">
        <f t="shared" si="108"/>
        <v>0</v>
      </c>
      <c r="AY39" s="1095">
        <f t="shared" si="108"/>
        <v>0</v>
      </c>
      <c r="AZ39" s="1098">
        <f t="shared" ref="AZ39" si="109">SUM(AV39:AY39)</f>
        <v>0</v>
      </c>
      <c r="BA39" s="1099">
        <f t="shared" ref="BA39" si="110">SUM($V39*W39)</f>
        <v>967.86246202996426</v>
      </c>
      <c r="BB39" s="1105">
        <f t="shared" ref="BB39:BE39" si="111">SUM($V39*X39)</f>
        <v>159.301899342399</v>
      </c>
      <c r="BC39" s="1105">
        <f t="shared" si="111"/>
        <v>132.63021452763672</v>
      </c>
      <c r="BD39" s="1105">
        <f t="shared" si="111"/>
        <v>0</v>
      </c>
      <c r="BE39" s="1104">
        <f t="shared" si="111"/>
        <v>0</v>
      </c>
      <c r="BF39" s="59"/>
      <c r="BG39" s="1048" t="s">
        <v>181</v>
      </c>
      <c r="BH39" s="1048" t="s">
        <v>181</v>
      </c>
      <c r="BI39" s="1048" t="str">
        <f>IFERROR(INDEX('[14]Annex 2_Code'!$J$110:$J$127,MATCH('Annex 5_MRD'!BG39,'[14]Annex 2_Code'!$G$110:$G$127,0)),"")</f>
        <v>MRD</v>
      </c>
      <c r="BJ39" s="1084" t="str">
        <f t="shared" si="11"/>
        <v>MRD</v>
      </c>
      <c r="BK39" s="1067"/>
    </row>
    <row r="40" spans="1:63" s="217" customFormat="1" ht="20.25" customHeight="1">
      <c r="A40" s="1070"/>
      <c r="B40" s="1106"/>
      <c r="C40" s="1107"/>
      <c r="D40" s="1108"/>
      <c r="E40" s="1109" t="s">
        <v>36</v>
      </c>
      <c r="F40" s="1110"/>
      <c r="G40" s="1111"/>
      <c r="H40" s="1112"/>
      <c r="I40" s="1112"/>
      <c r="J40" s="1112"/>
      <c r="K40" s="1113"/>
      <c r="L40" s="1114"/>
      <c r="M40" s="1136"/>
      <c r="N40" s="1115"/>
      <c r="O40" s="1115"/>
      <c r="P40" s="1116"/>
      <c r="Q40" s="1118"/>
      <c r="R40" s="1119">
        <f>SUM(R38:R39)</f>
        <v>419.93152529999998</v>
      </c>
      <c r="S40" s="1119">
        <f>SUM(S38:S39)</f>
        <v>419.93152529999998</v>
      </c>
      <c r="T40" s="1119">
        <f>SUM(T38:T39)</f>
        <v>209.96576264999999</v>
      </c>
      <c r="U40" s="1119">
        <f>SUM(U38:U39)</f>
        <v>209.96576264999999</v>
      </c>
      <c r="V40" s="1119">
        <f>SUM(V38:V39)</f>
        <v>1259.7945758999999</v>
      </c>
      <c r="W40" s="1091">
        <f>IFERROR(INDEX([13]Code!I$8:I$33,MATCH('[13]$MRD-Annex'!$BG26,[13]Code!$G$8:$G$33,0)),"")</f>
        <v>0.76827006604510995</v>
      </c>
      <c r="X40" s="1092">
        <f>IFERROR(INDEX([13]Code!J$8:J$33,MATCH('[13]$MRD-Annex'!$BG26,[13]Code!$G$8:$G$33,0)),"")</f>
        <v>0.12645069473218948</v>
      </c>
      <c r="Y40" s="1092">
        <f>IFERROR(INDEX([13]Code!K$8:K$33,MATCH('[13]$MRD-Annex'!$BG26,[13]Code!$G$8:$G$33,0)),"")</f>
        <v>0.10527923922270058</v>
      </c>
      <c r="Z40" s="1092">
        <f>IFERROR(INDEX([13]Code!L$8:L$33,MATCH('[13]$MRD-Annex'!$BG26,[13]Code!$G$8:$G$33,0)),"")</f>
        <v>0</v>
      </c>
      <c r="AA40" s="1093">
        <f>IFERROR(INDEX([13]Code!M$8:M$33,MATCH('[13]$MRD-Annex'!$BG26,[13]Code!$G$8:$G$33,0)),"")</f>
        <v>0</v>
      </c>
      <c r="AB40" s="1121">
        <f>SUM(AB39)</f>
        <v>322.62082067665472</v>
      </c>
      <c r="AC40" s="1119">
        <f>SUM(AC39)</f>
        <v>322.62082067665472</v>
      </c>
      <c r="AD40" s="1119">
        <f>SUM(AD39)</f>
        <v>161.31041033832736</v>
      </c>
      <c r="AE40" s="1119">
        <f>SUM(AE39)</f>
        <v>161.31041033832736</v>
      </c>
      <c r="AF40" s="1122">
        <f>SUM(AB40:AE40)</f>
        <v>967.86246202996404</v>
      </c>
      <c r="AG40" s="1121">
        <f t="shared" ref="AG40:AP40" si="112">SUM(AG38:AG39)</f>
        <v>53.100633114132997</v>
      </c>
      <c r="AH40" s="1119">
        <f t="shared" si="112"/>
        <v>53.100633114132997</v>
      </c>
      <c r="AI40" s="1119">
        <f t="shared" si="112"/>
        <v>26.550316557066498</v>
      </c>
      <c r="AJ40" s="1119">
        <f t="shared" si="112"/>
        <v>26.550316557066498</v>
      </c>
      <c r="AK40" s="1122">
        <f t="shared" si="112"/>
        <v>159.301899342399</v>
      </c>
      <c r="AL40" s="1121">
        <f t="shared" si="112"/>
        <v>44.210071509212234</v>
      </c>
      <c r="AM40" s="1119">
        <f t="shared" si="112"/>
        <v>44.210071509212234</v>
      </c>
      <c r="AN40" s="1119">
        <f t="shared" si="112"/>
        <v>22.105035754606117</v>
      </c>
      <c r="AO40" s="1119">
        <f t="shared" si="112"/>
        <v>22.105035754606117</v>
      </c>
      <c r="AP40" s="1122">
        <f t="shared" si="112"/>
        <v>132.6302145276367</v>
      </c>
      <c r="AQ40" s="1121"/>
      <c r="AR40" s="1119"/>
      <c r="AS40" s="1119"/>
      <c r="AT40" s="1119"/>
      <c r="AU40" s="1123"/>
      <c r="AV40" s="1124"/>
      <c r="AW40" s="1125"/>
      <c r="AX40" s="1125"/>
      <c r="AY40" s="1125"/>
      <c r="AZ40" s="1123"/>
      <c r="BA40" s="1126">
        <f>BA39</f>
        <v>967.86246202996426</v>
      </c>
      <c r="BB40" s="1127">
        <f>BB39</f>
        <v>159.301899342399</v>
      </c>
      <c r="BC40" s="1127">
        <f>BC39</f>
        <v>132.63021452763672</v>
      </c>
      <c r="BD40" s="1127">
        <f>BD39</f>
        <v>0</v>
      </c>
      <c r="BE40" s="1127">
        <f>BE39</f>
        <v>0</v>
      </c>
      <c r="BF40" s="59"/>
      <c r="BG40" s="1048"/>
      <c r="BH40" s="1048"/>
      <c r="BI40" s="1048">
        <f>IFERROR(INDEX('[14]Annex 2_Code'!$J$110:$J$127,MATCH('Annex 5_MRD'!BG40,'[14]Annex 2_Code'!$G$110:$G$127,0)),"")</f>
        <v>0</v>
      </c>
      <c r="BJ40" s="1084" t="str">
        <f t="shared" si="11"/>
        <v>0</v>
      </c>
      <c r="BK40" s="1067"/>
    </row>
    <row r="41" spans="1:63" s="217" customFormat="1" ht="20.25" customHeight="1">
      <c r="A41" s="1070"/>
      <c r="B41" s="57"/>
      <c r="C41" s="57"/>
      <c r="D41" s="2687" t="s">
        <v>953</v>
      </c>
      <c r="E41" s="2688"/>
      <c r="F41" s="2688"/>
      <c r="G41" s="2689"/>
      <c r="K41" s="1154"/>
      <c r="L41" s="1130"/>
      <c r="M41" s="1132"/>
      <c r="N41" s="1132"/>
      <c r="O41" s="1132"/>
      <c r="P41" s="1133"/>
      <c r="Q41" s="182"/>
      <c r="R41" s="1089"/>
      <c r="S41" s="1089"/>
      <c r="T41" s="1089"/>
      <c r="U41" s="1089"/>
      <c r="V41" s="1090"/>
      <c r="W41" s="1091">
        <f>IFERROR(INDEX([13]Code!I$8:I$33,MATCH('[13]$MRD-Annex'!$BG33,[13]Code!$G$8:$G$33,0)),"")</f>
        <v>0.76827006604510995</v>
      </c>
      <c r="X41" s="1092">
        <f>IFERROR(INDEX([13]Code!J$8:J$33,MATCH('[13]$MRD-Annex'!$BG33,[13]Code!$G$8:$G$33,0)),"")</f>
        <v>0.12645069473218948</v>
      </c>
      <c r="Y41" s="1092">
        <f>IFERROR(INDEX([13]Code!K$8:K$33,MATCH('[13]$MRD-Annex'!$BG33,[13]Code!$G$8:$G$33,0)),"")</f>
        <v>0.10527923922270058</v>
      </c>
      <c r="Z41" s="1092">
        <f>IFERROR(INDEX([13]Code!L$8:L$33,MATCH('[13]$MRD-Annex'!$BG33,[13]Code!$G$8:$G$33,0)),"")</f>
        <v>0</v>
      </c>
      <c r="AA41" s="1093">
        <f>IFERROR(INDEX([13]Code!M$8:M$33,MATCH('[13]$MRD-Annex'!$BG33,[13]Code!$G$8:$G$33,0)),"")</f>
        <v>0</v>
      </c>
      <c r="AB41" s="1094">
        <f t="shared" ref="AB41:AE42" si="113">R41*$W41</f>
        <v>0</v>
      </c>
      <c r="AC41" s="1095">
        <f t="shared" si="113"/>
        <v>0</v>
      </c>
      <c r="AD41" s="1095">
        <f t="shared" si="113"/>
        <v>0</v>
      </c>
      <c r="AE41" s="1095">
        <f t="shared" si="113"/>
        <v>0</v>
      </c>
      <c r="AF41" s="1096">
        <f t="shared" ref="AF41:AF42" si="114">SUM(AB41:AE41)</f>
        <v>0</v>
      </c>
      <c r="AG41" s="1094">
        <f t="shared" ref="AG41:AK42" si="115">R41*$X41</f>
        <v>0</v>
      </c>
      <c r="AH41" s="1095">
        <f t="shared" si="115"/>
        <v>0</v>
      </c>
      <c r="AI41" s="1095">
        <f t="shared" si="115"/>
        <v>0</v>
      </c>
      <c r="AJ41" s="1095">
        <f t="shared" si="115"/>
        <v>0</v>
      </c>
      <c r="AK41" s="1096">
        <f t="shared" si="115"/>
        <v>0</v>
      </c>
      <c r="AL41" s="1095"/>
      <c r="AM41" s="1095"/>
      <c r="AN41" s="1095"/>
      <c r="AO41" s="1095"/>
      <c r="AP41" s="1097"/>
      <c r="AQ41" s="1094">
        <f t="shared" ref="AQ41:AT42" si="116">R41*$Z41</f>
        <v>0</v>
      </c>
      <c r="AR41" s="1095">
        <f t="shared" si="116"/>
        <v>0</v>
      </c>
      <c r="AS41" s="1095">
        <f t="shared" si="116"/>
        <v>0</v>
      </c>
      <c r="AT41" s="1095">
        <f t="shared" si="116"/>
        <v>0</v>
      </c>
      <c r="AU41" s="1098">
        <f>SUM(AQ41:AT41)</f>
        <v>0</v>
      </c>
      <c r="AV41" s="1094">
        <f t="shared" ref="AV41:AY42" si="117">R41*$AA41</f>
        <v>0</v>
      </c>
      <c r="AW41" s="1095">
        <f t="shared" si="117"/>
        <v>0</v>
      </c>
      <c r="AX41" s="1095">
        <f t="shared" si="117"/>
        <v>0</v>
      </c>
      <c r="AY41" s="1095">
        <f t="shared" si="117"/>
        <v>0</v>
      </c>
      <c r="AZ41" s="1098">
        <f>SUM(AV41:AY41)</f>
        <v>0</v>
      </c>
      <c r="BA41" s="1099"/>
      <c r="BB41" s="1100"/>
      <c r="BC41" s="1100"/>
      <c r="BD41" s="1100"/>
      <c r="BE41" s="1101"/>
      <c r="BF41" s="1067"/>
      <c r="BG41" s="1048"/>
      <c r="BH41" s="1048"/>
      <c r="BI41" s="1048">
        <f>IFERROR(INDEX('[14]Annex 2_Code'!$J$110:$J$127,MATCH('Annex 5_MRD'!BG41,'[14]Annex 2_Code'!$G$110:$G$127,0)),"")</f>
        <v>0</v>
      </c>
      <c r="BJ41" s="1084" t="str">
        <f t="shared" si="11"/>
        <v>0</v>
      </c>
      <c r="BK41" s="1067"/>
    </row>
    <row r="42" spans="1:63" s="217" customFormat="1" ht="20.25" customHeight="1">
      <c r="A42" s="1070"/>
      <c r="B42" s="57"/>
      <c r="C42" s="57"/>
      <c r="D42" s="2692" t="s">
        <v>954</v>
      </c>
      <c r="E42" s="2693"/>
      <c r="F42" s="2693"/>
      <c r="G42" s="2694"/>
      <c r="H42" s="1534" t="s">
        <v>776</v>
      </c>
      <c r="I42" s="1534">
        <v>1273595.3</v>
      </c>
      <c r="J42" s="1534">
        <v>63679.765000000007</v>
      </c>
      <c r="K42" s="1171">
        <f>I42+J42</f>
        <v>1337275.0649999999</v>
      </c>
      <c r="L42" s="1153">
        <f>K42/1000</f>
        <v>1337.275065</v>
      </c>
      <c r="M42" s="1536">
        <v>0.2</v>
      </c>
      <c r="N42" s="1536">
        <v>0.2</v>
      </c>
      <c r="O42" s="1536">
        <v>0.2</v>
      </c>
      <c r="P42" s="1536">
        <v>0.1</v>
      </c>
      <c r="Q42" s="1103">
        <f>SUM(M42:P42)</f>
        <v>0.70000000000000007</v>
      </c>
      <c r="R42" s="1100">
        <f>M42*L42</f>
        <v>267.45501300000001</v>
      </c>
      <c r="S42" s="1100">
        <f>N42*L42</f>
        <v>267.45501300000001</v>
      </c>
      <c r="T42" s="1100">
        <f>O42*L42</f>
        <v>267.45501300000001</v>
      </c>
      <c r="U42" s="1100">
        <f>P42*L42</f>
        <v>133.7275065</v>
      </c>
      <c r="V42" s="1104">
        <f t="shared" ref="V42" si="118">SUM(R42:U42)</f>
        <v>936.09254550000003</v>
      </c>
      <c r="W42" s="1091">
        <f>IFERROR(INDEX([13]Code!I$8:I$33,MATCH('[13]$MRD-Annex'!$BG34,[13]Code!$G$8:$G$33,0)),"")</f>
        <v>0.76827006604510995</v>
      </c>
      <c r="X42" s="1092">
        <f>IFERROR(INDEX([13]Code!J$8:J$33,MATCH('[13]$MRD-Annex'!$BG34,[13]Code!$G$8:$G$33,0)),"")</f>
        <v>0.12645069473218948</v>
      </c>
      <c r="Y42" s="1092">
        <f>IFERROR(INDEX([13]Code!K$8:K$33,MATCH('[13]$MRD-Annex'!$BG34,[13]Code!$G$8:$G$33,0)),"")</f>
        <v>0.10527923922270058</v>
      </c>
      <c r="Z42" s="1092">
        <f>IFERROR(INDEX([13]Code!L$8:L$33,MATCH('[13]$MRD-Annex'!$BG34,[13]Code!$G$8:$G$33,0)),"")</f>
        <v>0</v>
      </c>
      <c r="AA42" s="1093">
        <f>IFERROR(INDEX([13]Code!M$8:M$33,MATCH('[13]$MRD-Annex'!$BG34,[13]Code!$G$8:$G$33,0)),"")</f>
        <v>0</v>
      </c>
      <c r="AB42" s="1094">
        <f t="shared" si="113"/>
        <v>205.47768050160573</v>
      </c>
      <c r="AC42" s="1095">
        <f t="shared" si="113"/>
        <v>205.47768050160573</v>
      </c>
      <c r="AD42" s="1095">
        <f t="shared" si="113"/>
        <v>205.47768050160573</v>
      </c>
      <c r="AE42" s="1095">
        <f t="shared" si="113"/>
        <v>102.73884025080287</v>
      </c>
      <c r="AF42" s="1096">
        <f t="shared" si="114"/>
        <v>719.17188175562001</v>
      </c>
      <c r="AG42" s="1094">
        <f t="shared" si="115"/>
        <v>33.819872203456768</v>
      </c>
      <c r="AH42" s="1095">
        <f t="shared" si="115"/>
        <v>33.819872203456768</v>
      </c>
      <c r="AI42" s="1095">
        <f t="shared" si="115"/>
        <v>33.819872203456768</v>
      </c>
      <c r="AJ42" s="1095">
        <f t="shared" si="115"/>
        <v>16.909936101728384</v>
      </c>
      <c r="AK42" s="1096">
        <f t="shared" si="115"/>
        <v>118.3695527120987</v>
      </c>
      <c r="AL42" s="1095">
        <f t="shared" ref="AL42:AO42" si="119">R42*$Y42</f>
        <v>28.157460294937493</v>
      </c>
      <c r="AM42" s="1095">
        <f t="shared" si="119"/>
        <v>28.157460294937493</v>
      </c>
      <c r="AN42" s="1095">
        <f t="shared" si="119"/>
        <v>28.157460294937493</v>
      </c>
      <c r="AO42" s="1095">
        <f t="shared" si="119"/>
        <v>14.078730147468747</v>
      </c>
      <c r="AP42" s="1097">
        <f t="shared" ref="AP42" si="120">SUM(AL42:AO42)</f>
        <v>98.551111032281227</v>
      </c>
      <c r="AQ42" s="1094">
        <f t="shared" si="116"/>
        <v>0</v>
      </c>
      <c r="AR42" s="1095">
        <f t="shared" si="116"/>
        <v>0</v>
      </c>
      <c r="AS42" s="1095">
        <f t="shared" si="116"/>
        <v>0</v>
      </c>
      <c r="AT42" s="1095">
        <f t="shared" si="116"/>
        <v>0</v>
      </c>
      <c r="AU42" s="1098">
        <f t="shared" ref="AU42" si="121">SUM(AQ42:AT42)</f>
        <v>0</v>
      </c>
      <c r="AV42" s="1094">
        <f t="shared" si="117"/>
        <v>0</v>
      </c>
      <c r="AW42" s="1095">
        <f t="shared" si="117"/>
        <v>0</v>
      </c>
      <c r="AX42" s="1095">
        <f t="shared" si="117"/>
        <v>0</v>
      </c>
      <c r="AY42" s="1095">
        <f t="shared" si="117"/>
        <v>0</v>
      </c>
      <c r="AZ42" s="1098">
        <f t="shared" ref="AZ42" si="122">SUM(AV42:AY42)</f>
        <v>0</v>
      </c>
      <c r="BA42" s="1099">
        <f t="shared" ref="BA42" si="123">SUM($V42*W42)</f>
        <v>719.17188175562012</v>
      </c>
      <c r="BB42" s="1105">
        <f t="shared" ref="BB42:BE42" si="124">SUM($V42*X42)</f>
        <v>118.3695527120987</v>
      </c>
      <c r="BC42" s="1105">
        <f t="shared" si="124"/>
        <v>98.551111032281227</v>
      </c>
      <c r="BD42" s="1105">
        <f t="shared" si="124"/>
        <v>0</v>
      </c>
      <c r="BE42" s="1104">
        <f t="shared" si="124"/>
        <v>0</v>
      </c>
      <c r="BF42" s="1067"/>
      <c r="BG42" s="1048" t="s">
        <v>181</v>
      </c>
      <c r="BH42" s="1048" t="s">
        <v>181</v>
      </c>
      <c r="BI42" s="1048" t="str">
        <f>IFERROR(INDEX('[14]Annex 2_Code'!$J$110:$J$127,MATCH('Annex 5_MRD'!BG42,'[14]Annex 2_Code'!$G$110:$G$127,0)),"")</f>
        <v>MRD</v>
      </c>
      <c r="BJ42" s="1084" t="str">
        <f t="shared" si="11"/>
        <v>MRD</v>
      </c>
      <c r="BK42" s="1067"/>
    </row>
    <row r="43" spans="1:63" s="217" customFormat="1" ht="20.25" customHeight="1">
      <c r="A43" s="1070"/>
      <c r="B43" s="1106"/>
      <c r="C43" s="1107"/>
      <c r="D43" s="1108"/>
      <c r="E43" s="1109" t="s">
        <v>36</v>
      </c>
      <c r="F43" s="1110"/>
      <c r="G43" s="1111"/>
      <c r="H43" s="1109"/>
      <c r="I43" s="1109"/>
      <c r="J43" s="1109"/>
      <c r="K43" s="1113"/>
      <c r="L43" s="1114"/>
      <c r="M43" s="1136"/>
      <c r="N43" s="1115"/>
      <c r="O43" s="1116"/>
      <c r="P43" s="1117"/>
      <c r="Q43" s="1118"/>
      <c r="R43" s="1119">
        <f>SUM(R42:R42)</f>
        <v>267.45501300000001</v>
      </c>
      <c r="S43" s="1119">
        <f>SUM(S42:S42)</f>
        <v>267.45501300000001</v>
      </c>
      <c r="T43" s="1119">
        <f>SUM(T42:T42)</f>
        <v>267.45501300000001</v>
      </c>
      <c r="U43" s="1119">
        <f>SUM(U42:U42)</f>
        <v>133.7275065</v>
      </c>
      <c r="V43" s="1120">
        <f>SUM(V42:V42)</f>
        <v>936.09254550000003</v>
      </c>
      <c r="W43" s="1091">
        <f>IFERROR(INDEX([13]Code!I$8:I$33,MATCH('[13]$MRD-Annex'!$BG35,[13]Code!$G$8:$G$33,0)),"")</f>
        <v>0.76827006604510995</v>
      </c>
      <c r="X43" s="1092">
        <f>IFERROR(INDEX([13]Code!J$8:J$33,MATCH('[13]$MRD-Annex'!$BG35,[13]Code!$G$8:$G$33,0)),"")</f>
        <v>0.12645069473218948</v>
      </c>
      <c r="Y43" s="1092">
        <f>IFERROR(INDEX([13]Code!K$8:K$33,MATCH('[13]$MRD-Annex'!$BG35,[13]Code!$G$8:$G$33,0)),"")</f>
        <v>0.10527923922270058</v>
      </c>
      <c r="Z43" s="1092">
        <f>IFERROR(INDEX([13]Code!L$8:L$33,MATCH('[13]$MRD-Annex'!$BG35,[13]Code!$G$8:$G$33,0)),"")</f>
        <v>0</v>
      </c>
      <c r="AA43" s="1093">
        <f>IFERROR(INDEX([13]Code!M$8:M$33,MATCH('[13]$MRD-Annex'!$BG35,[13]Code!$G$8:$G$33,0)),"")</f>
        <v>0</v>
      </c>
      <c r="AB43" s="1121">
        <f t="shared" ref="AB43:AP43" si="125">SUM(AB41:AB42)</f>
        <v>205.47768050160573</v>
      </c>
      <c r="AC43" s="1119">
        <f t="shared" si="125"/>
        <v>205.47768050160573</v>
      </c>
      <c r="AD43" s="1119">
        <f t="shared" si="125"/>
        <v>205.47768050160573</v>
      </c>
      <c r="AE43" s="1119">
        <f t="shared" si="125"/>
        <v>102.73884025080287</v>
      </c>
      <c r="AF43" s="1122">
        <f t="shared" si="125"/>
        <v>719.17188175562001</v>
      </c>
      <c r="AG43" s="1121">
        <f t="shared" si="125"/>
        <v>33.819872203456768</v>
      </c>
      <c r="AH43" s="1119">
        <f t="shared" si="125"/>
        <v>33.819872203456768</v>
      </c>
      <c r="AI43" s="1119">
        <f t="shared" si="125"/>
        <v>33.819872203456768</v>
      </c>
      <c r="AJ43" s="1119">
        <f t="shared" si="125"/>
        <v>16.909936101728384</v>
      </c>
      <c r="AK43" s="1122">
        <f t="shared" si="125"/>
        <v>118.3695527120987</v>
      </c>
      <c r="AL43" s="1121">
        <f t="shared" si="125"/>
        <v>28.157460294937493</v>
      </c>
      <c r="AM43" s="1119">
        <f t="shared" si="125"/>
        <v>28.157460294937493</v>
      </c>
      <c r="AN43" s="1119">
        <f t="shared" si="125"/>
        <v>28.157460294937493</v>
      </c>
      <c r="AO43" s="1119">
        <f t="shared" si="125"/>
        <v>14.078730147468747</v>
      </c>
      <c r="AP43" s="1122">
        <f t="shared" si="125"/>
        <v>98.551111032281227</v>
      </c>
      <c r="AQ43" s="1121"/>
      <c r="AR43" s="1119"/>
      <c r="AS43" s="1119"/>
      <c r="AT43" s="1119"/>
      <c r="AU43" s="1123"/>
      <c r="AV43" s="1124"/>
      <c r="AW43" s="1125"/>
      <c r="AX43" s="1125"/>
      <c r="AY43" s="1125"/>
      <c r="AZ43" s="1123"/>
      <c r="BA43" s="1126">
        <f>SUM(BA42)</f>
        <v>719.17188175562012</v>
      </c>
      <c r="BB43" s="1127">
        <f>SUM(BB42)</f>
        <v>118.3695527120987</v>
      </c>
      <c r="BC43" s="1127">
        <f>SUM(BC42)</f>
        <v>98.551111032281227</v>
      </c>
      <c r="BD43" s="1127">
        <f>SUM(BD42)</f>
        <v>0</v>
      </c>
      <c r="BE43" s="1120">
        <f>SUM(BE42)</f>
        <v>0</v>
      </c>
      <c r="BF43" s="1067"/>
      <c r="BG43" s="1048"/>
      <c r="BH43" s="1048"/>
      <c r="BI43" s="1048">
        <f>IFERROR(INDEX('[14]Annex 2_Code'!$J$110:$J$127,MATCH('Annex 5_MRD'!BG43,'[14]Annex 2_Code'!$G$110:$G$127,0)),"")</f>
        <v>0</v>
      </c>
      <c r="BJ43" s="1084" t="str">
        <f t="shared" si="11"/>
        <v>0</v>
      </c>
      <c r="BK43" s="1067"/>
    </row>
    <row r="44" spans="1:63" s="217" customFormat="1" ht="20.25" customHeight="1">
      <c r="A44" s="1070"/>
      <c r="B44" s="57"/>
      <c r="C44" s="57"/>
      <c r="D44" s="2687" t="s">
        <v>955</v>
      </c>
      <c r="E44" s="2688"/>
      <c r="F44" s="2688"/>
      <c r="G44" s="2689"/>
      <c r="K44" s="1154"/>
      <c r="L44" s="1130"/>
      <c r="M44" s="1155"/>
      <c r="N44" s="1156"/>
      <c r="O44" s="1157"/>
      <c r="P44" s="1158"/>
      <c r="Q44" s="1159"/>
      <c r="R44" s="1161"/>
      <c r="S44" s="1161"/>
      <c r="T44" s="1161"/>
      <c r="U44" s="1161"/>
      <c r="V44" s="1162"/>
      <c r="W44" s="1091">
        <f>IFERROR(INDEX([13]Code!I$8:I$33,MATCH('[13]$MRD-Annex'!$BG27,[13]Code!$G$8:$G$33,0)),"")</f>
        <v>0.76827006604510995</v>
      </c>
      <c r="X44" s="1092">
        <f>IFERROR(INDEX([13]Code!J$8:J$33,MATCH('[13]$MRD-Annex'!$BG27,[13]Code!$G$8:$G$33,0)),"")</f>
        <v>0.12645069473218948</v>
      </c>
      <c r="Y44" s="1092">
        <f>IFERROR(INDEX([13]Code!K$8:K$33,MATCH('[13]$MRD-Annex'!$BG27,[13]Code!$G$8:$G$33,0)),"")</f>
        <v>0.10527923922270058</v>
      </c>
      <c r="Z44" s="1092">
        <f>IFERROR(INDEX([13]Code!L$8:L$33,MATCH('[13]$MRD-Annex'!$BG27,[13]Code!$G$8:$G$33,0)),"")</f>
        <v>0</v>
      </c>
      <c r="AA44" s="1093">
        <f>IFERROR(INDEX([13]Code!M$8:M$33,MATCH('[13]$MRD-Annex'!$BG27,[13]Code!$G$8:$G$33,0)),"")</f>
        <v>0</v>
      </c>
      <c r="AB44" s="1163"/>
      <c r="AC44" s="1161"/>
      <c r="AD44" s="1161"/>
      <c r="AE44" s="1161"/>
      <c r="AF44" s="1164"/>
      <c r="AG44" s="1163"/>
      <c r="AH44" s="1161"/>
      <c r="AI44" s="1161"/>
      <c r="AJ44" s="1161"/>
      <c r="AK44" s="1164"/>
      <c r="AL44" s="1161"/>
      <c r="AM44" s="1161"/>
      <c r="AN44" s="1161"/>
      <c r="AO44" s="1161"/>
      <c r="AP44" s="1161"/>
      <c r="AQ44" s="1163"/>
      <c r="AR44" s="1161"/>
      <c r="AS44" s="1161"/>
      <c r="AT44" s="1161"/>
      <c r="AU44" s="1165"/>
      <c r="AV44" s="1166"/>
      <c r="AW44" s="1167"/>
      <c r="AX44" s="1167"/>
      <c r="AY44" s="1167"/>
      <c r="AZ44" s="1165"/>
      <c r="BA44" s="1168"/>
      <c r="BB44" s="1169"/>
      <c r="BC44" s="1169"/>
      <c r="BD44" s="1169"/>
      <c r="BE44" s="1162"/>
      <c r="BF44" s="59"/>
      <c r="BG44" s="1048"/>
      <c r="BH44" s="1048"/>
      <c r="BI44" s="1048">
        <f>IFERROR(INDEX('[14]Annex 2_Code'!$J$110:$J$127,MATCH('Annex 5_MRD'!BG44,'[14]Annex 2_Code'!$G$110:$G$127,0)),"")</f>
        <v>0</v>
      </c>
      <c r="BJ44" s="1084" t="str">
        <f t="shared" si="11"/>
        <v>0</v>
      </c>
      <c r="BK44" s="1067"/>
    </row>
    <row r="45" spans="1:63" s="217" customFormat="1" ht="30.75" customHeight="1">
      <c r="A45" s="1070"/>
      <c r="B45" s="57" t="s">
        <v>22</v>
      </c>
      <c r="C45" s="57" t="s">
        <v>135</v>
      </c>
      <c r="D45" s="2692" t="s">
        <v>956</v>
      </c>
      <c r="E45" s="2693"/>
      <c r="F45" s="2693"/>
      <c r="G45" s="2694"/>
      <c r="H45" s="1534" t="s">
        <v>776</v>
      </c>
      <c r="I45" s="1534">
        <v>1836447.7</v>
      </c>
      <c r="J45" s="1534">
        <v>91822.385000000009</v>
      </c>
      <c r="K45" s="1171">
        <f>I45+J45</f>
        <v>1928270.085</v>
      </c>
      <c r="L45" s="1153">
        <f>K45/1000</f>
        <v>1928.2700849999999</v>
      </c>
      <c r="M45" s="1536">
        <v>0.2</v>
      </c>
      <c r="N45" s="1536">
        <v>0.2</v>
      </c>
      <c r="O45" s="1536">
        <v>0.1</v>
      </c>
      <c r="P45" s="1536">
        <v>0.1</v>
      </c>
      <c r="Q45" s="1103">
        <f t="shared" ref="Q45" si="126">SUM(M45:P45)</f>
        <v>0.6</v>
      </c>
      <c r="R45" s="1100">
        <f>M45*L45</f>
        <v>385.65401700000001</v>
      </c>
      <c r="S45" s="1100">
        <f>N45*L45</f>
        <v>385.65401700000001</v>
      </c>
      <c r="T45" s="1100">
        <f>O45*L45</f>
        <v>192.82700850000001</v>
      </c>
      <c r="U45" s="1100">
        <f>P45*L45</f>
        <v>192.82700850000001</v>
      </c>
      <c r="V45" s="1135">
        <f>SUM(R45:U45)</f>
        <v>1156.962051</v>
      </c>
      <c r="W45" s="1091">
        <f>IFERROR(INDEX([13]Code!I$8:I$33,MATCH('[13]$MRD-Annex'!$BG28,[13]Code!$G$8:$G$33,0)),"")</f>
        <v>0.76827006604510995</v>
      </c>
      <c r="X45" s="1092">
        <f>IFERROR(INDEX([13]Code!J$8:J$33,MATCH('[13]$MRD-Annex'!$BG28,[13]Code!$G$8:$G$33,0)),"")</f>
        <v>0.12645069473218948</v>
      </c>
      <c r="Y45" s="1092">
        <f>IFERROR(INDEX([13]Code!K$8:K$33,MATCH('[13]$MRD-Annex'!$BG28,[13]Code!$G$8:$G$33,0)),"")</f>
        <v>0.10527923922270058</v>
      </c>
      <c r="Z45" s="1092">
        <f>IFERROR(INDEX([13]Code!L$8:L$33,MATCH('[13]$MRD-Annex'!$BG28,[13]Code!$G$8:$G$33,0)),"")</f>
        <v>0</v>
      </c>
      <c r="AA45" s="1093">
        <f>IFERROR(INDEX([13]Code!M$8:M$33,MATCH('[13]$MRD-Annex'!$BG28,[13]Code!$G$8:$G$33,0)),"")</f>
        <v>0</v>
      </c>
      <c r="AB45" s="1094">
        <f t="shared" ref="AB45:AE45" si="127">R45*$W45</f>
        <v>296.28643711115194</v>
      </c>
      <c r="AC45" s="1095">
        <f t="shared" si="127"/>
        <v>296.28643711115194</v>
      </c>
      <c r="AD45" s="1095">
        <f t="shared" si="127"/>
        <v>148.14321855557597</v>
      </c>
      <c r="AE45" s="1095">
        <f t="shared" si="127"/>
        <v>148.14321855557597</v>
      </c>
      <c r="AF45" s="1096">
        <f t="shared" ref="AF45" si="128">SUM(AB45:AE45)</f>
        <v>888.85931133345571</v>
      </c>
      <c r="AG45" s="1094">
        <f t="shared" ref="AG45:AK45" si="129">R45*$X45</f>
        <v>48.76621837590961</v>
      </c>
      <c r="AH45" s="1095">
        <f t="shared" si="129"/>
        <v>48.76621837590961</v>
      </c>
      <c r="AI45" s="1095">
        <f t="shared" si="129"/>
        <v>24.383109187954805</v>
      </c>
      <c r="AJ45" s="1095">
        <f t="shared" si="129"/>
        <v>24.383109187954805</v>
      </c>
      <c r="AK45" s="1096">
        <f t="shared" si="129"/>
        <v>146.29865512772884</v>
      </c>
      <c r="AL45" s="1095">
        <f t="shared" ref="AL45:AO45" si="130">R45*$Y45</f>
        <v>40.601361512938439</v>
      </c>
      <c r="AM45" s="1095">
        <f t="shared" si="130"/>
        <v>40.601361512938439</v>
      </c>
      <c r="AN45" s="1095">
        <f t="shared" si="130"/>
        <v>20.30068075646922</v>
      </c>
      <c r="AO45" s="1095">
        <f t="shared" si="130"/>
        <v>20.30068075646922</v>
      </c>
      <c r="AP45" s="1097">
        <f t="shared" ref="AP45" si="131">SUM(AL45:AO45)</f>
        <v>121.80408453881532</v>
      </c>
      <c r="AQ45" s="1094">
        <f t="shared" ref="AQ45:AT45" si="132">R45*$Z45</f>
        <v>0</v>
      </c>
      <c r="AR45" s="1095">
        <f t="shared" si="132"/>
        <v>0</v>
      </c>
      <c r="AS45" s="1095">
        <f t="shared" si="132"/>
        <v>0</v>
      </c>
      <c r="AT45" s="1095">
        <f t="shared" si="132"/>
        <v>0</v>
      </c>
      <c r="AU45" s="1098">
        <f t="shared" ref="AU45" si="133">SUM(AQ45:AT45)</f>
        <v>0</v>
      </c>
      <c r="AV45" s="1094">
        <f t="shared" ref="AV45:AY45" si="134">R45*$AA45</f>
        <v>0</v>
      </c>
      <c r="AW45" s="1095">
        <f t="shared" si="134"/>
        <v>0</v>
      </c>
      <c r="AX45" s="1095">
        <f t="shared" si="134"/>
        <v>0</v>
      </c>
      <c r="AY45" s="1095">
        <f t="shared" si="134"/>
        <v>0</v>
      </c>
      <c r="AZ45" s="1098">
        <f t="shared" ref="AZ45" si="135">SUM(AV45:AY45)</f>
        <v>0</v>
      </c>
      <c r="BA45" s="1099">
        <f t="shared" ref="BA45" si="136">SUM($V45*W45)</f>
        <v>888.85931133345582</v>
      </c>
      <c r="BB45" s="1105">
        <f t="shared" ref="BB45:BE45" si="137">SUM($V45*X45)</f>
        <v>146.29865512772884</v>
      </c>
      <c r="BC45" s="1105">
        <f t="shared" si="137"/>
        <v>121.8040845388153</v>
      </c>
      <c r="BD45" s="1105">
        <f t="shared" si="137"/>
        <v>0</v>
      </c>
      <c r="BE45" s="1104">
        <f t="shared" si="137"/>
        <v>0</v>
      </c>
      <c r="BF45" s="59"/>
      <c r="BG45" s="1048" t="s">
        <v>181</v>
      </c>
      <c r="BH45" s="1048" t="s">
        <v>181</v>
      </c>
      <c r="BI45" s="1048" t="str">
        <f>IFERROR(INDEX('[14]Annex 2_Code'!$J$110:$J$127,MATCH('Annex 5_MRD'!BG45,'[14]Annex 2_Code'!$G$110:$G$127,0)),"")</f>
        <v>MRD</v>
      </c>
      <c r="BJ45" s="1084" t="str">
        <f t="shared" si="11"/>
        <v>MRD</v>
      </c>
      <c r="BK45" s="1067"/>
    </row>
    <row r="46" spans="1:63" s="217" customFormat="1" ht="20.25" customHeight="1">
      <c r="A46" s="1070"/>
      <c r="B46" s="1106"/>
      <c r="C46" s="1107"/>
      <c r="D46" s="1108"/>
      <c r="E46" s="1109" t="s">
        <v>36</v>
      </c>
      <c r="F46" s="1110"/>
      <c r="G46" s="1111"/>
      <c r="H46" s="1112"/>
      <c r="I46" s="1112"/>
      <c r="J46" s="1112"/>
      <c r="K46" s="1113"/>
      <c r="L46" s="1114"/>
      <c r="M46" s="1136"/>
      <c r="N46" s="1115"/>
      <c r="O46" s="1117"/>
      <c r="P46" s="1117"/>
      <c r="Q46" s="1118"/>
      <c r="R46" s="1119">
        <f>SUM(R44:R45)</f>
        <v>385.65401700000001</v>
      </c>
      <c r="S46" s="1119">
        <f>SUM(S44:S45)</f>
        <v>385.65401700000001</v>
      </c>
      <c r="T46" s="1119">
        <f>SUM(T44:T45)</f>
        <v>192.82700850000001</v>
      </c>
      <c r="U46" s="1119">
        <f>SUM(U44:U45)</f>
        <v>192.82700850000001</v>
      </c>
      <c r="V46" s="1119">
        <f>SUM(V44:V45)</f>
        <v>1156.962051</v>
      </c>
      <c r="W46" s="1091">
        <f>IFERROR(INDEX([13]Code!I$8:I$33,MATCH('[13]$MRD-Annex'!$BG29,[13]Code!$G$8:$G$33,0)),"")</f>
        <v>0.76827006604510995</v>
      </c>
      <c r="X46" s="1092">
        <f>IFERROR(INDEX([13]Code!J$8:J$33,MATCH('[13]$MRD-Annex'!$BG29,[13]Code!$G$8:$G$33,0)),"")</f>
        <v>0.12645069473218948</v>
      </c>
      <c r="Y46" s="1092">
        <f>IFERROR(INDEX([13]Code!K$8:K$33,MATCH('[13]$MRD-Annex'!$BG29,[13]Code!$G$8:$G$33,0)),"")</f>
        <v>0.10527923922270058</v>
      </c>
      <c r="Z46" s="1092">
        <f>IFERROR(INDEX([13]Code!L$8:L$33,MATCH('[13]$MRD-Annex'!$BG29,[13]Code!$G$8:$G$33,0)),"")</f>
        <v>0</v>
      </c>
      <c r="AA46" s="1093">
        <f>IFERROR(INDEX([13]Code!M$8:M$33,MATCH('[13]$MRD-Annex'!$BG29,[13]Code!$G$8:$G$33,0)),"")</f>
        <v>0</v>
      </c>
      <c r="AB46" s="1121">
        <f>SUM(AB45)</f>
        <v>296.28643711115194</v>
      </c>
      <c r="AC46" s="1119">
        <f>SUM(AC45)</f>
        <v>296.28643711115194</v>
      </c>
      <c r="AD46" s="1119">
        <f>SUM(AD45)</f>
        <v>148.14321855557597</v>
      </c>
      <c r="AE46" s="1119">
        <f>SUM(AE45)</f>
        <v>148.14321855557597</v>
      </c>
      <c r="AF46" s="1122">
        <f>SUM(AB46:AE46)</f>
        <v>888.85931133345571</v>
      </c>
      <c r="AG46" s="1121">
        <f t="shared" ref="AG46:AP46" si="138">SUM(AG44:AG45)</f>
        <v>48.76621837590961</v>
      </c>
      <c r="AH46" s="1119">
        <f t="shared" si="138"/>
        <v>48.76621837590961</v>
      </c>
      <c r="AI46" s="1119">
        <f t="shared" si="138"/>
        <v>24.383109187954805</v>
      </c>
      <c r="AJ46" s="1119">
        <f t="shared" si="138"/>
        <v>24.383109187954805</v>
      </c>
      <c r="AK46" s="1122">
        <f t="shared" si="138"/>
        <v>146.29865512772884</v>
      </c>
      <c r="AL46" s="1121">
        <f t="shared" si="138"/>
        <v>40.601361512938439</v>
      </c>
      <c r="AM46" s="1119">
        <f t="shared" si="138"/>
        <v>40.601361512938439</v>
      </c>
      <c r="AN46" s="1119">
        <f t="shared" si="138"/>
        <v>20.30068075646922</v>
      </c>
      <c r="AO46" s="1119">
        <f t="shared" si="138"/>
        <v>20.30068075646922</v>
      </c>
      <c r="AP46" s="1122">
        <f t="shared" si="138"/>
        <v>121.80408453881532</v>
      </c>
      <c r="AQ46" s="1121"/>
      <c r="AR46" s="1119"/>
      <c r="AS46" s="1119"/>
      <c r="AT46" s="1119"/>
      <c r="AU46" s="1123"/>
      <c r="AV46" s="1124"/>
      <c r="AW46" s="1125"/>
      <c r="AX46" s="1125"/>
      <c r="AY46" s="1125"/>
      <c r="AZ46" s="1123"/>
      <c r="BA46" s="1126">
        <f>SUM(BA45:BA45)</f>
        <v>888.85931133345582</v>
      </c>
      <c r="BB46" s="1127">
        <f>SUM(BB45:BB45)</f>
        <v>146.29865512772884</v>
      </c>
      <c r="BC46" s="1127">
        <f>SUM(BC45:BC45)</f>
        <v>121.8040845388153</v>
      </c>
      <c r="BD46" s="1127">
        <f>SUM(BD45:BD45)</f>
        <v>0</v>
      </c>
      <c r="BE46" s="1120">
        <f>SUM(BE45:BE45)</f>
        <v>0</v>
      </c>
      <c r="BF46" s="62"/>
      <c r="BG46" s="1048"/>
      <c r="BH46" s="1048"/>
      <c r="BI46" s="1048">
        <f>IFERROR(INDEX('[14]Annex 2_Code'!$J$110:$J$127,MATCH('Annex 5_MRD'!BG46,'[14]Annex 2_Code'!$G$110:$G$127,0)),"")</f>
        <v>0</v>
      </c>
      <c r="BJ46" s="1084" t="str">
        <f t="shared" si="11"/>
        <v>0</v>
      </c>
      <c r="BK46" s="1067"/>
    </row>
    <row r="47" spans="1:63" s="217" customFormat="1" ht="20.25" customHeight="1">
      <c r="A47" s="1070"/>
      <c r="B47" s="57"/>
      <c r="C47" s="57"/>
      <c r="D47" s="2687" t="s">
        <v>957</v>
      </c>
      <c r="E47" s="2688"/>
      <c r="F47" s="2688"/>
      <c r="G47" s="2689"/>
      <c r="K47" s="1154"/>
      <c r="L47" s="1130"/>
      <c r="M47" s="1132"/>
      <c r="N47" s="1132"/>
      <c r="O47" s="1133"/>
      <c r="P47" s="1133"/>
      <c r="Q47" s="182"/>
      <c r="R47" s="1089"/>
      <c r="S47" s="1089"/>
      <c r="T47" s="1089"/>
      <c r="U47" s="1089"/>
      <c r="V47" s="1090"/>
      <c r="W47" s="1091">
        <f>W46</f>
        <v>0.76827006604510995</v>
      </c>
      <c r="X47" s="1092">
        <f>X46</f>
        <v>0.12645069473218948</v>
      </c>
      <c r="Y47" s="1092">
        <f>Y46</f>
        <v>0.10527923922270058</v>
      </c>
      <c r="Z47" s="1092">
        <f>Z46</f>
        <v>0</v>
      </c>
      <c r="AA47" s="1093">
        <f>AA46</f>
        <v>0</v>
      </c>
      <c r="AB47" s="1094">
        <f t="shared" ref="AB47:AE48" si="139">R47*$W47</f>
        <v>0</v>
      </c>
      <c r="AC47" s="1095">
        <f t="shared" si="139"/>
        <v>0</v>
      </c>
      <c r="AD47" s="1095">
        <f t="shared" si="139"/>
        <v>0</v>
      </c>
      <c r="AE47" s="1095">
        <f t="shared" si="139"/>
        <v>0</v>
      </c>
      <c r="AF47" s="1096">
        <f t="shared" ref="AF47:AF48" si="140">SUM(AB47:AE47)</f>
        <v>0</v>
      </c>
      <c r="AG47" s="1094">
        <f t="shared" ref="AG47:AK48" si="141">R47*$X47</f>
        <v>0</v>
      </c>
      <c r="AH47" s="1095">
        <f t="shared" si="141"/>
        <v>0</v>
      </c>
      <c r="AI47" s="1095">
        <f t="shared" si="141"/>
        <v>0</v>
      </c>
      <c r="AJ47" s="1095">
        <f t="shared" si="141"/>
        <v>0</v>
      </c>
      <c r="AK47" s="1096">
        <f t="shared" si="141"/>
        <v>0</v>
      </c>
      <c r="AL47" s="1095"/>
      <c r="AM47" s="1095"/>
      <c r="AN47" s="1095"/>
      <c r="AO47" s="1095"/>
      <c r="AP47" s="1097"/>
      <c r="AQ47" s="1094">
        <f t="shared" ref="AQ47:AT48" si="142">R47*$Z47</f>
        <v>0</v>
      </c>
      <c r="AR47" s="1095">
        <f t="shared" si="142"/>
        <v>0</v>
      </c>
      <c r="AS47" s="1095">
        <f t="shared" si="142"/>
        <v>0</v>
      </c>
      <c r="AT47" s="1095">
        <f t="shared" si="142"/>
        <v>0</v>
      </c>
      <c r="AU47" s="1098">
        <f>SUM(AQ47:AT47)</f>
        <v>0</v>
      </c>
      <c r="AV47" s="1094">
        <f t="shared" ref="AV47:AY48" si="143">R47*$AA47</f>
        <v>0</v>
      </c>
      <c r="AW47" s="1095">
        <f t="shared" si="143"/>
        <v>0</v>
      </c>
      <c r="AX47" s="1095">
        <f t="shared" si="143"/>
        <v>0</v>
      </c>
      <c r="AY47" s="1095">
        <f t="shared" si="143"/>
        <v>0</v>
      </c>
      <c r="AZ47" s="1098">
        <f>SUM(AV47:AY47)</f>
        <v>0</v>
      </c>
      <c r="BA47" s="1099"/>
      <c r="BB47" s="1100"/>
      <c r="BC47" s="1100"/>
      <c r="BD47" s="1100"/>
      <c r="BE47" s="1101"/>
      <c r="BF47" s="1067"/>
      <c r="BG47" s="1048"/>
      <c r="BH47" s="1048"/>
      <c r="BI47" s="1048">
        <f>IFERROR(INDEX('[14]Annex 2_Code'!$J$110:$J$127,MATCH('Annex 5_MRD'!BG47,'[14]Annex 2_Code'!$G$110:$G$127,0)),"")</f>
        <v>0</v>
      </c>
      <c r="BJ47" s="1084" t="str">
        <f t="shared" si="11"/>
        <v>0</v>
      </c>
      <c r="BK47" s="1067"/>
    </row>
    <row r="48" spans="1:63" s="217" customFormat="1" ht="20.25" customHeight="1">
      <c r="A48" s="1070"/>
      <c r="B48" s="57" t="s">
        <v>22</v>
      </c>
      <c r="C48" s="57" t="s">
        <v>135</v>
      </c>
      <c r="D48" s="2692" t="s">
        <v>958</v>
      </c>
      <c r="E48" s="2693"/>
      <c r="F48" s="2693"/>
      <c r="G48" s="2694"/>
      <c r="H48" s="1534" t="s">
        <v>776</v>
      </c>
      <c r="I48" s="1534">
        <v>1880287.46</v>
      </c>
      <c r="J48" s="1534">
        <v>94014.373000000007</v>
      </c>
      <c r="K48" s="1171">
        <f>I48+J48</f>
        <v>1974301.8329999999</v>
      </c>
      <c r="L48" s="1153">
        <f>K48/1000</f>
        <v>1974.3018329999998</v>
      </c>
      <c r="M48" s="1536">
        <v>0.2</v>
      </c>
      <c r="N48" s="1536">
        <v>0.2</v>
      </c>
      <c r="O48" s="1536">
        <v>0.2</v>
      </c>
      <c r="P48" s="1536">
        <v>0.1</v>
      </c>
      <c r="Q48" s="1103">
        <f>SUM(M48:P48)</f>
        <v>0.70000000000000007</v>
      </c>
      <c r="R48" s="1100">
        <f>M48*L48</f>
        <v>394.86036659999996</v>
      </c>
      <c r="S48" s="1100">
        <f>N48*L48</f>
        <v>394.86036659999996</v>
      </c>
      <c r="T48" s="1100">
        <f>O48*L48</f>
        <v>394.86036659999996</v>
      </c>
      <c r="U48" s="1100">
        <f>P48*L48</f>
        <v>197.43018329999998</v>
      </c>
      <c r="V48" s="1104">
        <f t="shared" ref="V48" si="144">SUM(R48:U48)</f>
        <v>1382.0112830999999</v>
      </c>
      <c r="W48" s="1091">
        <f t="shared" ref="W48:AA61" si="145">W47</f>
        <v>0.76827006604510995</v>
      </c>
      <c r="X48" s="1092">
        <f t="shared" si="145"/>
        <v>0.12645069473218948</v>
      </c>
      <c r="Y48" s="1092">
        <f t="shared" si="145"/>
        <v>0.10527923922270058</v>
      </c>
      <c r="Z48" s="1092">
        <f t="shared" si="145"/>
        <v>0</v>
      </c>
      <c r="AA48" s="1093">
        <f t="shared" si="145"/>
        <v>0</v>
      </c>
      <c r="AB48" s="1094">
        <f t="shared" si="139"/>
        <v>303.35939992637827</v>
      </c>
      <c r="AC48" s="1095">
        <f t="shared" si="139"/>
        <v>303.35939992637827</v>
      </c>
      <c r="AD48" s="1095">
        <f t="shared" si="139"/>
        <v>303.35939992637827</v>
      </c>
      <c r="AE48" s="1095">
        <f t="shared" si="139"/>
        <v>151.67969996318914</v>
      </c>
      <c r="AF48" s="1096">
        <f t="shared" si="140"/>
        <v>1061.7578997423238</v>
      </c>
      <c r="AG48" s="1094">
        <f t="shared" si="141"/>
        <v>49.930367678777024</v>
      </c>
      <c r="AH48" s="1095">
        <f t="shared" si="141"/>
        <v>49.930367678777024</v>
      </c>
      <c r="AI48" s="1095">
        <f t="shared" si="141"/>
        <v>49.930367678777024</v>
      </c>
      <c r="AJ48" s="1095">
        <f t="shared" si="141"/>
        <v>24.965183839388512</v>
      </c>
      <c r="AK48" s="1096">
        <f t="shared" si="141"/>
        <v>174.75628687571958</v>
      </c>
      <c r="AL48" s="1095">
        <f t="shared" ref="AL48:AO48" si="146">R48*$Y48</f>
        <v>41.570598994844644</v>
      </c>
      <c r="AM48" s="1095">
        <f t="shared" si="146"/>
        <v>41.570598994844644</v>
      </c>
      <c r="AN48" s="1095">
        <f t="shared" si="146"/>
        <v>41.570598994844644</v>
      </c>
      <c r="AO48" s="1095">
        <f t="shared" si="146"/>
        <v>20.785299497422322</v>
      </c>
      <c r="AP48" s="1097">
        <f t="shared" ref="AP48" si="147">SUM(AL48:AO48)</f>
        <v>145.49709648195625</v>
      </c>
      <c r="AQ48" s="1094">
        <f t="shared" si="142"/>
        <v>0</v>
      </c>
      <c r="AR48" s="1095">
        <f t="shared" si="142"/>
        <v>0</v>
      </c>
      <c r="AS48" s="1095">
        <f t="shared" si="142"/>
        <v>0</v>
      </c>
      <c r="AT48" s="1095">
        <f t="shared" si="142"/>
        <v>0</v>
      </c>
      <c r="AU48" s="1098">
        <f t="shared" ref="AU48" si="148">SUM(AQ48:AT48)</f>
        <v>0</v>
      </c>
      <c r="AV48" s="1094">
        <f t="shared" si="143"/>
        <v>0</v>
      </c>
      <c r="AW48" s="1095">
        <f t="shared" si="143"/>
        <v>0</v>
      </c>
      <c r="AX48" s="1095">
        <f t="shared" si="143"/>
        <v>0</v>
      </c>
      <c r="AY48" s="1095">
        <f t="shared" si="143"/>
        <v>0</v>
      </c>
      <c r="AZ48" s="1098">
        <f t="shared" ref="AZ48" si="149">SUM(AV48:AY48)</f>
        <v>0</v>
      </c>
      <c r="BA48" s="1099">
        <f t="shared" ref="BA48" si="150">SUM($V48*W48)</f>
        <v>1061.7578997423241</v>
      </c>
      <c r="BB48" s="1105">
        <f t="shared" ref="BB48:BE48" si="151">SUM($V48*X48)</f>
        <v>174.75628687571958</v>
      </c>
      <c r="BC48" s="1105">
        <f t="shared" si="151"/>
        <v>145.49709648195625</v>
      </c>
      <c r="BD48" s="1105">
        <f t="shared" si="151"/>
        <v>0</v>
      </c>
      <c r="BE48" s="1104">
        <f t="shared" si="151"/>
        <v>0</v>
      </c>
      <c r="BF48" s="1067"/>
      <c r="BG48" s="1048" t="s">
        <v>181</v>
      </c>
      <c r="BH48" s="1048" t="s">
        <v>181</v>
      </c>
      <c r="BI48" s="1048" t="str">
        <f>IFERROR(INDEX('[14]Annex 2_Code'!$J$110:$J$127,MATCH('Annex 5_MRD'!BG48,'[14]Annex 2_Code'!$G$110:$G$127,0)),"")</f>
        <v>MRD</v>
      </c>
      <c r="BJ48" s="1084" t="str">
        <f t="shared" si="11"/>
        <v>MRD</v>
      </c>
      <c r="BK48" s="1067"/>
    </row>
    <row r="49" spans="1:63" s="217" customFormat="1" ht="20.25" customHeight="1">
      <c r="A49" s="1070"/>
      <c r="B49" s="1106"/>
      <c r="C49" s="1107"/>
      <c r="D49" s="1108"/>
      <c r="E49" s="1109" t="s">
        <v>36</v>
      </c>
      <c r="F49" s="1110"/>
      <c r="G49" s="1111"/>
      <c r="H49" s="1109"/>
      <c r="I49" s="1109"/>
      <c r="J49" s="1109"/>
      <c r="K49" s="1113"/>
      <c r="L49" s="1114"/>
      <c r="M49" s="1136"/>
      <c r="N49" s="1115"/>
      <c r="O49" s="1116"/>
      <c r="P49" s="1117"/>
      <c r="Q49" s="1118"/>
      <c r="R49" s="1119">
        <f>SUM(R48:R48)</f>
        <v>394.86036659999996</v>
      </c>
      <c r="S49" s="1119">
        <f>SUM(S48:S48)</f>
        <v>394.86036659999996</v>
      </c>
      <c r="T49" s="1119">
        <f>SUM(T48:T48)</f>
        <v>394.86036659999996</v>
      </c>
      <c r="U49" s="1119">
        <f>SUM(U48:U48)</f>
        <v>197.43018329999998</v>
      </c>
      <c r="V49" s="1120">
        <f>SUM(V48:V48)</f>
        <v>1382.0112830999999</v>
      </c>
      <c r="W49" s="1091">
        <f t="shared" si="145"/>
        <v>0.76827006604510995</v>
      </c>
      <c r="X49" s="1092">
        <f t="shared" si="145"/>
        <v>0.12645069473218948</v>
      </c>
      <c r="Y49" s="1092">
        <f t="shared" si="145"/>
        <v>0.10527923922270058</v>
      </c>
      <c r="Z49" s="1092">
        <f t="shared" si="145"/>
        <v>0</v>
      </c>
      <c r="AA49" s="1093">
        <f t="shared" si="145"/>
        <v>0</v>
      </c>
      <c r="AB49" s="1121">
        <f t="shared" ref="AB49:AP49" si="152">SUM(AB47:AB48)</f>
        <v>303.35939992637827</v>
      </c>
      <c r="AC49" s="1119">
        <f t="shared" si="152"/>
        <v>303.35939992637827</v>
      </c>
      <c r="AD49" s="1119">
        <f t="shared" si="152"/>
        <v>303.35939992637827</v>
      </c>
      <c r="AE49" s="1119">
        <f t="shared" si="152"/>
        <v>151.67969996318914</v>
      </c>
      <c r="AF49" s="1122">
        <f t="shared" si="152"/>
        <v>1061.7578997423238</v>
      </c>
      <c r="AG49" s="1121">
        <f t="shared" si="152"/>
        <v>49.930367678777024</v>
      </c>
      <c r="AH49" s="1119">
        <f t="shared" si="152"/>
        <v>49.930367678777024</v>
      </c>
      <c r="AI49" s="1119">
        <f t="shared" si="152"/>
        <v>49.930367678777024</v>
      </c>
      <c r="AJ49" s="1119">
        <f t="shared" si="152"/>
        <v>24.965183839388512</v>
      </c>
      <c r="AK49" s="1122">
        <f t="shared" si="152"/>
        <v>174.75628687571958</v>
      </c>
      <c r="AL49" s="1121">
        <f t="shared" si="152"/>
        <v>41.570598994844644</v>
      </c>
      <c r="AM49" s="1119">
        <f t="shared" si="152"/>
        <v>41.570598994844644</v>
      </c>
      <c r="AN49" s="1119">
        <f t="shared" si="152"/>
        <v>41.570598994844644</v>
      </c>
      <c r="AO49" s="1119">
        <f t="shared" si="152"/>
        <v>20.785299497422322</v>
      </c>
      <c r="AP49" s="1122">
        <f t="shared" si="152"/>
        <v>145.49709648195625</v>
      </c>
      <c r="AQ49" s="1121"/>
      <c r="AR49" s="1119"/>
      <c r="AS49" s="1119"/>
      <c r="AT49" s="1119"/>
      <c r="AU49" s="1123"/>
      <c r="AV49" s="1124"/>
      <c r="AW49" s="1125"/>
      <c r="AX49" s="1125"/>
      <c r="AY49" s="1125"/>
      <c r="AZ49" s="1123"/>
      <c r="BA49" s="1126">
        <f>SUM(BA48)</f>
        <v>1061.7578997423241</v>
      </c>
      <c r="BB49" s="1127">
        <f>SUM(BB48)</f>
        <v>174.75628687571958</v>
      </c>
      <c r="BC49" s="1127">
        <f>SUM(BC48)</f>
        <v>145.49709648195625</v>
      </c>
      <c r="BD49" s="1127">
        <f>SUM(BD48)</f>
        <v>0</v>
      </c>
      <c r="BE49" s="1120">
        <f>SUM(BE48)</f>
        <v>0</v>
      </c>
      <c r="BF49" s="1067"/>
      <c r="BG49" s="1048"/>
      <c r="BH49" s="1048"/>
      <c r="BI49" s="1048">
        <f>IFERROR(INDEX('[14]Annex 2_Code'!$J$110:$J$127,MATCH('Annex 5_MRD'!BG49,'[14]Annex 2_Code'!$G$110:$G$127,0)),"")</f>
        <v>0</v>
      </c>
      <c r="BJ49" s="1084" t="str">
        <f t="shared" si="11"/>
        <v>0</v>
      </c>
      <c r="BK49" s="1067"/>
    </row>
    <row r="50" spans="1:63" s="217" customFormat="1" ht="20.25" customHeight="1">
      <c r="A50" s="1070"/>
      <c r="B50" s="57"/>
      <c r="C50" s="57"/>
      <c r="D50" s="2681" t="s">
        <v>959</v>
      </c>
      <c r="E50" s="2682"/>
      <c r="F50" s="2682"/>
      <c r="G50" s="2683"/>
      <c r="K50" s="1154"/>
      <c r="L50" s="1130"/>
      <c r="M50" s="1155"/>
      <c r="N50" s="1156"/>
      <c r="O50" s="1157"/>
      <c r="P50" s="1158"/>
      <c r="Q50" s="1159"/>
      <c r="R50" s="1161"/>
      <c r="S50" s="1161"/>
      <c r="T50" s="1161"/>
      <c r="U50" s="1161"/>
      <c r="V50" s="1162"/>
      <c r="W50" s="1091">
        <f t="shared" si="145"/>
        <v>0.76827006604510995</v>
      </c>
      <c r="X50" s="1092">
        <f t="shared" si="145"/>
        <v>0.12645069473218948</v>
      </c>
      <c r="Y50" s="1092">
        <f t="shared" si="145"/>
        <v>0.10527923922270058</v>
      </c>
      <c r="Z50" s="1092">
        <f t="shared" si="145"/>
        <v>0</v>
      </c>
      <c r="AA50" s="1093">
        <f t="shared" si="145"/>
        <v>0</v>
      </c>
      <c r="AB50" s="1163"/>
      <c r="AC50" s="1161"/>
      <c r="AD50" s="1161"/>
      <c r="AE50" s="1161"/>
      <c r="AF50" s="1164"/>
      <c r="AG50" s="1163"/>
      <c r="AH50" s="1161"/>
      <c r="AI50" s="1161"/>
      <c r="AJ50" s="1161"/>
      <c r="AK50" s="1164"/>
      <c r="AL50" s="1161"/>
      <c r="AM50" s="1161"/>
      <c r="AN50" s="1161"/>
      <c r="AO50" s="1161"/>
      <c r="AP50" s="1161"/>
      <c r="AQ50" s="1163"/>
      <c r="AR50" s="1161"/>
      <c r="AS50" s="1161"/>
      <c r="AT50" s="1161"/>
      <c r="AU50" s="1165"/>
      <c r="AV50" s="1166"/>
      <c r="AW50" s="1167"/>
      <c r="AX50" s="1167"/>
      <c r="AY50" s="1167"/>
      <c r="AZ50" s="1165"/>
      <c r="BA50" s="1168"/>
      <c r="BB50" s="1169"/>
      <c r="BC50" s="1169"/>
      <c r="BD50" s="1169"/>
      <c r="BE50" s="1162"/>
      <c r="BF50" s="1172"/>
      <c r="BG50" s="1048"/>
      <c r="BH50" s="1048"/>
      <c r="BI50" s="1048">
        <f>IFERROR(INDEX('[14]Annex 2_Code'!$J$110:$J$127,MATCH('Annex 5_MRD'!BG50,'[14]Annex 2_Code'!$G$110:$G$127,0)),"")</f>
        <v>0</v>
      </c>
      <c r="BJ50" s="1084" t="str">
        <f t="shared" si="11"/>
        <v>0</v>
      </c>
      <c r="BK50" s="1067"/>
    </row>
    <row r="51" spans="1:63" s="217" customFormat="1" ht="34.5" customHeight="1">
      <c r="A51" s="1070"/>
      <c r="B51" s="57" t="s">
        <v>22</v>
      </c>
      <c r="C51" s="57" t="s">
        <v>135</v>
      </c>
      <c r="D51" s="2692" t="s">
        <v>960</v>
      </c>
      <c r="E51" s="2693"/>
      <c r="F51" s="2693"/>
      <c r="G51" s="2694"/>
      <c r="H51" s="1534" t="s">
        <v>776</v>
      </c>
      <c r="I51" s="1534">
        <v>2106016.0299999998</v>
      </c>
      <c r="J51" s="1534">
        <v>105300.8015</v>
      </c>
      <c r="K51" s="1171">
        <f>I51+J51</f>
        <v>2211316.8314999999</v>
      </c>
      <c r="L51" s="1153">
        <f>K51/1000</f>
        <v>2211.3168314999998</v>
      </c>
      <c r="M51" s="1536">
        <v>0.1</v>
      </c>
      <c r="N51" s="1536">
        <v>0.15</v>
      </c>
      <c r="O51" s="1536">
        <v>0.2</v>
      </c>
      <c r="P51" s="1536">
        <v>0.1</v>
      </c>
      <c r="Q51" s="1103">
        <f t="shared" ref="Q51" si="153">SUM(M51:P51)</f>
        <v>0.55000000000000004</v>
      </c>
      <c r="R51" s="1100">
        <f>M51*L51</f>
        <v>221.13168314999999</v>
      </c>
      <c r="S51" s="1100">
        <f>N51*L51</f>
        <v>331.69752472499994</v>
      </c>
      <c r="T51" s="1100">
        <f>O51*L51</f>
        <v>442.26336629999997</v>
      </c>
      <c r="U51" s="1100">
        <f>P51*L51</f>
        <v>221.13168314999999</v>
      </c>
      <c r="V51" s="1135">
        <f t="shared" ref="V51" si="154">SUM(R51:U51)</f>
        <v>1216.2242573250001</v>
      </c>
      <c r="W51" s="1091">
        <f t="shared" si="145"/>
        <v>0.76827006604510995</v>
      </c>
      <c r="X51" s="1092">
        <f t="shared" si="145"/>
        <v>0.12645069473218948</v>
      </c>
      <c r="Y51" s="1092">
        <f t="shared" si="145"/>
        <v>0.10527923922270058</v>
      </c>
      <c r="Z51" s="1092">
        <f t="shared" si="145"/>
        <v>0</v>
      </c>
      <c r="AA51" s="1093">
        <f t="shared" si="145"/>
        <v>0</v>
      </c>
      <c r="AB51" s="1094">
        <f t="shared" ref="AB51:AE51" si="155">R51*$W51</f>
        <v>169.88885281831682</v>
      </c>
      <c r="AC51" s="1095">
        <f t="shared" si="155"/>
        <v>254.8332792274752</v>
      </c>
      <c r="AD51" s="1095">
        <f t="shared" si="155"/>
        <v>339.77770563663364</v>
      </c>
      <c r="AE51" s="1095">
        <f t="shared" si="155"/>
        <v>169.88885281831682</v>
      </c>
      <c r="AF51" s="1096">
        <f t="shared" ref="AF51" si="156">SUM(AB51:AE51)</f>
        <v>934.38869050074254</v>
      </c>
      <c r="AG51" s="1094">
        <f t="shared" ref="AG51:AK51" si="157">R51*$X51</f>
        <v>27.962254961615898</v>
      </c>
      <c r="AH51" s="1095">
        <f t="shared" si="157"/>
        <v>41.94338244242384</v>
      </c>
      <c r="AI51" s="1095">
        <f t="shared" si="157"/>
        <v>55.924509923231795</v>
      </c>
      <c r="AJ51" s="1095">
        <f t="shared" si="157"/>
        <v>27.962254961615898</v>
      </c>
      <c r="AK51" s="1096">
        <f t="shared" si="157"/>
        <v>153.79240228888744</v>
      </c>
      <c r="AL51" s="1095">
        <f t="shared" ref="AL51:AO51" si="158">R51*$Y51</f>
        <v>23.280575370067275</v>
      </c>
      <c r="AM51" s="1095">
        <f t="shared" si="158"/>
        <v>34.920863055100909</v>
      </c>
      <c r="AN51" s="1095">
        <f t="shared" si="158"/>
        <v>46.561150740134551</v>
      </c>
      <c r="AO51" s="1095">
        <f t="shared" si="158"/>
        <v>23.280575370067275</v>
      </c>
      <c r="AP51" s="1097">
        <f t="shared" ref="AP51" si="159">SUM(AL51:AO51)</f>
        <v>128.04316453537001</v>
      </c>
      <c r="AQ51" s="1094">
        <f t="shared" ref="AQ51:AT51" si="160">R51*$Z51</f>
        <v>0</v>
      </c>
      <c r="AR51" s="1095">
        <f t="shared" si="160"/>
        <v>0</v>
      </c>
      <c r="AS51" s="1095">
        <f t="shared" si="160"/>
        <v>0</v>
      </c>
      <c r="AT51" s="1095">
        <f t="shared" si="160"/>
        <v>0</v>
      </c>
      <c r="AU51" s="1098">
        <f t="shared" ref="AU51" si="161">SUM(AQ51:AT51)</f>
        <v>0</v>
      </c>
      <c r="AV51" s="1094">
        <f t="shared" ref="AV51:AY51" si="162">R51*$AA51</f>
        <v>0</v>
      </c>
      <c r="AW51" s="1095">
        <f t="shared" si="162"/>
        <v>0</v>
      </c>
      <c r="AX51" s="1095">
        <f t="shared" si="162"/>
        <v>0</v>
      </c>
      <c r="AY51" s="1095">
        <f t="shared" si="162"/>
        <v>0</v>
      </c>
      <c r="AZ51" s="1098">
        <f t="shared" ref="AZ51" si="163">SUM(AV51:AY51)</f>
        <v>0</v>
      </c>
      <c r="BA51" s="1099">
        <f t="shared" ref="BA51" si="164">SUM($V51*W51)</f>
        <v>934.38869050074254</v>
      </c>
      <c r="BB51" s="1105">
        <f t="shared" ref="BB51:BE51" si="165">SUM($V51*X51)</f>
        <v>153.79240228888744</v>
      </c>
      <c r="BC51" s="1105">
        <f t="shared" si="165"/>
        <v>128.04316453537004</v>
      </c>
      <c r="BD51" s="1105">
        <f t="shared" si="165"/>
        <v>0</v>
      </c>
      <c r="BE51" s="1104">
        <f t="shared" si="165"/>
        <v>0</v>
      </c>
      <c r="BF51" s="1172"/>
      <c r="BG51" s="1048" t="s">
        <v>181</v>
      </c>
      <c r="BH51" s="1048" t="s">
        <v>181</v>
      </c>
      <c r="BI51" s="1048" t="str">
        <f>IFERROR(INDEX('[14]Annex 2_Code'!$J$110:$J$127,MATCH('Annex 5_MRD'!BG51,'[14]Annex 2_Code'!$G$110:$G$127,0)),"")</f>
        <v>MRD</v>
      </c>
      <c r="BJ51" s="1084" t="str">
        <f t="shared" si="11"/>
        <v>MRD</v>
      </c>
      <c r="BK51" s="1067"/>
    </row>
    <row r="52" spans="1:63" s="217" customFormat="1" ht="20.25" customHeight="1">
      <c r="A52" s="1070"/>
      <c r="B52" s="1106"/>
      <c r="C52" s="1107"/>
      <c r="D52" s="1108"/>
      <c r="E52" s="1109" t="s">
        <v>36</v>
      </c>
      <c r="F52" s="1110"/>
      <c r="G52" s="1111"/>
      <c r="H52" s="1112"/>
      <c r="I52" s="1112"/>
      <c r="J52" s="1112"/>
      <c r="K52" s="1113"/>
      <c r="L52" s="1114"/>
      <c r="M52" s="1136"/>
      <c r="N52" s="1115"/>
      <c r="O52" s="1115"/>
      <c r="P52" s="1116"/>
      <c r="Q52" s="1118"/>
      <c r="R52" s="1119">
        <f>SUM(R50:R51)</f>
        <v>221.13168314999999</v>
      </c>
      <c r="S52" s="1119">
        <f>SUM(S50:S51)</f>
        <v>331.69752472499994</v>
      </c>
      <c r="T52" s="1119">
        <f>SUM(T50:T51)</f>
        <v>442.26336629999997</v>
      </c>
      <c r="U52" s="1119">
        <f>SUM(U50:U51)</f>
        <v>221.13168314999999</v>
      </c>
      <c r="V52" s="1119">
        <f>SUM(V50:V51)</f>
        <v>1216.2242573250001</v>
      </c>
      <c r="W52" s="1091">
        <f t="shared" si="145"/>
        <v>0.76827006604510995</v>
      </c>
      <c r="X52" s="1092">
        <f t="shared" si="145"/>
        <v>0.12645069473218948</v>
      </c>
      <c r="Y52" s="1092">
        <f t="shared" si="145"/>
        <v>0.10527923922270058</v>
      </c>
      <c r="Z52" s="1092">
        <f t="shared" si="145"/>
        <v>0</v>
      </c>
      <c r="AA52" s="1093">
        <f t="shared" si="145"/>
        <v>0</v>
      </c>
      <c r="AB52" s="1121">
        <f>SUM(AB51)</f>
        <v>169.88885281831682</v>
      </c>
      <c r="AC52" s="1119">
        <f>SUM(AC51)</f>
        <v>254.8332792274752</v>
      </c>
      <c r="AD52" s="1119">
        <f>SUM(AD51)</f>
        <v>339.77770563663364</v>
      </c>
      <c r="AE52" s="1119">
        <f>SUM(AE51)</f>
        <v>169.88885281831682</v>
      </c>
      <c r="AF52" s="1122">
        <f>SUM(AB52:AE52)</f>
        <v>934.38869050074254</v>
      </c>
      <c r="AG52" s="1121">
        <f t="shared" ref="AG52:AP52" si="166">SUM(AG50:AG51)</f>
        <v>27.962254961615898</v>
      </c>
      <c r="AH52" s="1119">
        <f t="shared" si="166"/>
        <v>41.94338244242384</v>
      </c>
      <c r="AI52" s="1119">
        <f t="shared" si="166"/>
        <v>55.924509923231795</v>
      </c>
      <c r="AJ52" s="1119">
        <f t="shared" si="166"/>
        <v>27.962254961615898</v>
      </c>
      <c r="AK52" s="1122">
        <f t="shared" si="166"/>
        <v>153.79240228888744</v>
      </c>
      <c r="AL52" s="1121">
        <f t="shared" si="166"/>
        <v>23.280575370067275</v>
      </c>
      <c r="AM52" s="1119">
        <f t="shared" si="166"/>
        <v>34.920863055100909</v>
      </c>
      <c r="AN52" s="1119">
        <f t="shared" si="166"/>
        <v>46.561150740134551</v>
      </c>
      <c r="AO52" s="1119">
        <f t="shared" si="166"/>
        <v>23.280575370067275</v>
      </c>
      <c r="AP52" s="1122">
        <f t="shared" si="166"/>
        <v>128.04316453537001</v>
      </c>
      <c r="AQ52" s="1121"/>
      <c r="AR52" s="1119"/>
      <c r="AS52" s="1119"/>
      <c r="AT52" s="1119"/>
      <c r="AU52" s="1123"/>
      <c r="AV52" s="1124"/>
      <c r="AW52" s="1125"/>
      <c r="AX52" s="1125"/>
      <c r="AY52" s="1125"/>
      <c r="AZ52" s="1123"/>
      <c r="BA52" s="1126">
        <f>SUM(BA51:BA51)</f>
        <v>934.38869050074254</v>
      </c>
      <c r="BB52" s="1127">
        <f>SUM(BB51:BB51)</f>
        <v>153.79240228888744</v>
      </c>
      <c r="BC52" s="1127">
        <f>SUM(BC51:BC51)</f>
        <v>128.04316453537004</v>
      </c>
      <c r="BD52" s="1127">
        <f>SUM(BD51:BD51)</f>
        <v>0</v>
      </c>
      <c r="BE52" s="1120">
        <f>SUM(BE51:BE51)</f>
        <v>0</v>
      </c>
      <c r="BF52" s="61"/>
      <c r="BG52" s="1048"/>
      <c r="BH52" s="1048"/>
      <c r="BI52" s="1048">
        <f>IFERROR(INDEX('[14]Annex 2_Code'!$J$110:$J$127,MATCH('Annex 5_MRD'!BG52,'[14]Annex 2_Code'!$G$110:$G$127,0)),"")</f>
        <v>0</v>
      </c>
      <c r="BJ52" s="1084" t="str">
        <f t="shared" si="11"/>
        <v>0</v>
      </c>
      <c r="BK52" s="1067"/>
    </row>
    <row r="53" spans="1:63" s="217" customFormat="1" ht="20.25" customHeight="1">
      <c r="A53" s="1070"/>
      <c r="B53" s="57"/>
      <c r="C53" s="57"/>
      <c r="D53" s="2681" t="s">
        <v>961</v>
      </c>
      <c r="E53" s="2682"/>
      <c r="F53" s="2682"/>
      <c r="G53" s="2683"/>
      <c r="K53" s="1154"/>
      <c r="L53" s="1130"/>
      <c r="M53" s="1132"/>
      <c r="N53" s="1132"/>
      <c r="O53" s="1132"/>
      <c r="P53" s="1133"/>
      <c r="Q53" s="182"/>
      <c r="R53" s="1089"/>
      <c r="S53" s="1089"/>
      <c r="T53" s="1089"/>
      <c r="U53" s="1089"/>
      <c r="V53" s="1090"/>
      <c r="W53" s="1091">
        <f t="shared" si="145"/>
        <v>0.76827006604510995</v>
      </c>
      <c r="X53" s="1092">
        <f t="shared" si="145"/>
        <v>0.12645069473218948</v>
      </c>
      <c r="Y53" s="1092">
        <f t="shared" si="145"/>
        <v>0.10527923922270058</v>
      </c>
      <c r="Z53" s="1092">
        <f t="shared" si="145"/>
        <v>0</v>
      </c>
      <c r="AA53" s="1093">
        <f t="shared" si="145"/>
        <v>0</v>
      </c>
      <c r="AB53" s="1094">
        <f t="shared" ref="AB53:AE54" si="167">R53*$W53</f>
        <v>0</v>
      </c>
      <c r="AC53" s="1095">
        <f t="shared" si="167"/>
        <v>0</v>
      </c>
      <c r="AD53" s="1095">
        <f t="shared" si="167"/>
        <v>0</v>
      </c>
      <c r="AE53" s="1095">
        <f t="shared" si="167"/>
        <v>0</v>
      </c>
      <c r="AF53" s="1096">
        <f t="shared" ref="AF53:AF54" si="168">SUM(AB53:AE53)</f>
        <v>0</v>
      </c>
      <c r="AG53" s="1094">
        <f t="shared" ref="AG53:AK54" si="169">R53*$X53</f>
        <v>0</v>
      </c>
      <c r="AH53" s="1095">
        <f t="shared" si="169"/>
        <v>0</v>
      </c>
      <c r="AI53" s="1095">
        <f t="shared" si="169"/>
        <v>0</v>
      </c>
      <c r="AJ53" s="1095">
        <f t="shared" si="169"/>
        <v>0</v>
      </c>
      <c r="AK53" s="1096">
        <f t="shared" si="169"/>
        <v>0</v>
      </c>
      <c r="AL53" s="1095"/>
      <c r="AM53" s="1095"/>
      <c r="AN53" s="1095"/>
      <c r="AO53" s="1095"/>
      <c r="AP53" s="1097"/>
      <c r="AQ53" s="1094">
        <f t="shared" ref="AQ53:AT54" si="170">R53*$Z53</f>
        <v>0</v>
      </c>
      <c r="AR53" s="1095">
        <f t="shared" si="170"/>
        <v>0</v>
      </c>
      <c r="AS53" s="1095">
        <f t="shared" si="170"/>
        <v>0</v>
      </c>
      <c r="AT53" s="1095">
        <f t="shared" si="170"/>
        <v>0</v>
      </c>
      <c r="AU53" s="1098">
        <f>SUM(AQ53:AT53)</f>
        <v>0</v>
      </c>
      <c r="AV53" s="1094">
        <f t="shared" ref="AV53:AY54" si="171">R53*$AA53</f>
        <v>0</v>
      </c>
      <c r="AW53" s="1095">
        <f t="shared" si="171"/>
        <v>0</v>
      </c>
      <c r="AX53" s="1095">
        <f t="shared" si="171"/>
        <v>0</v>
      </c>
      <c r="AY53" s="1095">
        <f t="shared" si="171"/>
        <v>0</v>
      </c>
      <c r="AZ53" s="1098">
        <f>SUM(AV53:AY53)</f>
        <v>0</v>
      </c>
      <c r="BA53" s="1099"/>
      <c r="BB53" s="1100"/>
      <c r="BC53" s="1100"/>
      <c r="BD53" s="1100"/>
      <c r="BE53" s="1101"/>
      <c r="BF53" s="1067"/>
      <c r="BG53" s="1048"/>
      <c r="BH53" s="1048"/>
      <c r="BI53" s="1048">
        <f>IFERROR(INDEX('[14]Annex 2_Code'!$J$110:$J$127,MATCH('Annex 5_MRD'!BG53,'[14]Annex 2_Code'!$G$110:$G$127,0)),"")</f>
        <v>0</v>
      </c>
      <c r="BJ53" s="1084" t="str">
        <f t="shared" si="11"/>
        <v>0</v>
      </c>
      <c r="BK53" s="1067"/>
    </row>
    <row r="54" spans="1:63" s="217" customFormat="1" ht="24.75" customHeight="1">
      <c r="A54" s="1070"/>
      <c r="B54" s="57" t="s">
        <v>22</v>
      </c>
      <c r="C54" s="57" t="s">
        <v>135</v>
      </c>
      <c r="D54" s="2692" t="s">
        <v>962</v>
      </c>
      <c r="E54" s="2693"/>
      <c r="F54" s="2693"/>
      <c r="G54" s="2694"/>
      <c r="H54" s="1534" t="s">
        <v>776</v>
      </c>
      <c r="I54" s="1534">
        <v>2237647.08</v>
      </c>
      <c r="J54" s="1534">
        <v>111882.35400000001</v>
      </c>
      <c r="K54" s="1171">
        <f>I54+J54</f>
        <v>2349529.4339999999</v>
      </c>
      <c r="L54" s="1153">
        <f>K54/1000</f>
        <v>2349.529434</v>
      </c>
      <c r="M54" s="1536">
        <v>0.1</v>
      </c>
      <c r="N54" s="1536">
        <v>0.15</v>
      </c>
      <c r="O54" s="1536">
        <v>0.2</v>
      </c>
      <c r="P54" s="1536">
        <v>0.1</v>
      </c>
      <c r="Q54" s="1103">
        <f>SUM(M54:P54)</f>
        <v>0.55000000000000004</v>
      </c>
      <c r="R54" s="1100">
        <f>M54*L54</f>
        <v>234.95294340000001</v>
      </c>
      <c r="S54" s="1100">
        <f>N54*L54</f>
        <v>352.42941509999997</v>
      </c>
      <c r="T54" s="1100">
        <f>O54*L54</f>
        <v>469.90588680000002</v>
      </c>
      <c r="U54" s="1100">
        <f>P54*L54</f>
        <v>234.95294340000001</v>
      </c>
      <c r="V54" s="1104">
        <f t="shared" ref="V54" si="172">SUM(R54:U54)</f>
        <v>1292.2411887000001</v>
      </c>
      <c r="W54" s="1091">
        <f t="shared" si="145"/>
        <v>0.76827006604510995</v>
      </c>
      <c r="X54" s="1092">
        <f t="shared" si="145"/>
        <v>0.12645069473218948</v>
      </c>
      <c r="Y54" s="1092">
        <f t="shared" si="145"/>
        <v>0.10527923922270058</v>
      </c>
      <c r="Z54" s="1092">
        <f t="shared" si="145"/>
        <v>0</v>
      </c>
      <c r="AA54" s="1093">
        <f t="shared" si="145"/>
        <v>0</v>
      </c>
      <c r="AB54" s="1094">
        <f t="shared" si="167"/>
        <v>180.507313343411</v>
      </c>
      <c r="AC54" s="1095">
        <f t="shared" si="167"/>
        <v>270.76097001511647</v>
      </c>
      <c r="AD54" s="1095">
        <f t="shared" si="167"/>
        <v>361.014626686822</v>
      </c>
      <c r="AE54" s="1095">
        <f t="shared" si="167"/>
        <v>180.507313343411</v>
      </c>
      <c r="AF54" s="1096">
        <f t="shared" si="168"/>
        <v>992.79022338876052</v>
      </c>
      <c r="AG54" s="1094">
        <f t="shared" si="169"/>
        <v>29.709962922302793</v>
      </c>
      <c r="AH54" s="1095">
        <f t="shared" si="169"/>
        <v>44.564944383454183</v>
      </c>
      <c r="AI54" s="1095">
        <f t="shared" si="169"/>
        <v>59.419925844605586</v>
      </c>
      <c r="AJ54" s="1095">
        <f t="shared" si="169"/>
        <v>29.709962922302793</v>
      </c>
      <c r="AK54" s="1096">
        <f t="shared" si="169"/>
        <v>163.40479607266536</v>
      </c>
      <c r="AL54" s="1095">
        <f t="shared" ref="AL54:AO54" si="173">R54*$Y54</f>
        <v>24.735667134286231</v>
      </c>
      <c r="AM54" s="1095">
        <f t="shared" si="173"/>
        <v>37.10350070142934</v>
      </c>
      <c r="AN54" s="1095">
        <f t="shared" si="173"/>
        <v>49.471334268572463</v>
      </c>
      <c r="AO54" s="1095">
        <f t="shared" si="173"/>
        <v>24.735667134286231</v>
      </c>
      <c r="AP54" s="1097">
        <f t="shared" ref="AP54" si="174">SUM(AL54:AO54)</f>
        <v>136.04616923857427</v>
      </c>
      <c r="AQ54" s="1094">
        <f t="shared" si="170"/>
        <v>0</v>
      </c>
      <c r="AR54" s="1095">
        <f t="shared" si="170"/>
        <v>0</v>
      </c>
      <c r="AS54" s="1095">
        <f t="shared" si="170"/>
        <v>0</v>
      </c>
      <c r="AT54" s="1095">
        <f t="shared" si="170"/>
        <v>0</v>
      </c>
      <c r="AU54" s="1098">
        <f t="shared" ref="AU54" si="175">SUM(AQ54:AT54)</f>
        <v>0</v>
      </c>
      <c r="AV54" s="1094">
        <f t="shared" si="171"/>
        <v>0</v>
      </c>
      <c r="AW54" s="1095">
        <f t="shared" si="171"/>
        <v>0</v>
      </c>
      <c r="AX54" s="1095">
        <f t="shared" si="171"/>
        <v>0</v>
      </c>
      <c r="AY54" s="1095">
        <f t="shared" si="171"/>
        <v>0</v>
      </c>
      <c r="AZ54" s="1098">
        <f t="shared" ref="AZ54" si="176">SUM(AV54:AY54)</f>
        <v>0</v>
      </c>
      <c r="BA54" s="1099">
        <f t="shared" ref="BA54" si="177">SUM($V54*W54)</f>
        <v>992.79022338876041</v>
      </c>
      <c r="BB54" s="1105">
        <f t="shared" ref="BB54:BE54" si="178">SUM($V54*X54)</f>
        <v>163.40479607266536</v>
      </c>
      <c r="BC54" s="1105">
        <f t="shared" si="178"/>
        <v>136.04616923857427</v>
      </c>
      <c r="BD54" s="1105">
        <f t="shared" si="178"/>
        <v>0</v>
      </c>
      <c r="BE54" s="1104">
        <f t="shared" si="178"/>
        <v>0</v>
      </c>
      <c r="BF54" s="1067"/>
      <c r="BG54" s="1048" t="s">
        <v>181</v>
      </c>
      <c r="BH54" s="1048" t="s">
        <v>181</v>
      </c>
      <c r="BI54" s="1048" t="str">
        <f>IFERROR(INDEX('[14]Annex 2_Code'!$J$110:$J$127,MATCH('Annex 5_MRD'!BG54,'[14]Annex 2_Code'!$G$110:$G$127,0)),"")</f>
        <v>MRD</v>
      </c>
      <c r="BJ54" s="1084" t="str">
        <f t="shared" si="11"/>
        <v>MRD</v>
      </c>
      <c r="BK54" s="1067"/>
    </row>
    <row r="55" spans="1:63" s="217" customFormat="1" ht="20.25" customHeight="1">
      <c r="A55" s="1070"/>
      <c r="B55" s="1106"/>
      <c r="C55" s="1107"/>
      <c r="D55" s="1108"/>
      <c r="E55" s="1109" t="s">
        <v>36</v>
      </c>
      <c r="F55" s="1110"/>
      <c r="G55" s="1111"/>
      <c r="H55" s="1109"/>
      <c r="I55" s="1109"/>
      <c r="J55" s="1109"/>
      <c r="K55" s="1113"/>
      <c r="L55" s="1114"/>
      <c r="M55" s="1136"/>
      <c r="N55" s="1115"/>
      <c r="O55" s="1116"/>
      <c r="P55" s="1117"/>
      <c r="Q55" s="1118"/>
      <c r="R55" s="1119">
        <f>SUM(R54:R54)</f>
        <v>234.95294340000001</v>
      </c>
      <c r="S55" s="1119">
        <f>SUM(S54:S54)</f>
        <v>352.42941509999997</v>
      </c>
      <c r="T55" s="1119">
        <f>SUM(T54:T54)</f>
        <v>469.90588680000002</v>
      </c>
      <c r="U55" s="1119">
        <f>SUM(U54:U54)</f>
        <v>234.95294340000001</v>
      </c>
      <c r="V55" s="1120">
        <f>SUM(V54:V54)</f>
        <v>1292.2411887000001</v>
      </c>
      <c r="W55" s="1091">
        <f t="shared" si="145"/>
        <v>0.76827006604510995</v>
      </c>
      <c r="X55" s="1092">
        <f t="shared" si="145"/>
        <v>0.12645069473218948</v>
      </c>
      <c r="Y55" s="1092">
        <f t="shared" si="145"/>
        <v>0.10527923922270058</v>
      </c>
      <c r="Z55" s="1092">
        <f t="shared" si="145"/>
        <v>0</v>
      </c>
      <c r="AA55" s="1093">
        <f t="shared" si="145"/>
        <v>0</v>
      </c>
      <c r="AB55" s="1121">
        <f t="shared" ref="AB55:AP55" si="179">SUM(AB53:AB54)</f>
        <v>180.507313343411</v>
      </c>
      <c r="AC55" s="1119">
        <f t="shared" si="179"/>
        <v>270.76097001511647</v>
      </c>
      <c r="AD55" s="1119">
        <f t="shared" si="179"/>
        <v>361.014626686822</v>
      </c>
      <c r="AE55" s="1119">
        <f t="shared" si="179"/>
        <v>180.507313343411</v>
      </c>
      <c r="AF55" s="1122">
        <f t="shared" si="179"/>
        <v>992.79022338876052</v>
      </c>
      <c r="AG55" s="1121">
        <f t="shared" si="179"/>
        <v>29.709962922302793</v>
      </c>
      <c r="AH55" s="1119">
        <f t="shared" si="179"/>
        <v>44.564944383454183</v>
      </c>
      <c r="AI55" s="1119">
        <f t="shared" si="179"/>
        <v>59.419925844605586</v>
      </c>
      <c r="AJ55" s="1119">
        <f t="shared" si="179"/>
        <v>29.709962922302793</v>
      </c>
      <c r="AK55" s="1122">
        <f t="shared" si="179"/>
        <v>163.40479607266536</v>
      </c>
      <c r="AL55" s="1121">
        <f t="shared" si="179"/>
        <v>24.735667134286231</v>
      </c>
      <c r="AM55" s="1119">
        <f t="shared" si="179"/>
        <v>37.10350070142934</v>
      </c>
      <c r="AN55" s="1119">
        <f t="shared" si="179"/>
        <v>49.471334268572463</v>
      </c>
      <c r="AO55" s="1119">
        <f t="shared" si="179"/>
        <v>24.735667134286231</v>
      </c>
      <c r="AP55" s="1122">
        <f t="shared" si="179"/>
        <v>136.04616923857427</v>
      </c>
      <c r="AQ55" s="1121"/>
      <c r="AR55" s="1119"/>
      <c r="AS55" s="1119"/>
      <c r="AT55" s="1119"/>
      <c r="AU55" s="1123"/>
      <c r="AV55" s="1124"/>
      <c r="AW55" s="1125"/>
      <c r="AX55" s="1125"/>
      <c r="AY55" s="1125"/>
      <c r="AZ55" s="1123"/>
      <c r="BA55" s="1126">
        <f>SUM(BA54)</f>
        <v>992.79022338876041</v>
      </c>
      <c r="BB55" s="1127">
        <f>SUM(BB54)</f>
        <v>163.40479607266536</v>
      </c>
      <c r="BC55" s="1127">
        <f>SUM(BC54)</f>
        <v>136.04616923857427</v>
      </c>
      <c r="BD55" s="1127">
        <f>SUM(BD54)</f>
        <v>0</v>
      </c>
      <c r="BE55" s="1120">
        <f>SUM(BE54)</f>
        <v>0</v>
      </c>
      <c r="BF55" s="1067"/>
      <c r="BG55" s="1048"/>
      <c r="BH55" s="1048"/>
      <c r="BI55" s="1048">
        <f>IFERROR(INDEX('[14]Annex 2_Code'!$J$110:$J$127,MATCH('Annex 5_MRD'!BG55,'[14]Annex 2_Code'!$G$110:$G$127,0)),"")</f>
        <v>0</v>
      </c>
      <c r="BJ55" s="1084" t="str">
        <f t="shared" si="11"/>
        <v>0</v>
      </c>
      <c r="BK55" s="1067"/>
    </row>
    <row r="56" spans="1:63" s="217" customFormat="1" ht="20.25" customHeight="1">
      <c r="A56" s="1070"/>
      <c r="B56" s="57"/>
      <c r="C56" s="57"/>
      <c r="D56" s="2687" t="s">
        <v>963</v>
      </c>
      <c r="E56" s="2688"/>
      <c r="F56" s="2688"/>
      <c r="G56" s="2689"/>
      <c r="K56" s="1154"/>
      <c r="L56" s="1130"/>
      <c r="M56" s="1155"/>
      <c r="N56" s="1156"/>
      <c r="O56" s="1157"/>
      <c r="P56" s="1158"/>
      <c r="Q56" s="1159"/>
      <c r="R56" s="1161"/>
      <c r="S56" s="1161"/>
      <c r="T56" s="1161"/>
      <c r="U56" s="1161"/>
      <c r="V56" s="1162"/>
      <c r="W56" s="1091">
        <f t="shared" si="145"/>
        <v>0.76827006604510995</v>
      </c>
      <c r="X56" s="1092">
        <f t="shared" si="145"/>
        <v>0.12645069473218948</v>
      </c>
      <c r="Y56" s="1092">
        <f t="shared" si="145"/>
        <v>0.10527923922270058</v>
      </c>
      <c r="Z56" s="1092">
        <f t="shared" si="145"/>
        <v>0</v>
      </c>
      <c r="AA56" s="1093">
        <f t="shared" si="145"/>
        <v>0</v>
      </c>
      <c r="AB56" s="1163"/>
      <c r="AC56" s="1161"/>
      <c r="AD56" s="1161"/>
      <c r="AE56" s="1161"/>
      <c r="AF56" s="1164"/>
      <c r="AG56" s="1163"/>
      <c r="AH56" s="1161"/>
      <c r="AI56" s="1161"/>
      <c r="AJ56" s="1161"/>
      <c r="AK56" s="1164"/>
      <c r="AL56" s="1161"/>
      <c r="AM56" s="1161"/>
      <c r="AN56" s="1161"/>
      <c r="AO56" s="1161"/>
      <c r="AP56" s="1161"/>
      <c r="AQ56" s="1163"/>
      <c r="AR56" s="1161"/>
      <c r="AS56" s="1161"/>
      <c r="AT56" s="1161"/>
      <c r="AU56" s="1165"/>
      <c r="AV56" s="1166"/>
      <c r="AW56" s="1167"/>
      <c r="AX56" s="1167"/>
      <c r="AY56" s="1167"/>
      <c r="AZ56" s="1165"/>
      <c r="BA56" s="1168"/>
      <c r="BB56" s="1169"/>
      <c r="BC56" s="1169"/>
      <c r="BD56" s="1169"/>
      <c r="BE56" s="1162"/>
      <c r="BF56" s="61"/>
      <c r="BG56" s="1048"/>
      <c r="BH56" s="1048"/>
      <c r="BI56" s="1048">
        <f>IFERROR(INDEX('[14]Annex 2_Code'!$J$110:$J$127,MATCH('Annex 5_MRD'!BG56,'[14]Annex 2_Code'!$G$110:$G$127,0)),"")</f>
        <v>0</v>
      </c>
      <c r="BJ56" s="1084" t="str">
        <f t="shared" si="11"/>
        <v>0</v>
      </c>
      <c r="BK56" s="1067"/>
    </row>
    <row r="57" spans="1:63" s="217" customFormat="1" ht="32.25" customHeight="1">
      <c r="A57" s="1070"/>
      <c r="B57" s="57" t="s">
        <v>22</v>
      </c>
      <c r="C57" s="57" t="s">
        <v>135</v>
      </c>
      <c r="D57" s="2692" t="s">
        <v>964</v>
      </c>
      <c r="E57" s="2693"/>
      <c r="F57" s="2693"/>
      <c r="G57" s="2694"/>
      <c r="H57" s="1534" t="s">
        <v>776</v>
      </c>
      <c r="I57" s="1534">
        <v>1362724.53</v>
      </c>
      <c r="J57" s="1534">
        <v>68136.226500000004</v>
      </c>
      <c r="K57" s="1171">
        <f>I57+J57</f>
        <v>1430860.7565000001</v>
      </c>
      <c r="L57" s="1153">
        <f>K57/1000</f>
        <v>1430.8607565000002</v>
      </c>
      <c r="M57" s="1536">
        <v>0.1</v>
      </c>
      <c r="N57" s="1536">
        <v>0.15</v>
      </c>
      <c r="O57" s="1536">
        <v>0.2</v>
      </c>
      <c r="P57" s="1536">
        <v>0.1</v>
      </c>
      <c r="Q57" s="1103">
        <f t="shared" ref="Q57" si="180">SUM(M57:P57)</f>
        <v>0.55000000000000004</v>
      </c>
      <c r="R57" s="1100">
        <f>M57*L57</f>
        <v>143.08607565000003</v>
      </c>
      <c r="S57" s="1100">
        <f>N57*L57</f>
        <v>214.62911347500003</v>
      </c>
      <c r="T57" s="1100">
        <f>O57*L57</f>
        <v>286.17215130000005</v>
      </c>
      <c r="U57" s="1100">
        <f>P57*L57</f>
        <v>143.08607565000003</v>
      </c>
      <c r="V57" s="1135">
        <f t="shared" ref="V57" si="181">SUM(R57:U57)</f>
        <v>786.97341607500005</v>
      </c>
      <c r="W57" s="1091">
        <f t="shared" si="145"/>
        <v>0.76827006604510995</v>
      </c>
      <c r="X57" s="1092">
        <f t="shared" si="145"/>
        <v>0.12645069473218948</v>
      </c>
      <c r="Y57" s="1092">
        <f t="shared" si="145"/>
        <v>0.10527923922270058</v>
      </c>
      <c r="Z57" s="1092">
        <f t="shared" si="145"/>
        <v>0</v>
      </c>
      <c r="AA57" s="1093">
        <f t="shared" si="145"/>
        <v>0</v>
      </c>
      <c r="AB57" s="1094">
        <f t="shared" ref="AB57:AE57" si="182">R57*$W57</f>
        <v>109.92874878976112</v>
      </c>
      <c r="AC57" s="1095">
        <f t="shared" si="182"/>
        <v>164.89312318464167</v>
      </c>
      <c r="AD57" s="1095">
        <f t="shared" si="182"/>
        <v>219.85749757952223</v>
      </c>
      <c r="AE57" s="1095">
        <f t="shared" si="182"/>
        <v>109.92874878976112</v>
      </c>
      <c r="AF57" s="1096">
        <f t="shared" ref="AF57" si="183">SUM(AB57:AE57)</f>
        <v>604.6081183436861</v>
      </c>
      <c r="AG57" s="1094">
        <f t="shared" ref="AG57:AK57" si="184">R57*$X57</f>
        <v>18.093333672445123</v>
      </c>
      <c r="AH57" s="1095">
        <f t="shared" si="184"/>
        <v>27.140000508667683</v>
      </c>
      <c r="AI57" s="1095">
        <f t="shared" si="184"/>
        <v>36.186667344890246</v>
      </c>
      <c r="AJ57" s="1095">
        <f t="shared" si="184"/>
        <v>18.093333672445123</v>
      </c>
      <c r="AK57" s="1096">
        <f t="shared" si="184"/>
        <v>99.513335198448161</v>
      </c>
      <c r="AL57" s="1095">
        <f t="shared" ref="AL57:AO57" si="185">R57*$Y57</f>
        <v>15.063993187793784</v>
      </c>
      <c r="AM57" s="1095">
        <f t="shared" si="185"/>
        <v>22.595989781690676</v>
      </c>
      <c r="AN57" s="1095">
        <f t="shared" si="185"/>
        <v>30.127986375587568</v>
      </c>
      <c r="AO57" s="1095">
        <f t="shared" si="185"/>
        <v>15.063993187793784</v>
      </c>
      <c r="AP57" s="1097">
        <f t="shared" ref="AP57" si="186">SUM(AL57:AO57)</f>
        <v>82.851962532865812</v>
      </c>
      <c r="AQ57" s="1094">
        <f t="shared" ref="AQ57:AT57" si="187">R57*$Z57</f>
        <v>0</v>
      </c>
      <c r="AR57" s="1095">
        <f t="shared" si="187"/>
        <v>0</v>
      </c>
      <c r="AS57" s="1095">
        <f t="shared" si="187"/>
        <v>0</v>
      </c>
      <c r="AT57" s="1095">
        <f t="shared" si="187"/>
        <v>0</v>
      </c>
      <c r="AU57" s="1098">
        <f t="shared" ref="AU57" si="188">SUM(AQ57:AT57)</f>
        <v>0</v>
      </c>
      <c r="AV57" s="1094">
        <f t="shared" ref="AV57:AY57" si="189">R57*$AA57</f>
        <v>0</v>
      </c>
      <c r="AW57" s="1095">
        <f t="shared" si="189"/>
        <v>0</v>
      </c>
      <c r="AX57" s="1095">
        <f t="shared" si="189"/>
        <v>0</v>
      </c>
      <c r="AY57" s="1095">
        <f t="shared" si="189"/>
        <v>0</v>
      </c>
      <c r="AZ57" s="1098">
        <f t="shared" ref="AZ57" si="190">SUM(AV57:AY57)</f>
        <v>0</v>
      </c>
      <c r="BA57" s="1099">
        <f t="shared" ref="BA57" si="191">SUM($V57*W57)</f>
        <v>604.6081183436861</v>
      </c>
      <c r="BB57" s="1105">
        <f t="shared" ref="BB57:BE57" si="192">SUM($V57*X57)</f>
        <v>99.513335198448161</v>
      </c>
      <c r="BC57" s="1105">
        <f t="shared" si="192"/>
        <v>82.851962532865812</v>
      </c>
      <c r="BD57" s="1105">
        <f t="shared" si="192"/>
        <v>0</v>
      </c>
      <c r="BE57" s="1104">
        <f t="shared" si="192"/>
        <v>0</v>
      </c>
      <c r="BF57" s="61"/>
      <c r="BG57" s="1048" t="s">
        <v>181</v>
      </c>
      <c r="BH57" s="1048" t="s">
        <v>181</v>
      </c>
      <c r="BI57" s="1048" t="str">
        <f>IFERROR(INDEX('[14]Annex 2_Code'!$J$110:$J$127,MATCH('Annex 5_MRD'!BG57,'[14]Annex 2_Code'!$G$110:$G$127,0)),"")</f>
        <v>MRD</v>
      </c>
      <c r="BJ57" s="1084" t="str">
        <f t="shared" si="11"/>
        <v>MRD</v>
      </c>
      <c r="BK57" s="1067"/>
    </row>
    <row r="58" spans="1:63" s="217" customFormat="1" ht="20.25" customHeight="1">
      <c r="A58" s="1070"/>
      <c r="B58" s="1106"/>
      <c r="C58" s="1107"/>
      <c r="D58" s="1108"/>
      <c r="E58" s="1109" t="s">
        <v>36</v>
      </c>
      <c r="F58" s="1110"/>
      <c r="G58" s="1111"/>
      <c r="H58" s="1112"/>
      <c r="I58" s="1112"/>
      <c r="J58" s="1112"/>
      <c r="K58" s="1113"/>
      <c r="L58" s="1114"/>
      <c r="M58" s="1136"/>
      <c r="N58" s="1115"/>
      <c r="O58" s="1115"/>
      <c r="P58" s="1117"/>
      <c r="Q58" s="1118"/>
      <c r="R58" s="1119">
        <f>SUM(R56:R57)</f>
        <v>143.08607565000003</v>
      </c>
      <c r="S58" s="1119">
        <f>SUM(S56:S57)</f>
        <v>214.62911347500003</v>
      </c>
      <c r="T58" s="1119">
        <f>SUM(T56:T57)</f>
        <v>286.17215130000005</v>
      </c>
      <c r="U58" s="1119">
        <f>SUM(U56:U57)</f>
        <v>143.08607565000003</v>
      </c>
      <c r="V58" s="1119">
        <f>SUM(V56:V57)</f>
        <v>786.97341607500005</v>
      </c>
      <c r="W58" s="1091">
        <f t="shared" si="145"/>
        <v>0.76827006604510995</v>
      </c>
      <c r="X58" s="1092">
        <f t="shared" si="145"/>
        <v>0.12645069473218948</v>
      </c>
      <c r="Y58" s="1092">
        <f t="shared" si="145"/>
        <v>0.10527923922270058</v>
      </c>
      <c r="Z58" s="1092">
        <f t="shared" si="145"/>
        <v>0</v>
      </c>
      <c r="AA58" s="1093">
        <f t="shared" si="145"/>
        <v>0</v>
      </c>
      <c r="AB58" s="1121">
        <f>SUM(AB57)</f>
        <v>109.92874878976112</v>
      </c>
      <c r="AC58" s="1119">
        <f>SUM(AC57)</f>
        <v>164.89312318464167</v>
      </c>
      <c r="AD58" s="1119">
        <f>SUM(AD57)</f>
        <v>219.85749757952223</v>
      </c>
      <c r="AE58" s="1119">
        <f>SUM(AE57)</f>
        <v>109.92874878976112</v>
      </c>
      <c r="AF58" s="1122">
        <f>SUM(AB58:AE58)</f>
        <v>604.6081183436861</v>
      </c>
      <c r="AG58" s="1121">
        <f t="shared" ref="AG58:AP58" si="193">SUM(AG56:AG57)</f>
        <v>18.093333672445123</v>
      </c>
      <c r="AH58" s="1119">
        <f t="shared" si="193"/>
        <v>27.140000508667683</v>
      </c>
      <c r="AI58" s="1119">
        <f t="shared" si="193"/>
        <v>36.186667344890246</v>
      </c>
      <c r="AJ58" s="1119">
        <f t="shared" si="193"/>
        <v>18.093333672445123</v>
      </c>
      <c r="AK58" s="1122">
        <f t="shared" si="193"/>
        <v>99.513335198448161</v>
      </c>
      <c r="AL58" s="1121">
        <f t="shared" si="193"/>
        <v>15.063993187793784</v>
      </c>
      <c r="AM58" s="1119">
        <f t="shared" si="193"/>
        <v>22.595989781690676</v>
      </c>
      <c r="AN58" s="1119">
        <f t="shared" si="193"/>
        <v>30.127986375587568</v>
      </c>
      <c r="AO58" s="1119">
        <f t="shared" si="193"/>
        <v>15.063993187793784</v>
      </c>
      <c r="AP58" s="1122">
        <f t="shared" si="193"/>
        <v>82.851962532865812</v>
      </c>
      <c r="AQ58" s="1121"/>
      <c r="AR58" s="1119"/>
      <c r="AS58" s="1119"/>
      <c r="AT58" s="1119"/>
      <c r="AU58" s="1123"/>
      <c r="AV58" s="1124"/>
      <c r="AW58" s="1125"/>
      <c r="AX58" s="1125"/>
      <c r="AY58" s="1125"/>
      <c r="AZ58" s="1123"/>
      <c r="BA58" s="1126">
        <f>SUM(BA57:BA57)</f>
        <v>604.6081183436861</v>
      </c>
      <c r="BB58" s="1127">
        <f>SUM(BB57:BB57)</f>
        <v>99.513335198448161</v>
      </c>
      <c r="BC58" s="1127">
        <f>SUM(BC57:BC57)</f>
        <v>82.851962532865812</v>
      </c>
      <c r="BD58" s="1127">
        <f>SUM(BD57:BD57)</f>
        <v>0</v>
      </c>
      <c r="BE58" s="1120">
        <f>BE57</f>
        <v>0</v>
      </c>
      <c r="BF58" s="61"/>
      <c r="BG58" s="1048"/>
      <c r="BH58" s="1048"/>
      <c r="BI58" s="1048">
        <f>IFERROR(INDEX('[14]Annex 2_Code'!$J$110:$J$127,MATCH('Annex 5_MRD'!BG58,'[14]Annex 2_Code'!$G$110:$G$127,0)),"")</f>
        <v>0</v>
      </c>
      <c r="BJ58" s="1084" t="str">
        <f t="shared" si="11"/>
        <v>0</v>
      </c>
      <c r="BK58" s="1067"/>
    </row>
    <row r="59" spans="1:63" s="217" customFormat="1" ht="20.25" customHeight="1">
      <c r="A59" s="1070"/>
      <c r="B59" s="57"/>
      <c r="C59" s="57"/>
      <c r="D59" s="2687" t="s">
        <v>965</v>
      </c>
      <c r="E59" s="2688"/>
      <c r="F59" s="2688"/>
      <c r="G59" s="2689"/>
      <c r="K59" s="1154"/>
      <c r="L59" s="1130"/>
      <c r="M59" s="1155"/>
      <c r="N59" s="1132"/>
      <c r="O59" s="1156"/>
      <c r="P59" s="1158"/>
      <c r="Q59" s="1159"/>
      <c r="R59" s="1161"/>
      <c r="S59" s="1161"/>
      <c r="T59" s="1161"/>
      <c r="U59" s="1161"/>
      <c r="V59" s="1162"/>
      <c r="W59" s="1091">
        <f t="shared" si="145"/>
        <v>0.76827006604510995</v>
      </c>
      <c r="X59" s="1092">
        <f t="shared" si="145"/>
        <v>0.12645069473218948</v>
      </c>
      <c r="Y59" s="1092">
        <f t="shared" si="145"/>
        <v>0.10527923922270058</v>
      </c>
      <c r="Z59" s="1092">
        <f t="shared" si="145"/>
        <v>0</v>
      </c>
      <c r="AA59" s="1093">
        <f t="shared" si="145"/>
        <v>0</v>
      </c>
      <c r="AB59" s="1163"/>
      <c r="AC59" s="1161"/>
      <c r="AD59" s="1161"/>
      <c r="AE59" s="1161"/>
      <c r="AF59" s="1164"/>
      <c r="AG59" s="1163"/>
      <c r="AH59" s="1161"/>
      <c r="AI59" s="1161"/>
      <c r="AJ59" s="1161"/>
      <c r="AK59" s="1164"/>
      <c r="AL59" s="1161"/>
      <c r="AM59" s="1161"/>
      <c r="AN59" s="1161"/>
      <c r="AO59" s="1161"/>
      <c r="AP59" s="1161"/>
      <c r="AQ59" s="1163"/>
      <c r="AR59" s="1161"/>
      <c r="AS59" s="1161"/>
      <c r="AT59" s="1161"/>
      <c r="AU59" s="1165"/>
      <c r="AV59" s="1166"/>
      <c r="AW59" s="1167"/>
      <c r="AX59" s="1167"/>
      <c r="AY59" s="1167"/>
      <c r="AZ59" s="1165"/>
      <c r="BA59" s="1168"/>
      <c r="BB59" s="1169"/>
      <c r="BC59" s="1169"/>
      <c r="BD59" s="1169"/>
      <c r="BE59" s="1162"/>
      <c r="BF59" s="61"/>
      <c r="BG59" s="1048"/>
      <c r="BH59" s="1048"/>
      <c r="BI59" s="1048">
        <f>IFERROR(INDEX('[14]Annex 2_Code'!$J$110:$J$127,MATCH('Annex 5_MRD'!BG59,'[14]Annex 2_Code'!$G$110:$G$127,0)),"")</f>
        <v>0</v>
      </c>
      <c r="BJ59" s="1084" t="str">
        <f t="shared" si="11"/>
        <v>0</v>
      </c>
      <c r="BK59" s="1067"/>
    </row>
    <row r="60" spans="1:63" s="217" customFormat="1" ht="26.45" customHeight="1">
      <c r="A60" s="1070"/>
      <c r="B60" s="57" t="s">
        <v>22</v>
      </c>
      <c r="C60" s="57" t="s">
        <v>135</v>
      </c>
      <c r="D60" s="2692" t="s">
        <v>966</v>
      </c>
      <c r="E60" s="2693"/>
      <c r="F60" s="2693"/>
      <c r="G60" s="2694"/>
      <c r="H60" s="1534" t="s">
        <v>776</v>
      </c>
      <c r="I60" s="1534">
        <v>1985570.95</v>
      </c>
      <c r="J60" s="1534">
        <v>99278.547500000001</v>
      </c>
      <c r="K60" s="1171">
        <f>I60+J60</f>
        <v>2084849.4975000001</v>
      </c>
      <c r="L60" s="1153">
        <f>K60/1000</f>
        <v>2084.8494974999999</v>
      </c>
      <c r="M60" s="1536">
        <v>0.1</v>
      </c>
      <c r="N60" s="1536">
        <v>0.15</v>
      </c>
      <c r="O60" s="1536">
        <v>0.2</v>
      </c>
      <c r="P60" s="1536">
        <v>0.1</v>
      </c>
      <c r="Q60" s="1103">
        <f t="shared" ref="Q60" si="194">SUM(M60:P60)</f>
        <v>0.55000000000000004</v>
      </c>
      <c r="R60" s="1100">
        <f t="shared" ref="R60" si="195">M60*L60</f>
        <v>208.48494975</v>
      </c>
      <c r="S60" s="1100">
        <f t="shared" ref="S60" si="196">N60*L60</f>
        <v>312.72742462499997</v>
      </c>
      <c r="T60" s="1100">
        <f t="shared" ref="T60" si="197">O60*L60</f>
        <v>416.9698995</v>
      </c>
      <c r="U60" s="1100">
        <f t="shared" ref="U60" si="198">P60*L60</f>
        <v>208.48494975</v>
      </c>
      <c r="V60" s="1135">
        <f t="shared" ref="V60" si="199">SUM(R60:U60)</f>
        <v>1146.6672236249999</v>
      </c>
      <c r="W60" s="1091">
        <f t="shared" si="145"/>
        <v>0.76827006604510995</v>
      </c>
      <c r="X60" s="1092">
        <f t="shared" si="145"/>
        <v>0.12645069473218948</v>
      </c>
      <c r="Y60" s="1092">
        <f t="shared" si="145"/>
        <v>0.10527923922270058</v>
      </c>
      <c r="Z60" s="1092">
        <f t="shared" si="145"/>
        <v>0</v>
      </c>
      <c r="AA60" s="1093">
        <f t="shared" si="145"/>
        <v>0</v>
      </c>
      <c r="AB60" s="1094">
        <f t="shared" ref="AB60:AE60" si="200">R60*$W60</f>
        <v>160.17274611384391</v>
      </c>
      <c r="AC60" s="1095">
        <f t="shared" si="200"/>
        <v>240.25911917076587</v>
      </c>
      <c r="AD60" s="1095">
        <f t="shared" si="200"/>
        <v>320.34549222768783</v>
      </c>
      <c r="AE60" s="1095">
        <f t="shared" si="200"/>
        <v>160.17274611384391</v>
      </c>
      <c r="AF60" s="1096">
        <f t="shared" ref="AF60:AF61" si="201">SUM(AB60:AE60)</f>
        <v>880.95010362614153</v>
      </c>
      <c r="AG60" s="1094">
        <f t="shared" ref="AG60:AK60" si="202">R60*$X60</f>
        <v>26.363066737093114</v>
      </c>
      <c r="AH60" s="1095">
        <f t="shared" si="202"/>
        <v>39.544600105639667</v>
      </c>
      <c r="AI60" s="1095">
        <f t="shared" si="202"/>
        <v>52.726133474186227</v>
      </c>
      <c r="AJ60" s="1095">
        <f t="shared" si="202"/>
        <v>26.363066737093114</v>
      </c>
      <c r="AK60" s="1096">
        <f t="shared" si="202"/>
        <v>144.99686705401211</v>
      </c>
      <c r="AL60" s="1095">
        <f t="shared" ref="AL60:AO60" si="203">R60*$Y60</f>
        <v>21.94913689906296</v>
      </c>
      <c r="AM60" s="1095">
        <f t="shared" si="203"/>
        <v>32.923705348594432</v>
      </c>
      <c r="AN60" s="1095">
        <f t="shared" si="203"/>
        <v>43.898273798125921</v>
      </c>
      <c r="AO60" s="1095">
        <f t="shared" si="203"/>
        <v>21.94913689906296</v>
      </c>
      <c r="AP60" s="1097">
        <f t="shared" ref="AP60" si="204">SUM(AL60:AO60)</f>
        <v>120.72025294484628</v>
      </c>
      <c r="AQ60" s="1094">
        <f t="shared" ref="AQ60:AT60" si="205">R60*$Z60</f>
        <v>0</v>
      </c>
      <c r="AR60" s="1095">
        <f t="shared" si="205"/>
        <v>0</v>
      </c>
      <c r="AS60" s="1095">
        <f t="shared" si="205"/>
        <v>0</v>
      </c>
      <c r="AT60" s="1095">
        <f t="shared" si="205"/>
        <v>0</v>
      </c>
      <c r="AU60" s="1098">
        <f t="shared" ref="AU60" si="206">SUM(AQ60:AT60)</f>
        <v>0</v>
      </c>
      <c r="AV60" s="1094">
        <f t="shared" ref="AV60:AY60" si="207">R60*$AA60</f>
        <v>0</v>
      </c>
      <c r="AW60" s="1095">
        <f t="shared" si="207"/>
        <v>0</v>
      </c>
      <c r="AX60" s="1095">
        <f t="shared" si="207"/>
        <v>0</v>
      </c>
      <c r="AY60" s="1095">
        <f t="shared" si="207"/>
        <v>0</v>
      </c>
      <c r="AZ60" s="1098">
        <f t="shared" ref="AZ60" si="208">SUM(AV60:AY60)</f>
        <v>0</v>
      </c>
      <c r="BA60" s="1099">
        <f t="shared" ref="BA60" si="209">SUM($V60*W60)</f>
        <v>880.95010362614153</v>
      </c>
      <c r="BB60" s="1105">
        <f t="shared" ref="BB60:BE60" si="210">SUM($V60*X60)</f>
        <v>144.99686705401211</v>
      </c>
      <c r="BC60" s="1105">
        <f t="shared" si="210"/>
        <v>120.72025294484627</v>
      </c>
      <c r="BD60" s="1105">
        <f t="shared" si="210"/>
        <v>0</v>
      </c>
      <c r="BE60" s="1104">
        <f t="shared" si="210"/>
        <v>0</v>
      </c>
      <c r="BF60" s="61"/>
      <c r="BG60" s="1048" t="s">
        <v>181</v>
      </c>
      <c r="BH60" s="1048" t="s">
        <v>181</v>
      </c>
      <c r="BI60" s="1048" t="str">
        <f>IFERROR(INDEX('[14]Annex 2_Code'!$J$110:$J$127,MATCH('Annex 5_MRD'!BG60,'[14]Annex 2_Code'!$G$110:$G$127,0)),"")</f>
        <v>MRD</v>
      </c>
      <c r="BJ60" s="1084" t="str">
        <f t="shared" si="11"/>
        <v>MRD</v>
      </c>
      <c r="BK60" s="1067"/>
    </row>
    <row r="61" spans="1:63" s="217" customFormat="1" ht="20.25" customHeight="1">
      <c r="A61" s="1070"/>
      <c r="B61" s="1106"/>
      <c r="C61" s="1107"/>
      <c r="D61" s="1108"/>
      <c r="E61" s="1109" t="s">
        <v>36</v>
      </c>
      <c r="F61" s="1110"/>
      <c r="G61" s="1111"/>
      <c r="H61" s="1112"/>
      <c r="I61" s="1112"/>
      <c r="J61" s="1112"/>
      <c r="K61" s="1113"/>
      <c r="L61" s="1114"/>
      <c r="M61" s="1136"/>
      <c r="N61" s="1115"/>
      <c r="O61" s="1116"/>
      <c r="P61" s="1117"/>
      <c r="Q61" s="1118"/>
      <c r="R61" s="1119">
        <f t="shared" ref="R61:V61" si="211">SUM(R59:R60)</f>
        <v>208.48494975</v>
      </c>
      <c r="S61" s="1119">
        <f t="shared" si="211"/>
        <v>312.72742462499997</v>
      </c>
      <c r="T61" s="1119">
        <f t="shared" si="211"/>
        <v>416.9698995</v>
      </c>
      <c r="U61" s="1119">
        <f t="shared" si="211"/>
        <v>208.48494975</v>
      </c>
      <c r="V61" s="1119">
        <f t="shared" si="211"/>
        <v>1146.6672236249999</v>
      </c>
      <c r="W61" s="1091">
        <f t="shared" si="145"/>
        <v>0.76827006604510995</v>
      </c>
      <c r="X61" s="1092">
        <f t="shared" si="145"/>
        <v>0.12645069473218948</v>
      </c>
      <c r="Y61" s="1092">
        <f t="shared" si="145"/>
        <v>0.10527923922270058</v>
      </c>
      <c r="Z61" s="1092">
        <f t="shared" si="145"/>
        <v>0</v>
      </c>
      <c r="AA61" s="1093">
        <f t="shared" si="145"/>
        <v>0</v>
      </c>
      <c r="AB61" s="1121">
        <f t="shared" ref="AB61:AE61" si="212">SUM(AB60)</f>
        <v>160.17274611384391</v>
      </c>
      <c r="AC61" s="1119">
        <f t="shared" si="212"/>
        <v>240.25911917076587</v>
      </c>
      <c r="AD61" s="1119">
        <f t="shared" si="212"/>
        <v>320.34549222768783</v>
      </c>
      <c r="AE61" s="1119">
        <f t="shared" si="212"/>
        <v>160.17274611384391</v>
      </c>
      <c r="AF61" s="1122">
        <f t="shared" si="201"/>
        <v>880.95010362614153</v>
      </c>
      <c r="AG61" s="1121">
        <f t="shared" ref="AG61:AP61" si="213">SUM(AG59:AG60)</f>
        <v>26.363066737093114</v>
      </c>
      <c r="AH61" s="1119">
        <f t="shared" si="213"/>
        <v>39.544600105639667</v>
      </c>
      <c r="AI61" s="1119">
        <f t="shared" si="213"/>
        <v>52.726133474186227</v>
      </c>
      <c r="AJ61" s="1119">
        <f t="shared" si="213"/>
        <v>26.363066737093114</v>
      </c>
      <c r="AK61" s="1122">
        <f t="shared" si="213"/>
        <v>144.99686705401211</v>
      </c>
      <c r="AL61" s="1121">
        <f t="shared" si="213"/>
        <v>21.94913689906296</v>
      </c>
      <c r="AM61" s="1119">
        <f t="shared" si="213"/>
        <v>32.923705348594432</v>
      </c>
      <c r="AN61" s="1119">
        <f t="shared" si="213"/>
        <v>43.898273798125921</v>
      </c>
      <c r="AO61" s="1119">
        <f t="shared" si="213"/>
        <v>21.94913689906296</v>
      </c>
      <c r="AP61" s="1122">
        <f t="shared" si="213"/>
        <v>120.72025294484628</v>
      </c>
      <c r="AQ61" s="1121"/>
      <c r="AR61" s="1119"/>
      <c r="AS61" s="1119"/>
      <c r="AT61" s="1119"/>
      <c r="AU61" s="1123"/>
      <c r="AV61" s="1124"/>
      <c r="AW61" s="1125"/>
      <c r="AX61" s="1125"/>
      <c r="AY61" s="1125"/>
      <c r="AZ61" s="1123"/>
      <c r="BA61" s="1126">
        <f t="shared" ref="BA61:BD61" si="214">SUM(BA60:BA60)</f>
        <v>880.95010362614153</v>
      </c>
      <c r="BB61" s="1127">
        <f t="shared" si="214"/>
        <v>144.99686705401211</v>
      </c>
      <c r="BC61" s="1127">
        <f t="shared" si="214"/>
        <v>120.72025294484627</v>
      </c>
      <c r="BD61" s="1127">
        <f t="shared" si="214"/>
        <v>0</v>
      </c>
      <c r="BE61" s="1120">
        <f t="shared" ref="BE61" si="215">BE60</f>
        <v>0</v>
      </c>
      <c r="BF61" s="61"/>
      <c r="BG61" s="1048"/>
      <c r="BH61" s="1048"/>
      <c r="BI61" s="1048">
        <f>IFERROR(INDEX('[14]Annex 2_Code'!$J$110:$J$127,MATCH('Annex 5_MRD'!BG61,'[14]Annex 2_Code'!$G$110:$G$127,0)),"")</f>
        <v>0</v>
      </c>
      <c r="BJ61" s="1084" t="str">
        <f t="shared" si="11"/>
        <v>0</v>
      </c>
      <c r="BK61" s="1067"/>
    </row>
    <row r="62" spans="1:63" s="2071" customFormat="1" ht="20.25" customHeight="1">
      <c r="A62" s="2066"/>
      <c r="B62" s="2101"/>
      <c r="C62" s="2068"/>
      <c r="D62" s="2069"/>
      <c r="E62" s="2069"/>
      <c r="F62" s="2070"/>
      <c r="G62" s="2102"/>
      <c r="H62" s="2069"/>
      <c r="I62" s="2073">
        <f>SUM(I39,I42,I45,I48,I51,I54,I57,I60)</f>
        <v>14681962.979999999</v>
      </c>
      <c r="J62" s="2073">
        <f>SUM(J39,J42,J45,J48,J51,J54,J57,J60)</f>
        <v>734098.14899999998</v>
      </c>
      <c r="K62" s="2073">
        <f>SUM(K39,K42,K45,K48,K51,K54,K57,K60)</f>
        <v>15416061.129000001</v>
      </c>
      <c r="L62" s="2074"/>
      <c r="M62" s="2103"/>
      <c r="N62" s="2103"/>
      <c r="O62" s="2104"/>
      <c r="P62" s="2105"/>
      <c r="Q62" s="2106"/>
      <c r="R62" s="2079">
        <f>SUM(R40,R43,R46,R49,R52,R55,R58,R61)</f>
        <v>2275.5565738499999</v>
      </c>
      <c r="S62" s="2079">
        <f t="shared" ref="S62:V62" si="216">SUM(S40,S43,S46,S49,S52,S55,S58,S61)</f>
        <v>2679.3843998249999</v>
      </c>
      <c r="T62" s="2079">
        <f t="shared" si="216"/>
        <v>2680.4194546499998</v>
      </c>
      <c r="U62" s="2079">
        <f t="shared" si="216"/>
        <v>1541.6061129</v>
      </c>
      <c r="V62" s="2526">
        <f t="shared" si="216"/>
        <v>9176.9665412250015</v>
      </c>
      <c r="W62" s="2080"/>
      <c r="X62" s="2080"/>
      <c r="Y62" s="2080"/>
      <c r="Z62" s="2080"/>
      <c r="AA62" s="2080"/>
      <c r="AB62" s="2081"/>
      <c r="AC62" s="2081"/>
      <c r="AD62" s="2081"/>
      <c r="AE62" s="2081"/>
      <c r="AF62" s="2081"/>
      <c r="AG62" s="2081"/>
      <c r="AH62" s="2081"/>
      <c r="AI62" s="2081"/>
      <c r="AJ62" s="2081"/>
      <c r="AK62" s="2081"/>
      <c r="AL62" s="2081"/>
      <c r="AM62" s="2081"/>
      <c r="AN62" s="2081"/>
      <c r="AO62" s="2081"/>
      <c r="AP62" s="2081"/>
      <c r="AQ62" s="2081"/>
      <c r="AR62" s="2081"/>
      <c r="AS62" s="2081"/>
      <c r="AT62" s="2081"/>
      <c r="AU62" s="2072"/>
      <c r="AV62" s="2072"/>
      <c r="AW62" s="2072"/>
      <c r="AX62" s="2072"/>
      <c r="AY62" s="2072"/>
      <c r="AZ62" s="2072"/>
      <c r="BA62" s="2078"/>
      <c r="BB62" s="2078"/>
      <c r="BC62" s="2078"/>
      <c r="BD62" s="2078"/>
      <c r="BE62" s="2078"/>
      <c r="BF62" s="2107"/>
      <c r="BG62" s="2083"/>
      <c r="BH62" s="2083"/>
      <c r="BI62" s="2083"/>
      <c r="BJ62" s="2084"/>
      <c r="BK62" s="2085"/>
    </row>
    <row r="63" spans="1:63" s="217" customFormat="1" ht="21" customHeight="1">
      <c r="A63" s="2695"/>
      <c r="B63" s="2696"/>
      <c r="C63" s="2695" t="s">
        <v>1329</v>
      </c>
      <c r="D63" s="2696"/>
      <c r="E63" s="2086"/>
      <c r="F63" s="2087"/>
      <c r="G63" s="2088"/>
      <c r="H63" s="2086"/>
      <c r="I63" s="2086"/>
      <c r="J63" s="2086"/>
      <c r="K63" s="2108"/>
      <c r="L63" s="2091"/>
      <c r="M63" s="2109"/>
      <c r="N63" s="2109"/>
      <c r="O63" s="2110"/>
      <c r="P63" s="2111"/>
      <c r="Q63" s="2112"/>
      <c r="R63" s="2096"/>
      <c r="S63" s="2096"/>
      <c r="T63" s="2096"/>
      <c r="U63" s="2096"/>
      <c r="V63" s="2096"/>
      <c r="W63" s="2097"/>
      <c r="X63" s="2097"/>
      <c r="Y63" s="2097"/>
      <c r="Z63" s="2097"/>
      <c r="AA63" s="2097"/>
      <c r="AB63" s="2096"/>
      <c r="AC63" s="2096"/>
      <c r="AD63" s="2096"/>
      <c r="AE63" s="2096"/>
      <c r="AF63" s="2096"/>
      <c r="AG63" s="2096"/>
      <c r="AH63" s="2096"/>
      <c r="AI63" s="2096"/>
      <c r="AJ63" s="2096"/>
      <c r="AK63" s="2096"/>
      <c r="AL63" s="2096"/>
      <c r="AM63" s="2096"/>
      <c r="AN63" s="2096"/>
      <c r="AO63" s="2096"/>
      <c r="AP63" s="2096"/>
      <c r="AQ63" s="2096"/>
      <c r="AR63" s="2096"/>
      <c r="AS63" s="2096"/>
      <c r="AT63" s="2096"/>
      <c r="AU63" s="2089"/>
      <c r="AV63" s="2089"/>
      <c r="AW63" s="2089"/>
      <c r="AX63" s="2089"/>
      <c r="AY63" s="2089"/>
      <c r="AZ63" s="2089"/>
      <c r="BA63" s="2095"/>
      <c r="BB63" s="2095"/>
      <c r="BC63" s="2095"/>
      <c r="BD63" s="2095"/>
      <c r="BE63" s="2095"/>
      <c r="BF63" s="2113"/>
      <c r="BG63" s="2099"/>
      <c r="BH63" s="2099"/>
      <c r="BI63" s="2099"/>
      <c r="BJ63" s="2100"/>
      <c r="BK63" s="1067"/>
    </row>
    <row r="64" spans="1:63" s="217" customFormat="1" ht="20.25" customHeight="1">
      <c r="A64" s="1070"/>
      <c r="B64" s="1106"/>
      <c r="C64" s="57"/>
      <c r="D64" s="2681" t="s">
        <v>1330</v>
      </c>
      <c r="E64" s="2682"/>
      <c r="F64" s="2682"/>
      <c r="G64" s="2683"/>
      <c r="K64" s="1154"/>
      <c r="L64" s="1130"/>
      <c r="M64" s="1132"/>
      <c r="N64" s="1132"/>
      <c r="O64" s="1132"/>
      <c r="P64" s="1133"/>
      <c r="Q64" s="182"/>
      <c r="R64" s="1089"/>
      <c r="S64" s="1089"/>
      <c r="T64" s="1089"/>
      <c r="U64" s="1089"/>
      <c r="V64" s="1090"/>
      <c r="W64" s="1091">
        <f t="shared" ref="W64:AA64" si="217">W61</f>
        <v>0.76827006604510995</v>
      </c>
      <c r="X64" s="1092">
        <f t="shared" si="217"/>
        <v>0.12645069473218948</v>
      </c>
      <c r="Y64" s="1092">
        <f t="shared" si="217"/>
        <v>0.10527923922270058</v>
      </c>
      <c r="Z64" s="1092">
        <f t="shared" si="217"/>
        <v>0</v>
      </c>
      <c r="AA64" s="1093">
        <f t="shared" si="217"/>
        <v>0</v>
      </c>
      <c r="AB64" s="1094">
        <f t="shared" ref="AB64:AE65" si="218">R64*$W64</f>
        <v>0</v>
      </c>
      <c r="AC64" s="1095">
        <f t="shared" si="218"/>
        <v>0</v>
      </c>
      <c r="AD64" s="1095">
        <f t="shared" si="218"/>
        <v>0</v>
      </c>
      <c r="AE64" s="1095">
        <f t="shared" si="218"/>
        <v>0</v>
      </c>
      <c r="AF64" s="1096">
        <f t="shared" ref="AF64:AF65" si="219">SUM(AB64:AE64)</f>
        <v>0</v>
      </c>
      <c r="AG64" s="1094">
        <f t="shared" ref="AG64:AK65" si="220">R64*$X64</f>
        <v>0</v>
      </c>
      <c r="AH64" s="1095">
        <f t="shared" si="220"/>
        <v>0</v>
      </c>
      <c r="AI64" s="1095">
        <f t="shared" si="220"/>
        <v>0</v>
      </c>
      <c r="AJ64" s="1095">
        <f t="shared" si="220"/>
        <v>0</v>
      </c>
      <c r="AK64" s="1096">
        <f t="shared" si="220"/>
        <v>0</v>
      </c>
      <c r="AL64" s="1095"/>
      <c r="AM64" s="1095"/>
      <c r="AN64" s="1095"/>
      <c r="AO64" s="1095"/>
      <c r="AP64" s="1097"/>
      <c r="AQ64" s="1094">
        <f t="shared" ref="AQ64:AT65" si="221">R64*$Z64</f>
        <v>0</v>
      </c>
      <c r="AR64" s="1095">
        <f t="shared" si="221"/>
        <v>0</v>
      </c>
      <c r="AS64" s="1095">
        <f t="shared" si="221"/>
        <v>0</v>
      </c>
      <c r="AT64" s="1095">
        <f t="shared" si="221"/>
        <v>0</v>
      </c>
      <c r="AU64" s="1098">
        <f>SUM(AQ64:AT64)</f>
        <v>0</v>
      </c>
      <c r="AV64" s="1094">
        <f t="shared" ref="AV64:AY65" si="222">R64*$AA64</f>
        <v>0</v>
      </c>
      <c r="AW64" s="1095">
        <f t="shared" si="222"/>
        <v>0</v>
      </c>
      <c r="AX64" s="1095">
        <f t="shared" si="222"/>
        <v>0</v>
      </c>
      <c r="AY64" s="1095">
        <f t="shared" si="222"/>
        <v>0</v>
      </c>
      <c r="AZ64" s="1098">
        <f>SUM(AV64:AY64)</f>
        <v>0</v>
      </c>
      <c r="BA64" s="1099"/>
      <c r="BB64" s="1100"/>
      <c r="BC64" s="1100"/>
      <c r="BD64" s="1100"/>
      <c r="BE64" s="1101"/>
      <c r="BF64" s="1067"/>
      <c r="BG64" s="1048"/>
      <c r="BH64" s="1048"/>
      <c r="BI64" s="1048">
        <f>IFERROR(INDEX('[14]Annex 2_Code'!$J$110:$J$127,MATCH('Annex 5_MRD'!BG64,'[14]Annex 2_Code'!$G$110:$G$127,0)),"")</f>
        <v>0</v>
      </c>
      <c r="BJ64" s="1084" t="str">
        <f t="shared" ref="BJ64:BJ69" si="223">IF(ISNUMBER(FIND("-",BI64,1))=FALSE,LEFT(BI64,LEN(BI64)),LEFT(BI64,(FIND("-",BI64,1))-1))</f>
        <v>0</v>
      </c>
      <c r="BK64" s="1067"/>
    </row>
    <row r="65" spans="1:63" s="217" customFormat="1" ht="20.25" customHeight="1">
      <c r="A65" s="1070"/>
      <c r="B65" s="1106"/>
      <c r="C65" s="57" t="s">
        <v>135</v>
      </c>
      <c r="D65" s="2684" t="s">
        <v>962</v>
      </c>
      <c r="E65" s="2685"/>
      <c r="F65" s="2685"/>
      <c r="G65" s="2686"/>
      <c r="H65" s="1534" t="s">
        <v>776</v>
      </c>
      <c r="I65" s="1534">
        <v>2999836.2918299995</v>
      </c>
      <c r="J65" s="1534">
        <v>299983.62900000002</v>
      </c>
      <c r="K65" s="2114">
        <f>I65+J65</f>
        <v>3299819.9208299997</v>
      </c>
      <c r="L65" s="1128">
        <f>K65/1000</f>
        <v>3299.8199208299998</v>
      </c>
      <c r="M65" s="1536">
        <v>0</v>
      </c>
      <c r="N65" s="1536">
        <v>0</v>
      </c>
      <c r="O65" s="1536">
        <v>0.1</v>
      </c>
      <c r="P65" s="1536">
        <v>0.1</v>
      </c>
      <c r="Q65" s="1103">
        <f>SUM(M65:P65)</f>
        <v>0.2</v>
      </c>
      <c r="R65" s="1100">
        <f>M65*L65</f>
        <v>0</v>
      </c>
      <c r="S65" s="1100">
        <f>N65*L65</f>
        <v>0</v>
      </c>
      <c r="T65" s="1100">
        <f>O65*L65</f>
        <v>329.98199208300002</v>
      </c>
      <c r="U65" s="1100">
        <f>P65*L65</f>
        <v>329.98199208300002</v>
      </c>
      <c r="V65" s="1104">
        <f t="shared" ref="V65" si="224">SUM(R65:U65)</f>
        <v>659.96398416600005</v>
      </c>
      <c r="W65" s="1091">
        <f t="shared" ref="W65:AA69" si="225">W64</f>
        <v>0.76827006604510995</v>
      </c>
      <c r="X65" s="1092">
        <f t="shared" si="225"/>
        <v>0.12645069473218948</v>
      </c>
      <c r="Y65" s="1092">
        <f t="shared" si="225"/>
        <v>0.10527923922270058</v>
      </c>
      <c r="Z65" s="1092">
        <f t="shared" si="225"/>
        <v>0</v>
      </c>
      <c r="AA65" s="1093">
        <f t="shared" si="225"/>
        <v>0</v>
      </c>
      <c r="AB65" s="1094">
        <f t="shared" si="218"/>
        <v>0</v>
      </c>
      <c r="AC65" s="1095">
        <f t="shared" si="218"/>
        <v>0</v>
      </c>
      <c r="AD65" s="1095">
        <f t="shared" si="218"/>
        <v>253.51528685130339</v>
      </c>
      <c r="AE65" s="1095">
        <f t="shared" si="218"/>
        <v>253.51528685130339</v>
      </c>
      <c r="AF65" s="1096">
        <f t="shared" si="219"/>
        <v>507.03057370260677</v>
      </c>
      <c r="AG65" s="1094">
        <f t="shared" si="220"/>
        <v>0</v>
      </c>
      <c r="AH65" s="1095">
        <f t="shared" si="220"/>
        <v>0</v>
      </c>
      <c r="AI65" s="1095">
        <f t="shared" si="220"/>
        <v>41.726452148007198</v>
      </c>
      <c r="AJ65" s="1095">
        <f t="shared" si="220"/>
        <v>41.726452148007198</v>
      </c>
      <c r="AK65" s="1096">
        <f t="shared" si="220"/>
        <v>83.452904296014395</v>
      </c>
      <c r="AL65" s="1095">
        <f t="shared" ref="AL65:AO65" si="226">R65*$Y65</f>
        <v>0</v>
      </c>
      <c r="AM65" s="1095">
        <f t="shared" si="226"/>
        <v>0</v>
      </c>
      <c r="AN65" s="1095">
        <f t="shared" si="226"/>
        <v>34.740253083689446</v>
      </c>
      <c r="AO65" s="1095">
        <f t="shared" si="226"/>
        <v>34.740253083689446</v>
      </c>
      <c r="AP65" s="1097">
        <f t="shared" ref="AP65" si="227">SUM(AL65:AO65)</f>
        <v>69.480506167378891</v>
      </c>
      <c r="AQ65" s="1094">
        <f t="shared" si="221"/>
        <v>0</v>
      </c>
      <c r="AR65" s="1095">
        <f t="shared" si="221"/>
        <v>0</v>
      </c>
      <c r="AS65" s="1095">
        <f t="shared" si="221"/>
        <v>0</v>
      </c>
      <c r="AT65" s="1095">
        <f t="shared" si="221"/>
        <v>0</v>
      </c>
      <c r="AU65" s="1098">
        <f t="shared" ref="AU65" si="228">SUM(AQ65:AT65)</f>
        <v>0</v>
      </c>
      <c r="AV65" s="1094">
        <f t="shared" si="222"/>
        <v>0</v>
      </c>
      <c r="AW65" s="1095">
        <f t="shared" si="222"/>
        <v>0</v>
      </c>
      <c r="AX65" s="1095">
        <f t="shared" si="222"/>
        <v>0</v>
      </c>
      <c r="AY65" s="1095">
        <f t="shared" si="222"/>
        <v>0</v>
      </c>
      <c r="AZ65" s="1098">
        <f t="shared" ref="AZ65" si="229">SUM(AV65:AY65)</f>
        <v>0</v>
      </c>
      <c r="BA65" s="1099">
        <f t="shared" ref="BA65" si="230">SUM($V65*W65)</f>
        <v>507.03057370260677</v>
      </c>
      <c r="BB65" s="1105">
        <f t="shared" ref="BB65:BE65" si="231">SUM($V65*X65)</f>
        <v>83.452904296014395</v>
      </c>
      <c r="BC65" s="1105">
        <f t="shared" si="231"/>
        <v>69.480506167378891</v>
      </c>
      <c r="BD65" s="1105">
        <f t="shared" si="231"/>
        <v>0</v>
      </c>
      <c r="BE65" s="1104">
        <f t="shared" si="231"/>
        <v>0</v>
      </c>
      <c r="BF65" s="1067"/>
      <c r="BG65" s="1048" t="s">
        <v>181</v>
      </c>
      <c r="BH65" s="1048" t="s">
        <v>181</v>
      </c>
      <c r="BI65" s="1048" t="str">
        <f>IFERROR(INDEX('[14]Annex 2_Code'!$J$110:$J$127,MATCH('Annex 5_MRD'!BG65,'[14]Annex 2_Code'!$G$110:$G$127,0)),"")</f>
        <v>MRD</v>
      </c>
      <c r="BJ65" s="1084" t="str">
        <f t="shared" si="223"/>
        <v>MRD</v>
      </c>
      <c r="BK65" s="1067"/>
    </row>
    <row r="66" spans="1:63" s="217" customFormat="1" ht="20.25" customHeight="1">
      <c r="A66" s="1070"/>
      <c r="B66" s="1106"/>
      <c r="C66" s="1107"/>
      <c r="D66" s="1108"/>
      <c r="E66" s="1109" t="s">
        <v>36</v>
      </c>
      <c r="F66" s="1110"/>
      <c r="G66" s="1111"/>
      <c r="H66" s="1109"/>
      <c r="I66" s="1109"/>
      <c r="J66" s="1109"/>
      <c r="K66" s="1113"/>
      <c r="L66" s="1114"/>
      <c r="M66" s="1136"/>
      <c r="N66" s="1115"/>
      <c r="O66" s="1116"/>
      <c r="P66" s="1117"/>
      <c r="Q66" s="1118"/>
      <c r="R66" s="1119">
        <f>SUM(R65:R65)</f>
        <v>0</v>
      </c>
      <c r="S66" s="1119">
        <f>SUM(S65:S65)</f>
        <v>0</v>
      </c>
      <c r="T66" s="1119">
        <f>SUM(T65:T65)</f>
        <v>329.98199208300002</v>
      </c>
      <c r="U66" s="1119">
        <f>SUM(U65:U65)</f>
        <v>329.98199208300002</v>
      </c>
      <c r="V66" s="2527">
        <f>SUM(V65:V65)</f>
        <v>659.96398416600005</v>
      </c>
      <c r="W66" s="1091">
        <f t="shared" si="225"/>
        <v>0.76827006604510995</v>
      </c>
      <c r="X66" s="1092">
        <f t="shared" si="225"/>
        <v>0.12645069473218948</v>
      </c>
      <c r="Y66" s="1092">
        <f t="shared" si="225"/>
        <v>0.10527923922270058</v>
      </c>
      <c r="Z66" s="1092">
        <f t="shared" si="225"/>
        <v>0</v>
      </c>
      <c r="AA66" s="1093">
        <f t="shared" si="225"/>
        <v>0</v>
      </c>
      <c r="AB66" s="1121">
        <f t="shared" ref="AB66:AP66" si="232">SUM(AB64:AB65)</f>
        <v>0</v>
      </c>
      <c r="AC66" s="1119">
        <f t="shared" si="232"/>
        <v>0</v>
      </c>
      <c r="AD66" s="1119">
        <f t="shared" si="232"/>
        <v>253.51528685130339</v>
      </c>
      <c r="AE66" s="1119">
        <f t="shared" si="232"/>
        <v>253.51528685130339</v>
      </c>
      <c r="AF66" s="1122">
        <f t="shared" si="232"/>
        <v>507.03057370260677</v>
      </c>
      <c r="AG66" s="1121">
        <f t="shared" si="232"/>
        <v>0</v>
      </c>
      <c r="AH66" s="1119">
        <f t="shared" si="232"/>
        <v>0</v>
      </c>
      <c r="AI66" s="1119">
        <f t="shared" si="232"/>
        <v>41.726452148007198</v>
      </c>
      <c r="AJ66" s="1119">
        <f t="shared" si="232"/>
        <v>41.726452148007198</v>
      </c>
      <c r="AK66" s="1122">
        <f t="shared" si="232"/>
        <v>83.452904296014395</v>
      </c>
      <c r="AL66" s="1121">
        <f t="shared" si="232"/>
        <v>0</v>
      </c>
      <c r="AM66" s="1119">
        <f t="shared" si="232"/>
        <v>0</v>
      </c>
      <c r="AN66" s="1119">
        <f t="shared" si="232"/>
        <v>34.740253083689446</v>
      </c>
      <c r="AO66" s="1119">
        <f t="shared" si="232"/>
        <v>34.740253083689446</v>
      </c>
      <c r="AP66" s="1122">
        <f t="shared" si="232"/>
        <v>69.480506167378891</v>
      </c>
      <c r="AQ66" s="1121"/>
      <c r="AR66" s="1119"/>
      <c r="AS66" s="1119"/>
      <c r="AT66" s="1119"/>
      <c r="AU66" s="1123"/>
      <c r="AV66" s="1124"/>
      <c r="AW66" s="1125"/>
      <c r="AX66" s="1125"/>
      <c r="AY66" s="1125"/>
      <c r="AZ66" s="1123"/>
      <c r="BA66" s="1126">
        <f>SUM(BA65)</f>
        <v>507.03057370260677</v>
      </c>
      <c r="BB66" s="1127">
        <f>SUM(BB65)</f>
        <v>83.452904296014395</v>
      </c>
      <c r="BC66" s="1127">
        <f>SUM(BC65)</f>
        <v>69.480506167378891</v>
      </c>
      <c r="BD66" s="1127">
        <f>SUM(BD65)</f>
        <v>0</v>
      </c>
      <c r="BE66" s="1120">
        <f>SUM(BE65)</f>
        <v>0</v>
      </c>
      <c r="BF66" s="1067"/>
      <c r="BG66" s="1048"/>
      <c r="BH66" s="1048"/>
      <c r="BI66" s="1048">
        <f>IFERROR(INDEX('[14]Annex 2_Code'!$J$110:$J$127,MATCH('Annex 5_MRD'!BG66,'[14]Annex 2_Code'!$G$110:$G$127,0)),"")</f>
        <v>0</v>
      </c>
      <c r="BJ66" s="1084" t="str">
        <f t="shared" si="223"/>
        <v>0</v>
      </c>
      <c r="BK66" s="1067"/>
    </row>
    <row r="67" spans="1:63" s="217" customFormat="1" ht="20.25" customHeight="1">
      <c r="A67" s="1070"/>
      <c r="B67" s="1106"/>
      <c r="C67" s="57"/>
      <c r="D67" s="2687" t="s">
        <v>1331</v>
      </c>
      <c r="E67" s="2688"/>
      <c r="F67" s="2688"/>
      <c r="G67" s="2689"/>
      <c r="K67" s="1154"/>
      <c r="L67" s="1130"/>
      <c r="M67" s="1155"/>
      <c r="N67" s="1156"/>
      <c r="O67" s="1157"/>
      <c r="P67" s="1158"/>
      <c r="Q67" s="1159"/>
      <c r="R67" s="1161"/>
      <c r="S67" s="1161"/>
      <c r="T67" s="1161"/>
      <c r="U67" s="1161"/>
      <c r="V67" s="1162"/>
      <c r="W67" s="1091">
        <f t="shared" si="225"/>
        <v>0.76827006604510995</v>
      </c>
      <c r="X67" s="1092">
        <f t="shared" si="225"/>
        <v>0.12645069473218948</v>
      </c>
      <c r="Y67" s="1092">
        <f t="shared" si="225"/>
        <v>0.10527923922270058</v>
      </c>
      <c r="Z67" s="1092">
        <f t="shared" si="225"/>
        <v>0</v>
      </c>
      <c r="AA67" s="1093">
        <f t="shared" si="225"/>
        <v>0</v>
      </c>
      <c r="AB67" s="1163"/>
      <c r="AC67" s="1161"/>
      <c r="AD67" s="1161"/>
      <c r="AE67" s="1161"/>
      <c r="AF67" s="1164"/>
      <c r="AG67" s="1163"/>
      <c r="AH67" s="1161"/>
      <c r="AI67" s="1161"/>
      <c r="AJ67" s="1161"/>
      <c r="AK67" s="1164"/>
      <c r="AL67" s="1161"/>
      <c r="AM67" s="1161"/>
      <c r="AN67" s="1161"/>
      <c r="AO67" s="1161"/>
      <c r="AP67" s="1161"/>
      <c r="AQ67" s="1163"/>
      <c r="AR67" s="1161"/>
      <c r="AS67" s="1161"/>
      <c r="AT67" s="1161"/>
      <c r="AU67" s="1165"/>
      <c r="AV67" s="1166"/>
      <c r="AW67" s="1167"/>
      <c r="AX67" s="1167"/>
      <c r="AY67" s="1167"/>
      <c r="AZ67" s="1165"/>
      <c r="BA67" s="1168"/>
      <c r="BB67" s="1169"/>
      <c r="BC67" s="1169"/>
      <c r="BD67" s="1169"/>
      <c r="BE67" s="1162"/>
      <c r="BF67" s="61"/>
      <c r="BG67" s="1048"/>
      <c r="BH67" s="1048"/>
      <c r="BI67" s="1048">
        <f>IFERROR(INDEX('[14]Annex 2_Code'!$J$110:$J$127,MATCH('Annex 5_MRD'!BG67,'[14]Annex 2_Code'!$G$110:$G$127,0)),"")</f>
        <v>0</v>
      </c>
      <c r="BJ67" s="1084" t="str">
        <f t="shared" si="223"/>
        <v>0</v>
      </c>
      <c r="BK67" s="1067"/>
    </row>
    <row r="68" spans="1:63" s="217" customFormat="1" ht="20.25" customHeight="1">
      <c r="A68" s="1070"/>
      <c r="B68" s="1106"/>
      <c r="C68" s="57" t="s">
        <v>135</v>
      </c>
      <c r="D68" s="2684" t="s">
        <v>964</v>
      </c>
      <c r="E68" s="2685"/>
      <c r="F68" s="2685"/>
      <c r="G68" s="2686"/>
      <c r="H68" s="1534" t="s">
        <v>776</v>
      </c>
      <c r="I68" s="1534">
        <v>2280706.6485000001</v>
      </c>
      <c r="J68" s="1534">
        <v>228070.66500000001</v>
      </c>
      <c r="K68" s="2114">
        <f>I68+J68</f>
        <v>2508777.3135000002</v>
      </c>
      <c r="L68" s="1128">
        <f>K68/1000</f>
        <v>2508.7773135000002</v>
      </c>
      <c r="M68" s="1536">
        <v>0</v>
      </c>
      <c r="N68" s="1536">
        <v>0</v>
      </c>
      <c r="O68" s="1536"/>
      <c r="P68" s="1536">
        <v>0.1</v>
      </c>
      <c r="Q68" s="1103">
        <f t="shared" ref="Q68" si="233">SUM(M68:P68)</f>
        <v>0.1</v>
      </c>
      <c r="R68" s="1100">
        <f>M68*L68</f>
        <v>0</v>
      </c>
      <c r="S68" s="1100">
        <f>N68*L68</f>
        <v>0</v>
      </c>
      <c r="T68" s="1100">
        <f>O68*L68</f>
        <v>0</v>
      </c>
      <c r="U68" s="1100">
        <f>P68*L68</f>
        <v>250.87773135000003</v>
      </c>
      <c r="V68" s="1135">
        <f t="shared" ref="V68" si="234">SUM(R68:U68)</f>
        <v>250.87773135000003</v>
      </c>
      <c r="W68" s="1091">
        <f t="shared" si="225"/>
        <v>0.76827006604510995</v>
      </c>
      <c r="X68" s="1092">
        <f t="shared" si="225"/>
        <v>0.12645069473218948</v>
      </c>
      <c r="Y68" s="1092">
        <f t="shared" si="225"/>
        <v>0.10527923922270058</v>
      </c>
      <c r="Z68" s="1092">
        <f t="shared" si="225"/>
        <v>0</v>
      </c>
      <c r="AA68" s="1093">
        <f t="shared" si="225"/>
        <v>0</v>
      </c>
      <c r="AB68" s="1094">
        <f t="shared" ref="AB68:AE68" si="235">R68*$W68</f>
        <v>0</v>
      </c>
      <c r="AC68" s="1095">
        <f t="shared" si="235"/>
        <v>0</v>
      </c>
      <c r="AD68" s="1095">
        <f t="shared" si="235"/>
        <v>0</v>
      </c>
      <c r="AE68" s="1095">
        <f t="shared" si="235"/>
        <v>192.74185123351188</v>
      </c>
      <c r="AF68" s="1096">
        <f t="shared" ref="AF68" si="236">SUM(AB68:AE68)</f>
        <v>192.74185123351188</v>
      </c>
      <c r="AG68" s="1094">
        <f t="shared" ref="AG68:AK68" si="237">R68*$X68</f>
        <v>0</v>
      </c>
      <c r="AH68" s="1095">
        <f t="shared" si="237"/>
        <v>0</v>
      </c>
      <c r="AI68" s="1095">
        <f t="shared" si="237"/>
        <v>0</v>
      </c>
      <c r="AJ68" s="1095">
        <f t="shared" si="237"/>
        <v>31.723663422043096</v>
      </c>
      <c r="AK68" s="1096">
        <f t="shared" si="237"/>
        <v>31.723663422043096</v>
      </c>
      <c r="AL68" s="1095">
        <f t="shared" ref="AL68:AO68" si="238">R68*$Y68</f>
        <v>0</v>
      </c>
      <c r="AM68" s="1095">
        <f t="shared" si="238"/>
        <v>0</v>
      </c>
      <c r="AN68" s="1095">
        <f t="shared" si="238"/>
        <v>0</v>
      </c>
      <c r="AO68" s="1095">
        <f t="shared" si="238"/>
        <v>26.41221669444506</v>
      </c>
      <c r="AP68" s="1097">
        <f t="shared" ref="AP68" si="239">SUM(AL68:AO68)</f>
        <v>26.41221669444506</v>
      </c>
      <c r="AQ68" s="1094">
        <f t="shared" ref="AQ68:AT68" si="240">R68*$Z68</f>
        <v>0</v>
      </c>
      <c r="AR68" s="1095">
        <f t="shared" si="240"/>
        <v>0</v>
      </c>
      <c r="AS68" s="1095">
        <f t="shared" si="240"/>
        <v>0</v>
      </c>
      <c r="AT68" s="1095">
        <f t="shared" si="240"/>
        <v>0</v>
      </c>
      <c r="AU68" s="1098">
        <f t="shared" ref="AU68" si="241">SUM(AQ68:AT68)</f>
        <v>0</v>
      </c>
      <c r="AV68" s="1094">
        <f t="shared" ref="AV68:AY68" si="242">R68*$AA68</f>
        <v>0</v>
      </c>
      <c r="AW68" s="1095">
        <f t="shared" si="242"/>
        <v>0</v>
      </c>
      <c r="AX68" s="1095">
        <f t="shared" si="242"/>
        <v>0</v>
      </c>
      <c r="AY68" s="1095">
        <f t="shared" si="242"/>
        <v>0</v>
      </c>
      <c r="AZ68" s="1098">
        <f t="shared" ref="AZ68" si="243">SUM(AV68:AY68)</f>
        <v>0</v>
      </c>
      <c r="BA68" s="1099">
        <f t="shared" ref="BA68" si="244">SUM($V68*W68)</f>
        <v>192.74185123351188</v>
      </c>
      <c r="BB68" s="1105">
        <f t="shared" ref="BB68:BE68" si="245">SUM($V68*X68)</f>
        <v>31.723663422043096</v>
      </c>
      <c r="BC68" s="1105">
        <f t="shared" si="245"/>
        <v>26.41221669444506</v>
      </c>
      <c r="BD68" s="1105">
        <f t="shared" si="245"/>
        <v>0</v>
      </c>
      <c r="BE68" s="1104">
        <f t="shared" si="245"/>
        <v>0</v>
      </c>
      <c r="BF68" s="61"/>
      <c r="BG68" s="1048" t="s">
        <v>181</v>
      </c>
      <c r="BH68" s="1048" t="s">
        <v>181</v>
      </c>
      <c r="BI68" s="1048" t="str">
        <f>IFERROR(INDEX('[14]Annex 2_Code'!$J$110:$J$127,MATCH('Annex 5_MRD'!BG68,'[14]Annex 2_Code'!$G$110:$G$127,0)),"")</f>
        <v>MRD</v>
      </c>
      <c r="BJ68" s="1084" t="str">
        <f t="shared" si="223"/>
        <v>MRD</v>
      </c>
      <c r="BK68" s="1067"/>
    </row>
    <row r="69" spans="1:63" s="217" customFormat="1" ht="20.25" customHeight="1">
      <c r="A69" s="1070"/>
      <c r="B69" s="1106"/>
      <c r="C69" s="1107"/>
      <c r="D69" s="1108"/>
      <c r="E69" s="1109" t="s">
        <v>36</v>
      </c>
      <c r="F69" s="1110"/>
      <c r="G69" s="1111"/>
      <c r="H69" s="1112"/>
      <c r="I69" s="1112"/>
      <c r="J69" s="1112"/>
      <c r="K69" s="1113"/>
      <c r="L69" s="1114"/>
      <c r="M69" s="1136"/>
      <c r="N69" s="1115"/>
      <c r="O69" s="1115"/>
      <c r="P69" s="1117"/>
      <c r="Q69" s="1118"/>
      <c r="R69" s="1119">
        <f>SUM(R67:R68)</f>
        <v>0</v>
      </c>
      <c r="S69" s="1119">
        <f>SUM(S67:S68)</f>
        <v>0</v>
      </c>
      <c r="T69" s="1119">
        <f>SUM(T67:T68)</f>
        <v>0</v>
      </c>
      <c r="U69" s="1119">
        <f>SUM(U67:U68)</f>
        <v>250.87773135000003</v>
      </c>
      <c r="V69" s="2525">
        <f>SUM(V67:V68)</f>
        <v>250.87773135000003</v>
      </c>
      <c r="W69" s="1091">
        <f t="shared" si="225"/>
        <v>0.76827006604510995</v>
      </c>
      <c r="X69" s="1092">
        <f t="shared" si="225"/>
        <v>0.12645069473218948</v>
      </c>
      <c r="Y69" s="1092">
        <f t="shared" si="225"/>
        <v>0.10527923922270058</v>
      </c>
      <c r="Z69" s="1092">
        <f t="shared" si="225"/>
        <v>0</v>
      </c>
      <c r="AA69" s="1093">
        <f t="shared" si="225"/>
        <v>0</v>
      </c>
      <c r="AB69" s="1121">
        <f>SUM(AB68)</f>
        <v>0</v>
      </c>
      <c r="AC69" s="1119">
        <f>SUM(AC68)</f>
        <v>0</v>
      </c>
      <c r="AD69" s="1119">
        <f>SUM(AD68)</f>
        <v>0</v>
      </c>
      <c r="AE69" s="1119">
        <f>SUM(AE68)</f>
        <v>192.74185123351188</v>
      </c>
      <c r="AF69" s="1122">
        <f>SUM(AB69:AE69)</f>
        <v>192.74185123351188</v>
      </c>
      <c r="AG69" s="1121">
        <f t="shared" ref="AG69:AP69" si="246">SUM(AG67:AG68)</f>
        <v>0</v>
      </c>
      <c r="AH69" s="1119">
        <f t="shared" si="246"/>
        <v>0</v>
      </c>
      <c r="AI69" s="1119">
        <f t="shared" si="246"/>
        <v>0</v>
      </c>
      <c r="AJ69" s="1119">
        <f t="shared" si="246"/>
        <v>31.723663422043096</v>
      </c>
      <c r="AK69" s="1122">
        <f t="shared" si="246"/>
        <v>31.723663422043096</v>
      </c>
      <c r="AL69" s="1121">
        <f t="shared" si="246"/>
        <v>0</v>
      </c>
      <c r="AM69" s="1119">
        <f t="shared" si="246"/>
        <v>0</v>
      </c>
      <c r="AN69" s="1119">
        <f t="shared" si="246"/>
        <v>0</v>
      </c>
      <c r="AO69" s="1119">
        <f t="shared" si="246"/>
        <v>26.41221669444506</v>
      </c>
      <c r="AP69" s="1122">
        <f t="shared" si="246"/>
        <v>26.41221669444506</v>
      </c>
      <c r="AQ69" s="1121"/>
      <c r="AR69" s="1119"/>
      <c r="AS69" s="1119"/>
      <c r="AT69" s="1119"/>
      <c r="AU69" s="1123"/>
      <c r="AV69" s="1124"/>
      <c r="AW69" s="1125"/>
      <c r="AX69" s="1125"/>
      <c r="AY69" s="1125"/>
      <c r="AZ69" s="1123"/>
      <c r="BA69" s="1126">
        <f>SUM(BA68:BA68)</f>
        <v>192.74185123351188</v>
      </c>
      <c r="BB69" s="1127">
        <f>SUM(BB68:BB68)</f>
        <v>31.723663422043096</v>
      </c>
      <c r="BC69" s="1127">
        <f>SUM(BC68:BC68)</f>
        <v>26.41221669444506</v>
      </c>
      <c r="BD69" s="1127">
        <f>SUM(BD68:BD68)</f>
        <v>0</v>
      </c>
      <c r="BE69" s="1120">
        <f>BE68</f>
        <v>0</v>
      </c>
      <c r="BF69" s="61"/>
      <c r="BG69" s="1048"/>
      <c r="BH69" s="1048"/>
      <c r="BI69" s="1048">
        <f>IFERROR(INDEX('[14]Annex 2_Code'!$J$110:$J$127,MATCH('Annex 5_MRD'!BG69,'[14]Annex 2_Code'!$G$110:$G$127,0)),"")</f>
        <v>0</v>
      </c>
      <c r="BJ69" s="1084" t="str">
        <f t="shared" si="223"/>
        <v>0</v>
      </c>
      <c r="BK69" s="1067"/>
    </row>
    <row r="70" spans="1:63" s="2071" customFormat="1" ht="20.25" customHeight="1">
      <c r="A70" s="2066"/>
      <c r="B70" s="2067"/>
      <c r="C70" s="2068"/>
      <c r="D70" s="2115"/>
      <c r="E70" s="2069"/>
      <c r="F70" s="2070"/>
      <c r="G70" s="2102"/>
      <c r="H70" s="2116"/>
      <c r="I70" s="2116"/>
      <c r="J70" s="2116"/>
      <c r="K70" s="2117"/>
      <c r="L70" s="2118"/>
      <c r="M70" s="2119"/>
      <c r="N70" s="2103"/>
      <c r="O70" s="2103"/>
      <c r="P70" s="2105"/>
      <c r="Q70" s="2120"/>
      <c r="R70" s="2079">
        <f>SUM(R69,R66)</f>
        <v>0</v>
      </c>
      <c r="S70" s="2079">
        <f t="shared" ref="S70:V70" si="247">SUM(S69,S66)</f>
        <v>0</v>
      </c>
      <c r="T70" s="2079">
        <f t="shared" si="247"/>
        <v>329.98199208300002</v>
      </c>
      <c r="U70" s="2079">
        <f t="shared" si="247"/>
        <v>580.859723433</v>
      </c>
      <c r="V70" s="2526">
        <f t="shared" si="247"/>
        <v>910.84171551600002</v>
      </c>
      <c r="W70" s="2121"/>
      <c r="X70" s="2080"/>
      <c r="Y70" s="2080"/>
      <c r="Z70" s="2080"/>
      <c r="AA70" s="2122"/>
      <c r="AB70" s="2081"/>
      <c r="AC70" s="2081"/>
      <c r="AD70" s="2081"/>
      <c r="AE70" s="2081"/>
      <c r="AF70" s="2081"/>
      <c r="AG70" s="2081"/>
      <c r="AH70" s="2081"/>
      <c r="AI70" s="2081"/>
      <c r="AJ70" s="2081"/>
      <c r="AK70" s="2081"/>
      <c r="AL70" s="2081"/>
      <c r="AM70" s="2081"/>
      <c r="AN70" s="2081"/>
      <c r="AO70" s="2081"/>
      <c r="AP70" s="2081"/>
      <c r="AQ70" s="2081"/>
      <c r="AR70" s="2081"/>
      <c r="AS70" s="2081"/>
      <c r="AT70" s="2081"/>
      <c r="AU70" s="2072"/>
      <c r="AV70" s="2072"/>
      <c r="AW70" s="2072"/>
      <c r="AX70" s="2072"/>
      <c r="AY70" s="2072"/>
      <c r="AZ70" s="2072"/>
      <c r="BA70" s="2078"/>
      <c r="BB70" s="2078"/>
      <c r="BC70" s="2078"/>
      <c r="BD70" s="2078"/>
      <c r="BE70" s="2078"/>
      <c r="BF70" s="2107"/>
      <c r="BG70" s="2123"/>
      <c r="BH70" s="2123"/>
      <c r="BI70" s="2123"/>
      <c r="BJ70" s="2124"/>
      <c r="BK70" s="2085"/>
    </row>
    <row r="71" spans="1:63">
      <c r="A71" s="1070"/>
      <c r="B71" s="57"/>
      <c r="C71" s="58"/>
      <c r="D71" s="1066" t="s">
        <v>721</v>
      </c>
      <c r="E71" s="1067"/>
      <c r="F71" s="1010"/>
      <c r="G71" s="217"/>
      <c r="H71" s="1173"/>
      <c r="I71" s="1173"/>
      <c r="J71" s="1173"/>
      <c r="K71" s="1137"/>
      <c r="L71" s="1130"/>
      <c r="M71" s="1174"/>
      <c r="N71" s="1175"/>
      <c r="O71" s="1176"/>
      <c r="P71" s="1177"/>
      <c r="Q71" s="182"/>
      <c r="R71" s="1089">
        <f>SUM(R14,R17,R20,R23,R26,R29,R32,R35,R40,R43,R46,R49,R52,R55,R58,R61,R66,R69)</f>
        <v>4125.0985066682497</v>
      </c>
      <c r="S71" s="1089">
        <f t="shared" ref="S71:U71" si="248">SUM(S14,S17,S20,S23,S26,S29,S32,S35,S40,S43,S46,S49,S52,S55,S58,S61,S66,S69)</f>
        <v>3684.3347095847021</v>
      </c>
      <c r="T71" s="1089">
        <f t="shared" si="248"/>
        <v>3010.4014467329998</v>
      </c>
      <c r="U71" s="1089">
        <f t="shared" si="248"/>
        <v>2122.465836333</v>
      </c>
      <c r="V71" s="2524">
        <f>SUM(V14,V17,V20,V23,V26,V29,V32,V35,V40,V43,V46,V49,V52,V55,V58,V61,V66,V69)</f>
        <v>12942.30049931895</v>
      </c>
      <c r="W71" s="1091"/>
      <c r="X71" s="1092"/>
      <c r="Y71" s="1092"/>
      <c r="Z71" s="1092"/>
      <c r="AA71" s="1093"/>
      <c r="AB71" s="1089">
        <f>SUM(AB14,AB17,AB20,AB23,AB26,AB29,AB32,AB35,AB40,AB43,AB46,AB49,AB52,AB55,AB58,AB61,AB66,AB69)</f>
        <v>3169.189702160601</v>
      </c>
      <c r="AC71" s="1089">
        <f t="shared" ref="AC71:AF71" si="249">SUM(AC14,AC17,AC20,AC23,AC26,AC29,AC32,AC35,AC40,AC43,AC46,AC49,AC52,AC55,AC58,AC61,AC66,AC69)</f>
        <v>2830.5640706649301</v>
      </c>
      <c r="AD71" s="1089">
        <f t="shared" si="249"/>
        <v>2312.8013183038561</v>
      </c>
      <c r="AE71" s="1089">
        <f t="shared" si="249"/>
        <v>1630.6269682580435</v>
      </c>
      <c r="AF71" s="1089">
        <f t="shared" si="249"/>
        <v>9943.182059387429</v>
      </c>
      <c r="AG71" s="1089">
        <f>SUM(AG14,AG17,AG20,AG23,AG26,AG29,AG32,AG35,AG40,AG43,AG46,AG49,AG52,AG55,AG58,AG61,AG66,AG69)</f>
        <v>521.62157200691763</v>
      </c>
      <c r="AH71" s="1089">
        <f t="shared" ref="AH71:AK71" si="250">SUM(AH14,AH17,AH20,AH23,AH26,AH29,AH32,AH35,AH40,AH43,AH46,AH49,AH52,AH55,AH58,AH61,AH66,AH69)</f>
        <v>465.88668365290528</v>
      </c>
      <c r="AI71" s="1089">
        <f t="shared" si="250"/>
        <v>380.66735436217613</v>
      </c>
      <c r="AJ71" s="1089">
        <f t="shared" si="250"/>
        <v>268.38727954964543</v>
      </c>
      <c r="AK71" s="1089">
        <f t="shared" si="250"/>
        <v>1636.5628895716441</v>
      </c>
      <c r="AL71" s="1089">
        <f>SUM(AL14,AL17,AL20,AL23,AL26,AL29,AL32,AL35,AL40,AL43,AL46,AL49,AL52,AL55,AL58,AL61,AL66,AL69)</f>
        <v>434.28723250073165</v>
      </c>
      <c r="AM71" s="1089">
        <f t="shared" ref="AM71:AP71" si="251">SUM(AM14,AM17,AM20,AM23,AM26,AM29,AM32,AM35,AM40,AM43,AM46,AM49,AM52,AM55,AM58,AM61,AM66,AM69)</f>
        <v>387.88395526686691</v>
      </c>
      <c r="AN71" s="1089">
        <f t="shared" si="251"/>
        <v>316.9327740669674</v>
      </c>
      <c r="AO71" s="1089">
        <f t="shared" si="251"/>
        <v>223.45158852531117</v>
      </c>
      <c r="AP71" s="1089">
        <f t="shared" si="251"/>
        <v>1362.5555503598773</v>
      </c>
      <c r="AQ71" s="1089">
        <f>SUM(AQ14,AQ17,AQ20,AQ23,AQ26,AQ29,AQ32,AQ35,AQ40,AQ43,AQ46,AQ49,AQ52,AQ55,AQ58,AQ61,AQ66,AQ69)</f>
        <v>0</v>
      </c>
      <c r="AR71" s="1089">
        <f t="shared" ref="AR71:AU71" si="252">SUM(AR14,AR17,AR20,AR23,AR26,AR29,AR32,AR35,AR40,AR43,AR46,AR49,AR52,AR55,AR58,AR61,AR66,AR69)</f>
        <v>0</v>
      </c>
      <c r="AS71" s="1089">
        <f t="shared" si="252"/>
        <v>0</v>
      </c>
      <c r="AT71" s="1089">
        <f t="shared" si="252"/>
        <v>0</v>
      </c>
      <c r="AU71" s="1089">
        <f t="shared" si="252"/>
        <v>0</v>
      </c>
      <c r="AV71" s="1089">
        <f>SUM(AV14,AV17,AV20,AV23,AV26,AV29,AV32,AV35,AV40,AV43,AV46,AV49,AV52,AV55,AV58,AV61,AV66,AV69)</f>
        <v>0</v>
      </c>
      <c r="AW71" s="1089">
        <f t="shared" ref="AW71:AZ71" si="253">SUM(AW14,AW17,AW20,AW23,AW26,AW29,AW32,AW35,AW40,AW43,AW46,AW49,AW52,AW55,AW58,AW61,AW66,AW69)</f>
        <v>0</v>
      </c>
      <c r="AX71" s="1089">
        <f t="shared" si="253"/>
        <v>0</v>
      </c>
      <c r="AY71" s="1089">
        <f t="shared" si="253"/>
        <v>0</v>
      </c>
      <c r="AZ71" s="1089">
        <f t="shared" si="253"/>
        <v>0</v>
      </c>
      <c r="BA71" s="1089">
        <f>SUM(BA14,BA17,BA20,BA23,BA26,BA29,BA32,BA35,BA40,BA43,BA46,BA49,BA52,BA55,BA58,BA61,BA66,BA69)</f>
        <v>9943.1820593874309</v>
      </c>
      <c r="BB71" s="1089">
        <f t="shared" ref="BB71:BE71" si="254">SUM(BB14,BB17,BB20,BB23,BB26,BB29,BB32,BB35,BB40,BB43,BB46,BB49,BB52,BB55,BB58,BB61,BB66,BB69)</f>
        <v>1636.5628895716441</v>
      </c>
      <c r="BC71" s="1089">
        <f t="shared" si="254"/>
        <v>1362.5555503598771</v>
      </c>
      <c r="BD71" s="1089">
        <f t="shared" si="254"/>
        <v>0</v>
      </c>
      <c r="BE71" s="1089">
        <f t="shared" si="254"/>
        <v>0</v>
      </c>
      <c r="BF71" s="61"/>
      <c r="BG71" s="1048"/>
      <c r="BH71" s="1048"/>
      <c r="BI71" s="1048"/>
      <c r="BJ71" s="1084"/>
      <c r="BK71" s="61"/>
    </row>
    <row r="72" spans="1:63">
      <c r="A72" s="1070"/>
      <c r="B72" s="1178"/>
      <c r="C72" s="1179"/>
      <c r="D72" s="1180" t="s">
        <v>722</v>
      </c>
      <c r="E72" s="1181"/>
      <c r="F72" s="1182"/>
      <c r="G72" s="1183"/>
      <c r="H72" s="1184"/>
      <c r="I72" s="1184"/>
      <c r="J72" s="1184"/>
      <c r="K72" s="1185"/>
      <c r="L72" s="1186"/>
      <c r="M72" s="1187"/>
      <c r="N72" s="1188"/>
      <c r="O72" s="1188"/>
      <c r="P72" s="1188"/>
      <c r="Q72" s="1189"/>
      <c r="R72" s="1190"/>
      <c r="S72" s="1190"/>
      <c r="T72" s="1190"/>
      <c r="U72" s="1190"/>
      <c r="V72" s="1191"/>
      <c r="W72" s="1192" t="str">
        <f>IFERROR(INDEX([13]Code!I$8:I$33,MATCH('[13]$MRD-Annex'!$BG118,[13]Code!$G$8:$G$33,0)),"")</f>
        <v/>
      </c>
      <c r="X72" s="1193" t="str">
        <f>IFERROR(INDEX([13]Code!J$8:J$33,MATCH('[13]$MRD-Annex'!$BG118,[13]Code!$G$8:$G$33,0)),"")</f>
        <v/>
      </c>
      <c r="Y72" s="1193" t="str">
        <f>IFERROR(INDEX([13]Code!K$8:K$33,MATCH('[13]$MRD-Annex'!$BG118,[13]Code!$G$8:$G$33,0)),"")</f>
        <v/>
      </c>
      <c r="Z72" s="1193" t="str">
        <f>IFERROR(INDEX([13]Code!L$8:L$33,MATCH('[13]$MRD-Annex'!$BG118,[13]Code!$G$8:$G$33,0)),"")</f>
        <v/>
      </c>
      <c r="AA72" s="1194" t="str">
        <f>IFERROR(INDEX([13]Code!M$8:M$33,MATCH('[13]$MRD-Annex'!$BG118,[13]Code!$G$8:$G$33,0)),"")</f>
        <v/>
      </c>
      <c r="AB72" s="1195"/>
      <c r="AC72" s="1196"/>
      <c r="AD72" s="1196"/>
      <c r="AE72" s="1196"/>
      <c r="AF72" s="1197"/>
      <c r="AG72" s="1198"/>
      <c r="AH72" s="1196"/>
      <c r="AI72" s="1196"/>
      <c r="AJ72" s="1196"/>
      <c r="AK72" s="1199"/>
      <c r="AL72" s="1196"/>
      <c r="AM72" s="1196"/>
      <c r="AN72" s="1196"/>
      <c r="AO72" s="1196"/>
      <c r="AP72" s="1196"/>
      <c r="AQ72" s="1198"/>
      <c r="AR72" s="1196"/>
      <c r="AS72" s="1196"/>
      <c r="AT72" s="1196"/>
      <c r="AU72" s="1199"/>
      <c r="AV72" s="1198"/>
      <c r="AW72" s="1196"/>
      <c r="AX72" s="1196"/>
      <c r="AY72" s="1196"/>
      <c r="AZ72" s="1199"/>
      <c r="BA72" s="1200"/>
      <c r="BB72" s="1196"/>
      <c r="BC72" s="1196"/>
      <c r="BD72" s="1196"/>
      <c r="BE72" s="1199"/>
      <c r="BF72" s="61"/>
      <c r="BG72" s="1048"/>
      <c r="BH72" s="1048"/>
      <c r="BI72" s="1048"/>
      <c r="BJ72" s="1084"/>
      <c r="BK72" s="61"/>
    </row>
    <row r="73" spans="1:63">
      <c r="A73" s="1070"/>
      <c r="B73" s="57"/>
      <c r="C73" s="58"/>
      <c r="D73" s="1081"/>
      <c r="E73" s="61" t="s">
        <v>723</v>
      </c>
      <c r="F73" s="1072"/>
      <c r="G73" s="1073"/>
      <c r="H73" s="315"/>
      <c r="I73" s="315"/>
      <c r="J73" s="315"/>
      <c r="K73" s="1074"/>
      <c r="L73" s="1201"/>
      <c r="M73" s="1170"/>
      <c r="N73" s="1075"/>
      <c r="O73" s="1075"/>
      <c r="P73" s="1075"/>
      <c r="Q73" s="1076"/>
      <c r="R73" s="561"/>
      <c r="S73" s="561"/>
      <c r="T73" s="561"/>
      <c r="U73" s="561"/>
      <c r="V73" s="1062"/>
      <c r="W73" s="1202">
        <f>IFERROR(INDEX([13]Code!I$8:I$33,MATCH('[13]$MRD-Annex'!$BG119,[13]Code!$G$8:$G$33,0)),"")</f>
        <v>0</v>
      </c>
      <c r="X73" s="1203"/>
      <c r="Y73" s="1203"/>
      <c r="Z73" s="1203"/>
      <c r="AA73" s="1204"/>
      <c r="AB73" s="1142">
        <f t="shared" ref="AB73:AE82" si="255">R73*$W73</f>
        <v>0</v>
      </c>
      <c r="AC73" s="1143">
        <f t="shared" si="255"/>
        <v>0</v>
      </c>
      <c r="AD73" s="1143">
        <f t="shared" si="255"/>
        <v>0</v>
      </c>
      <c r="AE73" s="1143">
        <f t="shared" si="255"/>
        <v>0</v>
      </c>
      <c r="AF73" s="1144">
        <f t="shared" ref="AF73:AF82" si="256">SUM(AB73:AE73)</f>
        <v>0</v>
      </c>
      <c r="AG73" s="1142">
        <f t="shared" ref="AG73:AK82" si="257">R73*$X73</f>
        <v>0</v>
      </c>
      <c r="AH73" s="1143">
        <f t="shared" si="257"/>
        <v>0</v>
      </c>
      <c r="AI73" s="1143">
        <f t="shared" si="257"/>
        <v>0</v>
      </c>
      <c r="AJ73" s="1143">
        <f t="shared" si="257"/>
        <v>0</v>
      </c>
      <c r="AK73" s="1144">
        <f t="shared" si="257"/>
        <v>0</v>
      </c>
      <c r="AL73" s="1143">
        <f t="shared" ref="AL73:AO82" si="258">R73*$Y73</f>
        <v>0</v>
      </c>
      <c r="AM73" s="1143">
        <f t="shared" si="258"/>
        <v>0</v>
      </c>
      <c r="AN73" s="1143">
        <f t="shared" si="258"/>
        <v>0</v>
      </c>
      <c r="AO73" s="1143">
        <f t="shared" si="258"/>
        <v>0</v>
      </c>
      <c r="AP73" s="1145">
        <f t="shared" ref="AP73:AP82" si="259">SUM(AL73:AO73)</f>
        <v>0</v>
      </c>
      <c r="AQ73" s="1142">
        <f t="shared" ref="AQ73:AT82" si="260">R73*$Z73</f>
        <v>0</v>
      </c>
      <c r="AR73" s="1143">
        <f t="shared" si="260"/>
        <v>0</v>
      </c>
      <c r="AS73" s="1143">
        <f t="shared" si="260"/>
        <v>0</v>
      </c>
      <c r="AT73" s="1143">
        <f t="shared" si="260"/>
        <v>0</v>
      </c>
      <c r="AU73" s="1205">
        <f t="shared" ref="AU73:AU82" si="261">SUM(AQ73:AT73)</f>
        <v>0</v>
      </c>
      <c r="AV73" s="1142">
        <f t="shared" ref="AV73:AY82" si="262">R73*$AA73</f>
        <v>0</v>
      </c>
      <c r="AW73" s="1143">
        <f t="shared" si="262"/>
        <v>0</v>
      </c>
      <c r="AX73" s="1143">
        <f t="shared" si="262"/>
        <v>0</v>
      </c>
      <c r="AY73" s="1143">
        <f t="shared" si="262"/>
        <v>0</v>
      </c>
      <c r="AZ73" s="1205">
        <f t="shared" ref="AZ73:AZ82" si="263">SUM(AV73:AY73)</f>
        <v>0</v>
      </c>
      <c r="BA73" s="1046"/>
      <c r="BB73" s="59"/>
      <c r="BC73" s="59"/>
      <c r="BD73" s="59"/>
      <c r="BE73" s="1082"/>
      <c r="BF73" s="61"/>
      <c r="BG73" s="1048"/>
      <c r="BH73" s="1048"/>
      <c r="BI73" s="1048"/>
      <c r="BJ73" s="1084"/>
      <c r="BK73" s="61"/>
    </row>
    <row r="74" spans="1:63">
      <c r="A74" s="1070"/>
      <c r="B74" s="57"/>
      <c r="C74" s="58"/>
      <c r="D74" s="1081"/>
      <c r="E74" s="1072" t="s">
        <v>724</v>
      </c>
      <c r="F74" s="60"/>
      <c r="G74" s="1073"/>
      <c r="H74" s="315"/>
      <c r="I74" s="315"/>
      <c r="J74" s="315"/>
      <c r="K74" s="1074"/>
      <c r="L74" s="1201"/>
      <c r="M74" s="1170"/>
      <c r="N74" s="1075"/>
      <c r="O74" s="1075"/>
      <c r="P74" s="1075"/>
      <c r="Q74" s="1076"/>
      <c r="R74" s="561"/>
      <c r="S74" s="561"/>
      <c r="T74" s="561"/>
      <c r="U74" s="561"/>
      <c r="V74" s="1062"/>
      <c r="W74" s="1202">
        <f>IFERROR(INDEX([13]Code!I$8:I$33,MATCH('[13]$MRD-Annex'!$BG120,[13]Code!$G$8:$G$33,0)),"")</f>
        <v>0</v>
      </c>
      <c r="X74" s="1203"/>
      <c r="Y74" s="1203"/>
      <c r="Z74" s="1203"/>
      <c r="AA74" s="1204"/>
      <c r="AB74" s="1142">
        <f t="shared" si="255"/>
        <v>0</v>
      </c>
      <c r="AC74" s="1143">
        <f t="shared" si="255"/>
        <v>0</v>
      </c>
      <c r="AD74" s="1143">
        <f t="shared" si="255"/>
        <v>0</v>
      </c>
      <c r="AE74" s="1143">
        <f t="shared" si="255"/>
        <v>0</v>
      </c>
      <c r="AF74" s="1144">
        <f t="shared" si="256"/>
        <v>0</v>
      </c>
      <c r="AG74" s="1142">
        <f t="shared" si="257"/>
        <v>0</v>
      </c>
      <c r="AH74" s="1143">
        <f t="shared" si="257"/>
        <v>0</v>
      </c>
      <c r="AI74" s="1143">
        <f t="shared" si="257"/>
        <v>0</v>
      </c>
      <c r="AJ74" s="1143">
        <f t="shared" si="257"/>
        <v>0</v>
      </c>
      <c r="AK74" s="1144">
        <f t="shared" si="257"/>
        <v>0</v>
      </c>
      <c r="AL74" s="1143">
        <f t="shared" si="258"/>
        <v>0</v>
      </c>
      <c r="AM74" s="1143">
        <f t="shared" si="258"/>
        <v>0</v>
      </c>
      <c r="AN74" s="1143">
        <f t="shared" si="258"/>
        <v>0</v>
      </c>
      <c r="AO74" s="1143">
        <f t="shared" si="258"/>
        <v>0</v>
      </c>
      <c r="AP74" s="1145">
        <f t="shared" si="259"/>
        <v>0</v>
      </c>
      <c r="AQ74" s="1142">
        <f t="shared" si="260"/>
        <v>0</v>
      </c>
      <c r="AR74" s="1143">
        <f t="shared" si="260"/>
        <v>0</v>
      </c>
      <c r="AS74" s="1143">
        <f t="shared" si="260"/>
        <v>0</v>
      </c>
      <c r="AT74" s="1143">
        <f t="shared" si="260"/>
        <v>0</v>
      </c>
      <c r="AU74" s="1205">
        <f t="shared" si="261"/>
        <v>0</v>
      </c>
      <c r="AV74" s="1142">
        <f t="shared" si="262"/>
        <v>0</v>
      </c>
      <c r="AW74" s="1143">
        <f t="shared" si="262"/>
        <v>0</v>
      </c>
      <c r="AX74" s="1143">
        <f t="shared" si="262"/>
        <v>0</v>
      </c>
      <c r="AY74" s="1143">
        <f t="shared" si="262"/>
        <v>0</v>
      </c>
      <c r="AZ74" s="1205">
        <f t="shared" si="263"/>
        <v>0</v>
      </c>
      <c r="BA74" s="1046"/>
      <c r="BB74" s="59"/>
      <c r="BC74" s="59"/>
      <c r="BD74" s="59"/>
      <c r="BE74" s="1082"/>
      <c r="BF74" s="61"/>
      <c r="BG74" s="557" t="s">
        <v>376</v>
      </c>
      <c r="BH74" s="557" t="s">
        <v>229</v>
      </c>
      <c r="BI74" s="1048" t="str">
        <f>IFERROR(INDEX('[14]Annex 2_Code'!$J$110:$J$127,MATCH('Annex 5_MRD'!BG74,'[14]Annex 2_Code'!$G$110:$G$127,0)),"")</f>
        <v>MRD</v>
      </c>
      <c r="BJ74" s="1084" t="str">
        <f t="shared" ref="BJ74:BJ82" si="264">IF(ISNUMBER(FIND("-",BI74,1))=FALSE,LEFT(BI74,LEN(BI74)),LEFT(BI74,(FIND("-",BI74,1))-1))</f>
        <v>MRD</v>
      </c>
      <c r="BK74" s="61" t="s">
        <v>25</v>
      </c>
    </row>
    <row r="75" spans="1:63">
      <c r="A75" s="1070"/>
      <c r="B75" s="531" t="s">
        <v>42</v>
      </c>
      <c r="C75" s="531" t="s">
        <v>42</v>
      </c>
      <c r="D75" s="1081"/>
      <c r="E75" s="61"/>
      <c r="F75" s="1206" t="s">
        <v>725</v>
      </c>
      <c r="G75" s="1206"/>
      <c r="H75" s="315" t="s">
        <v>55</v>
      </c>
      <c r="I75" s="315"/>
      <c r="J75" s="315"/>
      <c r="K75" s="1207">
        <v>0</v>
      </c>
      <c r="L75" s="2125">
        <f>K75/1000</f>
        <v>0</v>
      </c>
      <c r="M75" s="1170">
        <v>0</v>
      </c>
      <c r="N75" s="1075">
        <v>0</v>
      </c>
      <c r="O75" s="1075">
        <v>0</v>
      </c>
      <c r="P75" s="1075">
        <v>0</v>
      </c>
      <c r="Q75" s="1208">
        <f t="shared" ref="Q75:Q82" si="265">SUM(M75:P75)</f>
        <v>0</v>
      </c>
      <c r="R75" s="561">
        <f>K75*M75</f>
        <v>0</v>
      </c>
      <c r="S75" s="1209">
        <f>K75*N75</f>
        <v>0</v>
      </c>
      <c r="T75" s="1209">
        <f>K75*O75</f>
        <v>0</v>
      </c>
      <c r="U75" s="1209">
        <f>K75*P75</f>
        <v>0</v>
      </c>
      <c r="V75" s="1210">
        <f>SUM(R75:U75)</f>
        <v>0</v>
      </c>
      <c r="W75" s="558">
        <f>IFERROR(INDEX('[14]Annex 2_Code'!I$8:I$33,MATCH('Annex 5_MRD'!$BH75,'[14]Annex 2_Code'!$G$8:$G$33,0)),"")</f>
        <v>0</v>
      </c>
      <c r="X75" s="558">
        <f>IFERROR(INDEX('[14]Annex 2_Code'!J$8:J$33,MATCH('Annex 5_MRD'!$BH75,'[14]Annex 2_Code'!$G$8:$G$33,0)),"")</f>
        <v>0</v>
      </c>
      <c r="Y75" s="558">
        <f>IFERROR(INDEX('[14]Annex 2_Code'!K$8:K$33,MATCH('Annex 5_MRD'!$BH75,'[14]Annex 2_Code'!$G$8:$G$33,0)),"")</f>
        <v>0</v>
      </c>
      <c r="Z75" s="558">
        <f>IFERROR(INDEX('[14]Annex 2_Code'!L$8:L$33,MATCH('Annex 5_MRD'!$BH75,'[14]Annex 2_Code'!$G$8:$G$33,0)),"")</f>
        <v>1</v>
      </c>
      <c r="AA75" s="1211">
        <f>IFERROR(INDEX('[14]Annex 2_Code'!M$8:M$33,MATCH('Annex 5_MRD'!$BH75,'[14]Annex 2_Code'!$G$8:$G$33,0)),"")</f>
        <v>0</v>
      </c>
      <c r="AB75" s="1142">
        <f t="shared" si="255"/>
        <v>0</v>
      </c>
      <c r="AC75" s="1143">
        <f t="shared" si="255"/>
        <v>0</v>
      </c>
      <c r="AD75" s="1143">
        <f t="shared" si="255"/>
        <v>0</v>
      </c>
      <c r="AE75" s="1143">
        <f t="shared" si="255"/>
        <v>0</v>
      </c>
      <c r="AF75" s="1144">
        <f t="shared" si="256"/>
        <v>0</v>
      </c>
      <c r="AG75" s="1142">
        <f t="shared" si="257"/>
        <v>0</v>
      </c>
      <c r="AH75" s="1143">
        <f t="shared" si="257"/>
        <v>0</v>
      </c>
      <c r="AI75" s="1143">
        <f t="shared" si="257"/>
        <v>0</v>
      </c>
      <c r="AJ75" s="1143">
        <f t="shared" si="257"/>
        <v>0</v>
      </c>
      <c r="AK75" s="1144">
        <f t="shared" si="257"/>
        <v>0</v>
      </c>
      <c r="AL75" s="1143">
        <f t="shared" si="258"/>
        <v>0</v>
      </c>
      <c r="AM75" s="1143">
        <f t="shared" si="258"/>
        <v>0</v>
      </c>
      <c r="AN75" s="1143">
        <f t="shared" si="258"/>
        <v>0</v>
      </c>
      <c r="AO75" s="1143">
        <f t="shared" si="258"/>
        <v>0</v>
      </c>
      <c r="AP75" s="1145">
        <f t="shared" si="259"/>
        <v>0</v>
      </c>
      <c r="AQ75" s="1142">
        <f t="shared" si="260"/>
        <v>0</v>
      </c>
      <c r="AR75" s="1143">
        <f t="shared" si="260"/>
        <v>0</v>
      </c>
      <c r="AS75" s="1143">
        <f t="shared" si="260"/>
        <v>0</v>
      </c>
      <c r="AT75" s="1143">
        <f t="shared" si="260"/>
        <v>0</v>
      </c>
      <c r="AU75" s="1205">
        <f t="shared" si="261"/>
        <v>0</v>
      </c>
      <c r="AV75" s="1142">
        <f t="shared" si="262"/>
        <v>0</v>
      </c>
      <c r="AW75" s="1143">
        <f t="shared" si="262"/>
        <v>0</v>
      </c>
      <c r="AX75" s="1143">
        <f t="shared" si="262"/>
        <v>0</v>
      </c>
      <c r="AY75" s="1143">
        <f t="shared" si="262"/>
        <v>0</v>
      </c>
      <c r="AZ75" s="1205">
        <f t="shared" si="263"/>
        <v>0</v>
      </c>
      <c r="BA75" s="1146">
        <f t="shared" ref="BA75:BE82" si="266">SUM($V75*W75)</f>
        <v>0</v>
      </c>
      <c r="BB75" s="1212">
        <f t="shared" si="266"/>
        <v>0</v>
      </c>
      <c r="BC75" s="1212">
        <f t="shared" si="266"/>
        <v>0</v>
      </c>
      <c r="BD75" s="1212">
        <f t="shared" si="266"/>
        <v>0</v>
      </c>
      <c r="BE75" s="1210">
        <f t="shared" si="266"/>
        <v>0</v>
      </c>
      <c r="BF75" s="61"/>
      <c r="BG75" s="557" t="s">
        <v>376</v>
      </c>
      <c r="BH75" s="557" t="s">
        <v>229</v>
      </c>
      <c r="BI75" s="1048" t="str">
        <f>IFERROR(INDEX('[14]Annex 2_Code'!$J$110:$J$127,MATCH('Annex 5_MRD'!BG75,'[14]Annex 2_Code'!$G$110:$G$127,0)),"")</f>
        <v>MRD</v>
      </c>
      <c r="BJ75" s="1084" t="str">
        <f t="shared" si="264"/>
        <v>MRD</v>
      </c>
      <c r="BK75" s="61" t="s">
        <v>25</v>
      </c>
    </row>
    <row r="76" spans="1:63">
      <c r="A76" s="1070"/>
      <c r="B76" s="531" t="s">
        <v>42</v>
      </c>
      <c r="C76" s="1213" t="s">
        <v>42</v>
      </c>
      <c r="D76" s="1081"/>
      <c r="E76" s="61"/>
      <c r="F76" s="1206" t="s">
        <v>726</v>
      </c>
      <c r="G76" s="1206"/>
      <c r="H76" s="315" t="s">
        <v>55</v>
      </c>
      <c r="I76" s="315"/>
      <c r="J76" s="315"/>
      <c r="K76" s="1207">
        <v>0</v>
      </c>
      <c r="L76" s="2126">
        <f>K76/1000</f>
        <v>0</v>
      </c>
      <c r="M76" s="1170">
        <v>0</v>
      </c>
      <c r="N76" s="1075">
        <v>0</v>
      </c>
      <c r="O76" s="1075">
        <v>0</v>
      </c>
      <c r="P76" s="1075">
        <v>0</v>
      </c>
      <c r="Q76" s="1208">
        <f t="shared" si="265"/>
        <v>0</v>
      </c>
      <c r="R76" s="561">
        <f>M76*$K$76/1000</f>
        <v>0</v>
      </c>
      <c r="S76" s="561">
        <f>N76*$K$76/1000</f>
        <v>0</v>
      </c>
      <c r="T76" s="561">
        <f>O76*$K$76/1000</f>
        <v>0</v>
      </c>
      <c r="U76" s="561">
        <f>P76*$K$76/1000</f>
        <v>0</v>
      </c>
      <c r="V76" s="1210">
        <f t="shared" ref="V76:V80" si="267">SUM(R76:U76)</f>
        <v>0</v>
      </c>
      <c r="W76" s="558">
        <f>IFERROR(INDEX('[14]Annex 2_Code'!I$8:I$33,MATCH('Annex 5_MRD'!$BH76,'[14]Annex 2_Code'!$G$8:$G$33,0)),"")</f>
        <v>0</v>
      </c>
      <c r="X76" s="558">
        <f>IFERROR(INDEX('[14]Annex 2_Code'!J$8:J$33,MATCH('Annex 5_MRD'!$BH76,'[14]Annex 2_Code'!$G$8:$G$33,0)),"")</f>
        <v>0</v>
      </c>
      <c r="Y76" s="558">
        <f>IFERROR(INDEX('[14]Annex 2_Code'!K$8:K$33,MATCH('Annex 5_MRD'!$BH76,'[14]Annex 2_Code'!$G$8:$G$33,0)),"")</f>
        <v>0</v>
      </c>
      <c r="Z76" s="558">
        <f>IFERROR(INDEX('[14]Annex 2_Code'!L$8:L$33,MATCH('Annex 5_MRD'!$BH76,'[14]Annex 2_Code'!$G$8:$G$33,0)),"")</f>
        <v>1</v>
      </c>
      <c r="AA76" s="1211">
        <f>IFERROR(INDEX('[14]Annex 2_Code'!M$8:M$33,MATCH('Annex 5_MRD'!$BH76,'[14]Annex 2_Code'!$G$8:$G$33,0)),"")</f>
        <v>0</v>
      </c>
      <c r="AB76" s="1142">
        <f t="shared" si="255"/>
        <v>0</v>
      </c>
      <c r="AC76" s="1143">
        <f t="shared" si="255"/>
        <v>0</v>
      </c>
      <c r="AD76" s="1143">
        <f t="shared" si="255"/>
        <v>0</v>
      </c>
      <c r="AE76" s="1143">
        <f t="shared" si="255"/>
        <v>0</v>
      </c>
      <c r="AF76" s="1144">
        <f t="shared" si="256"/>
        <v>0</v>
      </c>
      <c r="AG76" s="1142">
        <f t="shared" si="257"/>
        <v>0</v>
      </c>
      <c r="AH76" s="1143">
        <f t="shared" si="257"/>
        <v>0</v>
      </c>
      <c r="AI76" s="1143">
        <f t="shared" si="257"/>
        <v>0</v>
      </c>
      <c r="AJ76" s="1143">
        <f t="shared" si="257"/>
        <v>0</v>
      </c>
      <c r="AK76" s="1144">
        <f t="shared" si="257"/>
        <v>0</v>
      </c>
      <c r="AL76" s="1143">
        <f t="shared" si="258"/>
        <v>0</v>
      </c>
      <c r="AM76" s="1143">
        <f t="shared" si="258"/>
        <v>0</v>
      </c>
      <c r="AN76" s="1143">
        <f t="shared" si="258"/>
        <v>0</v>
      </c>
      <c r="AO76" s="1143">
        <f t="shared" si="258"/>
        <v>0</v>
      </c>
      <c r="AP76" s="1145">
        <f t="shared" si="259"/>
        <v>0</v>
      </c>
      <c r="AQ76" s="1142">
        <f t="shared" si="260"/>
        <v>0</v>
      </c>
      <c r="AR76" s="1143">
        <f t="shared" si="260"/>
        <v>0</v>
      </c>
      <c r="AS76" s="1143">
        <f t="shared" si="260"/>
        <v>0</v>
      </c>
      <c r="AT76" s="1143">
        <f t="shared" si="260"/>
        <v>0</v>
      </c>
      <c r="AU76" s="1205">
        <f t="shared" si="261"/>
        <v>0</v>
      </c>
      <c r="AV76" s="1142">
        <f t="shared" si="262"/>
        <v>0</v>
      </c>
      <c r="AW76" s="1143">
        <f t="shared" si="262"/>
        <v>0</v>
      </c>
      <c r="AX76" s="1143">
        <f t="shared" si="262"/>
        <v>0</v>
      </c>
      <c r="AY76" s="1143">
        <f t="shared" si="262"/>
        <v>0</v>
      </c>
      <c r="AZ76" s="1205">
        <f t="shared" si="263"/>
        <v>0</v>
      </c>
      <c r="BA76" s="1146">
        <f t="shared" si="266"/>
        <v>0</v>
      </c>
      <c r="BB76" s="1212">
        <f t="shared" si="266"/>
        <v>0</v>
      </c>
      <c r="BC76" s="1212">
        <f t="shared" si="266"/>
        <v>0</v>
      </c>
      <c r="BD76" s="1212">
        <f t="shared" si="266"/>
        <v>0</v>
      </c>
      <c r="BE76" s="1210">
        <f t="shared" si="266"/>
        <v>0</v>
      </c>
      <c r="BF76" s="61"/>
      <c r="BG76" s="557" t="s">
        <v>376</v>
      </c>
      <c r="BH76" s="557" t="s">
        <v>229</v>
      </c>
      <c r="BI76" s="1048" t="str">
        <f>IFERROR(INDEX('[14]Annex 2_Code'!$J$110:$J$127,MATCH('Annex 5_MRD'!BG76,'[14]Annex 2_Code'!$G$110:$G$127,0)),"")</f>
        <v>MRD</v>
      </c>
      <c r="BJ76" s="1084" t="str">
        <f t="shared" si="264"/>
        <v>MRD</v>
      </c>
      <c r="BK76" s="61" t="s">
        <v>25</v>
      </c>
    </row>
    <row r="77" spans="1:63">
      <c r="A77" s="1070"/>
      <c r="B77" s="531" t="s">
        <v>42</v>
      </c>
      <c r="C77" s="1213" t="s">
        <v>42</v>
      </c>
      <c r="D77" s="1081"/>
      <c r="E77" s="61"/>
      <c r="F77" s="1206" t="s">
        <v>727</v>
      </c>
      <c r="G77" s="1206"/>
      <c r="H77" s="315" t="s">
        <v>55</v>
      </c>
      <c r="I77" s="315"/>
      <c r="J77" s="315"/>
      <c r="K77" s="1207">
        <f>180</f>
        <v>180</v>
      </c>
      <c r="L77" s="2126">
        <f t="shared" ref="L77:L82" si="268">K77/1000</f>
        <v>0.18</v>
      </c>
      <c r="M77" s="1170">
        <v>3</v>
      </c>
      <c r="N77" s="1075">
        <v>3</v>
      </c>
      <c r="O77" s="1075">
        <v>3</v>
      </c>
      <c r="P77" s="1075">
        <v>3</v>
      </c>
      <c r="Q77" s="1208">
        <f t="shared" si="265"/>
        <v>12</v>
      </c>
      <c r="R77" s="561">
        <f>M77*$K$77/1000</f>
        <v>0.54</v>
      </c>
      <c r="S77" s="561">
        <f>N77*$K$77/1000</f>
        <v>0.54</v>
      </c>
      <c r="T77" s="561">
        <f>O77*$K$77/1000</f>
        <v>0.54</v>
      </c>
      <c r="U77" s="561">
        <f>P77*$K$77/1000</f>
        <v>0.54</v>
      </c>
      <c r="V77" s="1210">
        <f t="shared" si="267"/>
        <v>2.16</v>
      </c>
      <c r="W77" s="558">
        <f>IFERROR(INDEX('[14]Annex 2_Code'!I$8:I$33,MATCH('Annex 5_MRD'!$BH77,'[14]Annex 2_Code'!$G$8:$G$33,0)),"")</f>
        <v>0</v>
      </c>
      <c r="X77" s="558">
        <f>IFERROR(INDEX('[14]Annex 2_Code'!J$8:J$33,MATCH('Annex 5_MRD'!$BH77,'[14]Annex 2_Code'!$G$8:$G$33,0)),"")</f>
        <v>0</v>
      </c>
      <c r="Y77" s="558">
        <f>IFERROR(INDEX('[14]Annex 2_Code'!K$8:K$33,MATCH('Annex 5_MRD'!$BH77,'[14]Annex 2_Code'!$G$8:$G$33,0)),"")</f>
        <v>0</v>
      </c>
      <c r="Z77" s="558">
        <f>IFERROR(INDEX('[14]Annex 2_Code'!L$8:L$33,MATCH('Annex 5_MRD'!$BH77,'[14]Annex 2_Code'!$G$8:$G$33,0)),"")</f>
        <v>1</v>
      </c>
      <c r="AA77" s="1211">
        <f>IFERROR(INDEX('[14]Annex 2_Code'!M$8:M$33,MATCH('Annex 5_MRD'!$BH77,'[14]Annex 2_Code'!$G$8:$G$33,0)),"")</f>
        <v>0</v>
      </c>
      <c r="AB77" s="1142">
        <f t="shared" si="255"/>
        <v>0</v>
      </c>
      <c r="AC77" s="1143">
        <f t="shared" si="255"/>
        <v>0</v>
      </c>
      <c r="AD77" s="1143">
        <f t="shared" si="255"/>
        <v>0</v>
      </c>
      <c r="AE77" s="1143">
        <f t="shared" si="255"/>
        <v>0</v>
      </c>
      <c r="AF77" s="1144">
        <f t="shared" si="256"/>
        <v>0</v>
      </c>
      <c r="AG77" s="1142">
        <f t="shared" si="257"/>
        <v>0</v>
      </c>
      <c r="AH77" s="1143">
        <f t="shared" si="257"/>
        <v>0</v>
      </c>
      <c r="AI77" s="1143">
        <f t="shared" si="257"/>
        <v>0</v>
      </c>
      <c r="AJ77" s="1143">
        <f t="shared" si="257"/>
        <v>0</v>
      </c>
      <c r="AK77" s="1144">
        <f t="shared" si="257"/>
        <v>0</v>
      </c>
      <c r="AL77" s="1143">
        <f t="shared" si="258"/>
        <v>0</v>
      </c>
      <c r="AM77" s="1143">
        <f t="shared" si="258"/>
        <v>0</v>
      </c>
      <c r="AN77" s="1143">
        <f t="shared" si="258"/>
        <v>0</v>
      </c>
      <c r="AO77" s="1143">
        <f t="shared" si="258"/>
        <v>0</v>
      </c>
      <c r="AP77" s="1145">
        <f t="shared" si="259"/>
        <v>0</v>
      </c>
      <c r="AQ77" s="1142">
        <f t="shared" si="260"/>
        <v>0.54</v>
      </c>
      <c r="AR77" s="1143">
        <f t="shared" si="260"/>
        <v>0.54</v>
      </c>
      <c r="AS77" s="1143">
        <f t="shared" si="260"/>
        <v>0.54</v>
      </c>
      <c r="AT77" s="1143">
        <f t="shared" si="260"/>
        <v>0.54</v>
      </c>
      <c r="AU77" s="1205">
        <f t="shared" si="261"/>
        <v>2.16</v>
      </c>
      <c r="AV77" s="1142">
        <f t="shared" si="262"/>
        <v>0</v>
      </c>
      <c r="AW77" s="1143">
        <f t="shared" si="262"/>
        <v>0</v>
      </c>
      <c r="AX77" s="1143">
        <f t="shared" si="262"/>
        <v>0</v>
      </c>
      <c r="AY77" s="1143">
        <f t="shared" si="262"/>
        <v>0</v>
      </c>
      <c r="AZ77" s="1205">
        <f t="shared" si="263"/>
        <v>0</v>
      </c>
      <c r="BA77" s="1146">
        <f t="shared" si="266"/>
        <v>0</v>
      </c>
      <c r="BB77" s="1212">
        <f t="shared" si="266"/>
        <v>0</v>
      </c>
      <c r="BC77" s="1212">
        <f t="shared" si="266"/>
        <v>0</v>
      </c>
      <c r="BD77" s="1212">
        <f t="shared" si="266"/>
        <v>2.16</v>
      </c>
      <c r="BE77" s="1210">
        <f t="shared" si="266"/>
        <v>0</v>
      </c>
      <c r="BF77" s="61"/>
      <c r="BG77" s="557" t="s">
        <v>376</v>
      </c>
      <c r="BH77" s="557" t="s">
        <v>229</v>
      </c>
      <c r="BI77" s="1048" t="str">
        <f>IFERROR(INDEX('[14]Annex 2_Code'!$J$110:$J$127,MATCH('Annex 5_MRD'!BG77,'[14]Annex 2_Code'!$G$110:$G$127,0)),"")</f>
        <v>MRD</v>
      </c>
      <c r="BJ77" s="1084" t="str">
        <f t="shared" si="264"/>
        <v>MRD</v>
      </c>
      <c r="BK77" s="61" t="s">
        <v>25</v>
      </c>
    </row>
    <row r="78" spans="1:63">
      <c r="A78" s="1070"/>
      <c r="B78" s="531" t="s">
        <v>42</v>
      </c>
      <c r="C78" s="1213" t="s">
        <v>42</v>
      </c>
      <c r="D78" s="1081"/>
      <c r="E78" s="61"/>
      <c r="F78" s="1206" t="s">
        <v>728</v>
      </c>
      <c r="G78" s="1206"/>
      <c r="H78" s="315" t="s">
        <v>55</v>
      </c>
      <c r="I78" s="315"/>
      <c r="J78" s="315"/>
      <c r="K78" s="1207">
        <f>180</f>
        <v>180</v>
      </c>
      <c r="L78" s="2126">
        <f t="shared" si="268"/>
        <v>0.18</v>
      </c>
      <c r="M78" s="1170">
        <v>3</v>
      </c>
      <c r="N78" s="1075">
        <v>3</v>
      </c>
      <c r="O78" s="1075">
        <v>3</v>
      </c>
      <c r="P78" s="1075">
        <v>3</v>
      </c>
      <c r="Q78" s="1208">
        <f t="shared" si="265"/>
        <v>12</v>
      </c>
      <c r="R78" s="561">
        <f>M78*$K$78/1000</f>
        <v>0.54</v>
      </c>
      <c r="S78" s="561">
        <f>N78*$K$78/1000</f>
        <v>0.54</v>
      </c>
      <c r="T78" s="561">
        <f>O78*$K$78/1000</f>
        <v>0.54</v>
      </c>
      <c r="U78" s="561">
        <f>P78*$K$78/1000</f>
        <v>0.54</v>
      </c>
      <c r="V78" s="1210">
        <f t="shared" si="267"/>
        <v>2.16</v>
      </c>
      <c r="W78" s="558">
        <f>IFERROR(INDEX('[14]Annex 2_Code'!I$8:I$33,MATCH('Annex 5_MRD'!$BH78,'[14]Annex 2_Code'!$G$8:$G$33,0)),"")</f>
        <v>0</v>
      </c>
      <c r="X78" s="558">
        <f>IFERROR(INDEX('[14]Annex 2_Code'!J$8:J$33,MATCH('Annex 5_MRD'!$BH78,'[14]Annex 2_Code'!$G$8:$G$33,0)),"")</f>
        <v>0</v>
      </c>
      <c r="Y78" s="558">
        <f>IFERROR(INDEX('[14]Annex 2_Code'!K$8:K$33,MATCH('Annex 5_MRD'!$BH78,'[14]Annex 2_Code'!$G$8:$G$33,0)),"")</f>
        <v>0</v>
      </c>
      <c r="Z78" s="558">
        <f>IFERROR(INDEX('[14]Annex 2_Code'!L$8:L$33,MATCH('Annex 5_MRD'!$BH78,'[14]Annex 2_Code'!$G$8:$G$33,0)),"")</f>
        <v>1</v>
      </c>
      <c r="AA78" s="1211">
        <f>IFERROR(INDEX('[14]Annex 2_Code'!M$8:M$33,MATCH('Annex 5_MRD'!$BH78,'[14]Annex 2_Code'!$G$8:$G$33,0)),"")</f>
        <v>0</v>
      </c>
      <c r="AB78" s="1142">
        <f t="shared" si="255"/>
        <v>0</v>
      </c>
      <c r="AC78" s="1143">
        <f t="shared" si="255"/>
        <v>0</v>
      </c>
      <c r="AD78" s="1143">
        <f t="shared" si="255"/>
        <v>0</v>
      </c>
      <c r="AE78" s="1143">
        <f t="shared" si="255"/>
        <v>0</v>
      </c>
      <c r="AF78" s="1144">
        <f t="shared" si="256"/>
        <v>0</v>
      </c>
      <c r="AG78" s="1142">
        <f t="shared" si="257"/>
        <v>0</v>
      </c>
      <c r="AH78" s="1143">
        <f t="shared" si="257"/>
        <v>0</v>
      </c>
      <c r="AI78" s="1143">
        <f t="shared" si="257"/>
        <v>0</v>
      </c>
      <c r="AJ78" s="1143">
        <f t="shared" si="257"/>
        <v>0</v>
      </c>
      <c r="AK78" s="1144">
        <f t="shared" si="257"/>
        <v>0</v>
      </c>
      <c r="AL78" s="1143">
        <f t="shared" si="258"/>
        <v>0</v>
      </c>
      <c r="AM78" s="1143">
        <f t="shared" si="258"/>
        <v>0</v>
      </c>
      <c r="AN78" s="1143">
        <f t="shared" si="258"/>
        <v>0</v>
      </c>
      <c r="AO78" s="1143">
        <f t="shared" si="258"/>
        <v>0</v>
      </c>
      <c r="AP78" s="1145">
        <f t="shared" si="259"/>
        <v>0</v>
      </c>
      <c r="AQ78" s="1142">
        <f t="shared" si="260"/>
        <v>0.54</v>
      </c>
      <c r="AR78" s="1143">
        <f t="shared" si="260"/>
        <v>0.54</v>
      </c>
      <c r="AS78" s="1143">
        <f t="shared" si="260"/>
        <v>0.54</v>
      </c>
      <c r="AT78" s="1143">
        <f t="shared" si="260"/>
        <v>0.54</v>
      </c>
      <c r="AU78" s="1205">
        <f t="shared" si="261"/>
        <v>2.16</v>
      </c>
      <c r="AV78" s="1142">
        <f t="shared" si="262"/>
        <v>0</v>
      </c>
      <c r="AW78" s="1143">
        <f t="shared" si="262"/>
        <v>0</v>
      </c>
      <c r="AX78" s="1143">
        <f t="shared" si="262"/>
        <v>0</v>
      </c>
      <c r="AY78" s="1143">
        <f t="shared" si="262"/>
        <v>0</v>
      </c>
      <c r="AZ78" s="1205">
        <f t="shared" si="263"/>
        <v>0</v>
      </c>
      <c r="BA78" s="1146">
        <f t="shared" si="266"/>
        <v>0</v>
      </c>
      <c r="BB78" s="1212">
        <f t="shared" si="266"/>
        <v>0</v>
      </c>
      <c r="BC78" s="1212">
        <f t="shared" si="266"/>
        <v>0</v>
      </c>
      <c r="BD78" s="1212">
        <f t="shared" si="266"/>
        <v>2.16</v>
      </c>
      <c r="BE78" s="1210">
        <f t="shared" si="266"/>
        <v>0</v>
      </c>
      <c r="BF78" s="61"/>
      <c r="BG78" s="557" t="s">
        <v>376</v>
      </c>
      <c r="BH78" s="557" t="s">
        <v>229</v>
      </c>
      <c r="BI78" s="1048" t="str">
        <f>IFERROR(INDEX('[14]Annex 2_Code'!$J$110:$J$127,MATCH('Annex 5_MRD'!BG78,'[14]Annex 2_Code'!$G$110:$G$127,0)),"")</f>
        <v>MRD</v>
      </c>
      <c r="BJ78" s="1084" t="str">
        <f t="shared" si="264"/>
        <v>MRD</v>
      </c>
      <c r="BK78" s="61" t="s">
        <v>25</v>
      </c>
    </row>
    <row r="79" spans="1:63">
      <c r="A79" s="1070"/>
      <c r="B79" s="531" t="s">
        <v>42</v>
      </c>
      <c r="C79" s="1213" t="s">
        <v>42</v>
      </c>
      <c r="D79" s="1081"/>
      <c r="E79" s="61"/>
      <c r="F79" s="1206" t="s">
        <v>729</v>
      </c>
      <c r="G79" s="1206"/>
      <c r="H79" s="315" t="s">
        <v>55</v>
      </c>
      <c r="I79" s="315"/>
      <c r="J79" s="315"/>
      <c r="K79" s="1207">
        <f>180</f>
        <v>180</v>
      </c>
      <c r="L79" s="2126">
        <f t="shared" si="268"/>
        <v>0.18</v>
      </c>
      <c r="M79" s="1170">
        <v>3</v>
      </c>
      <c r="N79" s="1075">
        <v>3</v>
      </c>
      <c r="O79" s="1075">
        <v>3</v>
      </c>
      <c r="P79" s="1075">
        <v>3</v>
      </c>
      <c r="Q79" s="1208">
        <f t="shared" si="265"/>
        <v>12</v>
      </c>
      <c r="R79" s="561">
        <f>M79*$K$79/1000</f>
        <v>0.54</v>
      </c>
      <c r="S79" s="561">
        <f>N79*$K$79/1000</f>
        <v>0.54</v>
      </c>
      <c r="T79" s="561">
        <f>O79*$K$79/1000</f>
        <v>0.54</v>
      </c>
      <c r="U79" s="561">
        <f>P79*$K$79/1000</f>
        <v>0.54</v>
      </c>
      <c r="V79" s="1210">
        <f t="shared" si="267"/>
        <v>2.16</v>
      </c>
      <c r="W79" s="558">
        <f>IFERROR(INDEX('[14]Annex 2_Code'!I$8:I$33,MATCH('Annex 5_MRD'!$BH79,'[14]Annex 2_Code'!$G$8:$G$33,0)),"")</f>
        <v>0</v>
      </c>
      <c r="X79" s="558">
        <f>IFERROR(INDEX('[14]Annex 2_Code'!J$8:J$33,MATCH('Annex 5_MRD'!$BH79,'[14]Annex 2_Code'!$G$8:$G$33,0)),"")</f>
        <v>0</v>
      </c>
      <c r="Y79" s="558">
        <f>IFERROR(INDEX('[14]Annex 2_Code'!K$8:K$33,MATCH('Annex 5_MRD'!$BH79,'[14]Annex 2_Code'!$G$8:$G$33,0)),"")</f>
        <v>0</v>
      </c>
      <c r="Z79" s="558">
        <f>IFERROR(INDEX('[14]Annex 2_Code'!L$8:L$33,MATCH('Annex 5_MRD'!$BH79,'[14]Annex 2_Code'!$G$8:$G$33,0)),"")</f>
        <v>1</v>
      </c>
      <c r="AA79" s="1211">
        <f>IFERROR(INDEX('[14]Annex 2_Code'!M$8:M$33,MATCH('Annex 5_MRD'!$BH79,'[14]Annex 2_Code'!$G$8:$G$33,0)),"")</f>
        <v>0</v>
      </c>
      <c r="AB79" s="1142">
        <f t="shared" si="255"/>
        <v>0</v>
      </c>
      <c r="AC79" s="1143">
        <f t="shared" si="255"/>
        <v>0</v>
      </c>
      <c r="AD79" s="1143">
        <f t="shared" si="255"/>
        <v>0</v>
      </c>
      <c r="AE79" s="1143">
        <f t="shared" si="255"/>
        <v>0</v>
      </c>
      <c r="AF79" s="1144">
        <f t="shared" si="256"/>
        <v>0</v>
      </c>
      <c r="AG79" s="1142">
        <f t="shared" si="257"/>
        <v>0</v>
      </c>
      <c r="AH79" s="1143">
        <f t="shared" si="257"/>
        <v>0</v>
      </c>
      <c r="AI79" s="1143">
        <f t="shared" si="257"/>
        <v>0</v>
      </c>
      <c r="AJ79" s="1143">
        <f t="shared" si="257"/>
        <v>0</v>
      </c>
      <c r="AK79" s="1144">
        <f t="shared" si="257"/>
        <v>0</v>
      </c>
      <c r="AL79" s="1143">
        <f t="shared" si="258"/>
        <v>0</v>
      </c>
      <c r="AM79" s="1143">
        <f t="shared" si="258"/>
        <v>0</v>
      </c>
      <c r="AN79" s="1143">
        <f t="shared" si="258"/>
        <v>0</v>
      </c>
      <c r="AO79" s="1143">
        <f t="shared" si="258"/>
        <v>0</v>
      </c>
      <c r="AP79" s="1145">
        <f t="shared" si="259"/>
        <v>0</v>
      </c>
      <c r="AQ79" s="1142">
        <f t="shared" si="260"/>
        <v>0.54</v>
      </c>
      <c r="AR79" s="1143">
        <f t="shared" si="260"/>
        <v>0.54</v>
      </c>
      <c r="AS79" s="1143">
        <f t="shared" si="260"/>
        <v>0.54</v>
      </c>
      <c r="AT79" s="1143">
        <f t="shared" si="260"/>
        <v>0.54</v>
      </c>
      <c r="AU79" s="1205">
        <f t="shared" si="261"/>
        <v>2.16</v>
      </c>
      <c r="AV79" s="1142">
        <f t="shared" si="262"/>
        <v>0</v>
      </c>
      <c r="AW79" s="1143">
        <f t="shared" si="262"/>
        <v>0</v>
      </c>
      <c r="AX79" s="1143">
        <f t="shared" si="262"/>
        <v>0</v>
      </c>
      <c r="AY79" s="1143">
        <f t="shared" si="262"/>
        <v>0</v>
      </c>
      <c r="AZ79" s="1205">
        <f t="shared" si="263"/>
        <v>0</v>
      </c>
      <c r="BA79" s="1146">
        <f t="shared" si="266"/>
        <v>0</v>
      </c>
      <c r="BB79" s="1212">
        <f t="shared" si="266"/>
        <v>0</v>
      </c>
      <c r="BC79" s="1212">
        <f t="shared" si="266"/>
        <v>0</v>
      </c>
      <c r="BD79" s="1212">
        <f t="shared" si="266"/>
        <v>2.16</v>
      </c>
      <c r="BE79" s="1210">
        <f t="shared" si="266"/>
        <v>0</v>
      </c>
      <c r="BF79" s="61"/>
      <c r="BG79" s="557" t="s">
        <v>376</v>
      </c>
      <c r="BH79" s="557" t="s">
        <v>229</v>
      </c>
      <c r="BI79" s="1048" t="str">
        <f>IFERROR(INDEX('[14]Annex 2_Code'!$J$110:$J$127,MATCH('Annex 5_MRD'!BG79,'[14]Annex 2_Code'!$G$110:$G$127,0)),"")</f>
        <v>MRD</v>
      </c>
      <c r="BJ79" s="1084" t="str">
        <f t="shared" si="264"/>
        <v>MRD</v>
      </c>
      <c r="BK79" s="61" t="s">
        <v>25</v>
      </c>
    </row>
    <row r="80" spans="1:63">
      <c r="A80" s="1070"/>
      <c r="B80" s="531" t="s">
        <v>42</v>
      </c>
      <c r="C80" s="1213" t="s">
        <v>42</v>
      </c>
      <c r="D80" s="1081"/>
      <c r="E80" s="59"/>
      <c r="F80" s="1206" t="s">
        <v>730</v>
      </c>
      <c r="G80" s="1214"/>
      <c r="H80" s="315" t="s">
        <v>55</v>
      </c>
      <c r="I80" s="315"/>
      <c r="J80" s="315"/>
      <c r="K80" s="1207">
        <v>0</v>
      </c>
      <c r="L80" s="2126">
        <f t="shared" si="268"/>
        <v>0</v>
      </c>
      <c r="M80" s="1170">
        <v>0</v>
      </c>
      <c r="N80" s="1075">
        <v>0</v>
      </c>
      <c r="O80" s="1075">
        <v>0</v>
      </c>
      <c r="P80" s="1075">
        <v>0</v>
      </c>
      <c r="Q80" s="1208">
        <f t="shared" si="265"/>
        <v>0</v>
      </c>
      <c r="R80" s="561">
        <f>M80*$K$80/1000</f>
        <v>0</v>
      </c>
      <c r="S80" s="561">
        <f t="shared" ref="S80:U80" si="269">N80*$K$80/1000</f>
        <v>0</v>
      </c>
      <c r="T80" s="561">
        <f t="shared" si="269"/>
        <v>0</v>
      </c>
      <c r="U80" s="561">
        <f t="shared" si="269"/>
        <v>0</v>
      </c>
      <c r="V80" s="1210">
        <f t="shared" si="267"/>
        <v>0</v>
      </c>
      <c r="W80" s="558">
        <f>IFERROR(INDEX('[14]Annex 2_Code'!I$8:I$33,MATCH('Annex 5_MRD'!$BH80,'[14]Annex 2_Code'!$G$8:$G$33,0)),"")</f>
        <v>0</v>
      </c>
      <c r="X80" s="558">
        <f>IFERROR(INDEX('[14]Annex 2_Code'!J$8:J$33,MATCH('Annex 5_MRD'!$BH80,'[14]Annex 2_Code'!$G$8:$G$33,0)),"")</f>
        <v>0</v>
      </c>
      <c r="Y80" s="558">
        <f>IFERROR(INDEX('[14]Annex 2_Code'!K$8:K$33,MATCH('Annex 5_MRD'!$BH80,'[14]Annex 2_Code'!$G$8:$G$33,0)),"")</f>
        <v>0</v>
      </c>
      <c r="Z80" s="558">
        <f>IFERROR(INDEX('[14]Annex 2_Code'!L$8:L$33,MATCH('Annex 5_MRD'!$BH80,'[14]Annex 2_Code'!$G$8:$G$33,0)),"")</f>
        <v>1</v>
      </c>
      <c r="AA80" s="1211">
        <f>IFERROR(INDEX('[14]Annex 2_Code'!M$8:M$33,MATCH('Annex 5_MRD'!$BH80,'[14]Annex 2_Code'!$G$8:$G$33,0)),"")</f>
        <v>0</v>
      </c>
      <c r="AB80" s="1142">
        <f t="shared" si="255"/>
        <v>0</v>
      </c>
      <c r="AC80" s="1143">
        <f t="shared" si="255"/>
        <v>0</v>
      </c>
      <c r="AD80" s="1143">
        <f t="shared" si="255"/>
        <v>0</v>
      </c>
      <c r="AE80" s="1143">
        <f t="shared" si="255"/>
        <v>0</v>
      </c>
      <c r="AF80" s="1144">
        <f t="shared" si="256"/>
        <v>0</v>
      </c>
      <c r="AG80" s="1142">
        <f t="shared" si="257"/>
        <v>0</v>
      </c>
      <c r="AH80" s="1143">
        <f t="shared" si="257"/>
        <v>0</v>
      </c>
      <c r="AI80" s="1143">
        <f t="shared" si="257"/>
        <v>0</v>
      </c>
      <c r="AJ80" s="1143">
        <f t="shared" si="257"/>
        <v>0</v>
      </c>
      <c r="AK80" s="1144">
        <f t="shared" si="257"/>
        <v>0</v>
      </c>
      <c r="AL80" s="1143">
        <f t="shared" si="258"/>
        <v>0</v>
      </c>
      <c r="AM80" s="1143">
        <f t="shared" si="258"/>
        <v>0</v>
      </c>
      <c r="AN80" s="1143">
        <f t="shared" si="258"/>
        <v>0</v>
      </c>
      <c r="AO80" s="1143">
        <f t="shared" si="258"/>
        <v>0</v>
      </c>
      <c r="AP80" s="1145">
        <f t="shared" si="259"/>
        <v>0</v>
      </c>
      <c r="AQ80" s="1142">
        <f t="shared" si="260"/>
        <v>0</v>
      </c>
      <c r="AR80" s="1143">
        <f t="shared" si="260"/>
        <v>0</v>
      </c>
      <c r="AS80" s="1143">
        <f t="shared" si="260"/>
        <v>0</v>
      </c>
      <c r="AT80" s="1143">
        <f t="shared" si="260"/>
        <v>0</v>
      </c>
      <c r="AU80" s="1205">
        <f t="shared" si="261"/>
        <v>0</v>
      </c>
      <c r="AV80" s="1142">
        <f t="shared" si="262"/>
        <v>0</v>
      </c>
      <c r="AW80" s="1143">
        <f t="shared" si="262"/>
        <v>0</v>
      </c>
      <c r="AX80" s="1143">
        <f t="shared" si="262"/>
        <v>0</v>
      </c>
      <c r="AY80" s="1143">
        <f t="shared" si="262"/>
        <v>0</v>
      </c>
      <c r="AZ80" s="1205">
        <f t="shared" si="263"/>
        <v>0</v>
      </c>
      <c r="BA80" s="1146">
        <f t="shared" si="266"/>
        <v>0</v>
      </c>
      <c r="BB80" s="1212">
        <f t="shared" si="266"/>
        <v>0</v>
      </c>
      <c r="BC80" s="1212">
        <f t="shared" si="266"/>
        <v>0</v>
      </c>
      <c r="BD80" s="1212">
        <f t="shared" si="266"/>
        <v>0</v>
      </c>
      <c r="BE80" s="1210">
        <f t="shared" si="266"/>
        <v>0</v>
      </c>
      <c r="BF80" s="61"/>
      <c r="BG80" s="557" t="s">
        <v>376</v>
      </c>
      <c r="BH80" s="557" t="s">
        <v>229</v>
      </c>
      <c r="BI80" s="1048" t="str">
        <f>IFERROR(INDEX('[14]Annex 2_Code'!$J$110:$J$127,MATCH('Annex 5_MRD'!BG80,'[14]Annex 2_Code'!$G$110:$G$127,0)),"")</f>
        <v>MRD</v>
      </c>
      <c r="BJ80" s="1084" t="str">
        <f t="shared" si="264"/>
        <v>MRD</v>
      </c>
      <c r="BK80" s="61" t="s">
        <v>25</v>
      </c>
    </row>
    <row r="81" spans="1:63">
      <c r="A81" s="1070"/>
      <c r="B81" s="531" t="s">
        <v>42</v>
      </c>
      <c r="C81" s="1213" t="s">
        <v>42</v>
      </c>
      <c r="D81" s="1081"/>
      <c r="E81" s="59"/>
      <c r="F81" s="1206" t="s">
        <v>967</v>
      </c>
      <c r="G81" s="1214"/>
      <c r="H81" s="315" t="s">
        <v>55</v>
      </c>
      <c r="I81" s="315"/>
      <c r="J81" s="315"/>
      <c r="K81" s="1207">
        <v>300</v>
      </c>
      <c r="L81" s="2126">
        <f t="shared" si="268"/>
        <v>0.3</v>
      </c>
      <c r="M81" s="1170">
        <v>3</v>
      </c>
      <c r="N81" s="1075">
        <v>3</v>
      </c>
      <c r="O81" s="1075">
        <v>3</v>
      </c>
      <c r="P81" s="1075">
        <v>3</v>
      </c>
      <c r="Q81" s="1208">
        <f t="shared" si="265"/>
        <v>12</v>
      </c>
      <c r="R81" s="561">
        <f>M81*$K$81/1000</f>
        <v>0.9</v>
      </c>
      <c r="S81" s="561">
        <f t="shared" ref="S81:U81" si="270">N81*$K$81/1000</f>
        <v>0.9</v>
      </c>
      <c r="T81" s="561">
        <f t="shared" si="270"/>
        <v>0.9</v>
      </c>
      <c r="U81" s="561">
        <f t="shared" si="270"/>
        <v>0.9</v>
      </c>
      <c r="V81" s="1210">
        <f>SUM(R81:U81)</f>
        <v>3.6</v>
      </c>
      <c r="W81" s="558">
        <f>IFERROR(INDEX('[14]Annex 2_Code'!I$8:I$33,MATCH('Annex 5_MRD'!$BH81,'[14]Annex 2_Code'!$G$8:$G$33,0)),"")</f>
        <v>0</v>
      </c>
      <c r="X81" s="558">
        <f>IFERROR(INDEX('[14]Annex 2_Code'!J$8:J$33,MATCH('Annex 5_MRD'!$BH81,'[14]Annex 2_Code'!$G$8:$G$33,0)),"")</f>
        <v>0</v>
      </c>
      <c r="Y81" s="558">
        <f>IFERROR(INDEX('[14]Annex 2_Code'!K$8:K$33,MATCH('Annex 5_MRD'!$BH81,'[14]Annex 2_Code'!$G$8:$G$33,0)),"")</f>
        <v>0</v>
      </c>
      <c r="Z81" s="558">
        <f>IFERROR(INDEX('[14]Annex 2_Code'!L$8:L$33,MATCH('Annex 5_MRD'!$BH81,'[14]Annex 2_Code'!$G$8:$G$33,0)),"")</f>
        <v>1</v>
      </c>
      <c r="AA81" s="1211">
        <f>IFERROR(INDEX('[14]Annex 2_Code'!M$8:M$33,MATCH('Annex 5_MRD'!$BH81,'[14]Annex 2_Code'!$G$8:$G$33,0)),"")</f>
        <v>0</v>
      </c>
      <c r="AB81" s="1142">
        <f t="shared" si="255"/>
        <v>0</v>
      </c>
      <c r="AC81" s="1143">
        <f t="shared" si="255"/>
        <v>0</v>
      </c>
      <c r="AD81" s="1143">
        <f t="shared" si="255"/>
        <v>0</v>
      </c>
      <c r="AE81" s="1143">
        <f t="shared" si="255"/>
        <v>0</v>
      </c>
      <c r="AF81" s="1144">
        <f t="shared" si="256"/>
        <v>0</v>
      </c>
      <c r="AG81" s="1142">
        <f t="shared" si="257"/>
        <v>0</v>
      </c>
      <c r="AH81" s="1143">
        <f t="shared" si="257"/>
        <v>0</v>
      </c>
      <c r="AI81" s="1143">
        <f t="shared" si="257"/>
        <v>0</v>
      </c>
      <c r="AJ81" s="1143">
        <f t="shared" si="257"/>
        <v>0</v>
      </c>
      <c r="AK81" s="1144">
        <f t="shared" si="257"/>
        <v>0</v>
      </c>
      <c r="AL81" s="1143">
        <f t="shared" si="258"/>
        <v>0</v>
      </c>
      <c r="AM81" s="1143">
        <f t="shared" si="258"/>
        <v>0</v>
      </c>
      <c r="AN81" s="1143">
        <f t="shared" si="258"/>
        <v>0</v>
      </c>
      <c r="AO81" s="1143">
        <f t="shared" si="258"/>
        <v>0</v>
      </c>
      <c r="AP81" s="1145">
        <f t="shared" si="259"/>
        <v>0</v>
      </c>
      <c r="AQ81" s="1142">
        <f t="shared" si="260"/>
        <v>0.9</v>
      </c>
      <c r="AR81" s="1143">
        <f t="shared" si="260"/>
        <v>0.9</v>
      </c>
      <c r="AS81" s="1143">
        <f t="shared" si="260"/>
        <v>0.9</v>
      </c>
      <c r="AT81" s="1143">
        <f t="shared" si="260"/>
        <v>0.9</v>
      </c>
      <c r="AU81" s="1205">
        <f t="shared" si="261"/>
        <v>3.6</v>
      </c>
      <c r="AV81" s="1142">
        <f t="shared" si="262"/>
        <v>0</v>
      </c>
      <c r="AW81" s="1143">
        <f t="shared" si="262"/>
        <v>0</v>
      </c>
      <c r="AX81" s="1143">
        <f t="shared" si="262"/>
        <v>0</v>
      </c>
      <c r="AY81" s="1143">
        <f t="shared" si="262"/>
        <v>0</v>
      </c>
      <c r="AZ81" s="1205">
        <f t="shared" si="263"/>
        <v>0</v>
      </c>
      <c r="BA81" s="1146">
        <f t="shared" si="266"/>
        <v>0</v>
      </c>
      <c r="BB81" s="1212">
        <f t="shared" si="266"/>
        <v>0</v>
      </c>
      <c r="BC81" s="1212">
        <f t="shared" si="266"/>
        <v>0</v>
      </c>
      <c r="BD81" s="1212">
        <f t="shared" si="266"/>
        <v>3.6</v>
      </c>
      <c r="BE81" s="1210">
        <f t="shared" si="266"/>
        <v>0</v>
      </c>
      <c r="BF81" s="61"/>
      <c r="BG81" s="557" t="s">
        <v>376</v>
      </c>
      <c r="BH81" s="557" t="s">
        <v>229</v>
      </c>
      <c r="BI81" s="1048" t="str">
        <f>IFERROR(INDEX('[14]Annex 2_Code'!$J$110:$J$127,MATCH('Annex 5_MRD'!BG81,'[14]Annex 2_Code'!$G$110:$G$127,0)),"")</f>
        <v>MRD</v>
      </c>
      <c r="BJ81" s="1084" t="str">
        <f t="shared" si="264"/>
        <v>MRD</v>
      </c>
      <c r="BK81" s="61" t="s">
        <v>25</v>
      </c>
    </row>
    <row r="82" spans="1:63">
      <c r="A82" s="1070"/>
      <c r="B82" s="531" t="s">
        <v>42</v>
      </c>
      <c r="C82" s="1213" t="s">
        <v>42</v>
      </c>
      <c r="D82" s="1081"/>
      <c r="E82" s="59"/>
      <c r="F82" s="1206" t="s">
        <v>731</v>
      </c>
      <c r="G82" s="1214"/>
      <c r="H82" s="315" t="s">
        <v>55</v>
      </c>
      <c r="I82" s="315"/>
      <c r="J82" s="315"/>
      <c r="K82" s="1207">
        <f>400</f>
        <v>400</v>
      </c>
      <c r="L82" s="2126">
        <f t="shared" si="268"/>
        <v>0.4</v>
      </c>
      <c r="M82" s="1170">
        <v>3</v>
      </c>
      <c r="N82" s="1075">
        <v>3</v>
      </c>
      <c r="O82" s="1075">
        <v>3</v>
      </c>
      <c r="P82" s="1075">
        <v>3</v>
      </c>
      <c r="Q82" s="1208">
        <f t="shared" si="265"/>
        <v>12</v>
      </c>
      <c r="R82" s="561">
        <f>M82*$K$82/1000</f>
        <v>1.2</v>
      </c>
      <c r="S82" s="561">
        <f>N82*$K$82/1000</f>
        <v>1.2</v>
      </c>
      <c r="T82" s="561">
        <f>O82*$K$82/1000</f>
        <v>1.2</v>
      </c>
      <c r="U82" s="561">
        <f>P82*$K$82/1000</f>
        <v>1.2</v>
      </c>
      <c r="V82" s="1210">
        <f>SUM(R82:U82)</f>
        <v>4.8</v>
      </c>
      <c r="W82" s="558">
        <f>IFERROR(INDEX('[14]Annex 2_Code'!I$8:I$33,MATCH('Annex 5_MRD'!$BH82,'[14]Annex 2_Code'!$G$8:$G$33,0)),"")</f>
        <v>0</v>
      </c>
      <c r="X82" s="558">
        <f>IFERROR(INDEX('[14]Annex 2_Code'!J$8:J$33,MATCH('Annex 5_MRD'!$BH82,'[14]Annex 2_Code'!$G$8:$G$33,0)),"")</f>
        <v>0</v>
      </c>
      <c r="Y82" s="558">
        <f>IFERROR(INDEX('[14]Annex 2_Code'!K$8:K$33,MATCH('Annex 5_MRD'!$BH82,'[14]Annex 2_Code'!$G$8:$G$33,0)),"")</f>
        <v>0</v>
      </c>
      <c r="Z82" s="558">
        <f>IFERROR(INDEX('[14]Annex 2_Code'!L$8:L$33,MATCH('Annex 5_MRD'!$BH82,'[14]Annex 2_Code'!$G$8:$G$33,0)),"")</f>
        <v>1</v>
      </c>
      <c r="AA82" s="1211">
        <f>IFERROR(INDEX('[14]Annex 2_Code'!M$8:M$33,MATCH('Annex 5_MRD'!$BH82,'[14]Annex 2_Code'!$G$8:$G$33,0)),"")</f>
        <v>0</v>
      </c>
      <c r="AB82" s="1142">
        <f t="shared" si="255"/>
        <v>0</v>
      </c>
      <c r="AC82" s="1143">
        <f t="shared" si="255"/>
        <v>0</v>
      </c>
      <c r="AD82" s="1143">
        <f t="shared" si="255"/>
        <v>0</v>
      </c>
      <c r="AE82" s="1143">
        <f t="shared" si="255"/>
        <v>0</v>
      </c>
      <c r="AF82" s="1144">
        <f t="shared" si="256"/>
        <v>0</v>
      </c>
      <c r="AG82" s="1142">
        <f t="shared" si="257"/>
        <v>0</v>
      </c>
      <c r="AH82" s="1143">
        <f t="shared" si="257"/>
        <v>0</v>
      </c>
      <c r="AI82" s="1143">
        <f t="shared" si="257"/>
        <v>0</v>
      </c>
      <c r="AJ82" s="1143">
        <f t="shared" si="257"/>
        <v>0</v>
      </c>
      <c r="AK82" s="1144">
        <f t="shared" si="257"/>
        <v>0</v>
      </c>
      <c r="AL82" s="1143">
        <f t="shared" si="258"/>
        <v>0</v>
      </c>
      <c r="AM82" s="1143">
        <f t="shared" si="258"/>
        <v>0</v>
      </c>
      <c r="AN82" s="1143">
        <f t="shared" si="258"/>
        <v>0</v>
      </c>
      <c r="AO82" s="1143">
        <f t="shared" si="258"/>
        <v>0</v>
      </c>
      <c r="AP82" s="1145">
        <f t="shared" si="259"/>
        <v>0</v>
      </c>
      <c r="AQ82" s="1142">
        <f t="shared" si="260"/>
        <v>1.2</v>
      </c>
      <c r="AR82" s="1143">
        <f t="shared" si="260"/>
        <v>1.2</v>
      </c>
      <c r="AS82" s="1143">
        <f t="shared" si="260"/>
        <v>1.2</v>
      </c>
      <c r="AT82" s="1143">
        <f t="shared" si="260"/>
        <v>1.2</v>
      </c>
      <c r="AU82" s="1205">
        <f t="shared" si="261"/>
        <v>4.8</v>
      </c>
      <c r="AV82" s="1142">
        <f t="shared" si="262"/>
        <v>0</v>
      </c>
      <c r="AW82" s="1143">
        <f t="shared" si="262"/>
        <v>0</v>
      </c>
      <c r="AX82" s="1143">
        <f t="shared" si="262"/>
        <v>0</v>
      </c>
      <c r="AY82" s="1143">
        <f t="shared" si="262"/>
        <v>0</v>
      </c>
      <c r="AZ82" s="1205">
        <f t="shared" si="263"/>
        <v>0</v>
      </c>
      <c r="BA82" s="1146">
        <f t="shared" si="266"/>
        <v>0</v>
      </c>
      <c r="BB82" s="1212">
        <f t="shared" si="266"/>
        <v>0</v>
      </c>
      <c r="BC82" s="1212">
        <f t="shared" si="266"/>
        <v>0</v>
      </c>
      <c r="BD82" s="1212">
        <f t="shared" si="266"/>
        <v>4.8</v>
      </c>
      <c r="BE82" s="1210">
        <f t="shared" si="266"/>
        <v>0</v>
      </c>
      <c r="BF82" s="61"/>
      <c r="BG82" s="557" t="s">
        <v>376</v>
      </c>
      <c r="BH82" s="557" t="s">
        <v>229</v>
      </c>
      <c r="BI82" s="1048" t="str">
        <f>IFERROR(INDEX('[14]Annex 2_Code'!$J$110:$J$127,MATCH('Annex 5_MRD'!BG82,'[14]Annex 2_Code'!$G$110:$G$127,0)),"")</f>
        <v>MRD</v>
      </c>
      <c r="BJ82" s="1084" t="str">
        <f t="shared" si="264"/>
        <v>MRD</v>
      </c>
      <c r="BK82" s="61" t="s">
        <v>25</v>
      </c>
    </row>
    <row r="83" spans="1:63">
      <c r="A83" s="1070"/>
      <c r="B83" s="1106"/>
      <c r="C83" s="1107"/>
      <c r="D83" s="1108"/>
      <c r="E83" s="1109" t="s">
        <v>36</v>
      </c>
      <c r="F83" s="1110"/>
      <c r="G83" s="1111"/>
      <c r="H83" s="1112"/>
      <c r="I83" s="1112"/>
      <c r="J83" s="1112"/>
      <c r="K83" s="1113"/>
      <c r="L83" s="1215"/>
      <c r="M83" s="1136"/>
      <c r="N83" s="1115"/>
      <c r="O83" s="1116"/>
      <c r="P83" s="1117"/>
      <c r="Q83" s="1118"/>
      <c r="R83" s="1216">
        <f>SUM(R75:R82)</f>
        <v>3.7199999999999998</v>
      </c>
      <c r="S83" s="1216">
        <f>SUM(S75:S82)</f>
        <v>3.7199999999999998</v>
      </c>
      <c r="T83" s="1216">
        <f>SUM(T75:T82)</f>
        <v>3.7199999999999998</v>
      </c>
      <c r="U83" s="1216">
        <f>SUM(U75:U82)</f>
        <v>3.7199999999999998</v>
      </c>
      <c r="V83" s="1118">
        <f>SUM(V75:V82)</f>
        <v>14.879999999999999</v>
      </c>
      <c r="W83" s="1217" t="str">
        <f>IFERROR(INDEX([13]Code!I$8:I$33,MATCH('[13]$MRD-Annex'!$BG128,[13]Code!$G$8:$G$33,0)),"")</f>
        <v/>
      </c>
      <c r="X83" s="1218" t="str">
        <f>IFERROR(INDEX([13]Code!J$8:J$33,MATCH('[13]$MRD-Annex'!$BG128,[13]Code!$G$8:$G$33,0)),"")</f>
        <v/>
      </c>
      <c r="Y83" s="1218" t="str">
        <f>IFERROR(INDEX([13]Code!K$8:K$33,MATCH('[13]$MRD-Annex'!$BG128,[13]Code!$G$8:$G$33,0)),"")</f>
        <v/>
      </c>
      <c r="Z83" s="1218" t="str">
        <f>IFERROR(INDEX([13]Code!L$8:L$33,MATCH('[13]$MRD-Annex'!$BG128,[13]Code!$G$8:$G$33,0)),"")</f>
        <v/>
      </c>
      <c r="AA83" s="1219" t="str">
        <f>IFERROR(INDEX([13]Code!M$8:M$33,MATCH('[13]$MRD-Annex'!$BG128,[13]Code!$G$8:$G$33,0)),"")</f>
        <v/>
      </c>
      <c r="AB83" s="1220">
        <f>SUM(AB75:AB82)</f>
        <v>0</v>
      </c>
      <c r="AC83" s="1221">
        <f>SUM(AC75:AC82)</f>
        <v>0</v>
      </c>
      <c r="AD83" s="1221">
        <f>SUM(AD75:AD82)</f>
        <v>0</v>
      </c>
      <c r="AE83" s="1221">
        <f>SUM(AE75:AE82)</f>
        <v>0</v>
      </c>
      <c r="AF83" s="1222">
        <f>SUM(AF75:AF82)</f>
        <v>0</v>
      </c>
      <c r="AG83" s="1220"/>
      <c r="AH83" s="1221"/>
      <c r="AI83" s="1221"/>
      <c r="AJ83" s="1221"/>
      <c r="AK83" s="1222"/>
      <c r="AL83" s="1221"/>
      <c r="AM83" s="1221"/>
      <c r="AN83" s="1221"/>
      <c r="AO83" s="1221"/>
      <c r="AP83" s="1223"/>
      <c r="AQ83" s="1220">
        <f>SUM(AQ75:AQ82)</f>
        <v>3.7199999999999998</v>
      </c>
      <c r="AR83" s="1221">
        <f>SUM(AR75:AR82)</f>
        <v>3.7199999999999998</v>
      </c>
      <c r="AS83" s="1221">
        <f>SUM(AS75:AS82)</f>
        <v>3.7199999999999998</v>
      </c>
      <c r="AT83" s="1221">
        <f>SUM(AT75:AT82)</f>
        <v>3.7199999999999998</v>
      </c>
      <c r="AU83" s="1222">
        <f>SUM(AU75:AU82)</f>
        <v>14.879999999999999</v>
      </c>
      <c r="AV83" s="1108"/>
      <c r="AW83" s="1109"/>
      <c r="AX83" s="1109"/>
      <c r="AY83" s="1109"/>
      <c r="AZ83" s="1224"/>
      <c r="BA83" s="1225">
        <f>SUM(BA75:BA82)</f>
        <v>0</v>
      </c>
      <c r="BB83" s="1223">
        <f>SUM(BB75:BB82)</f>
        <v>0</v>
      </c>
      <c r="BC83" s="1223">
        <f>SUM(BC75:BC82)</f>
        <v>0</v>
      </c>
      <c r="BD83" s="1223">
        <f>SUM(BD75:BD82)</f>
        <v>14.879999999999999</v>
      </c>
      <c r="BE83" s="1118">
        <f>SUM(BE75:BE79)</f>
        <v>0</v>
      </c>
      <c r="BF83" s="61"/>
      <c r="BG83" s="557"/>
      <c r="BH83" s="1048"/>
      <c r="BI83" s="1048"/>
      <c r="BJ83" s="1084"/>
      <c r="BK83" s="61"/>
    </row>
    <row r="84" spans="1:63">
      <c r="A84" s="1070"/>
      <c r="B84" s="57"/>
      <c r="C84" s="58"/>
      <c r="D84" s="1081"/>
      <c r="E84" s="61" t="s">
        <v>732</v>
      </c>
      <c r="F84" s="1226"/>
      <c r="G84" s="1226"/>
      <c r="H84" s="315"/>
      <c r="I84" s="315"/>
      <c r="J84" s="315"/>
      <c r="K84" s="1074"/>
      <c r="L84" s="1201"/>
      <c r="M84" s="1170"/>
      <c r="N84" s="1075"/>
      <c r="O84" s="1075"/>
      <c r="P84" s="1075"/>
      <c r="Q84" s="1076"/>
      <c r="R84" s="561"/>
      <c r="S84" s="561"/>
      <c r="T84" s="561"/>
      <c r="U84" s="561"/>
      <c r="V84" s="1062"/>
      <c r="W84" s="1202" t="str">
        <f>IFERROR(INDEX([13]Code!I$8:I$33,MATCH('[13]$MRD-Annex'!$BG148,[13]Code!$G$8:$G$33,0)),"")</f>
        <v/>
      </c>
      <c r="X84" s="1203" t="str">
        <f>IFERROR(INDEX([13]Code!J$8:J$33,MATCH('[13]$MRD-Annex'!$BG148,[13]Code!$G$8:$G$33,0)),"")</f>
        <v/>
      </c>
      <c r="Y84" s="1203" t="str">
        <f>IFERROR(INDEX([13]Code!K$8:K$33,MATCH('[13]$MRD-Annex'!$BG148,[13]Code!$G$8:$G$33,0)),"")</f>
        <v/>
      </c>
      <c r="Z84" s="1203" t="str">
        <f>IFERROR(INDEX([13]Code!L$8:L$33,MATCH('[13]$MRD-Annex'!$BG148,[13]Code!$G$8:$G$33,0)),"")</f>
        <v/>
      </c>
      <c r="AA84" s="1204" t="str">
        <f>IFERROR(INDEX([13]Code!M$8:M$33,MATCH('[13]$MRD-Annex'!$BG148,[13]Code!$G$8:$G$33,0)),"")</f>
        <v/>
      </c>
      <c r="AB84" s="1227"/>
      <c r="AC84" s="1228"/>
      <c r="AD84" s="1228"/>
      <c r="AE84" s="1228"/>
      <c r="AF84" s="1205"/>
      <c r="AG84" s="1081"/>
      <c r="AH84" s="59"/>
      <c r="AI84" s="59"/>
      <c r="AJ84" s="59"/>
      <c r="AK84" s="1082"/>
      <c r="AL84" s="59"/>
      <c r="AM84" s="59"/>
      <c r="AN84" s="59"/>
      <c r="AO84" s="59"/>
      <c r="AP84" s="59"/>
      <c r="AQ84" s="1081"/>
      <c r="AR84" s="59"/>
      <c r="AS84" s="59"/>
      <c r="AT84" s="59"/>
      <c r="AU84" s="1082"/>
      <c r="AV84" s="1081"/>
      <c r="AW84" s="59"/>
      <c r="AX84" s="59"/>
      <c r="AY84" s="59"/>
      <c r="AZ84" s="1082"/>
      <c r="BA84" s="1046"/>
      <c r="BB84" s="61"/>
      <c r="BC84" s="61"/>
      <c r="BD84" s="61"/>
      <c r="BE84" s="1047"/>
      <c r="BF84" s="61"/>
      <c r="BG84" s="557"/>
      <c r="BH84" s="1048"/>
      <c r="BI84" s="1048"/>
      <c r="BJ84" s="1084"/>
      <c r="BK84" s="61"/>
    </row>
    <row r="85" spans="1:63">
      <c r="A85" s="1070"/>
      <c r="B85" s="1229" t="s">
        <v>114</v>
      </c>
      <c r="C85" s="1230" t="s">
        <v>114</v>
      </c>
      <c r="D85" s="1231"/>
      <c r="E85" s="1232"/>
      <c r="F85" s="1540" t="s">
        <v>1332</v>
      </c>
      <c r="G85" s="1233"/>
      <c r="H85" s="1234" t="s">
        <v>55</v>
      </c>
      <c r="I85" s="1234"/>
      <c r="J85" s="1234"/>
      <c r="K85" s="1207">
        <f>450</f>
        <v>450</v>
      </c>
      <c r="L85" s="1235">
        <f>K85/$K$3</f>
        <v>0.45</v>
      </c>
      <c r="M85" s="1236">
        <f>3*3</f>
        <v>9</v>
      </c>
      <c r="N85" s="1237">
        <f>3*3</f>
        <v>9</v>
      </c>
      <c r="O85" s="1237">
        <f>3*3</f>
        <v>9</v>
      </c>
      <c r="P85" s="1237">
        <f>3*3</f>
        <v>9</v>
      </c>
      <c r="Q85" s="1238">
        <f t="shared" ref="Q85:Q88" si="271">SUM(M85:P85)</f>
        <v>36</v>
      </c>
      <c r="R85" s="1239">
        <f>M85*$K$85/1000</f>
        <v>4.05</v>
      </c>
      <c r="S85" s="1239">
        <f>N85*$K$85/1000</f>
        <v>4.05</v>
      </c>
      <c r="T85" s="1239">
        <f>O85*$K$85/1000</f>
        <v>4.05</v>
      </c>
      <c r="U85" s="1239">
        <f>P85*$K$85/1000</f>
        <v>4.05</v>
      </c>
      <c r="V85" s="1240">
        <f t="shared" ref="V85:V93" si="272">SUM(R85:U85)</f>
        <v>16.2</v>
      </c>
      <c r="W85" s="1241">
        <f>IFERROR(INDEX('[15]Annex 2'!I$8:I$33,MATCH('[15]Annex 5'!$BF54,'[15]Annex 2'!$G$8:$G$33,0)),"")</f>
        <v>1</v>
      </c>
      <c r="X85" s="1241">
        <f>IFERROR(INDEX('[15]Annex 2'!J$8:J$33,MATCH('[15]Annex 5'!$BF54,'[15]Annex 2'!$G$8:$G$33,0)),"")</f>
        <v>0</v>
      </c>
      <c r="Y85" s="1241">
        <f>IFERROR(INDEX('[15]Annex 2'!K$8:K$33,MATCH('[15]Annex 5'!$BF54,'[15]Annex 2'!$G$8:$G$33,0)),"")</f>
        <v>0</v>
      </c>
      <c r="Z85" s="1241">
        <f>IFERROR(INDEX('[15]Annex 2'!L$8:L$33,MATCH('[15]Annex 5'!$BF54,'[15]Annex 2'!$G$8:$G$33,0)),"")</f>
        <v>0</v>
      </c>
      <c r="AA85" s="1242">
        <f>IFERROR(INDEX('[15]Annex 2'!M$8:M$33,MATCH('[15]Annex 5'!$BF54,'[15]Annex 2'!$G$8:$G$33,0)),"")</f>
        <v>0</v>
      </c>
      <c r="AB85" s="1243">
        <f t="shared" ref="AB85:AE93" si="273">R85*$W85</f>
        <v>4.05</v>
      </c>
      <c r="AC85" s="1244">
        <f t="shared" si="273"/>
        <v>4.05</v>
      </c>
      <c r="AD85" s="1244">
        <f t="shared" si="273"/>
        <v>4.05</v>
      </c>
      <c r="AE85" s="1244">
        <f t="shared" si="273"/>
        <v>4.05</v>
      </c>
      <c r="AF85" s="1245">
        <f t="shared" ref="AF85:AF93" si="274">SUM(AB85:AE85)</f>
        <v>16.2</v>
      </c>
      <c r="AG85" s="1243">
        <f t="shared" ref="AG85:AK93" si="275">R85*$X85</f>
        <v>0</v>
      </c>
      <c r="AH85" s="1244">
        <f t="shared" si="275"/>
        <v>0</v>
      </c>
      <c r="AI85" s="1244">
        <f t="shared" si="275"/>
        <v>0</v>
      </c>
      <c r="AJ85" s="1244">
        <f t="shared" si="275"/>
        <v>0</v>
      </c>
      <c r="AK85" s="1245">
        <f t="shared" si="275"/>
        <v>0</v>
      </c>
      <c r="AL85" s="1244">
        <f t="shared" ref="AL85:AO93" si="276">R85*$Y85</f>
        <v>0</v>
      </c>
      <c r="AM85" s="1244">
        <f t="shared" si="276"/>
        <v>0</v>
      </c>
      <c r="AN85" s="1244">
        <f t="shared" si="276"/>
        <v>0</v>
      </c>
      <c r="AO85" s="1244">
        <f t="shared" si="276"/>
        <v>0</v>
      </c>
      <c r="AP85" s="1246">
        <f t="shared" ref="AP85:AP92" si="277">SUM(AL85:AO85)</f>
        <v>0</v>
      </c>
      <c r="AQ85" s="1243">
        <f t="shared" ref="AQ85:AT93" si="278">R85*$Z85</f>
        <v>0</v>
      </c>
      <c r="AR85" s="1244">
        <f t="shared" si="278"/>
        <v>0</v>
      </c>
      <c r="AS85" s="1244">
        <f t="shared" si="278"/>
        <v>0</v>
      </c>
      <c r="AT85" s="1244">
        <f t="shared" si="278"/>
        <v>0</v>
      </c>
      <c r="AU85" s="1247">
        <f t="shared" ref="AU85:AU92" si="279">SUM(AQ85:AT85)</f>
        <v>0</v>
      </c>
      <c r="AV85" s="1243">
        <f t="shared" ref="AV85:AY93" si="280">R85*$AA85</f>
        <v>0</v>
      </c>
      <c r="AW85" s="1244">
        <f t="shared" si="280"/>
        <v>0</v>
      </c>
      <c r="AX85" s="1244">
        <f t="shared" si="280"/>
        <v>0</v>
      </c>
      <c r="AY85" s="1244">
        <f t="shared" si="280"/>
        <v>0</v>
      </c>
      <c r="AZ85" s="1247">
        <f t="shared" ref="AZ85:AZ91" si="281">SUM(AV85:AY85)</f>
        <v>0</v>
      </c>
      <c r="BA85" s="1248">
        <f t="shared" ref="BA85:BE91" si="282">SUM($V85*W85)</f>
        <v>16.2</v>
      </c>
      <c r="BB85" s="1249">
        <f t="shared" si="282"/>
        <v>0</v>
      </c>
      <c r="BC85" s="1249">
        <f t="shared" si="282"/>
        <v>0</v>
      </c>
      <c r="BD85" s="1249">
        <f t="shared" si="282"/>
        <v>0</v>
      </c>
      <c r="BE85" s="1240">
        <f t="shared" si="282"/>
        <v>0</v>
      </c>
      <c r="BF85" s="63"/>
      <c r="BG85" s="1229" t="s">
        <v>376</v>
      </c>
      <c r="BH85" s="1229" t="s">
        <v>227</v>
      </c>
      <c r="BI85" s="1048" t="str">
        <f>IFERROR(INDEX('[14]Annex 2_Code'!$J$110:$J$127,MATCH('Annex 5_MRD'!BG85,'[14]Annex 2_Code'!$G$110:$G$127,0)),"")</f>
        <v>MRD</v>
      </c>
      <c r="BJ85" s="1084" t="str">
        <f t="shared" ref="BJ85:BJ93" si="283">IF(ISNUMBER(FIND("-",BI85,1))=FALSE,LEFT(BI85,LEN(BI85)),LEFT(BI85,(FIND("-",BI85,1))-1))</f>
        <v>MRD</v>
      </c>
      <c r="BK85" s="61" t="s">
        <v>451</v>
      </c>
    </row>
    <row r="86" spans="1:63">
      <c r="A86" s="1070"/>
      <c r="B86" s="1229" t="s">
        <v>114</v>
      </c>
      <c r="C86" s="1230" t="s">
        <v>114</v>
      </c>
      <c r="D86" s="1231"/>
      <c r="E86" s="1232"/>
      <c r="F86" s="1540" t="s">
        <v>1333</v>
      </c>
      <c r="G86" s="1233"/>
      <c r="H86" s="1234" t="s">
        <v>55</v>
      </c>
      <c r="I86" s="1234"/>
      <c r="J86" s="1234"/>
      <c r="K86" s="1207">
        <f>150</f>
        <v>150</v>
      </c>
      <c r="L86" s="1235">
        <f t="shared" ref="L86" si="284">K86/$K$3</f>
        <v>0.15</v>
      </c>
      <c r="M86" s="1236">
        <f>3*4</f>
        <v>12</v>
      </c>
      <c r="N86" s="1237">
        <f>3*4</f>
        <v>12</v>
      </c>
      <c r="O86" s="1237">
        <f>3*4</f>
        <v>12</v>
      </c>
      <c r="P86" s="1237">
        <f>3*4</f>
        <v>12</v>
      </c>
      <c r="Q86" s="1238">
        <f t="shared" ref="Q86" si="285">SUM(M86:P86)</f>
        <v>48</v>
      </c>
      <c r="R86" s="1239">
        <f>M86*$K$86/1000</f>
        <v>1.8</v>
      </c>
      <c r="S86" s="1239">
        <f t="shared" ref="S86:U86" si="286">N86*$K$86/1000</f>
        <v>1.8</v>
      </c>
      <c r="T86" s="1239">
        <f t="shared" si="286"/>
        <v>1.8</v>
      </c>
      <c r="U86" s="1239">
        <f t="shared" si="286"/>
        <v>1.8</v>
      </c>
      <c r="V86" s="1240">
        <f t="shared" si="272"/>
        <v>7.2</v>
      </c>
      <c r="W86" s="1241">
        <f>IFERROR(INDEX('[15]Annex 2'!I$8:I$33,MATCH('[15]Annex 5'!$BF55,'[15]Annex 2'!$G$8:$G$33,0)),"")</f>
        <v>1</v>
      </c>
      <c r="X86" s="1241">
        <f>IFERROR(INDEX('[15]Annex 2'!J$8:J$33,MATCH('[15]Annex 5'!$BF55,'[15]Annex 2'!$G$8:$G$33,0)),"")</f>
        <v>0</v>
      </c>
      <c r="Y86" s="1241">
        <f>IFERROR(INDEX('[15]Annex 2'!K$8:K$33,MATCH('[15]Annex 5'!$BF55,'[15]Annex 2'!$G$8:$G$33,0)),"")</f>
        <v>0</v>
      </c>
      <c r="Z86" s="1241">
        <f>IFERROR(INDEX('[15]Annex 2'!L$8:L$33,MATCH('[15]Annex 5'!$BF55,'[15]Annex 2'!$G$8:$G$33,0)),"")</f>
        <v>0</v>
      </c>
      <c r="AA86" s="1242">
        <f>IFERROR(INDEX('[15]Annex 2'!M$8:M$33,MATCH('[15]Annex 5'!$BF55,'[15]Annex 2'!$G$8:$G$33,0)),"")</f>
        <v>0</v>
      </c>
      <c r="AB86" s="1243">
        <f t="shared" si="273"/>
        <v>1.8</v>
      </c>
      <c r="AC86" s="1244">
        <f t="shared" si="273"/>
        <v>1.8</v>
      </c>
      <c r="AD86" s="1244">
        <f t="shared" si="273"/>
        <v>1.8</v>
      </c>
      <c r="AE86" s="1244">
        <f t="shared" si="273"/>
        <v>1.8</v>
      </c>
      <c r="AF86" s="1245">
        <f t="shared" si="274"/>
        <v>7.2</v>
      </c>
      <c r="AG86" s="1243">
        <f t="shared" si="275"/>
        <v>0</v>
      </c>
      <c r="AH86" s="1244">
        <f t="shared" si="275"/>
        <v>0</v>
      </c>
      <c r="AI86" s="1244">
        <f t="shared" si="275"/>
        <v>0</v>
      </c>
      <c r="AJ86" s="1244">
        <f t="shared" si="275"/>
        <v>0</v>
      </c>
      <c r="AK86" s="1245">
        <f t="shared" si="275"/>
        <v>0</v>
      </c>
      <c r="AL86" s="1244">
        <f t="shared" si="276"/>
        <v>0</v>
      </c>
      <c r="AM86" s="1244">
        <f t="shared" si="276"/>
        <v>0</v>
      </c>
      <c r="AN86" s="1244">
        <f t="shared" si="276"/>
        <v>0</v>
      </c>
      <c r="AO86" s="1244">
        <f t="shared" si="276"/>
        <v>0</v>
      </c>
      <c r="AP86" s="1246">
        <f t="shared" si="277"/>
        <v>0</v>
      </c>
      <c r="AQ86" s="1243">
        <f t="shared" si="278"/>
        <v>0</v>
      </c>
      <c r="AR86" s="1244">
        <f t="shared" si="278"/>
        <v>0</v>
      </c>
      <c r="AS86" s="1244">
        <f t="shared" si="278"/>
        <v>0</v>
      </c>
      <c r="AT86" s="1244">
        <f t="shared" si="278"/>
        <v>0</v>
      </c>
      <c r="AU86" s="1247">
        <f t="shared" si="279"/>
        <v>0</v>
      </c>
      <c r="AV86" s="1243">
        <f t="shared" si="280"/>
        <v>0</v>
      </c>
      <c r="AW86" s="1244">
        <f t="shared" si="280"/>
        <v>0</v>
      </c>
      <c r="AX86" s="1244">
        <f t="shared" si="280"/>
        <v>0</v>
      </c>
      <c r="AY86" s="1244">
        <f t="shared" si="280"/>
        <v>0</v>
      </c>
      <c r="AZ86" s="1247">
        <f t="shared" si="281"/>
        <v>0</v>
      </c>
      <c r="BA86" s="1248">
        <f t="shared" ref="BA86" si="287">SUM($V86*W86)</f>
        <v>7.2</v>
      </c>
      <c r="BB86" s="1249">
        <f t="shared" ref="BB86:BE86" si="288">SUM($V86*X86)</f>
        <v>0</v>
      </c>
      <c r="BC86" s="1249">
        <f t="shared" si="288"/>
        <v>0</v>
      </c>
      <c r="BD86" s="1249">
        <f t="shared" si="288"/>
        <v>0</v>
      </c>
      <c r="BE86" s="1240">
        <f t="shared" si="288"/>
        <v>0</v>
      </c>
      <c r="BF86" s="63"/>
      <c r="BG86" s="1229" t="s">
        <v>376</v>
      </c>
      <c r="BH86" s="1229" t="s">
        <v>227</v>
      </c>
      <c r="BI86" s="1048" t="str">
        <f>IFERROR(INDEX('[14]Annex 2_Code'!$J$110:$J$127,MATCH('Annex 5_MRD'!BG86,'[14]Annex 2_Code'!$G$110:$G$127,0)),"")</f>
        <v>MRD</v>
      </c>
      <c r="BJ86" s="1084" t="str">
        <f t="shared" si="283"/>
        <v>MRD</v>
      </c>
      <c r="BK86" s="61" t="s">
        <v>451</v>
      </c>
    </row>
    <row r="87" spans="1:63">
      <c r="A87" s="1070"/>
      <c r="B87" s="1229"/>
      <c r="C87" s="1230"/>
      <c r="D87" s="1231"/>
      <c r="E87" s="1232"/>
      <c r="F87" s="1540" t="s">
        <v>733</v>
      </c>
      <c r="G87" s="1233"/>
      <c r="H87" s="1234" t="s">
        <v>55</v>
      </c>
      <c r="I87" s="1234"/>
      <c r="J87" s="1234"/>
      <c r="K87" s="1207"/>
      <c r="L87" s="1235"/>
      <c r="M87" s="1236"/>
      <c r="N87" s="1237"/>
      <c r="O87" s="1237"/>
      <c r="P87" s="1237"/>
      <c r="Q87" s="1238"/>
      <c r="R87" s="1239">
        <f>M87*$K$87/1000</f>
        <v>0</v>
      </c>
      <c r="S87" s="1239">
        <f t="shared" ref="S87:U87" si="289">N87*$K$87/1000</f>
        <v>0</v>
      </c>
      <c r="T87" s="1239">
        <f t="shared" si="289"/>
        <v>0</v>
      </c>
      <c r="U87" s="1239">
        <f t="shared" si="289"/>
        <v>0</v>
      </c>
      <c r="V87" s="1240">
        <f t="shared" si="272"/>
        <v>0</v>
      </c>
      <c r="W87" s="558">
        <f>IFERROR(INDEX('[15]Annex 2'!I$8:I$33,MATCH('[15]Annex 5'!$BF55,'[15]Annex 2'!$G$8:$G$33,0)),"")</f>
        <v>1</v>
      </c>
      <c r="X87" s="558">
        <f>IFERROR(INDEX('[15]Annex 2'!J$8:J$33,MATCH('[15]Annex 5'!$BF55,'[15]Annex 2'!$G$8:$G$33,0)),"")</f>
        <v>0</v>
      </c>
      <c r="Y87" s="558">
        <f>IFERROR(INDEX('[15]Annex 2'!K$8:K$33,MATCH('[15]Annex 5'!$BF55,'[15]Annex 2'!$G$8:$G$33,0)),"")</f>
        <v>0</v>
      </c>
      <c r="Z87" s="558">
        <f>IFERROR(INDEX('[15]Annex 2'!L$8:L$33,MATCH('[15]Annex 5'!$BF55,'[15]Annex 2'!$G$8:$G$33,0)),"")</f>
        <v>0</v>
      </c>
      <c r="AA87" s="1211">
        <f>IFERROR(INDEX('[15]Annex 2'!M$8:M$33,MATCH('[15]Annex 5'!$BF55,'[15]Annex 2'!$G$8:$G$33,0)),"")</f>
        <v>0</v>
      </c>
      <c r="AB87" s="1142">
        <f t="shared" si="273"/>
        <v>0</v>
      </c>
      <c r="AC87" s="1143">
        <f t="shared" si="273"/>
        <v>0</v>
      </c>
      <c r="AD87" s="1143">
        <f t="shared" si="273"/>
        <v>0</v>
      </c>
      <c r="AE87" s="1143">
        <f t="shared" si="273"/>
        <v>0</v>
      </c>
      <c r="AF87" s="1144">
        <f t="shared" si="274"/>
        <v>0</v>
      </c>
      <c r="AG87" s="1243"/>
      <c r="AH87" s="1244"/>
      <c r="AI87" s="1244"/>
      <c r="AJ87" s="1244"/>
      <c r="AK87" s="1245"/>
      <c r="AL87" s="1244"/>
      <c r="AM87" s="1244"/>
      <c r="AN87" s="1244"/>
      <c r="AO87" s="1244"/>
      <c r="AP87" s="1246"/>
      <c r="AQ87" s="1243"/>
      <c r="AR87" s="1244"/>
      <c r="AS87" s="1244"/>
      <c r="AT87" s="1244"/>
      <c r="AU87" s="1247"/>
      <c r="AV87" s="1243"/>
      <c r="AW87" s="1244"/>
      <c r="AX87" s="1244"/>
      <c r="AY87" s="1244"/>
      <c r="AZ87" s="1247"/>
      <c r="BA87" s="1248"/>
      <c r="BB87" s="1249"/>
      <c r="BC87" s="1249"/>
      <c r="BD87" s="1249"/>
      <c r="BE87" s="1240"/>
      <c r="BF87" s="63"/>
      <c r="BG87" s="1229" t="s">
        <v>376</v>
      </c>
      <c r="BH87" s="1229" t="s">
        <v>227</v>
      </c>
      <c r="BI87" s="1048" t="str">
        <f>IFERROR(INDEX('[14]Annex 2_Code'!$J$110:$J$127,MATCH('Annex 5_MRD'!BG87,'[14]Annex 2_Code'!$G$110:$G$127,0)),"")</f>
        <v>MRD</v>
      </c>
      <c r="BJ87" s="1084" t="str">
        <f t="shared" si="283"/>
        <v>MRD</v>
      </c>
      <c r="BK87" s="61"/>
    </row>
    <row r="88" spans="1:63">
      <c r="A88" s="1070"/>
      <c r="B88" s="1229" t="s">
        <v>114</v>
      </c>
      <c r="C88" s="1213" t="s">
        <v>114</v>
      </c>
      <c r="D88" s="1081"/>
      <c r="E88" s="1232"/>
      <c r="F88" s="2127" t="s">
        <v>734</v>
      </c>
      <c r="G88" s="1233"/>
      <c r="H88" s="315" t="s">
        <v>55</v>
      </c>
      <c r="I88" s="315"/>
      <c r="J88" s="315"/>
      <c r="K88" s="1207">
        <f>(4*100+350)</f>
        <v>750</v>
      </c>
      <c r="L88" s="1130">
        <f t="shared" ref="L88:L93" si="290">K88/$K$3</f>
        <v>0.75</v>
      </c>
      <c r="M88" s="1236">
        <v>3</v>
      </c>
      <c r="N88" s="1237">
        <v>3</v>
      </c>
      <c r="O88" s="1237">
        <v>3</v>
      </c>
      <c r="P88" s="1237">
        <v>3</v>
      </c>
      <c r="Q88" s="1208">
        <f t="shared" si="271"/>
        <v>12</v>
      </c>
      <c r="R88" s="561">
        <f>M88*$K$88/1000</f>
        <v>2.25</v>
      </c>
      <c r="S88" s="561">
        <f>N88*$K$88/1000</f>
        <v>2.25</v>
      </c>
      <c r="T88" s="561">
        <f>O88*$K$88/1000</f>
        <v>2.25</v>
      </c>
      <c r="U88" s="561">
        <f>P88*$K$88/1000</f>
        <v>2.25</v>
      </c>
      <c r="V88" s="1210">
        <f t="shared" si="272"/>
        <v>9</v>
      </c>
      <c r="W88" s="558">
        <f>IFERROR(INDEX('[15]Annex 2'!I$8:I$33,MATCH('[15]Annex 5'!$BF56,'[15]Annex 2'!$G$8:$G$33,0)),"")</f>
        <v>1</v>
      </c>
      <c r="X88" s="558">
        <f>IFERROR(INDEX('[15]Annex 2'!J$8:J$33,MATCH('[15]Annex 5'!$BF56,'[15]Annex 2'!$G$8:$G$33,0)),"")</f>
        <v>0</v>
      </c>
      <c r="Y88" s="558">
        <f>IFERROR(INDEX('[15]Annex 2'!K$8:K$33,MATCH('[15]Annex 5'!$BF56,'[15]Annex 2'!$G$8:$G$33,0)),"")</f>
        <v>0</v>
      </c>
      <c r="Z88" s="558">
        <f>IFERROR(INDEX('[15]Annex 2'!L$8:L$33,MATCH('[15]Annex 5'!$BF56,'[15]Annex 2'!$G$8:$G$33,0)),"")</f>
        <v>0</v>
      </c>
      <c r="AA88" s="1211">
        <f>IFERROR(INDEX('[15]Annex 2'!M$8:M$33,MATCH('[15]Annex 5'!$BF56,'[15]Annex 2'!$G$8:$G$33,0)),"")</f>
        <v>0</v>
      </c>
      <c r="AB88" s="1142">
        <f t="shared" si="273"/>
        <v>2.25</v>
      </c>
      <c r="AC88" s="1143">
        <f t="shared" si="273"/>
        <v>2.25</v>
      </c>
      <c r="AD88" s="1143">
        <f t="shared" si="273"/>
        <v>2.25</v>
      </c>
      <c r="AE88" s="1143">
        <f t="shared" si="273"/>
        <v>2.25</v>
      </c>
      <c r="AF88" s="1144">
        <f t="shared" si="274"/>
        <v>9</v>
      </c>
      <c r="AG88" s="1142">
        <f t="shared" si="275"/>
        <v>0</v>
      </c>
      <c r="AH88" s="1143">
        <f t="shared" si="275"/>
        <v>0</v>
      </c>
      <c r="AI88" s="1143">
        <f t="shared" si="275"/>
        <v>0</v>
      </c>
      <c r="AJ88" s="1143">
        <f t="shared" si="275"/>
        <v>0</v>
      </c>
      <c r="AK88" s="1144">
        <f t="shared" si="275"/>
        <v>0</v>
      </c>
      <c r="AL88" s="1143">
        <f t="shared" si="276"/>
        <v>0</v>
      </c>
      <c r="AM88" s="1143">
        <f t="shared" si="276"/>
        <v>0</v>
      </c>
      <c r="AN88" s="1143">
        <f t="shared" si="276"/>
        <v>0</v>
      </c>
      <c r="AO88" s="1143">
        <f t="shared" si="276"/>
        <v>0</v>
      </c>
      <c r="AP88" s="1145">
        <f t="shared" si="277"/>
        <v>0</v>
      </c>
      <c r="AQ88" s="1142">
        <f t="shared" si="278"/>
        <v>0</v>
      </c>
      <c r="AR88" s="1143">
        <f t="shared" si="278"/>
        <v>0</v>
      </c>
      <c r="AS88" s="1143">
        <f t="shared" si="278"/>
        <v>0</v>
      </c>
      <c r="AT88" s="1143">
        <f t="shared" si="278"/>
        <v>0</v>
      </c>
      <c r="AU88" s="1205">
        <f t="shared" si="279"/>
        <v>0</v>
      </c>
      <c r="AV88" s="1142">
        <f t="shared" si="280"/>
        <v>0</v>
      </c>
      <c r="AW88" s="1143">
        <f t="shared" si="280"/>
        <v>0</v>
      </c>
      <c r="AX88" s="1143">
        <f t="shared" si="280"/>
        <v>0</v>
      </c>
      <c r="AY88" s="1143">
        <f t="shared" si="280"/>
        <v>0</v>
      </c>
      <c r="AZ88" s="1205">
        <f t="shared" si="281"/>
        <v>0</v>
      </c>
      <c r="BA88" s="1146">
        <f t="shared" si="282"/>
        <v>9</v>
      </c>
      <c r="BB88" s="1212">
        <f t="shared" si="282"/>
        <v>0</v>
      </c>
      <c r="BC88" s="1212">
        <f t="shared" si="282"/>
        <v>0</v>
      </c>
      <c r="BD88" s="1212">
        <f t="shared" si="282"/>
        <v>0</v>
      </c>
      <c r="BE88" s="1210">
        <f t="shared" si="282"/>
        <v>0</v>
      </c>
      <c r="BF88" s="61"/>
      <c r="BG88" s="1048" t="s">
        <v>376</v>
      </c>
      <c r="BH88" s="1048" t="s">
        <v>227</v>
      </c>
      <c r="BI88" s="1048" t="str">
        <f>IFERROR(INDEX('[14]Annex 2_Code'!$J$110:$J$127,MATCH('Annex 5_MRD'!BG88,'[14]Annex 2_Code'!$G$110:$G$127,0)),"")</f>
        <v>MRD</v>
      </c>
      <c r="BJ88" s="1084" t="str">
        <f t="shared" si="283"/>
        <v>MRD</v>
      </c>
      <c r="BK88" s="61" t="s">
        <v>451</v>
      </c>
    </row>
    <row r="89" spans="1:63">
      <c r="A89" s="1070"/>
      <c r="B89" s="1229" t="s">
        <v>114</v>
      </c>
      <c r="C89" s="1213" t="s">
        <v>114</v>
      </c>
      <c r="D89" s="1081"/>
      <c r="E89" s="63"/>
      <c r="F89" s="2128" t="s">
        <v>735</v>
      </c>
      <c r="G89" s="2129"/>
      <c r="H89" s="1250" t="s">
        <v>55</v>
      </c>
      <c r="I89" s="1250"/>
      <c r="J89" s="1250"/>
      <c r="K89" s="1251">
        <f>(8*34+14*2)</f>
        <v>300</v>
      </c>
      <c r="L89" s="1130">
        <f t="shared" si="290"/>
        <v>0.3</v>
      </c>
      <c r="M89" s="1236">
        <f>3*5</f>
        <v>15</v>
      </c>
      <c r="N89" s="1237">
        <f>3*5</f>
        <v>15</v>
      </c>
      <c r="O89" s="1237">
        <f>3*5</f>
        <v>15</v>
      </c>
      <c r="P89" s="1237">
        <f>3*5</f>
        <v>15</v>
      </c>
      <c r="Q89" s="1134">
        <f t="shared" ref="Q89:Q93" si="291">SUM(M89:P89)</f>
        <v>60</v>
      </c>
      <c r="R89" s="561">
        <f>M89*$K$89/1000</f>
        <v>4.5</v>
      </c>
      <c r="S89" s="561">
        <f t="shared" ref="S89:U89" si="292">N89*$K$89/1000</f>
        <v>4.5</v>
      </c>
      <c r="T89" s="561">
        <f t="shared" si="292"/>
        <v>4.5</v>
      </c>
      <c r="U89" s="561">
        <f t="shared" si="292"/>
        <v>4.5</v>
      </c>
      <c r="V89" s="1210">
        <f t="shared" si="272"/>
        <v>18</v>
      </c>
      <c r="W89" s="558">
        <f>IFERROR(INDEX('[15]Annex 2'!I$8:I$33,MATCH('[15]Annex 5'!$BF57,'[15]Annex 2'!$G$8:$G$33,0)),"")</f>
        <v>1</v>
      </c>
      <c r="X89" s="558">
        <f>IFERROR(INDEX('[15]Annex 2'!J$8:J$33,MATCH('[15]Annex 5'!$BF57,'[15]Annex 2'!$G$8:$G$33,0)),"")</f>
        <v>0</v>
      </c>
      <c r="Y89" s="558">
        <f>IFERROR(INDEX('[15]Annex 2'!K$8:K$33,MATCH('[15]Annex 5'!$BF57,'[15]Annex 2'!$G$8:$G$33,0)),"")</f>
        <v>0</v>
      </c>
      <c r="Z89" s="558">
        <f>IFERROR(INDEX('[15]Annex 2'!L$8:L$33,MATCH('[15]Annex 5'!$BF57,'[15]Annex 2'!$G$8:$G$33,0)),"")</f>
        <v>0</v>
      </c>
      <c r="AA89" s="1211">
        <f>IFERROR(INDEX('[15]Annex 2'!M$8:M$33,MATCH('[15]Annex 5'!$BF57,'[15]Annex 2'!$G$8:$G$33,0)),"")</f>
        <v>0</v>
      </c>
      <c r="AB89" s="1142">
        <f t="shared" si="273"/>
        <v>4.5</v>
      </c>
      <c r="AC89" s="1143">
        <f t="shared" si="273"/>
        <v>4.5</v>
      </c>
      <c r="AD89" s="1143">
        <f t="shared" si="273"/>
        <v>4.5</v>
      </c>
      <c r="AE89" s="1143">
        <f t="shared" si="273"/>
        <v>4.5</v>
      </c>
      <c r="AF89" s="1144">
        <f t="shared" si="274"/>
        <v>18</v>
      </c>
      <c r="AG89" s="1142">
        <f t="shared" si="275"/>
        <v>0</v>
      </c>
      <c r="AH89" s="1143">
        <f t="shared" si="275"/>
        <v>0</v>
      </c>
      <c r="AI89" s="1143">
        <f t="shared" si="275"/>
        <v>0</v>
      </c>
      <c r="AJ89" s="1143">
        <f t="shared" si="275"/>
        <v>0</v>
      </c>
      <c r="AK89" s="1144">
        <f t="shared" si="275"/>
        <v>0</v>
      </c>
      <c r="AL89" s="1143">
        <f t="shared" si="276"/>
        <v>0</v>
      </c>
      <c r="AM89" s="1143">
        <f t="shared" si="276"/>
        <v>0</v>
      </c>
      <c r="AN89" s="1143">
        <f t="shared" si="276"/>
        <v>0</v>
      </c>
      <c r="AO89" s="1143">
        <f t="shared" si="276"/>
        <v>0</v>
      </c>
      <c r="AP89" s="1145">
        <f t="shared" si="277"/>
        <v>0</v>
      </c>
      <c r="AQ89" s="1142">
        <f t="shared" si="278"/>
        <v>0</v>
      </c>
      <c r="AR89" s="1143">
        <f t="shared" si="278"/>
        <v>0</v>
      </c>
      <c r="AS89" s="1143">
        <f t="shared" si="278"/>
        <v>0</v>
      </c>
      <c r="AT89" s="1143">
        <f t="shared" si="278"/>
        <v>0</v>
      </c>
      <c r="AU89" s="1205">
        <f t="shared" si="279"/>
        <v>0</v>
      </c>
      <c r="AV89" s="1142">
        <f t="shared" si="280"/>
        <v>0</v>
      </c>
      <c r="AW89" s="1143">
        <f t="shared" si="280"/>
        <v>0</v>
      </c>
      <c r="AX89" s="1143">
        <f t="shared" si="280"/>
        <v>0</v>
      </c>
      <c r="AY89" s="1143">
        <f t="shared" si="280"/>
        <v>0</v>
      </c>
      <c r="AZ89" s="1205">
        <f t="shared" si="281"/>
        <v>0</v>
      </c>
      <c r="BA89" s="1146">
        <f t="shared" si="282"/>
        <v>18</v>
      </c>
      <c r="BB89" s="1212">
        <f t="shared" si="282"/>
        <v>0</v>
      </c>
      <c r="BC89" s="1212">
        <f t="shared" si="282"/>
        <v>0</v>
      </c>
      <c r="BD89" s="1212">
        <f t="shared" si="282"/>
        <v>0</v>
      </c>
      <c r="BE89" s="1210">
        <f t="shared" si="282"/>
        <v>0</v>
      </c>
      <c r="BF89" s="61"/>
      <c r="BG89" s="1048" t="s">
        <v>376</v>
      </c>
      <c r="BH89" s="1048" t="s">
        <v>227</v>
      </c>
      <c r="BI89" s="1048" t="str">
        <f>IFERROR(INDEX('[14]Annex 2_Code'!$J$110:$J$127,MATCH('Annex 5_MRD'!BG89,'[14]Annex 2_Code'!$G$110:$G$127,0)),"")</f>
        <v>MRD</v>
      </c>
      <c r="BJ89" s="1084" t="str">
        <f t="shared" si="283"/>
        <v>MRD</v>
      </c>
      <c r="BK89" s="61" t="s">
        <v>451</v>
      </c>
    </row>
    <row r="90" spans="1:63" ht="42" customHeight="1">
      <c r="A90" s="1070"/>
      <c r="B90" s="1229" t="s">
        <v>114</v>
      </c>
      <c r="C90" s="1213" t="s">
        <v>114</v>
      </c>
      <c r="D90" s="1081"/>
      <c r="E90" s="2130"/>
      <c r="F90" s="2690" t="s">
        <v>1334</v>
      </c>
      <c r="G90" s="2691"/>
      <c r="H90" s="1250" t="s">
        <v>736</v>
      </c>
      <c r="I90" s="1250"/>
      <c r="J90" s="1250"/>
      <c r="K90" s="1251">
        <f>((4*34+1*14)*2)</f>
        <v>300</v>
      </c>
      <c r="L90" s="1102">
        <f t="shared" si="290"/>
        <v>0.3</v>
      </c>
      <c r="M90" s="1236">
        <f>3*4</f>
        <v>12</v>
      </c>
      <c r="N90" s="1237">
        <f>3*4</f>
        <v>12</v>
      </c>
      <c r="O90" s="1237">
        <f>3*4</f>
        <v>12</v>
      </c>
      <c r="P90" s="1237">
        <f>3*4</f>
        <v>12</v>
      </c>
      <c r="Q90" s="1134">
        <f t="shared" si="291"/>
        <v>48</v>
      </c>
      <c r="R90" s="561">
        <f>M90*$K$90/1000</f>
        <v>3.6</v>
      </c>
      <c r="S90" s="561">
        <f t="shared" ref="S90:U90" si="293">N90*$K$90/1000</f>
        <v>3.6</v>
      </c>
      <c r="T90" s="561">
        <f t="shared" si="293"/>
        <v>3.6</v>
      </c>
      <c r="U90" s="561">
        <f t="shared" si="293"/>
        <v>3.6</v>
      </c>
      <c r="V90" s="1210">
        <f t="shared" si="272"/>
        <v>14.4</v>
      </c>
      <c r="W90" s="558">
        <f>IFERROR(INDEX('[15]Annex 2'!I$8:I$33,MATCH('[15]Annex 5'!$BF58,'[15]Annex 2'!$G$8:$G$33,0)),"")</f>
        <v>1</v>
      </c>
      <c r="X90" s="558">
        <f>IFERROR(INDEX('[15]Annex 2'!J$8:J$33,MATCH('[15]Annex 5'!$BF58,'[15]Annex 2'!$G$8:$G$33,0)),"")</f>
        <v>0</v>
      </c>
      <c r="Y90" s="558">
        <f>IFERROR(INDEX('[15]Annex 2'!K$8:K$33,MATCH('[15]Annex 5'!$BF58,'[15]Annex 2'!$G$8:$G$33,0)),"")</f>
        <v>0</v>
      </c>
      <c r="Z90" s="558">
        <f>IFERROR(INDEX('[15]Annex 2'!L$8:L$33,MATCH('[15]Annex 5'!$BF58,'[15]Annex 2'!$G$8:$G$33,0)),"")</f>
        <v>0</v>
      </c>
      <c r="AA90" s="1211">
        <f>IFERROR(INDEX('[15]Annex 2'!M$8:M$33,MATCH('[15]Annex 5'!$BF58,'[15]Annex 2'!$G$8:$G$33,0)),"")</f>
        <v>0</v>
      </c>
      <c r="AB90" s="1142">
        <f t="shared" si="273"/>
        <v>3.6</v>
      </c>
      <c r="AC90" s="1143">
        <f t="shared" si="273"/>
        <v>3.6</v>
      </c>
      <c r="AD90" s="1143">
        <f t="shared" si="273"/>
        <v>3.6</v>
      </c>
      <c r="AE90" s="1143">
        <f t="shared" si="273"/>
        <v>3.6</v>
      </c>
      <c r="AF90" s="1144">
        <f t="shared" si="274"/>
        <v>14.4</v>
      </c>
      <c r="AG90" s="1142">
        <f t="shared" si="275"/>
        <v>0</v>
      </c>
      <c r="AH90" s="1143">
        <f t="shared" si="275"/>
        <v>0</v>
      </c>
      <c r="AI90" s="1143">
        <f t="shared" si="275"/>
        <v>0</v>
      </c>
      <c r="AJ90" s="1143">
        <f t="shared" si="275"/>
        <v>0</v>
      </c>
      <c r="AK90" s="1144">
        <f t="shared" si="275"/>
        <v>0</v>
      </c>
      <c r="AL90" s="1143">
        <f t="shared" si="276"/>
        <v>0</v>
      </c>
      <c r="AM90" s="1143">
        <f t="shared" si="276"/>
        <v>0</v>
      </c>
      <c r="AN90" s="1143">
        <f t="shared" si="276"/>
        <v>0</v>
      </c>
      <c r="AO90" s="1143">
        <f t="shared" si="276"/>
        <v>0</v>
      </c>
      <c r="AP90" s="1145">
        <f t="shared" si="277"/>
        <v>0</v>
      </c>
      <c r="AQ90" s="1142">
        <f t="shared" si="278"/>
        <v>0</v>
      </c>
      <c r="AR90" s="1143">
        <f t="shared" si="278"/>
        <v>0</v>
      </c>
      <c r="AS90" s="1143">
        <f t="shared" si="278"/>
        <v>0</v>
      </c>
      <c r="AT90" s="1143">
        <f t="shared" si="278"/>
        <v>0</v>
      </c>
      <c r="AU90" s="1205">
        <f t="shared" si="279"/>
        <v>0</v>
      </c>
      <c r="AV90" s="1142">
        <f t="shared" si="280"/>
        <v>0</v>
      </c>
      <c r="AW90" s="1143">
        <f t="shared" si="280"/>
        <v>0</v>
      </c>
      <c r="AX90" s="1143">
        <f t="shared" si="280"/>
        <v>0</v>
      </c>
      <c r="AY90" s="1143">
        <f t="shared" si="280"/>
        <v>0</v>
      </c>
      <c r="AZ90" s="1205">
        <f t="shared" si="281"/>
        <v>0</v>
      </c>
      <c r="BA90" s="1146">
        <f t="shared" si="282"/>
        <v>14.4</v>
      </c>
      <c r="BB90" s="1212">
        <f t="shared" si="282"/>
        <v>0</v>
      </c>
      <c r="BC90" s="1212">
        <f t="shared" si="282"/>
        <v>0</v>
      </c>
      <c r="BD90" s="1212">
        <f t="shared" si="282"/>
        <v>0</v>
      </c>
      <c r="BE90" s="1210">
        <f t="shared" si="282"/>
        <v>0</v>
      </c>
      <c r="BF90" s="61"/>
      <c r="BG90" s="1048" t="s">
        <v>376</v>
      </c>
      <c r="BH90" s="1048" t="s">
        <v>227</v>
      </c>
      <c r="BI90" s="1048" t="str">
        <f>IFERROR(INDEX('[14]Annex 2_Code'!$J$110:$J$127,MATCH('Annex 5_MRD'!BG90,'[14]Annex 2_Code'!$G$110:$G$127,0)),"")</f>
        <v>MRD</v>
      </c>
      <c r="BJ90" s="1084" t="str">
        <f t="shared" si="283"/>
        <v>MRD</v>
      </c>
      <c r="BK90" s="61" t="s">
        <v>451</v>
      </c>
    </row>
    <row r="91" spans="1:63" s="1253" customFormat="1">
      <c r="A91" s="1541"/>
      <c r="B91" s="1229" t="s">
        <v>114</v>
      </c>
      <c r="C91" s="1213" t="s">
        <v>114</v>
      </c>
      <c r="D91" s="1081"/>
      <c r="E91" s="61"/>
      <c r="F91" s="1542" t="s">
        <v>968</v>
      </c>
      <c r="G91" s="1206"/>
      <c r="H91" s="1250" t="s">
        <v>55</v>
      </c>
      <c r="I91" s="1250"/>
      <c r="J91" s="1250"/>
      <c r="K91" s="1251">
        <f>250</f>
        <v>250</v>
      </c>
      <c r="L91" s="1130">
        <f t="shared" si="290"/>
        <v>0.25</v>
      </c>
      <c r="M91" s="1236">
        <f>3*7</f>
        <v>21</v>
      </c>
      <c r="N91" s="1237">
        <f>3*7</f>
        <v>21</v>
      </c>
      <c r="O91" s="1237">
        <f>3*7</f>
        <v>21</v>
      </c>
      <c r="P91" s="1237">
        <f>3*7</f>
        <v>21</v>
      </c>
      <c r="Q91" s="1134">
        <f t="shared" si="291"/>
        <v>84</v>
      </c>
      <c r="R91" s="561">
        <f>M91*$K$91/1000</f>
        <v>5.25</v>
      </c>
      <c r="S91" s="561">
        <f t="shared" ref="S91:U91" si="294">N91*$K$91/1000</f>
        <v>5.25</v>
      </c>
      <c r="T91" s="561">
        <f t="shared" si="294"/>
        <v>5.25</v>
      </c>
      <c r="U91" s="561">
        <f t="shared" si="294"/>
        <v>5.25</v>
      </c>
      <c r="V91" s="1210">
        <f t="shared" si="272"/>
        <v>21</v>
      </c>
      <c r="W91" s="558">
        <f>IFERROR(INDEX('[15]Annex 2'!I$8:I$33,MATCH('[15]Annex 5'!$BF59,'[15]Annex 2'!$G$8:$G$33,0)),"")</f>
        <v>1</v>
      </c>
      <c r="X91" s="558">
        <f>IFERROR(INDEX('[15]Annex 2'!J$8:J$33,MATCH('[15]Annex 5'!$BF59,'[15]Annex 2'!$G$8:$G$33,0)),"")</f>
        <v>0</v>
      </c>
      <c r="Y91" s="558">
        <f>IFERROR(INDEX('[15]Annex 2'!K$8:K$33,MATCH('[15]Annex 5'!$BF59,'[15]Annex 2'!$G$8:$G$33,0)),"")</f>
        <v>0</v>
      </c>
      <c r="Z91" s="558">
        <f>IFERROR(INDEX('[15]Annex 2'!L$8:L$33,MATCH('[15]Annex 5'!$BF59,'[15]Annex 2'!$G$8:$G$33,0)),"")</f>
        <v>0</v>
      </c>
      <c r="AA91" s="1211">
        <f>IFERROR(INDEX('[15]Annex 2'!M$8:M$33,MATCH('[15]Annex 5'!$BF59,'[15]Annex 2'!$G$8:$G$33,0)),"")</f>
        <v>0</v>
      </c>
      <c r="AB91" s="1142">
        <f t="shared" si="273"/>
        <v>5.25</v>
      </c>
      <c r="AC91" s="1143">
        <f t="shared" si="273"/>
        <v>5.25</v>
      </c>
      <c r="AD91" s="1143">
        <f t="shared" si="273"/>
        <v>5.25</v>
      </c>
      <c r="AE91" s="1143">
        <f t="shared" si="273"/>
        <v>5.25</v>
      </c>
      <c r="AF91" s="1144">
        <f t="shared" si="274"/>
        <v>21</v>
      </c>
      <c r="AG91" s="1142">
        <f t="shared" si="275"/>
        <v>0</v>
      </c>
      <c r="AH91" s="1143">
        <f t="shared" si="275"/>
        <v>0</v>
      </c>
      <c r="AI91" s="1143">
        <f t="shared" si="275"/>
        <v>0</v>
      </c>
      <c r="AJ91" s="1143">
        <f t="shared" si="275"/>
        <v>0</v>
      </c>
      <c r="AK91" s="1144">
        <f t="shared" si="275"/>
        <v>0</v>
      </c>
      <c r="AL91" s="1143">
        <f t="shared" si="276"/>
        <v>0</v>
      </c>
      <c r="AM91" s="1143">
        <f t="shared" si="276"/>
        <v>0</v>
      </c>
      <c r="AN91" s="1143">
        <f t="shared" si="276"/>
        <v>0</v>
      </c>
      <c r="AO91" s="1143">
        <f t="shared" si="276"/>
        <v>0</v>
      </c>
      <c r="AP91" s="1145">
        <f t="shared" si="277"/>
        <v>0</v>
      </c>
      <c r="AQ91" s="1142">
        <f t="shared" si="278"/>
        <v>0</v>
      </c>
      <c r="AR91" s="1143">
        <f t="shared" si="278"/>
        <v>0</v>
      </c>
      <c r="AS91" s="1143">
        <f t="shared" si="278"/>
        <v>0</v>
      </c>
      <c r="AT91" s="1143">
        <f t="shared" si="278"/>
        <v>0</v>
      </c>
      <c r="AU91" s="1205">
        <f t="shared" si="279"/>
        <v>0</v>
      </c>
      <c r="AV91" s="1142">
        <f t="shared" si="280"/>
        <v>0</v>
      </c>
      <c r="AW91" s="1143">
        <f t="shared" si="280"/>
        <v>0</v>
      </c>
      <c r="AX91" s="1143">
        <f t="shared" si="280"/>
        <v>0</v>
      </c>
      <c r="AY91" s="1143">
        <f t="shared" si="280"/>
        <v>0</v>
      </c>
      <c r="AZ91" s="1205">
        <f t="shared" si="281"/>
        <v>0</v>
      </c>
      <c r="BA91" s="1146">
        <f t="shared" si="282"/>
        <v>21</v>
      </c>
      <c r="BB91" s="1212">
        <f t="shared" si="282"/>
        <v>0</v>
      </c>
      <c r="BC91" s="1212">
        <f t="shared" si="282"/>
        <v>0</v>
      </c>
      <c r="BD91" s="1212">
        <f t="shared" si="282"/>
        <v>0</v>
      </c>
      <c r="BE91" s="1210">
        <f t="shared" si="282"/>
        <v>0</v>
      </c>
      <c r="BF91" s="61"/>
      <c r="BG91" s="1048" t="s">
        <v>376</v>
      </c>
      <c r="BH91" s="1048" t="s">
        <v>227</v>
      </c>
      <c r="BI91" s="1048" t="str">
        <f>IFERROR(INDEX('[14]Annex 2_Code'!$J$110:$J$127,MATCH('Annex 5_MRD'!BG91,'[14]Annex 2_Code'!$G$110:$G$127,0)),"")</f>
        <v>MRD</v>
      </c>
      <c r="BJ91" s="1084" t="str">
        <f t="shared" si="283"/>
        <v>MRD</v>
      </c>
      <c r="BK91" s="1252" t="s">
        <v>451</v>
      </c>
    </row>
    <row r="92" spans="1:63" ht="14.25" customHeight="1">
      <c r="A92" s="1070"/>
      <c r="B92" s="1229" t="s">
        <v>114</v>
      </c>
      <c r="C92" s="1213" t="s">
        <v>114</v>
      </c>
      <c r="D92" s="1081"/>
      <c r="E92" s="61"/>
      <c r="F92" s="2677" t="s">
        <v>1335</v>
      </c>
      <c r="G92" s="2678"/>
      <c r="H92" s="1250" t="s">
        <v>55</v>
      </c>
      <c r="I92" s="1250"/>
      <c r="J92" s="1250"/>
      <c r="K92" s="1251">
        <f>8*34+2*14</f>
        <v>300</v>
      </c>
      <c r="L92" s="1130">
        <f t="shared" si="290"/>
        <v>0.3</v>
      </c>
      <c r="M92" s="1236">
        <f>3*3</f>
        <v>9</v>
      </c>
      <c r="N92" s="1237">
        <f>3*3</f>
        <v>9</v>
      </c>
      <c r="O92" s="1237">
        <f t="shared" ref="O92:P92" si="295">3*3</f>
        <v>9</v>
      </c>
      <c r="P92" s="1237">
        <f t="shared" si="295"/>
        <v>9</v>
      </c>
      <c r="Q92" s="1134">
        <f t="shared" si="291"/>
        <v>36</v>
      </c>
      <c r="R92" s="561">
        <f>M92*$K$92/1000</f>
        <v>2.7</v>
      </c>
      <c r="S92" s="561">
        <f>N92*$K$92/1000</f>
        <v>2.7</v>
      </c>
      <c r="T92" s="561">
        <f>O92*$K$92/1000</f>
        <v>2.7</v>
      </c>
      <c r="U92" s="561">
        <f>P92*$K$92/1000</f>
        <v>2.7</v>
      </c>
      <c r="V92" s="1210">
        <f t="shared" si="272"/>
        <v>10.8</v>
      </c>
      <c r="W92" s="558">
        <f>IFERROR(INDEX('[15]Annex 2'!I$8:I$33,MATCH('[15]Annex 5'!$BF60,'[15]Annex 2'!$G$8:$G$33,0)),"")</f>
        <v>1</v>
      </c>
      <c r="X92" s="558">
        <f>IFERROR(INDEX('[15]Annex 2'!J$8:J$33,MATCH('[15]Annex 5'!$BF60,'[15]Annex 2'!$G$8:$G$33,0)),"")</f>
        <v>0</v>
      </c>
      <c r="Y92" s="558">
        <f>IFERROR(INDEX('[15]Annex 2'!K$8:K$33,MATCH('[15]Annex 5'!$BF60,'[15]Annex 2'!$G$8:$G$33,0)),"")</f>
        <v>0</v>
      </c>
      <c r="Z92" s="558">
        <f>IFERROR(INDEX('[15]Annex 2'!L$8:L$33,MATCH('[15]Annex 5'!$BF60,'[15]Annex 2'!$G$8:$G$33,0)),"")</f>
        <v>0</v>
      </c>
      <c r="AA92" s="1211">
        <f>IFERROR(INDEX('[15]Annex 2'!M$8:M$33,MATCH('[15]Annex 5'!$BF60,'[15]Annex 2'!$G$8:$G$33,0)),"")</f>
        <v>0</v>
      </c>
      <c r="AB92" s="1142">
        <f t="shared" si="273"/>
        <v>2.7</v>
      </c>
      <c r="AC92" s="1143">
        <f t="shared" si="273"/>
        <v>2.7</v>
      </c>
      <c r="AD92" s="1143">
        <f t="shared" si="273"/>
        <v>2.7</v>
      </c>
      <c r="AE92" s="1143">
        <f t="shared" si="273"/>
        <v>2.7</v>
      </c>
      <c r="AF92" s="1144">
        <f>V92*$W92</f>
        <v>10.8</v>
      </c>
      <c r="AG92" s="1142">
        <f t="shared" si="275"/>
        <v>0</v>
      </c>
      <c r="AH92" s="1143">
        <f t="shared" si="275"/>
        <v>0</v>
      </c>
      <c r="AI92" s="1143">
        <f t="shared" si="275"/>
        <v>0</v>
      </c>
      <c r="AJ92" s="1143">
        <f t="shared" si="275"/>
        <v>0</v>
      </c>
      <c r="AK92" s="1144">
        <f t="shared" si="275"/>
        <v>0</v>
      </c>
      <c r="AL92" s="1143">
        <f t="shared" si="276"/>
        <v>0</v>
      </c>
      <c r="AM92" s="1143">
        <f t="shared" si="276"/>
        <v>0</v>
      </c>
      <c r="AN92" s="1143">
        <f t="shared" si="276"/>
        <v>0</v>
      </c>
      <c r="AO92" s="1143">
        <f t="shared" si="276"/>
        <v>0</v>
      </c>
      <c r="AP92" s="1145">
        <f t="shared" si="277"/>
        <v>0</v>
      </c>
      <c r="AQ92" s="1142">
        <f t="shared" si="278"/>
        <v>0</v>
      </c>
      <c r="AR92" s="1143">
        <f t="shared" si="278"/>
        <v>0</v>
      </c>
      <c r="AS92" s="1143">
        <f t="shared" si="278"/>
        <v>0</v>
      </c>
      <c r="AT92" s="1143">
        <f t="shared" si="278"/>
        <v>0</v>
      </c>
      <c r="AU92" s="1205">
        <f t="shared" si="279"/>
        <v>0</v>
      </c>
      <c r="AV92" s="1142">
        <f t="shared" si="280"/>
        <v>0</v>
      </c>
      <c r="AW92" s="1143"/>
      <c r="AX92" s="1143"/>
      <c r="AY92" s="1143"/>
      <c r="AZ92" s="1205"/>
      <c r="BA92" s="1146">
        <f>SUM($V92*W92)</f>
        <v>10.8</v>
      </c>
      <c r="BB92" s="1212"/>
      <c r="BC92" s="1212"/>
      <c r="BD92" s="1212"/>
      <c r="BE92" s="1210"/>
      <c r="BF92" s="61"/>
      <c r="BG92" s="1048" t="s">
        <v>376</v>
      </c>
      <c r="BH92" s="1048" t="s">
        <v>227</v>
      </c>
      <c r="BI92" s="1048" t="str">
        <f>IFERROR(INDEX('[14]Annex 2_Code'!$J$110:$J$127,MATCH('Annex 5_MRD'!BG92,'[14]Annex 2_Code'!$G$110:$G$127,0)),"")</f>
        <v>MRD</v>
      </c>
      <c r="BJ92" s="1084" t="str">
        <f t="shared" si="283"/>
        <v>MRD</v>
      </c>
      <c r="BK92" s="61" t="s">
        <v>451</v>
      </c>
    </row>
    <row r="93" spans="1:63" ht="14.25" customHeight="1">
      <c r="A93" s="1070"/>
      <c r="B93" s="1229" t="s">
        <v>114</v>
      </c>
      <c r="C93" s="1213" t="s">
        <v>114</v>
      </c>
      <c r="D93" s="1081"/>
      <c r="E93" s="59"/>
      <c r="F93" s="2677" t="s">
        <v>1336</v>
      </c>
      <c r="G93" s="2678"/>
      <c r="H93" s="1250" t="s">
        <v>55</v>
      </c>
      <c r="I93" s="1250"/>
      <c r="J93" s="1250"/>
      <c r="K93" s="1251">
        <f>(4*34+1*14)</f>
        <v>150</v>
      </c>
      <c r="L93" s="1130">
        <f t="shared" si="290"/>
        <v>0.15</v>
      </c>
      <c r="M93" s="1236">
        <f>3*4</f>
        <v>12</v>
      </c>
      <c r="N93" s="1237">
        <f>3*4</f>
        <v>12</v>
      </c>
      <c r="O93" s="1237">
        <f>3*4</f>
        <v>12</v>
      </c>
      <c r="P93" s="1237">
        <f>3*4</f>
        <v>12</v>
      </c>
      <c r="Q93" s="1134">
        <f t="shared" si="291"/>
        <v>48</v>
      </c>
      <c r="R93" s="561">
        <f>M93*$K$93/1000</f>
        <v>1.8</v>
      </c>
      <c r="S93" s="561">
        <f t="shared" ref="S93:U93" si="296">N93*$K$93/1000</f>
        <v>1.8</v>
      </c>
      <c r="T93" s="561">
        <f t="shared" si="296"/>
        <v>1.8</v>
      </c>
      <c r="U93" s="561">
        <f t="shared" si="296"/>
        <v>1.8</v>
      </c>
      <c r="V93" s="1210">
        <f t="shared" si="272"/>
        <v>7.2</v>
      </c>
      <c r="W93" s="558">
        <f>IFERROR(INDEX('[15]Annex 2'!I$8:I$33,MATCH('[15]Annex 5'!$BF61,'[15]Annex 2'!$G$8:$G$33,0)),"")</f>
        <v>1</v>
      </c>
      <c r="X93" s="558">
        <f>IFERROR(INDEX('[15]Annex 2'!J$8:J$33,MATCH('[15]Annex 5'!$BF61,'[15]Annex 2'!$G$8:$G$33,0)),"")</f>
        <v>0</v>
      </c>
      <c r="Y93" s="558">
        <f>IFERROR(INDEX('[15]Annex 2'!K$8:K$33,MATCH('[15]Annex 5'!$BF61,'[15]Annex 2'!$G$8:$G$33,0)),"")</f>
        <v>0</v>
      </c>
      <c r="Z93" s="558">
        <f>IFERROR(INDEX('[15]Annex 2'!L$8:L$33,MATCH('[15]Annex 5'!$BF61,'[15]Annex 2'!$G$8:$G$33,0)),"")</f>
        <v>0</v>
      </c>
      <c r="AA93" s="1211">
        <f>IFERROR(INDEX('[15]Annex 2'!M$8:M$33,MATCH('[15]Annex 5'!$BF61,'[15]Annex 2'!$G$8:$G$33,0)),"")</f>
        <v>0</v>
      </c>
      <c r="AB93" s="1142">
        <f t="shared" si="273"/>
        <v>1.8</v>
      </c>
      <c r="AC93" s="1143">
        <f t="shared" si="273"/>
        <v>1.8</v>
      </c>
      <c r="AD93" s="1143">
        <f t="shared" si="273"/>
        <v>1.8</v>
      </c>
      <c r="AE93" s="1143">
        <f t="shared" si="273"/>
        <v>1.8</v>
      </c>
      <c r="AF93" s="1144">
        <f t="shared" si="274"/>
        <v>7.2</v>
      </c>
      <c r="AG93" s="1142">
        <f t="shared" si="275"/>
        <v>0</v>
      </c>
      <c r="AH93" s="1143">
        <f t="shared" si="275"/>
        <v>0</v>
      </c>
      <c r="AI93" s="1143">
        <f t="shared" si="275"/>
        <v>0</v>
      </c>
      <c r="AJ93" s="1143">
        <f t="shared" si="275"/>
        <v>0</v>
      </c>
      <c r="AK93" s="1144">
        <f t="shared" si="275"/>
        <v>0</v>
      </c>
      <c r="AL93" s="1143">
        <f t="shared" si="276"/>
        <v>0</v>
      </c>
      <c r="AM93" s="1143">
        <f t="shared" si="276"/>
        <v>0</v>
      </c>
      <c r="AN93" s="1143">
        <f t="shared" si="276"/>
        <v>0</v>
      </c>
      <c r="AO93" s="1143">
        <f t="shared" si="276"/>
        <v>0</v>
      </c>
      <c r="AP93" s="1143">
        <f>V93*$Y93</f>
        <v>0</v>
      </c>
      <c r="AQ93" s="1142">
        <f t="shared" si="278"/>
        <v>0</v>
      </c>
      <c r="AR93" s="1143">
        <f t="shared" ref="AR93:AZ93" si="297">AB93*$X93</f>
        <v>0</v>
      </c>
      <c r="AS93" s="1143">
        <f t="shared" si="297"/>
        <v>0</v>
      </c>
      <c r="AT93" s="1143">
        <f t="shared" si="297"/>
        <v>0</v>
      </c>
      <c r="AU93" s="1205">
        <f>SUM(AQ93:AT93)</f>
        <v>0</v>
      </c>
      <c r="AV93" s="1142">
        <f t="shared" si="280"/>
        <v>0</v>
      </c>
      <c r="AW93" s="1143">
        <f t="shared" si="297"/>
        <v>0</v>
      </c>
      <c r="AX93" s="1143">
        <f t="shared" si="297"/>
        <v>0</v>
      </c>
      <c r="AY93" s="1143">
        <f t="shared" si="297"/>
        <v>0</v>
      </c>
      <c r="AZ93" s="1144">
        <f t="shared" si="297"/>
        <v>0</v>
      </c>
      <c r="BA93" s="1146">
        <f>SUM($V93*W93)</f>
        <v>7.2</v>
      </c>
      <c r="BB93" s="1212">
        <f t="shared" ref="BB93:BE93" si="298">SUM($V93*X93)</f>
        <v>0</v>
      </c>
      <c r="BC93" s="1212">
        <f t="shared" si="298"/>
        <v>0</v>
      </c>
      <c r="BD93" s="1212">
        <f t="shared" si="298"/>
        <v>0</v>
      </c>
      <c r="BE93" s="1210">
        <f t="shared" si="298"/>
        <v>0</v>
      </c>
      <c r="BF93" s="61"/>
      <c r="BG93" s="1048" t="s">
        <v>376</v>
      </c>
      <c r="BH93" s="1048" t="s">
        <v>227</v>
      </c>
      <c r="BI93" s="1048" t="str">
        <f>IFERROR(INDEX('[14]Annex 2_Code'!$J$110:$J$127,MATCH('Annex 5_MRD'!BG93,'[14]Annex 2_Code'!$G$110:$G$127,0)),"")</f>
        <v>MRD</v>
      </c>
      <c r="BJ93" s="1084" t="str">
        <f t="shared" si="283"/>
        <v>MRD</v>
      </c>
      <c r="BK93" s="61" t="s">
        <v>451</v>
      </c>
    </row>
    <row r="94" spans="1:63">
      <c r="A94" s="1070"/>
      <c r="B94" s="1229"/>
      <c r="C94" s="1213"/>
      <c r="D94" s="2131"/>
      <c r="E94" s="2132"/>
      <c r="F94" s="2133"/>
      <c r="G94" s="2134"/>
      <c r="H94" s="1250"/>
      <c r="I94" s="1250"/>
      <c r="J94" s="1250"/>
      <c r="K94" s="2135"/>
      <c r="L94" s="1130"/>
      <c r="M94" s="1236"/>
      <c r="N94" s="1237"/>
      <c r="O94" s="1237"/>
      <c r="P94" s="1237"/>
      <c r="Q94" s="1134"/>
      <c r="R94" s="561"/>
      <c r="S94" s="561"/>
      <c r="T94" s="561"/>
      <c r="U94" s="561"/>
      <c r="V94" s="1210"/>
      <c r="W94" s="558"/>
      <c r="X94" s="558"/>
      <c r="Y94" s="558"/>
      <c r="Z94" s="558"/>
      <c r="AA94" s="1211"/>
      <c r="AB94" s="1142"/>
      <c r="AC94" s="1143"/>
      <c r="AD94" s="1143"/>
      <c r="AE94" s="1143"/>
      <c r="AF94" s="1144"/>
      <c r="AG94" s="1142"/>
      <c r="AH94" s="1143"/>
      <c r="AI94" s="1143"/>
      <c r="AJ94" s="1143"/>
      <c r="AK94" s="1144"/>
      <c r="AL94" s="1143"/>
      <c r="AM94" s="1143"/>
      <c r="AN94" s="1143"/>
      <c r="AO94" s="1143"/>
      <c r="AP94" s="1145"/>
      <c r="AQ94" s="1142"/>
      <c r="AR94" s="1143"/>
      <c r="AS94" s="1143"/>
      <c r="AT94" s="1143"/>
      <c r="AU94" s="1205"/>
      <c r="AV94" s="1142"/>
      <c r="AW94" s="1143"/>
      <c r="AX94" s="1143"/>
      <c r="AY94" s="1143"/>
      <c r="AZ94" s="1205"/>
      <c r="BA94" s="1146"/>
      <c r="BB94" s="1212"/>
      <c r="BC94" s="1212"/>
      <c r="BD94" s="1212"/>
      <c r="BE94" s="1210"/>
      <c r="BF94" s="61"/>
      <c r="BG94" s="1048"/>
      <c r="BH94" s="1048"/>
      <c r="BI94" s="1048"/>
      <c r="BJ94" s="1084"/>
      <c r="BK94" s="61"/>
    </row>
    <row r="95" spans="1:63">
      <c r="A95" s="1070"/>
      <c r="B95" s="1106"/>
      <c r="C95" s="1107"/>
      <c r="D95" s="1108"/>
      <c r="E95" s="1109" t="s">
        <v>36</v>
      </c>
      <c r="F95" s="1110"/>
      <c r="G95" s="1111"/>
      <c r="H95" s="1112"/>
      <c r="I95" s="1112"/>
      <c r="J95" s="1112"/>
      <c r="K95" s="1113"/>
      <c r="L95" s="1215"/>
      <c r="M95" s="1136"/>
      <c r="N95" s="1115"/>
      <c r="O95" s="1116"/>
      <c r="P95" s="1117"/>
      <c r="Q95" s="1118"/>
      <c r="R95" s="1216">
        <f>SUM(R85:R94)</f>
        <v>25.95</v>
      </c>
      <c r="S95" s="1216">
        <f t="shared" ref="S95:U95" si="299">SUM(S85:S94)</f>
        <v>25.95</v>
      </c>
      <c r="T95" s="1216">
        <f t="shared" si="299"/>
        <v>25.95</v>
      </c>
      <c r="U95" s="1216">
        <f t="shared" si="299"/>
        <v>25.95</v>
      </c>
      <c r="V95" s="2523">
        <f>SUM(V85:V94)</f>
        <v>103.8</v>
      </c>
      <c r="W95" s="1217" t="str">
        <f>IFERROR(INDEX([13]Code!I$8:I$33,MATCH('[13]$MRD-Annex'!$BG153,[13]Code!$G$8:$G$33,0)),"")</f>
        <v/>
      </c>
      <c r="X95" s="1218" t="str">
        <f>IFERROR(INDEX([13]Code!J$8:J$33,MATCH('[13]$MRD-Annex'!$BG153,[13]Code!$G$8:$G$33,0)),"")</f>
        <v/>
      </c>
      <c r="Y95" s="1218" t="str">
        <f>IFERROR(INDEX([13]Code!K$8:K$33,MATCH('[13]$MRD-Annex'!$BG153,[13]Code!$G$8:$G$33,0)),"")</f>
        <v/>
      </c>
      <c r="Z95" s="1218" t="str">
        <f>IFERROR(INDEX([13]Code!L$8:L$33,MATCH('[13]$MRD-Annex'!$BG153,[13]Code!$G$8:$G$33,0)),"")</f>
        <v/>
      </c>
      <c r="AA95" s="1219" t="str">
        <f>IFERROR(INDEX([13]Code!M$8:M$33,MATCH('[13]$MRD-Annex'!$BG153,[13]Code!$G$8:$G$33,0)),"")</f>
        <v/>
      </c>
      <c r="AB95" s="1220">
        <f>SUM(AB85:AB94)</f>
        <v>25.95</v>
      </c>
      <c r="AC95" s="1221">
        <f t="shared" ref="AC95:AE95" si="300">SUM(AC85:AC94)</f>
        <v>25.95</v>
      </c>
      <c r="AD95" s="1221">
        <f t="shared" si="300"/>
        <v>25.95</v>
      </c>
      <c r="AE95" s="1221">
        <f t="shared" si="300"/>
        <v>25.95</v>
      </c>
      <c r="AF95" s="1222">
        <f>SUM(AF85:AF94)</f>
        <v>103.8</v>
      </c>
      <c r="AG95" s="1220"/>
      <c r="AH95" s="1221"/>
      <c r="AI95" s="1221"/>
      <c r="AJ95" s="1221"/>
      <c r="AK95" s="1222"/>
      <c r="AL95" s="1221"/>
      <c r="AM95" s="1221"/>
      <c r="AN95" s="1221"/>
      <c r="AO95" s="1221"/>
      <c r="AP95" s="1223"/>
      <c r="AQ95" s="1220"/>
      <c r="AR95" s="1221"/>
      <c r="AS95" s="1221"/>
      <c r="AT95" s="1221"/>
      <c r="AU95" s="1224"/>
      <c r="AV95" s="1108"/>
      <c r="AW95" s="1109"/>
      <c r="AX95" s="1109"/>
      <c r="AY95" s="1109"/>
      <c r="AZ95" s="1224"/>
      <c r="BA95" s="1225">
        <f>SUM(BA85:BA94)</f>
        <v>103.8</v>
      </c>
      <c r="BB95" s="1223">
        <f>SUM(BB85:BB94)</f>
        <v>0</v>
      </c>
      <c r="BC95" s="1223">
        <f>SUM(BC85:BC94)</f>
        <v>0</v>
      </c>
      <c r="BD95" s="1223">
        <f>SUM(BD85:BD94)</f>
        <v>0</v>
      </c>
      <c r="BE95" s="1118">
        <f>SUM(BE85:BE94)</f>
        <v>0</v>
      </c>
      <c r="BF95" s="61"/>
      <c r="BG95" s="557"/>
      <c r="BH95" s="61"/>
      <c r="BI95" s="1048"/>
      <c r="BJ95" s="1084"/>
      <c r="BK95" s="61"/>
    </row>
    <row r="96" spans="1:63" ht="15.75" thickBot="1">
      <c r="A96" s="1070"/>
      <c r="B96" s="57"/>
      <c r="C96" s="58"/>
      <c r="D96" s="1255" t="s">
        <v>737</v>
      </c>
      <c r="E96" s="1254"/>
      <c r="F96" s="1254"/>
      <c r="G96" s="1256"/>
      <c r="H96" s="1257"/>
      <c r="I96" s="1257"/>
      <c r="J96" s="1257"/>
      <c r="K96" s="1258"/>
      <c r="L96" s="1259"/>
      <c r="M96" s="1131"/>
      <c r="N96" s="1132"/>
      <c r="O96" s="1132"/>
      <c r="P96" s="1132"/>
      <c r="Q96" s="1260"/>
      <c r="R96" s="1140">
        <f>SUM(R95,R83)</f>
        <v>29.669999999999998</v>
      </c>
      <c r="S96" s="1140">
        <f t="shared" ref="S96:V96" si="301">SUM(S95,S83)</f>
        <v>29.669999999999998</v>
      </c>
      <c r="T96" s="1140">
        <f t="shared" si="301"/>
        <v>29.669999999999998</v>
      </c>
      <c r="U96" s="1140">
        <f t="shared" si="301"/>
        <v>29.669999999999998</v>
      </c>
      <c r="V96" s="2522">
        <f t="shared" si="301"/>
        <v>118.67999999999999</v>
      </c>
      <c r="W96" s="1202" t="str">
        <f>IFERROR(INDEX([13]Code!I$8:I$33,MATCH('[13]$MRD-Annex'!$BG154,[13]Code!$G$8:$G$33,0)),"")</f>
        <v/>
      </c>
      <c r="X96" s="1203" t="str">
        <f>IFERROR(INDEX([13]Code!J$8:J$33,MATCH('[13]$MRD-Annex'!$BG154,[13]Code!$G$8:$G$33,0)),"")</f>
        <v/>
      </c>
      <c r="Y96" s="1203" t="str">
        <f>IFERROR(INDEX([13]Code!K$8:K$33,MATCH('[13]$MRD-Annex'!$BG154,[13]Code!$G$8:$G$33,0)),"")</f>
        <v/>
      </c>
      <c r="Z96" s="1203" t="str">
        <f>IFERROR(INDEX([13]Code!L$8:L$33,MATCH('[13]$MRD-Annex'!$BG154,[13]Code!$G$8:$G$33,0)),"")</f>
        <v/>
      </c>
      <c r="AA96" s="1204" t="str">
        <f>IFERROR(INDEX([13]Code!M$8:M$33,MATCH('[13]$MRD-Annex'!$BG154,[13]Code!$G$8:$G$33,0)),"")</f>
        <v/>
      </c>
      <c r="AB96" s="1140">
        <f>SUM(AB95,AB83)</f>
        <v>25.95</v>
      </c>
      <c r="AC96" s="1140">
        <f t="shared" ref="AC96:AF96" si="302">SUM(AC95,AC83)</f>
        <v>25.95</v>
      </c>
      <c r="AD96" s="1140">
        <f t="shared" si="302"/>
        <v>25.95</v>
      </c>
      <c r="AE96" s="1140">
        <f t="shared" si="302"/>
        <v>25.95</v>
      </c>
      <c r="AF96" s="1261">
        <f t="shared" si="302"/>
        <v>103.8</v>
      </c>
      <c r="AG96" s="1262"/>
      <c r="AH96" s="1140"/>
      <c r="AI96" s="1140"/>
      <c r="AJ96" s="1140"/>
      <c r="AK96" s="1261"/>
      <c r="AL96" s="1067"/>
      <c r="AM96" s="1067"/>
      <c r="AN96" s="1067"/>
      <c r="AO96" s="1067"/>
      <c r="AP96" s="1067"/>
      <c r="AQ96" s="1140">
        <f>SUM(AQ95,AQ83)</f>
        <v>3.7199999999999998</v>
      </c>
      <c r="AR96" s="1140">
        <f t="shared" ref="AR96:AU96" si="303">SUM(AR95,AR83)</f>
        <v>3.7199999999999998</v>
      </c>
      <c r="AS96" s="1140">
        <f t="shared" si="303"/>
        <v>3.7199999999999998</v>
      </c>
      <c r="AT96" s="1140">
        <f t="shared" si="303"/>
        <v>3.7199999999999998</v>
      </c>
      <c r="AU96" s="1261">
        <f t="shared" si="303"/>
        <v>14.879999999999999</v>
      </c>
      <c r="AV96" s="1140">
        <f>SUM(AV95,AV83)</f>
        <v>0</v>
      </c>
      <c r="AW96" s="1140">
        <f t="shared" ref="AW96:AZ96" si="304">SUM(AW95,AW83)</f>
        <v>0</v>
      </c>
      <c r="AX96" s="1140">
        <f t="shared" si="304"/>
        <v>0</v>
      </c>
      <c r="AY96" s="1140">
        <f t="shared" si="304"/>
        <v>0</v>
      </c>
      <c r="AZ96" s="1261">
        <f t="shared" si="304"/>
        <v>0</v>
      </c>
      <c r="BA96" s="1140">
        <f>SUM(BA95,BA83)</f>
        <v>103.8</v>
      </c>
      <c r="BB96" s="1140">
        <f t="shared" ref="BB96:BE96" si="305">SUM(BB95,BB83)</f>
        <v>0</v>
      </c>
      <c r="BC96" s="1140">
        <f t="shared" si="305"/>
        <v>0</v>
      </c>
      <c r="BD96" s="1140">
        <f t="shared" si="305"/>
        <v>14.879999999999999</v>
      </c>
      <c r="BE96" s="1261">
        <f t="shared" si="305"/>
        <v>0</v>
      </c>
      <c r="BF96" s="61"/>
      <c r="BG96" s="557"/>
      <c r="BH96" s="61"/>
      <c r="BI96" s="1048"/>
      <c r="BJ96" s="1084"/>
      <c r="BK96" s="61"/>
    </row>
    <row r="97" spans="1:57" ht="13.5" thickBot="1">
      <c r="A97" s="64"/>
      <c r="B97" s="1263"/>
      <c r="C97" s="1264"/>
      <c r="D97" s="1265" t="s">
        <v>738</v>
      </c>
      <c r="E97" s="1266"/>
      <c r="F97" s="1266"/>
      <c r="G97" s="1266"/>
      <c r="H97" s="1267"/>
      <c r="I97" s="1267"/>
      <c r="J97" s="1267"/>
      <c r="K97" s="1268"/>
      <c r="L97" s="1269"/>
      <c r="M97" s="1269"/>
      <c r="N97" s="1270"/>
      <c r="O97" s="1270"/>
      <c r="P97" s="1270"/>
      <c r="Q97" s="1271"/>
      <c r="R97" s="1272">
        <f>SUM(R96,R71)</f>
        <v>4154.7685066682498</v>
      </c>
      <c r="S97" s="1272">
        <f>SUM(S96,S71)</f>
        <v>3714.0047095847021</v>
      </c>
      <c r="T97" s="1272">
        <f>SUM(T96,T71)</f>
        <v>3040.0714467329999</v>
      </c>
      <c r="U97" s="1272">
        <f>SUM(U96,U71)</f>
        <v>2152.135836333</v>
      </c>
      <c r="V97" s="2529">
        <f>SUM(V96,V71)</f>
        <v>13060.98049931895</v>
      </c>
      <c r="W97" s="1273"/>
      <c r="X97" s="1273"/>
      <c r="Y97" s="1273"/>
      <c r="Z97" s="1273"/>
      <c r="AA97" s="1274"/>
      <c r="AB97" s="1275">
        <f t="shared" ref="AB97:AU97" si="306">SUM(AB96,AB71)</f>
        <v>3195.1397021606008</v>
      </c>
      <c r="AC97" s="1276">
        <f t="shared" si="306"/>
        <v>2856.5140706649299</v>
      </c>
      <c r="AD97" s="1276">
        <f t="shared" si="306"/>
        <v>2338.7513183038559</v>
      </c>
      <c r="AE97" s="1276">
        <f t="shared" si="306"/>
        <v>1656.5769682580435</v>
      </c>
      <c r="AF97" s="1277">
        <f t="shared" si="306"/>
        <v>10046.982059387428</v>
      </c>
      <c r="AG97" s="1275">
        <f t="shared" si="306"/>
        <v>521.62157200691763</v>
      </c>
      <c r="AH97" s="1276">
        <f t="shared" si="306"/>
        <v>465.88668365290528</v>
      </c>
      <c r="AI97" s="1276">
        <f t="shared" si="306"/>
        <v>380.66735436217613</v>
      </c>
      <c r="AJ97" s="1276">
        <f t="shared" si="306"/>
        <v>268.38727954964543</v>
      </c>
      <c r="AK97" s="1277">
        <f t="shared" si="306"/>
        <v>1636.5628895716441</v>
      </c>
      <c r="AL97" s="1275">
        <f t="shared" si="306"/>
        <v>434.28723250073165</v>
      </c>
      <c r="AM97" s="1276">
        <f t="shared" si="306"/>
        <v>387.88395526686691</v>
      </c>
      <c r="AN97" s="1276">
        <f t="shared" si="306"/>
        <v>316.9327740669674</v>
      </c>
      <c r="AO97" s="1276">
        <f t="shared" si="306"/>
        <v>223.45158852531117</v>
      </c>
      <c r="AP97" s="1277">
        <f t="shared" si="306"/>
        <v>1362.5555503598773</v>
      </c>
      <c r="AQ97" s="1275">
        <f t="shared" si="306"/>
        <v>3.7199999999999998</v>
      </c>
      <c r="AR97" s="1276">
        <f t="shared" si="306"/>
        <v>3.7199999999999998</v>
      </c>
      <c r="AS97" s="1276">
        <f t="shared" si="306"/>
        <v>3.7199999999999998</v>
      </c>
      <c r="AT97" s="1276">
        <f t="shared" si="306"/>
        <v>3.7199999999999998</v>
      </c>
      <c r="AU97" s="1277">
        <f t="shared" si="306"/>
        <v>14.879999999999999</v>
      </c>
      <c r="AV97" s="1275">
        <f>SUM(AV95,AV83,AV71)</f>
        <v>0</v>
      </c>
      <c r="AW97" s="1276">
        <f>SUM(AW95,AW83,AW71)</f>
        <v>0</v>
      </c>
      <c r="AX97" s="1276">
        <f>SUM(AX95,AX83,AX71)</f>
        <v>0</v>
      </c>
      <c r="AY97" s="1276">
        <f>SUM(AY95,AY83,AY71)</f>
        <v>0</v>
      </c>
      <c r="AZ97" s="1277">
        <f>SUM(AZ95,AZ83,AZ71)</f>
        <v>0</v>
      </c>
      <c r="BA97" s="1275">
        <f>SUM(BA96,BA71)</f>
        <v>10046.98205938743</v>
      </c>
      <c r="BB97" s="1276">
        <f>SUM(BB96,BB71)</f>
        <v>1636.5628895716441</v>
      </c>
      <c r="BC97" s="1276">
        <f>SUM(BC96,BC71)</f>
        <v>1362.5555503598771</v>
      </c>
      <c r="BD97" s="1276">
        <f>SUM(BD96,BD71)</f>
        <v>14.879999999999999</v>
      </c>
      <c r="BE97" s="1277">
        <f>SUM(BE96,BE71)</f>
        <v>0</v>
      </c>
    </row>
    <row r="98" spans="1:57">
      <c r="A98" s="64"/>
      <c r="B98" s="1278"/>
      <c r="C98" s="1279"/>
      <c r="D98" s="64" t="s">
        <v>739</v>
      </c>
      <c r="E98" s="64"/>
      <c r="F98" s="64"/>
      <c r="G98" s="64"/>
      <c r="H98" s="73"/>
      <c r="I98" s="73"/>
      <c r="J98" s="73"/>
      <c r="K98" s="1280"/>
      <c r="L98" s="1280"/>
      <c r="M98" s="1280"/>
      <c r="N98" s="1280"/>
      <c r="O98" s="1280"/>
      <c r="P98" s="1280"/>
      <c r="Q98" s="1280"/>
      <c r="R98" s="1280"/>
      <c r="S98" s="1280"/>
      <c r="T98" s="1280"/>
      <c r="U98" s="1280"/>
      <c r="V98" s="1280"/>
      <c r="W98" s="1281"/>
      <c r="X98" s="1282"/>
      <c r="Y98" s="1282"/>
      <c r="Z98" s="1282"/>
      <c r="AA98" s="1282"/>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1283">
        <f>SUM(BA97:BE97)</f>
        <v>13060.98049931895</v>
      </c>
    </row>
    <row r="99" spans="1:57">
      <c r="A99" s="64"/>
      <c r="B99" s="1278"/>
      <c r="C99" s="1279"/>
      <c r="D99" s="64"/>
      <c r="E99" s="64"/>
      <c r="F99" s="64"/>
      <c r="G99" s="64"/>
      <c r="H99" s="73"/>
      <c r="I99" s="73"/>
      <c r="J99" s="73"/>
      <c r="K99" s="1280"/>
      <c r="L99" s="1280"/>
      <c r="M99" s="1280"/>
      <c r="N99" s="1280"/>
      <c r="O99" s="1280"/>
      <c r="P99" s="1280"/>
      <c r="Q99" s="1280"/>
      <c r="R99" s="1280"/>
      <c r="S99" s="1280"/>
      <c r="T99" s="1280"/>
      <c r="U99" s="1280"/>
      <c r="V99" s="1280"/>
      <c r="W99" s="1281"/>
      <c r="X99" s="1282"/>
      <c r="Y99" s="1282"/>
      <c r="Z99" s="1282"/>
      <c r="AA99" s="1282"/>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1283"/>
    </row>
    <row r="100" spans="1:57">
      <c r="A100" s="61"/>
      <c r="B100" s="65"/>
      <c r="C100" s="59"/>
      <c r="D100" s="61" t="s">
        <v>1337</v>
      </c>
      <c r="E100" s="61"/>
      <c r="F100" s="61"/>
      <c r="G100" s="61"/>
      <c r="H100" s="314"/>
      <c r="I100" s="314"/>
      <c r="J100" s="314"/>
      <c r="K100" s="75"/>
      <c r="L100" s="75"/>
      <c r="M100" s="66"/>
      <c r="N100" s="66"/>
      <c r="O100" s="66"/>
      <c r="P100" s="66"/>
      <c r="Q100" s="66"/>
      <c r="R100" s="66"/>
      <c r="S100" s="66"/>
      <c r="T100" s="66"/>
      <c r="U100" s="66"/>
      <c r="V100" s="324"/>
      <c r="W100" s="334"/>
      <c r="X100" s="335"/>
      <c r="Y100" s="335"/>
      <c r="Z100" s="335"/>
      <c r="AA100" s="335"/>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row>
    <row r="101" spans="1:57">
      <c r="A101" s="61"/>
      <c r="B101" s="65"/>
      <c r="C101" s="59"/>
      <c r="D101" s="61"/>
      <c r="E101" s="61"/>
      <c r="F101" s="61"/>
      <c r="G101" s="61"/>
      <c r="H101" s="314"/>
      <c r="I101" s="314"/>
      <c r="J101" s="314"/>
      <c r="K101" s="75"/>
      <c r="L101" s="75"/>
      <c r="M101" s="66"/>
      <c r="N101" s="66"/>
      <c r="O101" s="66"/>
      <c r="P101" s="66"/>
      <c r="Q101" s="66"/>
      <c r="R101" s="66"/>
      <c r="S101" s="66"/>
      <c r="T101" s="66"/>
      <c r="U101" s="66"/>
      <c r="V101" s="324"/>
      <c r="W101" s="334"/>
      <c r="X101" s="335"/>
      <c r="Y101" s="335"/>
      <c r="Z101" s="335"/>
      <c r="AA101" s="335"/>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row>
    <row r="102" spans="1:57">
      <c r="A102" s="61"/>
      <c r="B102" s="65"/>
      <c r="C102" s="59"/>
      <c r="D102" s="2679" t="s">
        <v>1338</v>
      </c>
      <c r="E102" s="2679"/>
      <c r="F102" s="2679"/>
      <c r="G102" s="2679"/>
      <c r="H102" s="2679"/>
      <c r="I102" s="2679"/>
      <c r="J102" s="2679"/>
      <c r="K102" s="66"/>
      <c r="L102" s="66"/>
      <c r="M102" s="66"/>
      <c r="N102" s="66"/>
      <c r="O102" s="66"/>
      <c r="P102" s="66"/>
      <c r="Q102" s="66"/>
      <c r="R102" s="66"/>
      <c r="S102" s="66"/>
      <c r="T102" s="66"/>
      <c r="U102" s="66"/>
      <c r="V102" s="324"/>
      <c r="W102" s="334"/>
      <c r="X102" s="335"/>
      <c r="Y102" s="335"/>
      <c r="Z102" s="335"/>
      <c r="AA102" s="335"/>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row>
    <row r="103" spans="1:57">
      <c r="A103" s="61"/>
      <c r="B103" s="65"/>
      <c r="C103" s="59"/>
      <c r="D103" s="2679"/>
      <c r="E103" s="2679"/>
      <c r="F103" s="2679"/>
      <c r="G103" s="2679"/>
      <c r="H103" s="2679"/>
      <c r="I103" s="2679"/>
      <c r="J103" s="2679"/>
      <c r="K103" s="66"/>
      <c r="L103" s="66"/>
      <c r="M103" s="66"/>
      <c r="N103" s="66"/>
      <c r="O103" s="66"/>
      <c r="P103" s="66"/>
      <c r="Q103" s="66"/>
      <c r="R103" s="66"/>
      <c r="S103" s="66"/>
      <c r="T103" s="66"/>
      <c r="U103" s="66"/>
      <c r="V103" s="324"/>
      <c r="W103" s="334"/>
      <c r="X103" s="335"/>
      <c r="Y103" s="335"/>
      <c r="Z103" s="335"/>
      <c r="AA103" s="335"/>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row>
    <row r="104" spans="1:57">
      <c r="A104" s="61"/>
      <c r="B104" s="335"/>
      <c r="C104" s="67"/>
      <c r="D104" s="61"/>
      <c r="E104" s="2136"/>
      <c r="F104" s="314"/>
      <c r="G104" s="314"/>
      <c r="H104" s="67" t="s">
        <v>21</v>
      </c>
      <c r="I104" s="67"/>
      <c r="J104" s="67"/>
      <c r="K104" s="66"/>
      <c r="L104" s="66"/>
      <c r="M104" s="66"/>
      <c r="O104" s="66"/>
      <c r="P104" s="66"/>
      <c r="Q104" s="66"/>
      <c r="R104" s="334"/>
      <c r="S104" s="335"/>
      <c r="T104" s="335"/>
      <c r="U104" s="335"/>
      <c r="V104" s="67" t="s">
        <v>21</v>
      </c>
      <c r="W104" s="61"/>
      <c r="X104" s="1284" t="s">
        <v>6</v>
      </c>
      <c r="Y104" s="1284" t="s">
        <v>7</v>
      </c>
      <c r="Z104" s="1284" t="s">
        <v>8</v>
      </c>
      <c r="AA104" s="1285" t="s">
        <v>9</v>
      </c>
      <c r="AB104" s="1286" t="s">
        <v>10</v>
      </c>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1287"/>
      <c r="BB104" s="61"/>
      <c r="BC104" s="61"/>
      <c r="BD104" s="61"/>
      <c r="BE104" s="61"/>
    </row>
    <row r="105" spans="1:57">
      <c r="A105" s="61"/>
      <c r="B105" s="335"/>
      <c r="C105" s="68"/>
      <c r="D105" s="75"/>
      <c r="E105" s="2136"/>
      <c r="F105" s="75"/>
      <c r="G105" s="75"/>
      <c r="H105" s="68" t="s">
        <v>51</v>
      </c>
      <c r="I105" s="68"/>
      <c r="J105" s="68"/>
      <c r="K105" s="66"/>
      <c r="L105" s="66"/>
      <c r="M105" s="66"/>
      <c r="O105" s="66"/>
      <c r="P105" s="66"/>
      <c r="Q105" s="66"/>
      <c r="R105" s="334"/>
      <c r="S105" s="335"/>
      <c r="T105" s="335"/>
      <c r="U105" s="335"/>
      <c r="V105" s="68" t="s">
        <v>51</v>
      </c>
      <c r="W105" s="1288">
        <f>SUM(X105:AA105)</f>
        <v>10046.98205938743</v>
      </c>
      <c r="X105" s="1289">
        <f>$AB$97</f>
        <v>3195.1397021606008</v>
      </c>
      <c r="Y105" s="1289">
        <f>AC97</f>
        <v>2856.5140706649299</v>
      </c>
      <c r="Z105" s="1288">
        <f>AD97</f>
        <v>2338.7513183038559</v>
      </c>
      <c r="AA105" s="1289">
        <f>AE97</f>
        <v>1656.5769682580435</v>
      </c>
      <c r="AB105" s="1290">
        <f>SUM(X105:AA105)</f>
        <v>10046.98205938743</v>
      </c>
      <c r="AC105" s="1291"/>
      <c r="AD105" s="1291"/>
      <c r="AE105" s="1291"/>
      <c r="AF105" s="1291"/>
      <c r="AG105" s="1291"/>
      <c r="AH105" s="1291"/>
      <c r="AI105" s="1291"/>
      <c r="AJ105" s="1291"/>
      <c r="AK105" s="1291"/>
      <c r="AL105" s="1291"/>
      <c r="AM105" s="1291"/>
      <c r="AN105" s="1291"/>
      <c r="AO105" s="1291"/>
      <c r="AP105" s="1291"/>
      <c r="AQ105" s="1291"/>
      <c r="AR105" s="1291"/>
      <c r="AS105" s="1291"/>
      <c r="AT105" s="1291"/>
      <c r="AU105" s="1291"/>
      <c r="AV105" s="1291"/>
      <c r="AW105" s="1291"/>
      <c r="AX105" s="1291"/>
      <c r="AY105" s="1291"/>
      <c r="AZ105" s="1291"/>
      <c r="BA105" s="1105"/>
      <c r="BB105" s="61"/>
      <c r="BC105" s="61"/>
      <c r="BD105" s="61"/>
      <c r="BE105" s="61"/>
    </row>
    <row r="106" spans="1:57">
      <c r="A106" s="61"/>
      <c r="B106" s="335"/>
      <c r="C106" s="68"/>
      <c r="D106" s="75"/>
      <c r="E106" s="66"/>
      <c r="F106" s="66"/>
      <c r="G106" s="66"/>
      <c r="H106" s="68" t="s">
        <v>37</v>
      </c>
      <c r="I106" s="68"/>
      <c r="J106" s="68"/>
      <c r="K106" s="66"/>
      <c r="L106" s="66"/>
      <c r="M106" s="66"/>
      <c r="O106" s="66"/>
      <c r="P106" s="66"/>
      <c r="Q106" s="66"/>
      <c r="R106" s="334"/>
      <c r="S106" s="335"/>
      <c r="T106" s="335"/>
      <c r="U106" s="335"/>
      <c r="V106" s="68" t="s">
        <v>37</v>
      </c>
      <c r="W106" s="1288">
        <f t="shared" ref="W106:W109" si="307">SUM(X106:AA106)</f>
        <v>1636.5628895716445</v>
      </c>
      <c r="X106" s="1292">
        <f>$AG$97</f>
        <v>521.62157200691763</v>
      </c>
      <c r="Y106" s="1292">
        <f t="shared" ref="Y106:AA106" si="308">AH97</f>
        <v>465.88668365290528</v>
      </c>
      <c r="Z106" s="1288">
        <f t="shared" si="308"/>
        <v>380.66735436217613</v>
      </c>
      <c r="AA106" s="1289">
        <f t="shared" si="308"/>
        <v>268.38727954964543</v>
      </c>
      <c r="AB106" s="1290">
        <f t="shared" ref="AB106:AB110" si="309">SUM(X106:AA106)</f>
        <v>1636.5628895716445</v>
      </c>
      <c r="AC106" s="1291"/>
      <c r="AD106" s="1291"/>
      <c r="AE106" s="1291"/>
      <c r="AF106" s="1291"/>
      <c r="AG106" s="1291"/>
      <c r="AH106" s="1291"/>
      <c r="AI106" s="1291"/>
      <c r="AJ106" s="1291"/>
      <c r="AK106" s="1291"/>
      <c r="AL106" s="1291"/>
      <c r="AM106" s="1291"/>
      <c r="AN106" s="1291"/>
      <c r="AO106" s="1291"/>
      <c r="AP106" s="1291"/>
      <c r="AQ106" s="1291"/>
      <c r="AR106" s="1291"/>
      <c r="AS106" s="1291"/>
      <c r="AT106" s="1291"/>
      <c r="AU106" s="1291"/>
      <c r="AV106" s="1291"/>
      <c r="AW106" s="1291"/>
      <c r="AX106" s="1291"/>
      <c r="AY106" s="1291"/>
      <c r="AZ106" s="1291"/>
      <c r="BA106" s="1105"/>
      <c r="BB106" s="61"/>
      <c r="BC106" s="61"/>
      <c r="BD106" s="61"/>
      <c r="BE106" s="61"/>
    </row>
    <row r="107" spans="1:57">
      <c r="A107" s="61"/>
      <c r="B107" s="335"/>
      <c r="C107" s="68"/>
      <c r="D107" s="75"/>
      <c r="E107" s="75"/>
      <c r="F107" s="75"/>
      <c r="G107" s="75"/>
      <c r="H107" s="68" t="s">
        <v>52</v>
      </c>
      <c r="I107" s="68"/>
      <c r="J107" s="68"/>
      <c r="K107" s="2680"/>
      <c r="L107" s="1929"/>
      <c r="M107" s="2680"/>
      <c r="O107" s="66"/>
      <c r="P107" s="66"/>
      <c r="Q107" s="66"/>
      <c r="R107" s="334"/>
      <c r="S107" s="335"/>
      <c r="T107" s="335"/>
      <c r="U107" s="335"/>
      <c r="V107" s="68" t="s">
        <v>52</v>
      </c>
      <c r="W107" s="1288">
        <f t="shared" si="307"/>
        <v>1362.5555503598771</v>
      </c>
      <c r="X107" s="1289">
        <f>$AL$97</f>
        <v>434.28723250073165</v>
      </c>
      <c r="Y107" s="1289">
        <f t="shared" ref="Y107:AA107" si="310">AM97</f>
        <v>387.88395526686691</v>
      </c>
      <c r="Z107" s="1288">
        <f t="shared" si="310"/>
        <v>316.9327740669674</v>
      </c>
      <c r="AA107" s="1289">
        <f t="shared" si="310"/>
        <v>223.45158852531117</v>
      </c>
      <c r="AB107" s="1290">
        <f t="shared" si="309"/>
        <v>1362.5555503598771</v>
      </c>
      <c r="AC107" s="1291"/>
      <c r="AD107" s="1291"/>
      <c r="AE107" s="1291"/>
      <c r="AF107" s="1291"/>
      <c r="AG107" s="1291"/>
      <c r="AH107" s="1291"/>
      <c r="AI107" s="1291"/>
      <c r="AJ107" s="1291"/>
      <c r="AK107" s="1291"/>
      <c r="AL107" s="1291"/>
      <c r="AM107" s="1291"/>
      <c r="AN107" s="1291"/>
      <c r="AO107" s="1291"/>
      <c r="AP107" s="1291"/>
      <c r="AQ107" s="1291"/>
      <c r="AR107" s="1291"/>
      <c r="AS107" s="1291"/>
      <c r="AT107" s="1291"/>
      <c r="AU107" s="1291"/>
      <c r="AV107" s="1291"/>
      <c r="AW107" s="1291"/>
      <c r="AX107" s="1291"/>
      <c r="AY107" s="1291"/>
      <c r="AZ107" s="1291"/>
      <c r="BA107" s="1105"/>
      <c r="BB107" s="61"/>
      <c r="BC107" s="61"/>
      <c r="BD107" s="61"/>
      <c r="BE107" s="61"/>
    </row>
    <row r="108" spans="1:57">
      <c r="A108" s="61"/>
      <c r="B108" s="335"/>
      <c r="C108" s="68"/>
      <c r="D108" s="75"/>
      <c r="E108" s="1293"/>
      <c r="F108" s="1293"/>
      <c r="G108" s="1293"/>
      <c r="H108" s="68" t="s">
        <v>25</v>
      </c>
      <c r="I108" s="68"/>
      <c r="J108" s="68"/>
      <c r="K108" s="2680"/>
      <c r="L108" s="1929"/>
      <c r="M108" s="2680"/>
      <c r="O108" s="66"/>
      <c r="P108" s="66"/>
      <c r="Q108" s="66"/>
      <c r="R108" s="1294" t="s">
        <v>12</v>
      </c>
      <c r="S108" s="335"/>
      <c r="T108" s="335"/>
      <c r="U108" s="335"/>
      <c r="V108" s="68" t="s">
        <v>25</v>
      </c>
      <c r="W108" s="1288">
        <f t="shared" si="307"/>
        <v>14.879999999999999</v>
      </c>
      <c r="X108" s="1295">
        <f>$AQ$97</f>
        <v>3.7199999999999998</v>
      </c>
      <c r="Y108" s="1295">
        <f>AR97</f>
        <v>3.7199999999999998</v>
      </c>
      <c r="Z108" s="1296">
        <f>AS97</f>
        <v>3.7199999999999998</v>
      </c>
      <c r="AA108" s="1295">
        <f>AT97</f>
        <v>3.7199999999999998</v>
      </c>
      <c r="AB108" s="1290">
        <f t="shared" si="309"/>
        <v>14.879999999999999</v>
      </c>
      <c r="AC108" s="1297"/>
      <c r="AD108" s="1297"/>
      <c r="AE108" s="1297"/>
      <c r="AF108" s="1297"/>
      <c r="AG108" s="1297"/>
      <c r="AH108" s="1297"/>
      <c r="AI108" s="1297"/>
      <c r="AJ108" s="1297"/>
      <c r="AK108" s="1297"/>
      <c r="AL108" s="1297"/>
      <c r="AM108" s="1297"/>
      <c r="AN108" s="1297"/>
      <c r="AO108" s="1297"/>
      <c r="AP108" s="1297"/>
      <c r="AQ108" s="1297"/>
      <c r="AR108" s="1297"/>
      <c r="AS108" s="1297"/>
      <c r="AT108" s="1297"/>
      <c r="AU108" s="1297"/>
      <c r="AV108" s="1297"/>
      <c r="AW108" s="1297"/>
      <c r="AX108" s="1297"/>
      <c r="AY108" s="1297"/>
      <c r="AZ108" s="1297"/>
      <c r="BA108" s="1105"/>
      <c r="BB108" s="1298"/>
      <c r="BC108" s="1298"/>
      <c r="BD108" s="1298"/>
      <c r="BE108" s="1298"/>
    </row>
    <row r="109" spans="1:57" ht="15.75">
      <c r="A109" s="61"/>
      <c r="B109" s="335"/>
      <c r="C109" s="68"/>
      <c r="D109" s="75"/>
      <c r="E109" s="1293"/>
      <c r="F109" s="1293"/>
      <c r="G109" s="1293"/>
      <c r="H109" s="68" t="s">
        <v>40</v>
      </c>
      <c r="I109" s="68"/>
      <c r="J109" s="68"/>
      <c r="K109" s="1299"/>
      <c r="L109" s="1299"/>
      <c r="M109" s="1300"/>
      <c r="O109" s="66"/>
      <c r="P109" s="66"/>
      <c r="Q109" s="66"/>
      <c r="R109" s="1294"/>
      <c r="S109" s="335"/>
      <c r="T109" s="335"/>
      <c r="U109" s="335"/>
      <c r="V109" s="68" t="s">
        <v>40</v>
      </c>
      <c r="W109" s="1288">
        <f t="shared" si="307"/>
        <v>0</v>
      </c>
      <c r="X109" s="1295">
        <f>$AV$97</f>
        <v>0</v>
      </c>
      <c r="Y109" s="1295">
        <f t="shared" ref="Y109:AA109" si="311">AW97</f>
        <v>0</v>
      </c>
      <c r="Z109" s="1296">
        <f t="shared" si="311"/>
        <v>0</v>
      </c>
      <c r="AA109" s="1295">
        <f t="shared" si="311"/>
        <v>0</v>
      </c>
      <c r="AB109" s="1290">
        <f t="shared" si="309"/>
        <v>0</v>
      </c>
      <c r="AC109" s="1297"/>
      <c r="AD109" s="1297"/>
      <c r="AE109" s="1297"/>
      <c r="AF109" s="1297"/>
      <c r="AG109" s="1297"/>
      <c r="AH109" s="1297"/>
      <c r="AI109" s="1297"/>
      <c r="AJ109" s="1297"/>
      <c r="AK109" s="1297"/>
      <c r="AL109" s="1297"/>
      <c r="AM109" s="1297"/>
      <c r="AN109" s="1297"/>
      <c r="AO109" s="1297"/>
      <c r="AP109" s="1297"/>
      <c r="AQ109" s="1297"/>
      <c r="AR109" s="1297"/>
      <c r="AS109" s="1297"/>
      <c r="AT109" s="1297"/>
      <c r="AU109" s="1297"/>
      <c r="AV109" s="1297"/>
      <c r="AW109" s="1297"/>
      <c r="AX109" s="1297"/>
      <c r="AY109" s="1297"/>
      <c r="AZ109" s="1297"/>
      <c r="BA109" s="1105"/>
      <c r="BB109" s="1298"/>
      <c r="BC109" s="1298"/>
      <c r="BD109" s="1298"/>
      <c r="BE109" s="1298"/>
    </row>
    <row r="110" spans="1:57" ht="15.75">
      <c r="A110" s="61"/>
      <c r="B110" s="335"/>
      <c r="C110" s="1301"/>
      <c r="D110" s="77"/>
      <c r="E110" s="75"/>
      <c r="F110" s="75"/>
      <c r="G110" s="75"/>
      <c r="H110" s="1302" t="s">
        <v>740</v>
      </c>
      <c r="I110" s="1302"/>
      <c r="J110" s="1302"/>
      <c r="K110" s="1303"/>
      <c r="L110" s="1303"/>
      <c r="M110" s="1300"/>
      <c r="O110" s="66"/>
      <c r="P110" s="66"/>
      <c r="Q110" s="66"/>
      <c r="R110" s="334"/>
      <c r="S110" s="335"/>
      <c r="T110" s="335"/>
      <c r="U110" s="1304"/>
      <c r="V110" s="1302" t="s">
        <v>740</v>
      </c>
      <c r="W110" s="1305">
        <f>SUM(W105:W109)</f>
        <v>13060.980499318952</v>
      </c>
      <c r="X110" s="1289">
        <f>SUM(X105:X109)</f>
        <v>4154.7685066682507</v>
      </c>
      <c r="Y110" s="1289">
        <f t="shared" ref="Y110:AA110" si="312">SUM(Y105:Y109)</f>
        <v>3714.0047095847017</v>
      </c>
      <c r="Z110" s="1288">
        <f t="shared" si="312"/>
        <v>3040.071446732999</v>
      </c>
      <c r="AA110" s="1289">
        <f t="shared" si="312"/>
        <v>2152.135836333</v>
      </c>
      <c r="AB110" s="1290">
        <f t="shared" si="309"/>
        <v>13060.98049931895</v>
      </c>
      <c r="AC110" s="1291"/>
      <c r="AD110" s="1291"/>
      <c r="AE110" s="1291"/>
      <c r="AF110" s="1291"/>
      <c r="AG110" s="1291"/>
      <c r="AH110" s="1291"/>
      <c r="AI110" s="1291"/>
      <c r="AJ110" s="1291"/>
      <c r="AK110" s="1291"/>
      <c r="AL110" s="1291"/>
      <c r="AM110" s="1291"/>
      <c r="AN110" s="1291"/>
      <c r="AO110" s="1291"/>
      <c r="AP110" s="1291"/>
      <c r="AQ110" s="1291"/>
      <c r="AR110" s="1291"/>
      <c r="AS110" s="1291"/>
      <c r="AT110" s="1291"/>
      <c r="AU110" s="1291"/>
      <c r="AV110" s="1291"/>
      <c r="AW110" s="1291"/>
      <c r="AX110" s="1291"/>
      <c r="AY110" s="1291"/>
      <c r="AZ110" s="1291"/>
      <c r="BA110" s="1306"/>
      <c r="BB110" s="61"/>
      <c r="BC110" s="61"/>
      <c r="BD110" s="61"/>
      <c r="BE110" s="61"/>
    </row>
    <row r="111" spans="1:57" ht="15.75">
      <c r="A111" s="52"/>
      <c r="B111" s="326"/>
      <c r="C111" s="71"/>
      <c r="D111" s="72"/>
      <c r="E111" s="554"/>
      <c r="F111" s="554"/>
      <c r="G111" s="554"/>
      <c r="H111" s="71" t="s">
        <v>56</v>
      </c>
      <c r="I111" s="71"/>
      <c r="J111" s="71"/>
      <c r="K111" s="1303"/>
      <c r="L111" s="1303"/>
      <c r="M111" s="1300"/>
      <c r="O111" s="31"/>
      <c r="P111" s="31"/>
      <c r="Q111" s="31"/>
      <c r="R111" s="325"/>
      <c r="S111" s="326"/>
      <c r="T111" s="326"/>
      <c r="U111" s="326"/>
      <c r="V111" s="71" t="s">
        <v>56</v>
      </c>
      <c r="W111" s="72" t="str">
        <f>IF(W110=V97,"Correct","Incorrect")</f>
        <v>Correct</v>
      </c>
      <c r="X111" s="1307"/>
      <c r="Y111" s="1307"/>
      <c r="Z111" s="1308"/>
      <c r="AA111" s="1307"/>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2"/>
      <c r="BA111" s="52"/>
      <c r="BB111" s="52"/>
      <c r="BC111" s="52"/>
      <c r="BD111" s="52"/>
      <c r="BE111" s="52"/>
    </row>
    <row r="112" spans="1:57" ht="15.75">
      <c r="A112" s="61"/>
      <c r="B112" s="65"/>
      <c r="C112" s="59"/>
      <c r="D112" s="61"/>
      <c r="E112" s="61"/>
      <c r="F112" s="1309"/>
      <c r="G112" s="1310"/>
      <c r="K112" s="1303"/>
      <c r="L112" s="1303"/>
      <c r="M112" s="1300"/>
      <c r="N112" s="1300"/>
      <c r="O112" s="66"/>
      <c r="P112" s="66"/>
      <c r="Q112" s="66"/>
      <c r="R112" s="334"/>
      <c r="S112" s="335"/>
      <c r="T112" s="335"/>
      <c r="U112" s="335"/>
      <c r="V112" s="335"/>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row>
    <row r="113" spans="1:57" ht="15.75">
      <c r="A113" s="61"/>
      <c r="B113" s="65"/>
      <c r="C113" s="59"/>
      <c r="D113" s="61"/>
      <c r="E113" s="61"/>
      <c r="F113" s="1309"/>
      <c r="G113" s="1310"/>
      <c r="H113" s="1310"/>
      <c r="I113" s="1310"/>
      <c r="J113" s="1310"/>
      <c r="K113" s="1303"/>
      <c r="L113" s="1303"/>
      <c r="M113" s="1300"/>
      <c r="N113" s="1300"/>
      <c r="O113" s="66"/>
      <c r="P113" s="66"/>
      <c r="Q113" s="66"/>
      <c r="R113" s="1311"/>
      <c r="S113" s="1311"/>
      <c r="T113" s="1311"/>
      <c r="U113" s="1311"/>
      <c r="V113" s="131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row>
    <row r="114" spans="1:57" ht="15.75">
      <c r="A114" s="63"/>
      <c r="B114" s="65"/>
      <c r="C114" s="59"/>
      <c r="D114" s="61"/>
      <c r="E114" s="61"/>
      <c r="F114" s="1309"/>
      <c r="G114" s="1310"/>
      <c r="H114" s="1312"/>
      <c r="I114" s="1312"/>
      <c r="J114" s="1312"/>
      <c r="K114" s="1303"/>
      <c r="L114" s="1303"/>
      <c r="M114" s="1300"/>
      <c r="N114" s="1300"/>
      <c r="O114" s="66"/>
      <c r="P114" s="66"/>
      <c r="Q114" s="66"/>
      <c r="R114" s="1313"/>
      <c r="S114" s="1313"/>
      <c r="T114" s="1313"/>
      <c r="U114" s="1313"/>
      <c r="V114" s="1313"/>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row>
    <row r="115" spans="1:57" ht="15.75">
      <c r="A115" s="63"/>
      <c r="B115" s="65"/>
      <c r="C115" s="59"/>
      <c r="D115" s="61"/>
      <c r="E115" s="61"/>
      <c r="F115" s="1314"/>
      <c r="G115" s="1315"/>
      <c r="H115" s="1315"/>
      <c r="I115" s="1315"/>
      <c r="J115" s="1315"/>
      <c r="K115" s="1316"/>
      <c r="L115" s="1316"/>
      <c r="M115" s="1317"/>
      <c r="N115" s="1317"/>
      <c r="O115" s="66"/>
      <c r="P115" s="66"/>
      <c r="Q115" s="66"/>
      <c r="R115" s="1318"/>
      <c r="S115" s="1318"/>
      <c r="T115" s="1318"/>
      <c r="U115" s="1318"/>
      <c r="V115" s="2137" t="s">
        <v>1339</v>
      </c>
      <c r="W115" s="344">
        <f>V71</f>
        <v>12942.30049931895</v>
      </c>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row>
    <row r="116" spans="1:57">
      <c r="A116" s="63"/>
      <c r="B116" s="65"/>
      <c r="C116" s="59"/>
      <c r="D116" s="61"/>
      <c r="E116" s="61"/>
      <c r="F116" s="61"/>
      <c r="G116" s="61"/>
      <c r="H116" s="314"/>
      <c r="I116" s="314"/>
      <c r="J116" s="314"/>
      <c r="K116" s="61"/>
      <c r="L116" s="61"/>
      <c r="M116" s="61"/>
      <c r="N116" s="61"/>
      <c r="O116" s="61"/>
      <c r="P116" s="61"/>
      <c r="Q116" s="61"/>
      <c r="R116" s="61"/>
      <c r="S116" s="61"/>
      <c r="T116" s="61"/>
      <c r="U116" s="61"/>
      <c r="V116" s="68" t="s">
        <v>1340</v>
      </c>
      <c r="W116" s="344">
        <f>V96</f>
        <v>118.67999999999999</v>
      </c>
      <c r="X116" s="335"/>
      <c r="Y116" s="335"/>
      <c r="Z116" s="335"/>
      <c r="AA116" s="335"/>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row>
    <row r="117" spans="1:57">
      <c r="A117" s="63"/>
      <c r="B117" s="65"/>
      <c r="C117" s="59"/>
      <c r="D117" s="61"/>
      <c r="E117" s="61"/>
      <c r="F117" s="61"/>
      <c r="G117" s="61"/>
      <c r="H117" s="314"/>
      <c r="I117" s="314"/>
      <c r="J117" s="314"/>
      <c r="K117" s="61"/>
      <c r="L117" s="61"/>
      <c r="M117" s="61"/>
      <c r="N117" s="61"/>
      <c r="O117" s="61"/>
      <c r="P117" s="61"/>
      <c r="Q117" s="61"/>
      <c r="R117" s="61"/>
      <c r="S117" s="61"/>
      <c r="T117" s="61"/>
      <c r="U117" s="61"/>
      <c r="V117" s="61"/>
      <c r="W117" s="2138">
        <f>SUM(W115:W116)</f>
        <v>13060.98049931895</v>
      </c>
      <c r="X117" s="335"/>
      <c r="Y117" s="335"/>
      <c r="Z117" s="335"/>
      <c r="AA117" s="335"/>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row>
    <row r="118" spans="1:57">
      <c r="A118" s="63"/>
      <c r="B118" s="65"/>
      <c r="C118" s="59"/>
      <c r="D118" s="61"/>
      <c r="E118" s="61"/>
      <c r="F118" s="61"/>
      <c r="G118" s="61"/>
      <c r="H118" s="314"/>
      <c r="I118" s="314"/>
      <c r="J118" s="314"/>
      <c r="K118" s="61"/>
      <c r="L118" s="61"/>
      <c r="M118" s="61"/>
      <c r="N118" s="61"/>
      <c r="O118" s="61"/>
      <c r="P118" s="61"/>
      <c r="Q118" s="61"/>
      <c r="R118" s="61"/>
      <c r="S118" s="61"/>
      <c r="T118" s="61"/>
      <c r="U118" s="61"/>
      <c r="V118" s="1319"/>
      <c r="W118" s="334"/>
      <c r="X118" s="335"/>
      <c r="Y118" s="335"/>
      <c r="Z118" s="335"/>
      <c r="AA118" s="335"/>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row>
    <row r="119" spans="1:57">
      <c r="A119" s="63"/>
      <c r="B119" s="65"/>
      <c r="C119" s="59"/>
      <c r="D119" s="61"/>
      <c r="E119" s="61"/>
      <c r="F119" s="61"/>
      <c r="G119" s="61"/>
      <c r="H119" s="314"/>
      <c r="I119" s="314"/>
      <c r="J119" s="314"/>
      <c r="K119" s="61"/>
      <c r="L119" s="61"/>
      <c r="M119" s="61"/>
      <c r="N119" s="61"/>
      <c r="O119" s="61"/>
      <c r="P119" s="61"/>
      <c r="Q119" s="61"/>
      <c r="R119" s="61"/>
      <c r="S119" s="61"/>
      <c r="T119" s="61"/>
      <c r="U119" s="61"/>
      <c r="V119" s="1319"/>
      <c r="W119" s="334"/>
      <c r="X119" s="335"/>
      <c r="Y119" s="335"/>
      <c r="Z119" s="335"/>
      <c r="AA119" s="335"/>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row>
    <row r="120" spans="1:57">
      <c r="A120" s="63"/>
      <c r="B120" s="65"/>
      <c r="C120" s="59"/>
      <c r="D120" s="61"/>
      <c r="E120" s="61"/>
      <c r="F120" s="61"/>
      <c r="G120" s="61"/>
      <c r="H120" s="314"/>
      <c r="I120" s="314"/>
      <c r="J120" s="314"/>
      <c r="K120" s="61"/>
      <c r="L120" s="61"/>
      <c r="M120" s="61"/>
      <c r="N120" s="61"/>
      <c r="O120" s="61"/>
      <c r="P120" s="61"/>
      <c r="Q120" s="61"/>
      <c r="R120" s="61"/>
      <c r="S120" s="61"/>
      <c r="T120" s="61"/>
      <c r="U120" s="61"/>
      <c r="V120" s="1319"/>
      <c r="W120" s="334"/>
      <c r="X120" s="335"/>
      <c r="Y120" s="335"/>
      <c r="Z120" s="335"/>
      <c r="AA120" s="335"/>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row>
    <row r="121" spans="1:57">
      <c r="A121" s="63"/>
      <c r="B121" s="65"/>
      <c r="C121" s="59"/>
      <c r="D121" s="61"/>
      <c r="E121" s="61"/>
      <c r="F121" s="61"/>
      <c r="G121" s="61"/>
      <c r="H121" s="314"/>
      <c r="I121" s="314"/>
      <c r="J121" s="314"/>
      <c r="K121" s="61"/>
      <c r="L121" s="61"/>
      <c r="M121" s="61"/>
      <c r="N121" s="61"/>
      <c r="O121" s="61"/>
      <c r="P121" s="61"/>
      <c r="Q121" s="61"/>
      <c r="R121" s="61"/>
      <c r="S121" s="61"/>
      <c r="T121" s="61"/>
      <c r="U121" s="61"/>
      <c r="V121" s="1319"/>
      <c r="W121" s="334"/>
      <c r="X121" s="335"/>
      <c r="Y121" s="335"/>
      <c r="Z121" s="335"/>
      <c r="AA121" s="335"/>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row>
    <row r="122" spans="1:57">
      <c r="A122" s="63"/>
      <c r="B122" s="65"/>
      <c r="C122" s="59"/>
      <c r="D122" s="61"/>
      <c r="E122" s="61"/>
      <c r="F122" s="61"/>
      <c r="G122" s="61"/>
      <c r="H122" s="1535">
        <f>K13+K16</f>
        <v>2268396.4674249999</v>
      </c>
      <c r="I122" s="1535"/>
      <c r="J122" s="1535"/>
      <c r="K122" s="1535">
        <v>2123018.5</v>
      </c>
      <c r="L122" s="344">
        <f>H122-K122</f>
        <v>145377.96742499992</v>
      </c>
      <c r="M122" s="61"/>
      <c r="N122" s="61"/>
      <c r="O122" s="61"/>
      <c r="P122" s="61"/>
      <c r="Q122" s="61"/>
      <c r="R122" s="61"/>
      <c r="S122" s="61"/>
      <c r="T122" s="61"/>
      <c r="U122" s="61"/>
      <c r="V122" s="1319"/>
      <c r="W122" s="334"/>
      <c r="X122" s="335"/>
      <c r="Y122" s="335"/>
      <c r="Z122" s="335"/>
      <c r="AA122" s="335"/>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row>
    <row r="123" spans="1:57">
      <c r="A123" s="63"/>
      <c r="B123" s="65"/>
      <c r="C123" s="59"/>
      <c r="D123" s="61"/>
      <c r="E123" s="61"/>
      <c r="F123" s="61"/>
      <c r="G123" s="61"/>
      <c r="H123" s="1535">
        <f>K19+K22</f>
        <v>2782313.6000000006</v>
      </c>
      <c r="I123" s="1535"/>
      <c r="J123" s="1535"/>
      <c r="K123" s="1535">
        <v>2684299.5699999998</v>
      </c>
      <c r="L123" s="344">
        <f t="shared" ref="L123:L125" si="313">H123-K123</f>
        <v>98014.030000000726</v>
      </c>
      <c r="M123" s="61"/>
      <c r="N123" s="61"/>
      <c r="O123" s="61"/>
      <c r="P123" s="61"/>
      <c r="Q123" s="61"/>
      <c r="R123" s="61"/>
      <c r="S123" s="61"/>
      <c r="T123" s="61"/>
      <c r="U123" s="61"/>
      <c r="V123" s="1319"/>
      <c r="W123" s="334"/>
      <c r="X123" s="335"/>
      <c r="Y123" s="335"/>
      <c r="Z123" s="335"/>
      <c r="AA123" s="335"/>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row>
    <row r="124" spans="1:57">
      <c r="A124" s="63"/>
      <c r="B124" s="65"/>
      <c r="C124" s="59"/>
      <c r="D124" s="61"/>
      <c r="E124" s="61"/>
      <c r="F124" s="61"/>
      <c r="G124" s="61"/>
      <c r="H124" s="1535">
        <f>K25+K28</f>
        <v>1822085.37</v>
      </c>
      <c r="I124" s="1535"/>
      <c r="J124" s="1535"/>
      <c r="K124" s="1535">
        <v>1714195.29</v>
      </c>
      <c r="L124" s="344">
        <f t="shared" si="313"/>
        <v>107890.08000000007</v>
      </c>
      <c r="M124" s="61"/>
      <c r="N124" s="61"/>
      <c r="O124" s="61"/>
      <c r="P124" s="61"/>
      <c r="Q124" s="61"/>
      <c r="R124" s="61"/>
      <c r="S124" s="61"/>
      <c r="T124" s="61"/>
      <c r="U124" s="61"/>
      <c r="V124" s="1319"/>
      <c r="W124" s="334"/>
      <c r="X124" s="335"/>
      <c r="Y124" s="335"/>
      <c r="Z124" s="335"/>
      <c r="AA124" s="335"/>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row>
    <row r="125" spans="1:57">
      <c r="A125" s="63"/>
      <c r="B125" s="65"/>
      <c r="C125" s="59"/>
      <c r="D125" s="61"/>
      <c r="E125" s="61"/>
      <c r="F125" s="61"/>
      <c r="G125" s="61"/>
      <c r="H125" s="1535">
        <f>K31+K34</f>
        <v>2260799.6674000002</v>
      </c>
      <c r="I125" s="1535"/>
      <c r="J125" s="1535"/>
      <c r="K125" s="1535">
        <v>2144304.98</v>
      </c>
      <c r="L125" s="344">
        <f t="shared" si="313"/>
        <v>116494.68740000017</v>
      </c>
      <c r="M125" s="61"/>
      <c r="N125" s="61"/>
      <c r="O125" s="61"/>
      <c r="P125" s="61"/>
      <c r="Q125" s="61"/>
      <c r="R125" s="61"/>
      <c r="S125" s="61"/>
      <c r="T125" s="61"/>
      <c r="U125" s="61"/>
      <c r="V125" s="1319"/>
      <c r="W125" s="334"/>
      <c r="X125" s="335"/>
      <c r="Y125" s="335"/>
      <c r="Z125" s="335"/>
      <c r="AA125" s="335"/>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row>
  </sheetData>
  <autoFilter ref="BH1:BH125" xr:uid="{00000000-0009-0000-0000-000005000000}"/>
  <mergeCells count="60">
    <mergeCell ref="B5:B7"/>
    <mergeCell ref="C5:C7"/>
    <mergeCell ref="D5:F7"/>
    <mergeCell ref="H5:H7"/>
    <mergeCell ref="I5:I7"/>
    <mergeCell ref="D18:G18"/>
    <mergeCell ref="K5:K7"/>
    <mergeCell ref="AB5:AZ5"/>
    <mergeCell ref="L6:L7"/>
    <mergeCell ref="AB6:AF6"/>
    <mergeCell ref="AG6:AK6"/>
    <mergeCell ref="AL6:AP6"/>
    <mergeCell ref="AQ6:AU6"/>
    <mergeCell ref="AV6:AZ6"/>
    <mergeCell ref="J5:J7"/>
    <mergeCell ref="C11:D11"/>
    <mergeCell ref="D12:G12"/>
    <mergeCell ref="D13:G13"/>
    <mergeCell ref="D15:G15"/>
    <mergeCell ref="D16:G16"/>
    <mergeCell ref="C37:D37"/>
    <mergeCell ref="D19:G19"/>
    <mergeCell ref="D21:G21"/>
    <mergeCell ref="D22:G22"/>
    <mergeCell ref="D24:G24"/>
    <mergeCell ref="D25:G25"/>
    <mergeCell ref="D27:G27"/>
    <mergeCell ref="D28:G28"/>
    <mergeCell ref="D30:G30"/>
    <mergeCell ref="D31:G31"/>
    <mergeCell ref="D33:G33"/>
    <mergeCell ref="D34:G34"/>
    <mergeCell ref="D54:G54"/>
    <mergeCell ref="D38:G38"/>
    <mergeCell ref="D39:G39"/>
    <mergeCell ref="D41:G41"/>
    <mergeCell ref="D42:G42"/>
    <mergeCell ref="D44:G44"/>
    <mergeCell ref="D45:G45"/>
    <mergeCell ref="D47:G47"/>
    <mergeCell ref="D48:G48"/>
    <mergeCell ref="D50:G50"/>
    <mergeCell ref="D51:G51"/>
    <mergeCell ref="D53:G53"/>
    <mergeCell ref="D56:G56"/>
    <mergeCell ref="D57:G57"/>
    <mergeCell ref="D59:G59"/>
    <mergeCell ref="D60:G60"/>
    <mergeCell ref="A63:B63"/>
    <mergeCell ref="C63:D63"/>
    <mergeCell ref="F93:G93"/>
    <mergeCell ref="D102:J103"/>
    <mergeCell ref="K107:K108"/>
    <mergeCell ref="M107:M108"/>
    <mergeCell ref="D64:G64"/>
    <mergeCell ref="D65:G65"/>
    <mergeCell ref="D67:G67"/>
    <mergeCell ref="D68:G68"/>
    <mergeCell ref="F90:G90"/>
    <mergeCell ref="F92:G92"/>
  </mergeCells>
  <printOptions horizontalCentered="1" headings="1"/>
  <pageMargins left="0.39370078740157483" right="0.39370078740157483" top="0.39370078740157483" bottom="0.39370078740157483" header="0.51181102362204722" footer="0.51181102362204722"/>
  <pageSetup paperSize="8" scale="83" fitToHeight="3" orientation="landscape" r:id="rId1"/>
  <headerFooter>
    <oddHeader>&amp;L&amp;"Arial,Italic"&amp;12&amp;K002060CFAVC&amp;R&amp;"Arial,Italic"&amp;12AWPB 2020
Annex 4c</oddHeader>
    <oddFooter>&amp;R&amp;"Calibri,Italic"&amp;12Annex 4c - Page &amp;P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32"/>
  <sheetViews>
    <sheetView showGridLines="0" topLeftCell="A8" zoomScale="90" zoomScaleNormal="90" workbookViewId="0">
      <selection activeCell="N13" sqref="N13"/>
    </sheetView>
  </sheetViews>
  <sheetFormatPr defaultRowHeight="12.75"/>
  <cols>
    <col min="2" max="2" width="11.85546875" customWidth="1"/>
    <col min="3" max="3" width="21.85546875" bestFit="1" customWidth="1"/>
    <col min="4" max="7" width="13.85546875" customWidth="1"/>
    <col min="8" max="8" width="15.140625" customWidth="1"/>
    <col min="9" max="9" width="2.42578125" customWidth="1"/>
    <col min="10" max="10" width="10.42578125" bestFit="1" customWidth="1"/>
  </cols>
  <sheetData>
    <row r="2" spans="2:11">
      <c r="B2" s="53" t="s">
        <v>35</v>
      </c>
      <c r="C2" s="6"/>
    </row>
    <row r="3" spans="2:11">
      <c r="B3" s="6" t="s">
        <v>1491</v>
      </c>
      <c r="C3" s="6"/>
    </row>
    <row r="4" spans="2:11">
      <c r="B4" s="6" t="s">
        <v>111</v>
      </c>
      <c r="C4" s="6"/>
    </row>
    <row r="6" spans="2:11" ht="25.5" customHeight="1">
      <c r="B6" s="2718" t="s">
        <v>16</v>
      </c>
      <c r="C6" s="34" t="s">
        <v>4</v>
      </c>
      <c r="D6" s="2720" t="s">
        <v>64</v>
      </c>
      <c r="E6" s="2721"/>
      <c r="F6" s="2721"/>
      <c r="G6" s="2721"/>
      <c r="H6" s="2722"/>
    </row>
    <row r="7" spans="2:11">
      <c r="B7" s="2719"/>
      <c r="C7" s="35"/>
      <c r="D7" s="377" t="s">
        <v>6</v>
      </c>
      <c r="E7" s="378" t="s">
        <v>7</v>
      </c>
      <c r="F7" s="377" t="s">
        <v>8</v>
      </c>
      <c r="G7" s="377" t="s">
        <v>9</v>
      </c>
      <c r="H7" s="36" t="s">
        <v>10</v>
      </c>
    </row>
    <row r="8" spans="2:11" ht="5.25" customHeight="1">
      <c r="B8" s="11"/>
      <c r="D8" s="9"/>
      <c r="F8" s="9"/>
      <c r="H8" s="21"/>
    </row>
    <row r="9" spans="2:11" ht="12.75" customHeight="1">
      <c r="B9" s="2717" t="s">
        <v>13</v>
      </c>
      <c r="C9" t="s">
        <v>109</v>
      </c>
      <c r="D9" s="2504">
        <f>'Annex 3_MAFF'!AA608</f>
        <v>728.09391416024619</v>
      </c>
      <c r="E9" s="2504">
        <f>'Annex 3_MAFF'!AB608</f>
        <v>1790.2325131718917</v>
      </c>
      <c r="F9" s="2504">
        <f>'Annex 3_MAFF'!AC608</f>
        <v>1857.0779741692816</v>
      </c>
      <c r="G9" s="2504">
        <f>'Annex 3_MAFF'!AD608</f>
        <v>1322.5285484985832</v>
      </c>
      <c r="H9" s="2504">
        <f>SUM(D9:G9)</f>
        <v>5697.9329500000031</v>
      </c>
    </row>
    <row r="10" spans="2:11" ht="12.75" customHeight="1">
      <c r="B10" s="2717"/>
      <c r="C10" t="s">
        <v>37</v>
      </c>
      <c r="D10" s="2504">
        <f>'Annex 3_MAFF'!AA609</f>
        <v>0</v>
      </c>
      <c r="E10" s="2504">
        <f>'Annex 3_MAFF'!AB609</f>
        <v>0</v>
      </c>
      <c r="F10" s="2504">
        <f>'Annex 3_MAFF'!AC609</f>
        <v>0</v>
      </c>
      <c r="G10" s="2504">
        <f>'Annex 3_MAFF'!AD609</f>
        <v>0</v>
      </c>
      <c r="H10" s="2504">
        <f>SUM(D10:G10)</f>
        <v>0</v>
      </c>
    </row>
    <row r="11" spans="2:11" ht="12.75" customHeight="1">
      <c r="B11" s="2717"/>
      <c r="C11" t="s">
        <v>38</v>
      </c>
      <c r="D11" s="2504">
        <f>'Annex 3_MAFF'!AA610</f>
        <v>1198.962389394004</v>
      </c>
      <c r="E11" s="2504">
        <f>'Annex 3_MAFF'!AB610</f>
        <v>2948.0008139320862</v>
      </c>
      <c r="F11" s="2504">
        <f>'Annex 3_MAFF'!AC610</f>
        <v>3058.0761655850529</v>
      </c>
      <c r="G11" s="2504">
        <f>'Annex 3_MAFF'!AD610</f>
        <v>2177.8261810888548</v>
      </c>
      <c r="H11" s="2504">
        <f>SUM(D11:G11)</f>
        <v>9382.8655499999986</v>
      </c>
    </row>
    <row r="12" spans="2:11" ht="12.75" customHeight="1">
      <c r="B12" s="2717"/>
      <c r="C12" t="s">
        <v>25</v>
      </c>
      <c r="D12" s="2504">
        <f>'Annex 3_MAFF'!AA611</f>
        <v>173.07320562541955</v>
      </c>
      <c r="E12" s="2504">
        <f>'Annex 3_MAFF'!AB611</f>
        <v>425.5512562920797</v>
      </c>
      <c r="F12" s="2504">
        <f>'Annex 3_MAFF'!AC611</f>
        <v>441.44090732654911</v>
      </c>
      <c r="G12" s="2504">
        <f>'Annex 3_MAFF'!AD611</f>
        <v>314.37463075595161</v>
      </c>
      <c r="H12" s="2504">
        <f>SUM(D12:G12)</f>
        <v>1354.4399999999998</v>
      </c>
    </row>
    <row r="13" spans="2:11" ht="12.75" customHeight="1">
      <c r="B13" s="2717"/>
      <c r="C13" t="s">
        <v>40</v>
      </c>
      <c r="D13" s="2504">
        <f>'Annex 3_MAFF'!AA612</f>
        <v>57.10327082032979</v>
      </c>
      <c r="E13" s="2504">
        <f>'Annex 3_MAFF'!AB612</f>
        <v>140.405145603943</v>
      </c>
      <c r="F13" s="2504">
        <f>'Annex 3_MAFF'!AC612</f>
        <v>145.64773091911658</v>
      </c>
      <c r="G13" s="2504">
        <f>'Annex 3_MAFF'!AD612</f>
        <v>103.72385265661059</v>
      </c>
      <c r="H13" s="2504">
        <f>SUM(D13:G13)</f>
        <v>446.87999999999994</v>
      </c>
    </row>
    <row r="14" spans="2:11" ht="12.75" customHeight="1">
      <c r="B14" s="2723"/>
      <c r="C14" s="12" t="s">
        <v>10</v>
      </c>
      <c r="D14" s="2505">
        <f>SUM(D9:D13)</f>
        <v>2157.2327799999994</v>
      </c>
      <c r="E14" s="2505">
        <f>SUM(E9:E13)</f>
        <v>5304.1897290000006</v>
      </c>
      <c r="F14" s="2505">
        <f>SUM(F9:F13)</f>
        <v>5502.2427779999998</v>
      </c>
      <c r="G14" s="2505">
        <f>SUM(G9:G13)</f>
        <v>3918.4532130000002</v>
      </c>
      <c r="H14" s="2505">
        <f>SUM(H9:H13)</f>
        <v>16882.1185</v>
      </c>
      <c r="J14" s="379"/>
      <c r="K14" s="380"/>
    </row>
    <row r="15" spans="2:11" ht="12.75" customHeight="1">
      <c r="B15" s="2717" t="s">
        <v>62</v>
      </c>
      <c r="C15" t="s">
        <v>109</v>
      </c>
      <c r="D15" s="2504">
        <f>'Annex 4_MoWRAM'!E104</f>
        <v>15.990000000000002</v>
      </c>
      <c r="E15" s="2504">
        <f>'Annex 4_MoWRAM'!F104</f>
        <v>5332.3213648504116</v>
      </c>
      <c r="F15" s="2504">
        <f>'Annex 4_MoWRAM'!G104</f>
        <v>4928.5018378172008</v>
      </c>
      <c r="G15" s="2504">
        <f>'Annex 4_MoWRAM'!H104</f>
        <v>2868.3676667919203</v>
      </c>
      <c r="H15" s="2504">
        <f>SUM(D15:G15)</f>
        <v>13145.180869459533</v>
      </c>
      <c r="I15" s="13"/>
      <c r="J15" s="379"/>
      <c r="K15" s="380"/>
    </row>
    <row r="16" spans="2:11" ht="12.75" customHeight="1">
      <c r="B16" s="2717"/>
      <c r="C16" t="s">
        <v>37</v>
      </c>
      <c r="D16" s="2504">
        <f>'Annex 4_MoWRAM'!E105</f>
        <v>0</v>
      </c>
      <c r="E16" s="2504">
        <f>'Annex 4_MoWRAM'!F105</f>
        <v>516.65857107151635</v>
      </c>
      <c r="F16" s="2504">
        <f>'Annex 4_MoWRAM'!G105</f>
        <v>534.40086804938994</v>
      </c>
      <c r="G16" s="2504">
        <f>'Annex 4_MoWRAM'!H105</f>
        <v>450.30103999690533</v>
      </c>
      <c r="H16" s="2504">
        <f>SUM(D16:G16)</f>
        <v>1501.3604791178116</v>
      </c>
      <c r="I16" s="13"/>
      <c r="J16" s="379"/>
      <c r="K16" s="380"/>
    </row>
    <row r="17" spans="2:13" ht="12.75" customHeight="1">
      <c r="B17" s="2717"/>
      <c r="C17" t="s">
        <v>38</v>
      </c>
      <c r="D17" s="2504">
        <f>'Annex 4_MoWRAM'!E106</f>
        <v>48.5</v>
      </c>
      <c r="E17" s="2504">
        <f>'Annex 4_MoWRAM'!F106</f>
        <v>665.96356407807116</v>
      </c>
      <c r="F17" s="2504">
        <f>'Annex 4_MoWRAM'!G106</f>
        <v>644.43379413340824</v>
      </c>
      <c r="G17" s="2504">
        <f>'Annex 4_MoWRAM'!H106</f>
        <v>428.22229321117453</v>
      </c>
      <c r="H17" s="2504">
        <f>SUM(D17:G17)</f>
        <v>1787.119651422654</v>
      </c>
      <c r="I17" s="13"/>
      <c r="J17" s="379"/>
      <c r="K17" s="380"/>
    </row>
    <row r="18" spans="2:13" ht="12.75" customHeight="1">
      <c r="B18" s="2717"/>
      <c r="C18" t="s">
        <v>25</v>
      </c>
      <c r="D18" s="2504">
        <f>'Annex 4_MoWRAM'!E107</f>
        <v>12.059999999999999</v>
      </c>
      <c r="E18" s="2504">
        <f>'Annex 4_MoWRAM'!F107</f>
        <v>12.059999999999999</v>
      </c>
      <c r="F18" s="2504">
        <f>'Annex 4_MoWRAM'!G107</f>
        <v>12.059999999999999</v>
      </c>
      <c r="G18" s="2504">
        <f>'Annex 4_MoWRAM'!H107</f>
        <v>12.059999999999999</v>
      </c>
      <c r="H18" s="2504">
        <f>SUM(D18:G18)</f>
        <v>48.239999999999995</v>
      </c>
      <c r="I18" s="13"/>
      <c r="J18" s="379"/>
      <c r="K18" s="380"/>
    </row>
    <row r="19" spans="2:13" ht="12.75" customHeight="1">
      <c r="B19" s="2717"/>
      <c r="C19" t="s">
        <v>40</v>
      </c>
      <c r="D19" s="2504"/>
      <c r="E19" s="2504"/>
      <c r="F19" s="2504"/>
      <c r="G19" s="2504"/>
      <c r="H19" s="2504"/>
      <c r="I19" s="13"/>
      <c r="J19" s="379"/>
      <c r="K19" s="380"/>
      <c r="M19" t="s">
        <v>110</v>
      </c>
    </row>
    <row r="20" spans="2:13" ht="12.75" customHeight="1">
      <c r="B20" s="2723"/>
      <c r="C20" s="12" t="s">
        <v>10</v>
      </c>
      <c r="D20" s="2505">
        <f>SUM(D15:D19)</f>
        <v>76.550000000000011</v>
      </c>
      <c r="E20" s="2505">
        <f>SUM(E15:E19)</f>
        <v>6527.0034999999998</v>
      </c>
      <c r="F20" s="2505">
        <f>SUM(F15:F19)</f>
        <v>6119.3964999999989</v>
      </c>
      <c r="G20" s="2505">
        <f>SUM(G15:G19)</f>
        <v>3758.951</v>
      </c>
      <c r="H20" s="2505">
        <f>SUM(H15:H19)</f>
        <v>16481.901000000002</v>
      </c>
      <c r="I20" s="13"/>
      <c r="J20" s="379"/>
      <c r="K20" s="380"/>
    </row>
    <row r="21" spans="2:13" ht="12.75" customHeight="1">
      <c r="B21" s="2717" t="s">
        <v>58</v>
      </c>
      <c r="C21" s="1321" t="s">
        <v>109</v>
      </c>
      <c r="D21" s="2506">
        <f>'Annex 5_MRD'!X105</f>
        <v>3195.1397021606008</v>
      </c>
      <c r="E21" s="2506">
        <f>'Annex 5_MRD'!Y105</f>
        <v>2856.5140706649299</v>
      </c>
      <c r="F21" s="2506">
        <f>'Annex 5_MRD'!Z105</f>
        <v>2338.7513183038559</v>
      </c>
      <c r="G21" s="2506">
        <f>'Annex 5_MRD'!AA105</f>
        <v>1656.5769682580435</v>
      </c>
      <c r="H21" s="2504">
        <f>SUM(D21:G21)</f>
        <v>10046.98205938743</v>
      </c>
      <c r="I21" s="13"/>
      <c r="J21" s="379"/>
      <c r="K21" s="380"/>
    </row>
    <row r="22" spans="2:13" ht="12.75" customHeight="1">
      <c r="B22" s="2717"/>
      <c r="C22" s="1321" t="s">
        <v>37</v>
      </c>
      <c r="D22" s="2506">
        <f>'Annex 5_MRD'!X106</f>
        <v>521.62157200691763</v>
      </c>
      <c r="E22" s="2506">
        <f>'Annex 5_MRD'!Y106</f>
        <v>465.88668365290528</v>
      </c>
      <c r="F22" s="2506">
        <f>'Annex 5_MRD'!Z106</f>
        <v>380.66735436217613</v>
      </c>
      <c r="G22" s="2506">
        <f>'Annex 5_MRD'!AA106</f>
        <v>268.38727954964543</v>
      </c>
      <c r="H22" s="2504">
        <f>SUM(D22:G22)</f>
        <v>1636.5628895716445</v>
      </c>
      <c r="I22" s="13"/>
      <c r="J22" s="379"/>
      <c r="K22" s="380"/>
    </row>
    <row r="23" spans="2:13" ht="12.75" customHeight="1">
      <c r="B23" s="2717"/>
      <c r="C23" s="1321" t="s">
        <v>38</v>
      </c>
      <c r="D23" s="2506">
        <f>'Annex 5_MRD'!X107</f>
        <v>434.28723250073165</v>
      </c>
      <c r="E23" s="2506">
        <f>'Annex 5_MRD'!Y107</f>
        <v>387.88395526686691</v>
      </c>
      <c r="F23" s="2506">
        <f>'Annex 5_MRD'!Z107</f>
        <v>316.9327740669674</v>
      </c>
      <c r="G23" s="2506">
        <f>'Annex 5_MRD'!AA107</f>
        <v>223.45158852531117</v>
      </c>
      <c r="H23" s="2504">
        <f>SUM(D23:G23)</f>
        <v>1362.5555503598771</v>
      </c>
      <c r="I23" s="13"/>
      <c r="J23" s="379"/>
      <c r="K23" s="380"/>
    </row>
    <row r="24" spans="2:13" ht="12.75" customHeight="1">
      <c r="B24" s="2717"/>
      <c r="C24" s="1321" t="s">
        <v>25</v>
      </c>
      <c r="D24" s="2506">
        <f>'Annex 5_MRD'!X108</f>
        <v>3.7199999999999998</v>
      </c>
      <c r="E24" s="2506">
        <f>'Annex 5_MRD'!Y108</f>
        <v>3.7199999999999998</v>
      </c>
      <c r="F24" s="2506">
        <f>'Annex 5_MRD'!Z108</f>
        <v>3.7199999999999998</v>
      </c>
      <c r="G24" s="2506">
        <f>'Annex 5_MRD'!AA108</f>
        <v>3.7199999999999998</v>
      </c>
      <c r="H24" s="2504">
        <f>SUM(D24:G24)</f>
        <v>14.879999999999999</v>
      </c>
      <c r="I24" s="13"/>
      <c r="J24" s="379"/>
      <c r="K24" s="380"/>
    </row>
    <row r="25" spans="2:13" ht="12.75" customHeight="1">
      <c r="B25" s="2717"/>
      <c r="C25" s="1321" t="s">
        <v>40</v>
      </c>
      <c r="D25" s="2506">
        <f>'Annex 5_MRD'!X109</f>
        <v>0</v>
      </c>
      <c r="E25" s="2506">
        <f>'Annex 5_MRD'!Y109</f>
        <v>0</v>
      </c>
      <c r="F25" s="2506">
        <f>'Annex 5_MRD'!Z109</f>
        <v>0</v>
      </c>
      <c r="G25" s="2506">
        <f>'Annex 5_MRD'!AA109</f>
        <v>0</v>
      </c>
      <c r="H25" s="2504">
        <f>SUM(D25:G25)</f>
        <v>0</v>
      </c>
      <c r="I25" s="13"/>
      <c r="J25" s="379"/>
      <c r="K25" s="380"/>
    </row>
    <row r="26" spans="2:13" ht="12.75" customHeight="1">
      <c r="B26" s="2723"/>
      <c r="C26" s="180" t="s">
        <v>10</v>
      </c>
      <c r="D26" s="2505">
        <f>SUM(D21:D25)</f>
        <v>4154.7685066682507</v>
      </c>
      <c r="E26" s="2505">
        <f>SUM(E21:E25)</f>
        <v>3714.0047095847017</v>
      </c>
      <c r="F26" s="2505">
        <f>SUM(F21:F25)</f>
        <v>3040.071446732999</v>
      </c>
      <c r="G26" s="2505">
        <f>SUM(G21:G25)</f>
        <v>2152.135836333</v>
      </c>
      <c r="H26" s="2505">
        <f>SUM(H21:H25)</f>
        <v>13060.980499318952</v>
      </c>
      <c r="I26" s="13"/>
      <c r="J26" s="379"/>
      <c r="K26" s="380"/>
    </row>
    <row r="27" spans="2:13" ht="12.75" customHeight="1">
      <c r="B27" s="2716" t="s">
        <v>17</v>
      </c>
      <c r="C27" t="s">
        <v>109</v>
      </c>
      <c r="D27" s="2507">
        <f>SUM(,D21,D15,D9)</f>
        <v>3939.2236163208468</v>
      </c>
      <c r="E27" s="2507">
        <f>SUM(E21,E15,E9)</f>
        <v>9979.0679486872323</v>
      </c>
      <c r="F27" s="2507">
        <f>SUM(F21,F15,F9)</f>
        <v>9124.3311302903385</v>
      </c>
      <c r="G27" s="2507">
        <f>SUM(G21,G15,G9)</f>
        <v>5847.4731835485472</v>
      </c>
      <c r="H27" s="2508">
        <f>SUM(D27:G27)</f>
        <v>28890.095878846965</v>
      </c>
      <c r="I27" s="13"/>
    </row>
    <row r="28" spans="2:13" ht="12.75" customHeight="1">
      <c r="B28" s="2716"/>
      <c r="C28" t="s">
        <v>37</v>
      </c>
      <c r="D28" s="2507">
        <f>SUM(,D22,D16,D10)</f>
        <v>521.62157200691763</v>
      </c>
      <c r="E28" s="2507">
        <f t="shared" ref="E28:G31" si="0">SUM(E22,E16,E10)</f>
        <v>982.54525472442162</v>
      </c>
      <c r="F28" s="2507">
        <f t="shared" si="0"/>
        <v>915.06822241156601</v>
      </c>
      <c r="G28" s="2507">
        <f t="shared" si="0"/>
        <v>718.6883195465507</v>
      </c>
      <c r="H28" s="2508">
        <f>SUM(D28:G28)</f>
        <v>3137.9233686894559</v>
      </c>
      <c r="I28" s="13"/>
    </row>
    <row r="29" spans="2:13" ht="12.75" customHeight="1">
      <c r="B29" s="2716"/>
      <c r="C29" t="s">
        <v>38</v>
      </c>
      <c r="D29" s="2507">
        <f>SUM(,D23,D17,D11)</f>
        <v>1681.7496218947358</v>
      </c>
      <c r="E29" s="2507">
        <f t="shared" si="0"/>
        <v>4001.8483332770243</v>
      </c>
      <c r="F29" s="2507">
        <f>SUM(F23,F17,F11)</f>
        <v>4019.4427337854286</v>
      </c>
      <c r="G29" s="2507">
        <f t="shared" si="0"/>
        <v>2829.5000628253406</v>
      </c>
      <c r="H29" s="2508">
        <f>SUM(D29:G29)</f>
        <v>12532.54075178253</v>
      </c>
      <c r="I29" s="13"/>
    </row>
    <row r="30" spans="2:13" ht="12.75" customHeight="1">
      <c r="B30" s="2717"/>
      <c r="C30" t="s">
        <v>25</v>
      </c>
      <c r="D30" s="2507">
        <f>SUM(,D24,D18,D12)</f>
        <v>188.85320562541955</v>
      </c>
      <c r="E30" s="2507">
        <f t="shared" si="0"/>
        <v>441.33125629207967</v>
      </c>
      <c r="F30" s="2507">
        <f t="shared" si="0"/>
        <v>457.22090732654908</v>
      </c>
      <c r="G30" s="2507">
        <f t="shared" si="0"/>
        <v>330.15463075595159</v>
      </c>
      <c r="H30" s="2508">
        <f>SUM(D30:G30)</f>
        <v>1417.56</v>
      </c>
      <c r="I30" s="13"/>
    </row>
    <row r="31" spans="2:13" ht="12.75" customHeight="1">
      <c r="B31" s="1008"/>
      <c r="C31" t="s">
        <v>40</v>
      </c>
      <c r="D31" s="2507">
        <f>SUM(,D25,D19,D13)</f>
        <v>57.10327082032979</v>
      </c>
      <c r="E31" s="2507">
        <f t="shared" si="0"/>
        <v>140.405145603943</v>
      </c>
      <c r="F31" s="2507">
        <f>SUM(F25,F19,F13)</f>
        <v>145.64773091911658</v>
      </c>
      <c r="G31" s="2507">
        <f t="shared" si="0"/>
        <v>103.72385265661059</v>
      </c>
      <c r="H31" s="2508">
        <f>SUM(D31:G31)</f>
        <v>446.87999999999994</v>
      </c>
      <c r="I31" s="13"/>
    </row>
    <row r="32" spans="2:13" ht="20.25" customHeight="1">
      <c r="B32" s="14" t="s">
        <v>15</v>
      </c>
      <c r="C32" s="15"/>
      <c r="D32" s="2509">
        <f>SUM(D27:D31)</f>
        <v>6388.5512866682511</v>
      </c>
      <c r="E32" s="2509">
        <f>SUM(E27:E31)</f>
        <v>15545.197938584703</v>
      </c>
      <c r="F32" s="2509">
        <f>SUM(F27:F31)</f>
        <v>14661.710724732999</v>
      </c>
      <c r="G32" s="2509">
        <f>SUM(G27:G31)</f>
        <v>9829.5400493329998</v>
      </c>
      <c r="H32" s="2509">
        <f>SUM(H27:H31)</f>
        <v>46424.999999318949</v>
      </c>
      <c r="I32" s="13"/>
      <c r="J32" s="197"/>
    </row>
  </sheetData>
  <mergeCells count="6">
    <mergeCell ref="B27:B30"/>
    <mergeCell ref="B6:B7"/>
    <mergeCell ref="D6:H6"/>
    <mergeCell ref="B9:B14"/>
    <mergeCell ref="B15:B20"/>
    <mergeCell ref="B21:B26"/>
  </mergeCells>
  <pageMargins left="0.45866141700000002" right="0.45866141700000002" top="0.74803149606299202" bottom="0.74803149606299202" header="0.31496062992126" footer="0.31496062992126"/>
  <pageSetup paperSize="9"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H28"/>
  <sheetViews>
    <sheetView topLeftCell="A14" zoomScaleNormal="100" workbookViewId="0">
      <selection activeCell="C25" sqref="C25"/>
    </sheetView>
  </sheetViews>
  <sheetFormatPr defaultRowHeight="12.75"/>
  <cols>
    <col min="1" max="1" width="74.85546875" customWidth="1"/>
    <col min="2" max="2" width="14.85546875" hidden="1" customWidth="1"/>
    <col min="3" max="3" width="12.42578125" customWidth="1"/>
    <col min="4" max="4" width="11.140625" customWidth="1"/>
    <col min="5" max="5" width="11.5703125" customWidth="1"/>
    <col min="6" max="6" width="11.42578125" customWidth="1"/>
    <col min="8" max="8" width="11.85546875" hidden="1" customWidth="1"/>
  </cols>
  <sheetData>
    <row r="3" spans="1:8" ht="36" customHeight="1" thickBot="1">
      <c r="A3" s="2724" t="s">
        <v>1495</v>
      </c>
      <c r="B3" s="2724"/>
      <c r="C3" s="2724"/>
      <c r="D3" s="2724"/>
      <c r="E3" s="2724"/>
      <c r="F3" s="2724"/>
    </row>
    <row r="4" spans="1:8" ht="20.25" customHeight="1" thickTop="1">
      <c r="A4" s="1325"/>
      <c r="B4" s="1326"/>
      <c r="C4" s="1327" t="s">
        <v>13</v>
      </c>
      <c r="D4" s="1327" t="s">
        <v>62</v>
      </c>
      <c r="E4" s="1327" t="s">
        <v>58</v>
      </c>
      <c r="F4" s="1328" t="s">
        <v>14</v>
      </c>
    </row>
    <row r="5" spans="1:8" ht="33.75">
      <c r="A5" s="1330" t="s">
        <v>756</v>
      </c>
      <c r="B5" s="1329" t="s">
        <v>285</v>
      </c>
      <c r="C5" s="1853">
        <f>'Annex 3_MAFF'!S12</f>
        <v>805.61699999999996</v>
      </c>
      <c r="D5" s="1853">
        <f>'Annex 4_MoWRAM'!V37+'Annex 4_MoWRAM'!V46</f>
        <v>16172.201000000005</v>
      </c>
      <c r="E5" s="1853">
        <v>0</v>
      </c>
      <c r="F5" s="2204">
        <f>SUM(C5:E5)</f>
        <v>16977.818000000003</v>
      </c>
      <c r="H5" s="1322" t="s">
        <v>112</v>
      </c>
    </row>
    <row r="6" spans="1:8" ht="33.75">
      <c r="A6" s="1330" t="s">
        <v>757</v>
      </c>
      <c r="B6" s="1329" t="s">
        <v>288</v>
      </c>
      <c r="C6" s="1853">
        <f>'Annex 3_MAFF'!S32</f>
        <v>461.85</v>
      </c>
      <c r="D6" s="1853">
        <v>0</v>
      </c>
      <c r="E6" s="1853">
        <v>0</v>
      </c>
      <c r="F6" s="2204">
        <f>SUM(C6:E6)</f>
        <v>461.85</v>
      </c>
    </row>
    <row r="7" spans="1:8" ht="66.75" customHeight="1">
      <c r="A7" s="1330" t="s">
        <v>758</v>
      </c>
      <c r="B7" s="1329" t="s">
        <v>181</v>
      </c>
      <c r="C7" s="1853">
        <v>0</v>
      </c>
      <c r="D7" s="1853">
        <v>0</v>
      </c>
      <c r="E7" s="1853">
        <f>'Annex 5_MRD'!V71</f>
        <v>12942.30049931895</v>
      </c>
      <c r="F7" s="2204">
        <f>SUM(C7:E7)</f>
        <v>12942.30049931895</v>
      </c>
    </row>
    <row r="8" spans="1:8" ht="33.75">
      <c r="A8" s="1330" t="s">
        <v>759</v>
      </c>
      <c r="B8" s="1329" t="s">
        <v>293</v>
      </c>
      <c r="C8" s="1853">
        <f>'Annex 3_MAFF'!S94</f>
        <v>669.14909999999998</v>
      </c>
      <c r="D8" s="1853">
        <v>0</v>
      </c>
      <c r="E8" s="1853">
        <v>0</v>
      </c>
      <c r="F8" s="2204">
        <f>SUM(C8:E8)</f>
        <v>669.14909999999998</v>
      </c>
    </row>
    <row r="9" spans="1:8" ht="33.75">
      <c r="A9" s="1330" t="s">
        <v>760</v>
      </c>
      <c r="B9" s="1329" t="s">
        <v>187</v>
      </c>
      <c r="C9" s="1853">
        <f>'Annex 3_MAFF'!S158</f>
        <v>5083.8999999999996</v>
      </c>
      <c r="D9" s="1853">
        <v>0</v>
      </c>
      <c r="E9" s="1853">
        <v>0</v>
      </c>
      <c r="F9" s="2204">
        <f>SUM(C9:E9)</f>
        <v>5083.8999999999996</v>
      </c>
    </row>
    <row r="10" spans="1:8" ht="23.25">
      <c r="A10" s="1336" t="s">
        <v>583</v>
      </c>
      <c r="B10" s="1331"/>
      <c r="C10" s="2201">
        <f>SUM(C5:C9)</f>
        <v>7020.5160999999998</v>
      </c>
      <c r="D10" s="2201">
        <f>SUM(D5:D9)</f>
        <v>16172.201000000005</v>
      </c>
      <c r="E10" s="2201">
        <f>SUM(E5:E9)</f>
        <v>12942.30049931895</v>
      </c>
      <c r="F10" s="2202">
        <f>SUM(F5:F9)</f>
        <v>36135.017599318948</v>
      </c>
    </row>
    <row r="11" spans="1:8" ht="33.75">
      <c r="A11" s="1330" t="s">
        <v>761</v>
      </c>
      <c r="B11" s="1329" t="s">
        <v>298</v>
      </c>
      <c r="C11" s="2203">
        <f>'Annex 3_MAFF'!S187</f>
        <v>441</v>
      </c>
      <c r="D11" s="1853">
        <v>0</v>
      </c>
      <c r="E11" s="1853">
        <v>0</v>
      </c>
      <c r="F11" s="2204">
        <f>SUM(C11:E11)</f>
        <v>441</v>
      </c>
    </row>
    <row r="12" spans="1:8" ht="33.75">
      <c r="A12" s="1330" t="s">
        <v>762</v>
      </c>
      <c r="B12" s="1329" t="s">
        <v>301</v>
      </c>
      <c r="C12" s="1853">
        <f>'Annex 3_MAFF'!S275</f>
        <v>1381.3600000000001</v>
      </c>
      <c r="D12" s="1853">
        <f>'Annex 4_MoWRAM'!V65</f>
        <v>197.5</v>
      </c>
      <c r="E12" s="1853">
        <v>0</v>
      </c>
      <c r="F12" s="2204">
        <f>SUM(C12:E12)</f>
        <v>1578.8600000000001</v>
      </c>
    </row>
    <row r="13" spans="1:8" ht="33.75">
      <c r="A13" s="1330" t="s">
        <v>763</v>
      </c>
      <c r="B13" s="1329" t="s">
        <v>303</v>
      </c>
      <c r="C13" s="2203">
        <f>'Annex 3_MAFF'!S314</f>
        <v>1629.4538300000004</v>
      </c>
      <c r="D13" s="1853">
        <v>0</v>
      </c>
      <c r="E13" s="1853">
        <v>0</v>
      </c>
      <c r="F13" s="2204">
        <f>SUM(C13:E13)</f>
        <v>1629.4538300000004</v>
      </c>
    </row>
    <row r="14" spans="1:8" ht="23.25">
      <c r="A14" s="1336" t="s">
        <v>583</v>
      </c>
      <c r="B14" s="1331"/>
      <c r="C14" s="2201">
        <f>SUM(C11:C13)</f>
        <v>3451.8138300000005</v>
      </c>
      <c r="D14" s="2201">
        <f>SUM(D11:D13)</f>
        <v>197.5</v>
      </c>
      <c r="E14" s="2201">
        <f>SUM(E11:E13)</f>
        <v>0</v>
      </c>
      <c r="F14" s="2202">
        <f>SUM(F11:F13)</f>
        <v>3649.3138300000005</v>
      </c>
    </row>
    <row r="15" spans="1:8" ht="33.75">
      <c r="A15" s="1330" t="s">
        <v>764</v>
      </c>
      <c r="B15" s="1329" t="s">
        <v>306</v>
      </c>
      <c r="C15" s="1853">
        <f>'Annex 3_MAFF'!S354</f>
        <v>321.8</v>
      </c>
      <c r="D15" s="1853">
        <v>0</v>
      </c>
      <c r="E15" s="1853">
        <v>0</v>
      </c>
      <c r="F15" s="2204">
        <f>SUM(C15:E15)</f>
        <v>321.8</v>
      </c>
    </row>
    <row r="16" spans="1:8" ht="33.75">
      <c r="A16" s="1330" t="s">
        <v>765</v>
      </c>
      <c r="B16" s="1329" t="s">
        <v>309</v>
      </c>
      <c r="C16" s="1853">
        <f>'Annex 3_MAFF'!S410</f>
        <v>1052</v>
      </c>
      <c r="D16" s="1853">
        <v>0</v>
      </c>
      <c r="E16" s="1853">
        <v>0</v>
      </c>
      <c r="F16" s="2204">
        <f>SUM(C16:E16)</f>
        <v>1052</v>
      </c>
    </row>
    <row r="17" spans="1:6" ht="46.5">
      <c r="A17" s="1330" t="s">
        <v>766</v>
      </c>
      <c r="B17" s="1329" t="s">
        <v>258</v>
      </c>
      <c r="C17" s="1853">
        <f>'Annex 3_MAFF'!S430</f>
        <v>2000.4455500000001</v>
      </c>
      <c r="D17" s="1853">
        <v>0</v>
      </c>
      <c r="E17" s="1853">
        <v>0</v>
      </c>
      <c r="F17" s="2204">
        <f>SUM(C17:E17)</f>
        <v>2000.4455500000001</v>
      </c>
    </row>
    <row r="18" spans="1:6" ht="23.25">
      <c r="A18" s="1336" t="s">
        <v>583</v>
      </c>
      <c r="B18" s="1329"/>
      <c r="C18" s="2201">
        <f>SUM(C15:C17)</f>
        <v>3374.2455500000001</v>
      </c>
      <c r="D18" s="2201">
        <f>SUM(D15:D17)</f>
        <v>0</v>
      </c>
      <c r="E18" s="2201">
        <f>SUM(E14:E17)</f>
        <v>0</v>
      </c>
      <c r="F18" s="2202">
        <f>SUM(F15:F17)</f>
        <v>3374.2455500000001</v>
      </c>
    </row>
    <row r="19" spans="1:6" ht="24" thickBot="1">
      <c r="A19" s="2206" t="s">
        <v>1494</v>
      </c>
      <c r="B19" s="1332"/>
      <c r="C19" s="2207">
        <f>SUM(C18,C14,C10)</f>
        <v>13846.57548</v>
      </c>
      <c r="D19" s="2207">
        <f>D18+D14+D10</f>
        <v>16369.701000000005</v>
      </c>
      <c r="E19" s="2207">
        <f>E18+E14+E10</f>
        <v>12942.30049931895</v>
      </c>
      <c r="F19" s="2208">
        <f>F18+F14+F10</f>
        <v>43158.576979318947</v>
      </c>
    </row>
    <row r="20" spans="1:6" ht="13.5" thickTop="1">
      <c r="A20" s="2210" t="s">
        <v>378</v>
      </c>
      <c r="B20" s="1333"/>
      <c r="C20" s="2209"/>
      <c r="D20" s="2209"/>
      <c r="E20" s="2209"/>
      <c r="F20" s="2209"/>
    </row>
    <row r="21" spans="1:6">
      <c r="A21" s="2210" t="s">
        <v>13</v>
      </c>
      <c r="B21" s="1334" t="s">
        <v>374</v>
      </c>
      <c r="C21" s="2381">
        <f>'Annex 3_MAFF'!S460+'Annex 3_MAFF'!S602</f>
        <v>3035.5430199999996</v>
      </c>
      <c r="D21" s="747">
        <v>0</v>
      </c>
      <c r="E21" s="747"/>
      <c r="F21" s="2382">
        <f>SUM(C21:E21)</f>
        <v>3035.5430199999996</v>
      </c>
    </row>
    <row r="22" spans="1:6">
      <c r="A22" s="2210" t="s">
        <v>62</v>
      </c>
      <c r="B22" s="1334" t="s">
        <v>375</v>
      </c>
      <c r="C22" s="747">
        <v>0</v>
      </c>
      <c r="D22" s="747">
        <f>'Annex 4_MoWRAM'!V100</f>
        <v>112.2</v>
      </c>
      <c r="E22" s="747">
        <v>0</v>
      </c>
      <c r="F22" s="2211">
        <f>SUM(C22:E22)</f>
        <v>112.2</v>
      </c>
    </row>
    <row r="23" spans="1:6">
      <c r="A23" s="2210" t="s">
        <v>58</v>
      </c>
      <c r="B23" s="1334" t="s">
        <v>376</v>
      </c>
      <c r="C23" s="747">
        <v>0</v>
      </c>
      <c r="D23" s="747">
        <v>0</v>
      </c>
      <c r="E23" s="747">
        <f>'Annex 5_MRD'!V96</f>
        <v>118.67999999999999</v>
      </c>
      <c r="F23" s="2211">
        <f>SUM(C23:E23)</f>
        <v>118.67999999999999</v>
      </c>
    </row>
    <row r="24" spans="1:6">
      <c r="A24" s="2356" t="s">
        <v>1496</v>
      </c>
      <c r="B24" s="2357"/>
      <c r="C24" s="2358">
        <f>SUM(C21:C23)</f>
        <v>3035.5430199999996</v>
      </c>
      <c r="D24" s="2358">
        <f t="shared" ref="D24:E24" si="0">SUM(D21:D23)</f>
        <v>112.2</v>
      </c>
      <c r="E24" s="2358">
        <f t="shared" si="0"/>
        <v>118.67999999999999</v>
      </c>
      <c r="F24" s="2358">
        <f>SUM(F21:F23)</f>
        <v>3266.4230199999993</v>
      </c>
    </row>
    <row r="25" spans="1:6" ht="23.25">
      <c r="A25" s="2205" t="s">
        <v>1497</v>
      </c>
      <c r="B25" s="482"/>
      <c r="C25" s="1337">
        <f>C19+C24</f>
        <v>16882.1185</v>
      </c>
      <c r="D25" s="1337">
        <f t="shared" ref="D25:E25" si="1">D19+D24</f>
        <v>16481.901000000005</v>
      </c>
      <c r="E25" s="1337">
        <f t="shared" si="1"/>
        <v>13060.98049931895</v>
      </c>
      <c r="F25" s="1337">
        <f>F19+F24</f>
        <v>46424.999999318949</v>
      </c>
    </row>
    <row r="26" spans="1:6" hidden="1">
      <c r="C26" s="449"/>
      <c r="E26" s="481"/>
      <c r="F26" s="380">
        <f>SUM(C25:E25)</f>
        <v>46424.999999318956</v>
      </c>
    </row>
    <row r="27" spans="1:6" hidden="1">
      <c r="A27" s="1699" t="s">
        <v>1024</v>
      </c>
      <c r="C27" s="1335">
        <f>'Annex 3_MAFF'!S618</f>
        <v>4030.1825500000004</v>
      </c>
      <c r="E27" s="449"/>
      <c r="F27" s="1323">
        <f>SUM(F21:F23)</f>
        <v>3266.4230199999993</v>
      </c>
    </row>
    <row r="28" spans="1:6" hidden="1">
      <c r="C28" s="449">
        <f>C27-'Annex 3_MAFF'!S602</f>
        <v>1733.1735300000005</v>
      </c>
      <c r="E28" s="449"/>
      <c r="F28" s="449">
        <f>F19+F27</f>
        <v>46424.999999318949</v>
      </c>
    </row>
  </sheetData>
  <mergeCells count="1">
    <mergeCell ref="A3:F3"/>
  </mergeCells>
  <pageMargins left="0.95" right="0.7" top="0.75" bottom="0.75" header="0.3" footer="0.3"/>
  <pageSetup paperSize="9" scale="80" orientation="portrait" horizont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7"/>
  <sheetViews>
    <sheetView workbookViewId="0">
      <selection activeCell="B3" sqref="B3"/>
    </sheetView>
  </sheetViews>
  <sheetFormatPr defaultRowHeight="12.75"/>
  <cols>
    <col min="1" max="1" width="12.140625" customWidth="1"/>
    <col min="2" max="6" width="14.7109375" customWidth="1"/>
  </cols>
  <sheetData>
    <row r="2" spans="1:6">
      <c r="B2" t="s">
        <v>1627</v>
      </c>
    </row>
    <row r="4" spans="1:6">
      <c r="B4" s="2400" t="s">
        <v>6</v>
      </c>
      <c r="C4" s="2400" t="s">
        <v>7</v>
      </c>
      <c r="D4" s="2400" t="s">
        <v>8</v>
      </c>
      <c r="E4" s="2400" t="s">
        <v>9</v>
      </c>
      <c r="F4" s="2400" t="s">
        <v>10</v>
      </c>
    </row>
    <row r="5" spans="1:6">
      <c r="A5" s="2401" t="s">
        <v>1616</v>
      </c>
      <c r="B5" s="2402">
        <v>2598448.7799999998</v>
      </c>
      <c r="C5" s="2402">
        <v>5157117.7300000004</v>
      </c>
      <c r="D5" s="2402">
        <v>5355170.78</v>
      </c>
      <c r="E5" s="2402">
        <v>3771381.21</v>
      </c>
      <c r="F5" s="2402">
        <f>SUM(B5:E5)</f>
        <v>16882118.5</v>
      </c>
    </row>
    <row r="6" spans="1:6">
      <c r="A6" s="6" t="s">
        <v>1617</v>
      </c>
      <c r="B6" s="2403">
        <v>2257560</v>
      </c>
      <c r="C6" s="2403">
        <v>5605360</v>
      </c>
      <c r="D6" s="2403">
        <v>5666290</v>
      </c>
      <c r="E6" s="2403">
        <v>3859210</v>
      </c>
      <c r="F6" s="2403">
        <f>SUM(B6:E6)</f>
        <v>17388420</v>
      </c>
    </row>
    <row r="7" spans="1:6">
      <c r="B7" s="2404">
        <f>B5-B6</f>
        <v>340888.7799999998</v>
      </c>
      <c r="C7" s="2404">
        <f t="shared" ref="C7:F7" si="0">C5-C6</f>
        <v>-448242.26999999955</v>
      </c>
      <c r="D7" s="2404">
        <f t="shared" si="0"/>
        <v>-311119.21999999974</v>
      </c>
      <c r="E7" s="2404">
        <f t="shared" si="0"/>
        <v>-87828.790000000037</v>
      </c>
      <c r="F7" s="2404">
        <f t="shared" si="0"/>
        <v>-506301.5</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Annex-IOC-MAFF</vt:lpstr>
      <vt:lpstr>Annex 1_Summary</vt:lpstr>
      <vt:lpstr>Annex 2_Code</vt:lpstr>
      <vt:lpstr>Annex 3_MAFF</vt:lpstr>
      <vt:lpstr>Annex 4_MoWRAM</vt:lpstr>
      <vt:lpstr>Annex 5_MRD</vt:lpstr>
      <vt:lpstr>Summary by EA, Source &amp; Qtr </vt:lpstr>
      <vt:lpstr>Output</vt:lpstr>
      <vt:lpstr>Comparison Approved &amp; Draft</vt:lpstr>
      <vt:lpstr>Total Inputs_MAFF</vt:lpstr>
      <vt:lpstr>'Annex 1_Summary'!Print_Area</vt:lpstr>
      <vt:lpstr>'Annex 4_MoWRAM'!Print_Area</vt:lpstr>
      <vt:lpstr>'Annex 5_MRD'!Print_Area</vt:lpstr>
      <vt:lpstr>Output!Print_Area</vt:lpstr>
      <vt:lpstr>'Annex 3_MAFF'!Print_Titles</vt:lpstr>
      <vt:lpstr>'Annex 4_MoWRAM'!Print_Titles</vt:lpstr>
      <vt:lpstr>'Annex 5_MRD'!Print_Titles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 Leanghy</dc:creator>
  <cp:lastModifiedBy>bunny heng</cp:lastModifiedBy>
  <cp:lastPrinted>2024-02-23T10:31:21Z</cp:lastPrinted>
  <dcterms:created xsi:type="dcterms:W3CDTF">2017-10-19T03:27:05Z</dcterms:created>
  <dcterms:modified xsi:type="dcterms:W3CDTF">2024-05-14T03:54:41Z</dcterms:modified>
</cp:coreProperties>
</file>