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7 CFAVC - MAFF\20 Project Auditids FY21&amp;FY22\AWPB FY21\"/>
    </mc:Choice>
  </mc:AlternateContent>
  <xr:revisionPtr revIDLastSave="0" documentId="8_{92B2D76C-ECBA-4FD8-958D-874BE551D279}" xr6:coauthVersionLast="47" xr6:coauthVersionMax="47" xr10:uidLastSave="{00000000-0000-0000-0000-000000000000}"/>
  <bookViews>
    <workbookView xWindow="-120" yWindow="-120" windowWidth="20730" windowHeight="11160" tabRatio="768" firstSheet="1" activeTab="7" xr2:uid="{00000000-000D-0000-FFFF-FFFF00000000}"/>
  </bookViews>
  <sheets>
    <sheet name="Annex-IOC-MAFF" sheetId="14" state="hidden" r:id="rId1"/>
    <sheet name="Annex 1_Summary" sheetId="4" r:id="rId2"/>
    <sheet name="Annex 2_Code" sheetId="27" r:id="rId3"/>
    <sheet name="Annex 3_MAFF" sheetId="24" r:id="rId4"/>
    <sheet name="Annex 4_MoWRAM" sheetId="26" r:id="rId5"/>
    <sheet name="Annex 5_MRD" sheetId="43" r:id="rId6"/>
    <sheet name="Summary by EA, Source &amp; Qtr" sheetId="9" r:id="rId7"/>
    <sheet name="Output" sheetId="28" r:id="rId8"/>
    <sheet name="Sum Annex3_Checking Tab19" sheetId="35" r:id="rId9"/>
    <sheet name="Checking Tab20,21,28,31-PD" sheetId="44" r:id="rId10"/>
    <sheet name="Checking_Tab20,21,28 &amp;31" sheetId="45" r:id="rId11"/>
    <sheet name="Checking_Table 16&amp;17" sheetId="4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3" hidden="1">'Annex 3_MAFF'!$B$1:$C$1138</definedName>
    <definedName name="_xlnm._FilterDatabase" localSheetId="4" hidden="1">'Annex 4_MoWRAM'!$BB$1:$BB$117</definedName>
    <definedName name="_xlnm._FilterDatabase" localSheetId="5" hidden="1">'Annex 5_MRD'!$B$1:$C$226</definedName>
    <definedName name="_Toc54002924" localSheetId="11">'Checking_Table 16&amp;17'!$B$3</definedName>
    <definedName name="_Toc54002925" localSheetId="11">'Checking_Table 16&amp;17'!$B$13</definedName>
    <definedName name="_Toc54002926" localSheetId="7">Output!$K$3</definedName>
    <definedName name="_Toc54002927" localSheetId="8">'Sum Annex3_Checking Tab19'!$K$4</definedName>
    <definedName name="_Toc54002936" localSheetId="10">'Checking_Tab20,21,28 &amp;31'!$AH$2</definedName>
    <definedName name="_Toc54002939" localSheetId="10">'Checking_Tab20,21,28 &amp;31'!$AH$17</definedName>
    <definedName name="List1_Outputs">[1]Lists!$B$5:$B$7</definedName>
    <definedName name="List2_Activities">[1]Lists!$B$11:$B$25</definedName>
    <definedName name="List3_Categories">[1]Lists!$B$29:$B$41</definedName>
    <definedName name="List4_Funders">[1]Lists!$B$49:$B$54</definedName>
    <definedName name="List5_EAs">[1]Lists!$B$58:$B$59</definedName>
    <definedName name="List6_IAs">[1]Lists!$B$63:$B$64</definedName>
    <definedName name="List7_Sourced">[1]Lists!$B$68:$B$69</definedName>
    <definedName name="_xlnm.Print_Area" localSheetId="1">'Annex 1_Summary'!$B$1:$N$23</definedName>
    <definedName name="_xlnm.Print_Area" localSheetId="3">'Annex 3_MAFF'!$B$1:$X$534</definedName>
    <definedName name="_xlnm.Print_Area" localSheetId="4">'Annex 4_MoWRAM'!$A$1:$AH$89</definedName>
    <definedName name="_xlnm.Print_Area" localSheetId="5">'Annex 5_MRD'!$B$1:$Y$201</definedName>
    <definedName name="_xlnm.Print_Area" localSheetId="7">Output!$A$1:$G$28</definedName>
    <definedName name="_xlnm.Print_Titles" localSheetId="3">'Annex 3_MAFF'!$1:$7</definedName>
    <definedName name="_xlnm.Print_Titles" localSheetId="4">'Annex 4_MoWRAM'!$1:$7</definedName>
    <definedName name="_xlnm.Print_Titles" localSheetId="5">'Annex 5_MRD'!$1:$7</definedName>
    <definedName name="Procurement_Package">[2]Assumptions!$I$86:$I$120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28" l="1"/>
  <c r="N27" i="24" l="1"/>
  <c r="N28" i="24"/>
  <c r="D10" i="46" l="1"/>
  <c r="E10" i="46"/>
  <c r="F10" i="46"/>
  <c r="C10" i="46"/>
  <c r="G7" i="46"/>
  <c r="G8" i="46"/>
  <c r="G6" i="46"/>
  <c r="G10" i="46" s="1"/>
  <c r="G17" i="46"/>
  <c r="G18" i="46"/>
  <c r="G19" i="46"/>
  <c r="G20" i="46"/>
  <c r="G16" i="46"/>
  <c r="G21" i="46" s="1"/>
  <c r="AM21" i="45"/>
  <c r="AM26" i="45" s="1"/>
  <c r="AM24" i="45"/>
  <c r="AM20" i="45"/>
  <c r="AJ26" i="45"/>
  <c r="AK26" i="45"/>
  <c r="AL26" i="45"/>
  <c r="AI26" i="45"/>
  <c r="AL7" i="45"/>
  <c r="AL8" i="45"/>
  <c r="AL9" i="45"/>
  <c r="AL10" i="45"/>
  <c r="AL11" i="45"/>
  <c r="AL12" i="45"/>
  <c r="AL13" i="45"/>
  <c r="AL6" i="45"/>
  <c r="AL14" i="45" s="1"/>
  <c r="AI14" i="45"/>
  <c r="N33" i="28" l="1"/>
  <c r="N32" i="28"/>
  <c r="N28" i="28"/>
  <c r="K28" i="28"/>
  <c r="L5" i="28"/>
  <c r="N5" i="28" s="1"/>
  <c r="N11" i="28" s="1"/>
  <c r="K18" i="28"/>
  <c r="N6" i="28"/>
  <c r="N7" i="28"/>
  <c r="N8" i="28"/>
  <c r="N9" i="28"/>
  <c r="N10" i="28"/>
  <c r="K11" i="28"/>
  <c r="I401" i="24" l="1"/>
  <c r="AD567" i="24"/>
  <c r="AA567" i="24" l="1"/>
  <c r="N36" i="35"/>
  <c r="O36" i="35"/>
  <c r="P36" i="35"/>
  <c r="Q36" i="35"/>
  <c r="M36" i="35"/>
  <c r="R33" i="35"/>
  <c r="R36" i="35" s="1"/>
  <c r="R34" i="35"/>
  <c r="R35" i="35"/>
  <c r="R32" i="35"/>
  <c r="N43" i="35"/>
  <c r="O43" i="35"/>
  <c r="P43" i="35"/>
  <c r="Q43" i="35"/>
  <c r="M43" i="35"/>
  <c r="R38" i="35"/>
  <c r="R39" i="35"/>
  <c r="R40" i="35"/>
  <c r="R41" i="35"/>
  <c r="R42" i="35"/>
  <c r="R37" i="35"/>
  <c r="R12" i="35"/>
  <c r="R13" i="35"/>
  <c r="R14" i="35"/>
  <c r="R15" i="35"/>
  <c r="R16" i="35"/>
  <c r="R17" i="35"/>
  <c r="R18" i="35"/>
  <c r="R19" i="35"/>
  <c r="R20" i="35"/>
  <c r="R11" i="35"/>
  <c r="R21" i="35" s="1"/>
  <c r="N21" i="35"/>
  <c r="O21" i="35"/>
  <c r="P21" i="35"/>
  <c r="Q21" i="35"/>
  <c r="M21" i="35"/>
  <c r="R7" i="35"/>
  <c r="R8" i="35"/>
  <c r="R9" i="35"/>
  <c r="R6" i="35"/>
  <c r="M10" i="35"/>
  <c r="P10" i="35"/>
  <c r="Q10" i="35"/>
  <c r="O10" i="35"/>
  <c r="R23" i="35"/>
  <c r="R24" i="35"/>
  <c r="R25" i="35"/>
  <c r="R26" i="35"/>
  <c r="R27" i="35"/>
  <c r="R28" i="35"/>
  <c r="R29" i="35"/>
  <c r="R30" i="35"/>
  <c r="R22" i="35"/>
  <c r="R31" i="35" s="1"/>
  <c r="O31" i="35"/>
  <c r="R10" i="35" l="1"/>
  <c r="R43" i="35"/>
  <c r="AC567" i="24"/>
  <c r="AB567" i="24"/>
  <c r="I395" i="24"/>
  <c r="I397" i="24"/>
  <c r="Z567" i="24" l="1"/>
  <c r="AH144" i="24"/>
  <c r="AI144" i="24" s="1"/>
  <c r="X144" i="24"/>
  <c r="W144" i="24"/>
  <c r="V144" i="24"/>
  <c r="U144" i="24"/>
  <c r="T144" i="24"/>
  <c r="R144" i="24"/>
  <c r="Q144" i="24"/>
  <c r="P144" i="24"/>
  <c r="O144" i="24"/>
  <c r="AH143" i="24"/>
  <c r="AI143" i="24" s="1"/>
  <c r="X143" i="24"/>
  <c r="W143" i="24"/>
  <c r="V143" i="24"/>
  <c r="U143" i="24"/>
  <c r="T143" i="24"/>
  <c r="R143" i="24"/>
  <c r="Q143" i="24"/>
  <c r="P143" i="24"/>
  <c r="O143" i="24"/>
  <c r="AH142" i="24"/>
  <c r="AI142" i="24" s="1"/>
  <c r="X142" i="24"/>
  <c r="W142" i="24"/>
  <c r="V142" i="24"/>
  <c r="U142" i="24"/>
  <c r="T142" i="24"/>
  <c r="R142" i="24"/>
  <c r="Q142" i="24"/>
  <c r="P142" i="24"/>
  <c r="O142" i="24"/>
  <c r="N144" i="24"/>
  <c r="N143" i="24"/>
  <c r="N142" i="24"/>
  <c r="R137" i="24"/>
  <c r="Q137" i="24"/>
  <c r="P137" i="24"/>
  <c r="O137" i="24"/>
  <c r="R136" i="24"/>
  <c r="Q136" i="24"/>
  <c r="P136" i="24"/>
  <c r="O136" i="24"/>
  <c r="R135" i="24"/>
  <c r="Q135" i="24"/>
  <c r="P135" i="24"/>
  <c r="O135" i="24"/>
  <c r="AH134" i="24"/>
  <c r="AI134" i="24" s="1"/>
  <c r="X134" i="24"/>
  <c r="AC134" i="24" s="1"/>
  <c r="W134" i="24"/>
  <c r="AB134" i="24" s="1"/>
  <c r="V134" i="24"/>
  <c r="AA134" i="24" s="1"/>
  <c r="U134" i="24"/>
  <c r="Z134" i="24" s="1"/>
  <c r="T134" i="24"/>
  <c r="Y134" i="24" s="1"/>
  <c r="AH133" i="24"/>
  <c r="AI133" i="24" s="1"/>
  <c r="X133" i="24"/>
  <c r="AC133" i="24" s="1"/>
  <c r="W133" i="24"/>
  <c r="AB133" i="24" s="1"/>
  <c r="V133" i="24"/>
  <c r="AA133" i="24" s="1"/>
  <c r="U133" i="24"/>
  <c r="Z133" i="24" s="1"/>
  <c r="T133" i="24"/>
  <c r="Y133" i="24" s="1"/>
  <c r="AH132" i="24"/>
  <c r="AI132" i="24" s="1"/>
  <c r="X132" i="24"/>
  <c r="W132" i="24"/>
  <c r="V132" i="24"/>
  <c r="U132" i="24"/>
  <c r="T132" i="24"/>
  <c r="AH131" i="24"/>
  <c r="AI131" i="24" s="1"/>
  <c r="X131" i="24"/>
  <c r="W131" i="24"/>
  <c r="V131" i="24"/>
  <c r="U131" i="24"/>
  <c r="T131" i="24"/>
  <c r="AH130" i="24"/>
  <c r="AI130" i="24" s="1"/>
  <c r="X130" i="24"/>
  <c r="W130" i="24"/>
  <c r="V130" i="24"/>
  <c r="U130" i="24"/>
  <c r="T130" i="24"/>
  <c r="AH129" i="24"/>
  <c r="AI129" i="24" s="1"/>
  <c r="X129" i="24"/>
  <c r="W129" i="24"/>
  <c r="V129" i="24"/>
  <c r="U129" i="24"/>
  <c r="T129" i="24"/>
  <c r="AH128" i="24"/>
  <c r="AI128" i="24" s="1"/>
  <c r="X128" i="24"/>
  <c r="W128" i="24"/>
  <c r="V128" i="24"/>
  <c r="U128" i="24"/>
  <c r="T128" i="24"/>
  <c r="AH127" i="24"/>
  <c r="AI127" i="24" s="1"/>
  <c r="X127" i="24"/>
  <c r="W127" i="24"/>
  <c r="V127" i="24"/>
  <c r="U127" i="24"/>
  <c r="T127" i="24"/>
  <c r="AH126" i="24"/>
  <c r="AI126" i="24" s="1"/>
  <c r="X126" i="24"/>
  <c r="W126" i="24"/>
  <c r="V126" i="24"/>
  <c r="U126" i="24"/>
  <c r="T126" i="24"/>
  <c r="AH125" i="24"/>
  <c r="AI125" i="24" s="1"/>
  <c r="X125" i="24"/>
  <c r="W125" i="24"/>
  <c r="V125" i="24"/>
  <c r="U125" i="24"/>
  <c r="T125" i="24"/>
  <c r="AH124" i="24"/>
  <c r="AI124" i="24" s="1"/>
  <c r="X124" i="24"/>
  <c r="W124" i="24"/>
  <c r="V124" i="24"/>
  <c r="U124" i="24"/>
  <c r="T124" i="24"/>
  <c r="AH123" i="24"/>
  <c r="AI123" i="24" s="1"/>
  <c r="X123" i="24"/>
  <c r="W123" i="24"/>
  <c r="V123" i="24"/>
  <c r="U123" i="24"/>
  <c r="T123" i="24"/>
  <c r="AH122" i="24"/>
  <c r="AI122" i="24" s="1"/>
  <c r="X122" i="24"/>
  <c r="W122" i="24"/>
  <c r="V122" i="24"/>
  <c r="U122" i="24"/>
  <c r="T122" i="24"/>
  <c r="AH121" i="24"/>
  <c r="AI121" i="24" s="1"/>
  <c r="X121" i="24"/>
  <c r="W121" i="24"/>
  <c r="V121" i="24"/>
  <c r="U121" i="24"/>
  <c r="T121" i="24"/>
  <c r="AH120" i="24"/>
  <c r="AI120" i="24" s="1"/>
  <c r="X120" i="24"/>
  <c r="W120" i="24"/>
  <c r="V120" i="24"/>
  <c r="U120" i="24"/>
  <c r="T120" i="24"/>
  <c r="AH119" i="24"/>
  <c r="AI119" i="24" s="1"/>
  <c r="X119" i="24"/>
  <c r="W119" i="24"/>
  <c r="V119" i="24"/>
  <c r="U119" i="24"/>
  <c r="T119" i="24"/>
  <c r="AH118" i="24"/>
  <c r="AI118" i="24" s="1"/>
  <c r="X118" i="24"/>
  <c r="W118" i="24"/>
  <c r="V118" i="24"/>
  <c r="U118" i="24"/>
  <c r="T118" i="24"/>
  <c r="AH117" i="24"/>
  <c r="AI117" i="24" s="1"/>
  <c r="X117" i="24"/>
  <c r="W117" i="24"/>
  <c r="V117" i="24"/>
  <c r="U117" i="24"/>
  <c r="T117" i="24"/>
  <c r="AH116" i="24"/>
  <c r="AI116" i="24" s="1"/>
  <c r="X116" i="24"/>
  <c r="W116" i="24"/>
  <c r="V116" i="24"/>
  <c r="U116" i="24"/>
  <c r="T116" i="24"/>
  <c r="AH115" i="24"/>
  <c r="AI115" i="24" s="1"/>
  <c r="X115" i="24"/>
  <c r="W115" i="24"/>
  <c r="V115" i="24"/>
  <c r="U115" i="24"/>
  <c r="T115" i="24"/>
  <c r="AH114" i="24"/>
  <c r="AI114" i="24" s="1"/>
  <c r="X114" i="24"/>
  <c r="W114" i="24"/>
  <c r="V114" i="24"/>
  <c r="U114" i="24"/>
  <c r="T114" i="24"/>
  <c r="AH113" i="24"/>
  <c r="AI113" i="24" s="1"/>
  <c r="X113" i="24"/>
  <c r="W113" i="24"/>
  <c r="V113" i="24"/>
  <c r="U113" i="24"/>
  <c r="T113" i="24"/>
  <c r="AH112" i="24"/>
  <c r="AI112" i="24" s="1"/>
  <c r="X112" i="24"/>
  <c r="W112" i="24"/>
  <c r="V112" i="24"/>
  <c r="U112" i="24"/>
  <c r="T112" i="24"/>
  <c r="AH137" i="24"/>
  <c r="AI137" i="24" s="1"/>
  <c r="X137" i="24"/>
  <c r="W137" i="24"/>
  <c r="V137" i="24"/>
  <c r="U137" i="24"/>
  <c r="T137" i="24"/>
  <c r="AH136" i="24"/>
  <c r="AI136" i="24" s="1"/>
  <c r="X136" i="24"/>
  <c r="W136" i="24"/>
  <c r="V136" i="24"/>
  <c r="U136" i="24"/>
  <c r="T136" i="24"/>
  <c r="AH135" i="24"/>
  <c r="AI135" i="24" s="1"/>
  <c r="X135" i="24"/>
  <c r="W135" i="24"/>
  <c r="V135" i="24"/>
  <c r="U135" i="24"/>
  <c r="T135" i="24"/>
  <c r="N137" i="24"/>
  <c r="N136" i="24"/>
  <c r="N135" i="24"/>
  <c r="X108" i="24"/>
  <c r="W108" i="24"/>
  <c r="V108" i="24"/>
  <c r="U108" i="24"/>
  <c r="T108" i="24"/>
  <c r="X107" i="24"/>
  <c r="W107" i="24"/>
  <c r="V107" i="24"/>
  <c r="U107" i="24"/>
  <c r="T107" i="24"/>
  <c r="X106" i="24"/>
  <c r="W106" i="24"/>
  <c r="V106" i="24"/>
  <c r="U106" i="24"/>
  <c r="T106" i="24"/>
  <c r="AH66" i="24"/>
  <c r="AH79" i="24"/>
  <c r="AH78" i="24"/>
  <c r="AH77" i="24"/>
  <c r="AH76" i="24"/>
  <c r="AH75" i="24"/>
  <c r="AH74" i="24"/>
  <c r="AH73" i="24"/>
  <c r="AH72" i="24"/>
  <c r="AH71" i="24"/>
  <c r="AH108" i="24"/>
  <c r="AI108" i="24" s="1"/>
  <c r="AH107" i="24"/>
  <c r="AI107" i="24" s="1"/>
  <c r="AH106" i="24"/>
  <c r="AI106" i="24" s="1"/>
  <c r="AH105" i="24"/>
  <c r="AH104" i="24"/>
  <c r="AH103" i="24"/>
  <c r="AI103" i="24" s="1"/>
  <c r="AH102" i="24"/>
  <c r="AH101" i="24"/>
  <c r="AH100" i="24"/>
  <c r="AH99" i="24"/>
  <c r="AH98" i="24"/>
  <c r="AH97" i="24"/>
  <c r="AH96" i="24"/>
  <c r="AH95" i="24"/>
  <c r="AH94" i="24"/>
  <c r="AH93" i="24"/>
  <c r="AH92" i="24"/>
  <c r="AH91" i="24"/>
  <c r="AH90" i="24"/>
  <c r="AH89" i="24"/>
  <c r="AH88" i="24"/>
  <c r="AH87" i="24"/>
  <c r="AH86" i="24"/>
  <c r="AH85" i="24"/>
  <c r="AH84" i="24"/>
  <c r="AH83" i="24"/>
  <c r="O106" i="24"/>
  <c r="P106" i="24"/>
  <c r="Q106" i="24"/>
  <c r="R106" i="24"/>
  <c r="O107" i="24"/>
  <c r="P107" i="24"/>
  <c r="Q107" i="24"/>
  <c r="R107" i="24"/>
  <c r="O108" i="24"/>
  <c r="P108" i="24"/>
  <c r="Q108" i="24"/>
  <c r="R108" i="24"/>
  <c r="O105" i="24"/>
  <c r="N108" i="24"/>
  <c r="N107" i="24"/>
  <c r="N106" i="24"/>
  <c r="I392" i="24"/>
  <c r="I52" i="24"/>
  <c r="S135" i="24" l="1"/>
  <c r="Y135" i="24" s="1"/>
  <c r="S106" i="24"/>
  <c r="Z106" i="24" s="1"/>
  <c r="S144" i="24"/>
  <c r="Z144" i="24" s="1"/>
  <c r="S143" i="24"/>
  <c r="AC143" i="24" s="1"/>
  <c r="S142" i="24"/>
  <c r="AB144" i="24"/>
  <c r="AA144" i="24"/>
  <c r="S137" i="24"/>
  <c r="AB137" i="24" s="1"/>
  <c r="S108" i="24"/>
  <c r="Z108" i="24" s="1"/>
  <c r="S136" i="24"/>
  <c r="Z136" i="24" s="1"/>
  <c r="S107" i="24"/>
  <c r="AA107" i="24" s="1"/>
  <c r="AD133" i="24"/>
  <c r="AE133" i="24" s="1"/>
  <c r="AD134" i="24"/>
  <c r="AE134" i="24" s="1"/>
  <c r="Z107" i="24"/>
  <c r="AB107" i="24"/>
  <c r="AA106" i="24"/>
  <c r="AC106" i="24"/>
  <c r="AC107" i="24"/>
  <c r="Y107" i="24"/>
  <c r="AB106" i="24"/>
  <c r="M391" i="24"/>
  <c r="L391" i="24"/>
  <c r="K391" i="24"/>
  <c r="J391" i="24"/>
  <c r="T379" i="24"/>
  <c r="U379" i="24"/>
  <c r="V379" i="24"/>
  <c r="W379" i="24"/>
  <c r="X379" i="24"/>
  <c r="AH379" i="24"/>
  <c r="AI379" i="24" s="1"/>
  <c r="O379" i="24"/>
  <c r="P379" i="24"/>
  <c r="Q379" i="24"/>
  <c r="R379" i="24"/>
  <c r="Z137" i="24" l="1"/>
  <c r="AA135" i="24"/>
  <c r="AB135" i="24"/>
  <c r="AC144" i="24"/>
  <c r="Z135" i="24"/>
  <c r="AC135" i="24"/>
  <c r="Y144" i="24"/>
  <c r="AD144" i="24" s="1"/>
  <c r="AE144" i="24" s="1"/>
  <c r="Y143" i="24"/>
  <c r="Y106" i="24"/>
  <c r="AD106" i="24" s="1"/>
  <c r="AE106" i="24" s="1"/>
  <c r="AA143" i="24"/>
  <c r="AB143" i="24"/>
  <c r="S379" i="24"/>
  <c r="AC379" i="24" s="1"/>
  <c r="Z143" i="24"/>
  <c r="AA136" i="24"/>
  <c r="AB142" i="24"/>
  <c r="Y108" i="24"/>
  <c r="AC142" i="24"/>
  <c r="AB136" i="24"/>
  <c r="AC108" i="24"/>
  <c r="Y136" i="24"/>
  <c r="AA137" i="24"/>
  <c r="Y142" i="24"/>
  <c r="AC136" i="24"/>
  <c r="AB108" i="24"/>
  <c r="Y137" i="24"/>
  <c r="Z142" i="24"/>
  <c r="AA108" i="24"/>
  <c r="AC137" i="24"/>
  <c r="AA142" i="24"/>
  <c r="AD135" i="24"/>
  <c r="AE135" i="24" s="1"/>
  <c r="AD107" i="24"/>
  <c r="AE107" i="24" s="1"/>
  <c r="P36" i="26"/>
  <c r="AD143" i="24" l="1"/>
  <c r="AE143" i="24" s="1"/>
  <c r="AD142" i="24"/>
  <c r="AE142" i="24" s="1"/>
  <c r="AD136" i="24"/>
  <c r="AE136" i="24" s="1"/>
  <c r="AB379" i="24"/>
  <c r="Z379" i="24"/>
  <c r="AA379" i="24"/>
  <c r="AD137" i="24"/>
  <c r="AE137" i="24" s="1"/>
  <c r="Y379" i="24"/>
  <c r="AD108" i="24"/>
  <c r="AE108" i="24" s="1"/>
  <c r="S113" i="43"/>
  <c r="R113" i="43"/>
  <c r="Q113" i="43"/>
  <c r="P113" i="43"/>
  <c r="S112" i="43"/>
  <c r="R112" i="43"/>
  <c r="Q112" i="43"/>
  <c r="P112" i="43"/>
  <c r="S111" i="43"/>
  <c r="R111" i="43"/>
  <c r="Q111" i="43"/>
  <c r="P111" i="43"/>
  <c r="S110" i="43"/>
  <c r="R110" i="43"/>
  <c r="Q110" i="43"/>
  <c r="P110" i="43"/>
  <c r="S109" i="43"/>
  <c r="R109" i="43"/>
  <c r="Q109" i="43"/>
  <c r="P109" i="43"/>
  <c r="S108" i="43"/>
  <c r="R108" i="43"/>
  <c r="Q108" i="43"/>
  <c r="P108" i="43"/>
  <c r="S107" i="43"/>
  <c r="R107" i="43"/>
  <c r="Q107" i="43"/>
  <c r="P107" i="43"/>
  <c r="S106" i="43"/>
  <c r="R106" i="43"/>
  <c r="Q106" i="43"/>
  <c r="P106" i="43"/>
  <c r="S105" i="43"/>
  <c r="R105" i="43"/>
  <c r="Q105" i="43"/>
  <c r="P105" i="43"/>
  <c r="S104" i="43"/>
  <c r="R104" i="43"/>
  <c r="Q104" i="43"/>
  <c r="P104" i="43"/>
  <c r="S103" i="43"/>
  <c r="R103" i="43"/>
  <c r="Q103" i="43"/>
  <c r="P103" i="43"/>
  <c r="S100" i="43"/>
  <c r="R100" i="43"/>
  <c r="Q100" i="43"/>
  <c r="P100" i="43"/>
  <c r="S99" i="43"/>
  <c r="R99" i="43"/>
  <c r="Q99" i="43"/>
  <c r="P99" i="43"/>
  <c r="S98" i="43"/>
  <c r="R98" i="43"/>
  <c r="Q98" i="43"/>
  <c r="P98" i="43"/>
  <c r="S97" i="43"/>
  <c r="R97" i="43"/>
  <c r="Q97" i="43"/>
  <c r="P97" i="43"/>
  <c r="S96" i="43"/>
  <c r="R96" i="43"/>
  <c r="Q96" i="43"/>
  <c r="P96" i="43"/>
  <c r="S95" i="43"/>
  <c r="R95" i="43"/>
  <c r="Q95" i="43"/>
  <c r="P95" i="43"/>
  <c r="S94" i="43"/>
  <c r="R94" i="43"/>
  <c r="Q94" i="43"/>
  <c r="P94" i="43"/>
  <c r="S93" i="43"/>
  <c r="R93" i="43"/>
  <c r="Q93" i="43"/>
  <c r="P93" i="43"/>
  <c r="S92" i="43"/>
  <c r="R92" i="43"/>
  <c r="Q92" i="43"/>
  <c r="P92" i="43"/>
  <c r="S91" i="43"/>
  <c r="R91" i="43"/>
  <c r="Q91" i="43"/>
  <c r="P91" i="43"/>
  <c r="S90" i="43"/>
  <c r="R90" i="43"/>
  <c r="Q90" i="43"/>
  <c r="P90" i="43"/>
  <c r="S87" i="43"/>
  <c r="R87" i="43"/>
  <c r="Q87" i="43"/>
  <c r="P87" i="43"/>
  <c r="S86" i="43"/>
  <c r="R86" i="43"/>
  <c r="Q86" i="43"/>
  <c r="P86" i="43"/>
  <c r="S85" i="43"/>
  <c r="R85" i="43"/>
  <c r="Q85" i="43"/>
  <c r="P85" i="43"/>
  <c r="S84" i="43"/>
  <c r="R84" i="43"/>
  <c r="Q84" i="43"/>
  <c r="P84" i="43"/>
  <c r="S83" i="43"/>
  <c r="R83" i="43"/>
  <c r="Q83" i="43"/>
  <c r="P83" i="43"/>
  <c r="S82" i="43"/>
  <c r="R82" i="43"/>
  <c r="Q82" i="43"/>
  <c r="P82" i="43"/>
  <c r="S81" i="43"/>
  <c r="R81" i="43"/>
  <c r="Q81" i="43"/>
  <c r="P81" i="43"/>
  <c r="S80" i="43"/>
  <c r="R80" i="43"/>
  <c r="Q80" i="43"/>
  <c r="P80" i="43"/>
  <c r="S79" i="43"/>
  <c r="R79" i="43"/>
  <c r="Q79" i="43"/>
  <c r="P79" i="43"/>
  <c r="S78" i="43"/>
  <c r="R78" i="43"/>
  <c r="Q78" i="43"/>
  <c r="P78" i="43"/>
  <c r="S77" i="43"/>
  <c r="R77" i="43"/>
  <c r="Q77" i="43"/>
  <c r="P77" i="43"/>
  <c r="S74" i="43"/>
  <c r="R74" i="43"/>
  <c r="Q74" i="43"/>
  <c r="P74" i="43"/>
  <c r="S73" i="43"/>
  <c r="R73" i="43"/>
  <c r="Q73" i="43"/>
  <c r="P73" i="43"/>
  <c r="S72" i="43"/>
  <c r="R72" i="43"/>
  <c r="Q72" i="43"/>
  <c r="P72" i="43"/>
  <c r="S71" i="43"/>
  <c r="R71" i="43"/>
  <c r="Q71" i="43"/>
  <c r="P71" i="43"/>
  <c r="S70" i="43"/>
  <c r="R70" i="43"/>
  <c r="Q70" i="43"/>
  <c r="P70" i="43"/>
  <c r="S69" i="43"/>
  <c r="R69" i="43"/>
  <c r="Q69" i="43"/>
  <c r="P69" i="43"/>
  <c r="S68" i="43"/>
  <c r="R68" i="43"/>
  <c r="Q68" i="43"/>
  <c r="P68" i="43"/>
  <c r="S67" i="43"/>
  <c r="R67" i="43"/>
  <c r="Q67" i="43"/>
  <c r="P67" i="43"/>
  <c r="S66" i="43"/>
  <c r="R66" i="43"/>
  <c r="Q66" i="43"/>
  <c r="P66" i="43"/>
  <c r="S65" i="43"/>
  <c r="R65" i="43"/>
  <c r="Q65" i="43"/>
  <c r="P65" i="43"/>
  <c r="S64" i="43"/>
  <c r="R64" i="43"/>
  <c r="Q64" i="43"/>
  <c r="P64" i="43"/>
  <c r="S61" i="43"/>
  <c r="R61" i="43"/>
  <c r="Q61" i="43"/>
  <c r="P61" i="43"/>
  <c r="S60" i="43"/>
  <c r="R60" i="43"/>
  <c r="Q60" i="43"/>
  <c r="P60" i="43"/>
  <c r="S59" i="43"/>
  <c r="R59" i="43"/>
  <c r="Q59" i="43"/>
  <c r="P59" i="43"/>
  <c r="S58" i="43"/>
  <c r="R58" i="43"/>
  <c r="Q58" i="43"/>
  <c r="P58" i="43"/>
  <c r="S57" i="43"/>
  <c r="R57" i="43"/>
  <c r="Q57" i="43"/>
  <c r="P57" i="43"/>
  <c r="S56" i="43"/>
  <c r="R56" i="43"/>
  <c r="Q56" i="43"/>
  <c r="P56" i="43"/>
  <c r="S55" i="43"/>
  <c r="R55" i="43"/>
  <c r="Q55" i="43"/>
  <c r="P55" i="43"/>
  <c r="S54" i="43"/>
  <c r="R54" i="43"/>
  <c r="Q54" i="43"/>
  <c r="P54" i="43"/>
  <c r="S53" i="43"/>
  <c r="R53" i="43"/>
  <c r="Q53" i="43"/>
  <c r="P53" i="43"/>
  <c r="S52" i="43"/>
  <c r="R52" i="43"/>
  <c r="Q52" i="43"/>
  <c r="P52" i="43"/>
  <c r="S51" i="43"/>
  <c r="R51" i="43"/>
  <c r="Q51" i="43"/>
  <c r="P51" i="43"/>
  <c r="S48" i="43"/>
  <c r="R48" i="43"/>
  <c r="Q48" i="43"/>
  <c r="P48" i="43"/>
  <c r="S47" i="43"/>
  <c r="R47" i="43"/>
  <c r="Q47" i="43"/>
  <c r="P47" i="43"/>
  <c r="S46" i="43"/>
  <c r="R46" i="43"/>
  <c r="Q46" i="43"/>
  <c r="P46" i="43"/>
  <c r="S45" i="43"/>
  <c r="R45" i="43"/>
  <c r="Q45" i="43"/>
  <c r="P45" i="43"/>
  <c r="S44" i="43"/>
  <c r="R44" i="43"/>
  <c r="Q44" i="43"/>
  <c r="P44" i="43"/>
  <c r="S43" i="43"/>
  <c r="R43" i="43"/>
  <c r="Q43" i="43"/>
  <c r="P43" i="43"/>
  <c r="S42" i="43"/>
  <c r="R42" i="43"/>
  <c r="Q42" i="43"/>
  <c r="P42" i="43"/>
  <c r="S41" i="43"/>
  <c r="R41" i="43"/>
  <c r="Q41" i="43"/>
  <c r="P41" i="43"/>
  <c r="S40" i="43"/>
  <c r="R40" i="43"/>
  <c r="Q40" i="43"/>
  <c r="P40" i="43"/>
  <c r="S39" i="43"/>
  <c r="R39" i="43"/>
  <c r="Q39" i="43"/>
  <c r="P39" i="43"/>
  <c r="S38" i="43"/>
  <c r="R38" i="43"/>
  <c r="Q38" i="43"/>
  <c r="P38" i="43"/>
  <c r="S35" i="43"/>
  <c r="R35" i="43"/>
  <c r="Q35" i="43"/>
  <c r="P35" i="43"/>
  <c r="S34" i="43"/>
  <c r="R34" i="43"/>
  <c r="Q34" i="43"/>
  <c r="P34" i="43"/>
  <c r="S33" i="43"/>
  <c r="R33" i="43"/>
  <c r="Q33" i="43"/>
  <c r="P33" i="43"/>
  <c r="S32" i="43"/>
  <c r="R32" i="43"/>
  <c r="Q32" i="43"/>
  <c r="P32" i="43"/>
  <c r="S31" i="43"/>
  <c r="R31" i="43"/>
  <c r="Q31" i="43"/>
  <c r="P31" i="43"/>
  <c r="S30" i="43"/>
  <c r="R30" i="43"/>
  <c r="Q30" i="43"/>
  <c r="P30" i="43"/>
  <c r="S29" i="43"/>
  <c r="R29" i="43"/>
  <c r="Q29" i="43"/>
  <c r="P29" i="43"/>
  <c r="S28" i="43"/>
  <c r="R28" i="43"/>
  <c r="Q28" i="43"/>
  <c r="P28" i="43"/>
  <c r="S27" i="43"/>
  <c r="R27" i="43"/>
  <c r="Q27" i="43"/>
  <c r="P27" i="43"/>
  <c r="S26" i="43"/>
  <c r="R26" i="43"/>
  <c r="Q26" i="43"/>
  <c r="P26" i="43"/>
  <c r="S25" i="43"/>
  <c r="R25" i="43"/>
  <c r="Q25" i="43"/>
  <c r="P25" i="43"/>
  <c r="R22" i="43"/>
  <c r="S22" i="43"/>
  <c r="P13" i="43"/>
  <c r="Q13" i="43"/>
  <c r="R13" i="43"/>
  <c r="S13" i="43"/>
  <c r="P14" i="43"/>
  <c r="Q14" i="43"/>
  <c r="R14" i="43"/>
  <c r="S14" i="43"/>
  <c r="P15" i="43"/>
  <c r="Q15" i="43"/>
  <c r="R15" i="43"/>
  <c r="S15" i="43"/>
  <c r="P16" i="43"/>
  <c r="Q16" i="43"/>
  <c r="R16" i="43"/>
  <c r="S16" i="43"/>
  <c r="P17" i="43"/>
  <c r="Q17" i="43"/>
  <c r="R17" i="43"/>
  <c r="S17" i="43"/>
  <c r="P18" i="43"/>
  <c r="Q18" i="43"/>
  <c r="R18" i="43"/>
  <c r="S18" i="43"/>
  <c r="P19" i="43"/>
  <c r="Q19" i="43"/>
  <c r="R19" i="43"/>
  <c r="S19" i="43"/>
  <c r="P20" i="43"/>
  <c r="Q20" i="43"/>
  <c r="R20" i="43"/>
  <c r="S20" i="43"/>
  <c r="P21" i="43"/>
  <c r="Q21" i="43"/>
  <c r="R21" i="43"/>
  <c r="S21" i="43"/>
  <c r="P22" i="43"/>
  <c r="Q22" i="43"/>
  <c r="S12" i="43"/>
  <c r="Q12" i="43"/>
  <c r="R12" i="43"/>
  <c r="P12" i="43"/>
  <c r="BC38" i="26"/>
  <c r="BD38" i="26" s="1"/>
  <c r="BC39" i="26"/>
  <c r="BD39" i="26" s="1"/>
  <c r="BC55" i="26"/>
  <c r="BD55" i="26" s="1"/>
  <c r="BC35" i="26"/>
  <c r="BD35" i="26" s="1"/>
  <c r="BC36" i="26"/>
  <c r="BD36" i="26" s="1"/>
  <c r="BC37" i="26"/>
  <c r="BD37" i="26" s="1"/>
  <c r="X38" i="26"/>
  <c r="AJ38" i="26" s="1"/>
  <c r="Y38" i="26"/>
  <c r="AN38" i="26" s="1"/>
  <c r="Z38" i="26"/>
  <c r="AR38" i="26" s="1"/>
  <c r="AA38" i="26"/>
  <c r="AV38" i="26" s="1"/>
  <c r="AB38" i="26"/>
  <c r="AH38" i="26" s="1"/>
  <c r="X39" i="26"/>
  <c r="AJ39" i="26" s="1"/>
  <c r="Y39" i="26"/>
  <c r="AE39" i="26" s="1"/>
  <c r="Z39" i="26"/>
  <c r="AR39" i="26" s="1"/>
  <c r="AA39" i="26"/>
  <c r="AV39" i="26" s="1"/>
  <c r="AB39" i="26"/>
  <c r="AH39" i="26" s="1"/>
  <c r="BC48" i="26"/>
  <c r="BD48" i="26" s="1"/>
  <c r="BC40" i="26"/>
  <c r="BD40" i="26" s="1"/>
  <c r="BC41" i="26"/>
  <c r="BD41" i="26" s="1"/>
  <c r="BC42" i="26"/>
  <c r="BD42" i="26" s="1"/>
  <c r="BC43" i="26"/>
  <c r="BD43" i="26" s="1"/>
  <c r="BC44" i="26"/>
  <c r="BD44" i="26" s="1"/>
  <c r="BC45" i="26"/>
  <c r="BD45" i="26" s="1"/>
  <c r="BC46" i="26"/>
  <c r="BD46" i="26" s="1"/>
  <c r="BC47" i="26"/>
  <c r="BD47" i="26" s="1"/>
  <c r="BC49" i="26"/>
  <c r="BD49" i="26" s="1"/>
  <c r="BC50" i="26"/>
  <c r="BD50" i="26" s="1"/>
  <c r="BC51" i="26"/>
  <c r="BD51" i="26" s="1"/>
  <c r="BC52" i="26"/>
  <c r="BD52" i="26" s="1"/>
  <c r="X57" i="26"/>
  <c r="Y57" i="26"/>
  <c r="Z57" i="26"/>
  <c r="AA57" i="26"/>
  <c r="AB57" i="26"/>
  <c r="X58" i="26"/>
  <c r="Y58" i="26"/>
  <c r="Z58" i="26"/>
  <c r="AA58" i="26"/>
  <c r="AB58" i="26"/>
  <c r="X59" i="26"/>
  <c r="Y59" i="26"/>
  <c r="Z59" i="26"/>
  <c r="AA59" i="26"/>
  <c r="AB59" i="26"/>
  <c r="X48" i="26"/>
  <c r="Y48" i="26"/>
  <c r="Z48" i="26"/>
  <c r="AA48" i="26"/>
  <c r="AB48" i="26"/>
  <c r="X49" i="26"/>
  <c r="Y49" i="26"/>
  <c r="Z49" i="26"/>
  <c r="AA49" i="26"/>
  <c r="AB49" i="26"/>
  <c r="X50" i="26"/>
  <c r="Y50" i="26"/>
  <c r="Z50" i="26"/>
  <c r="AA50" i="26"/>
  <c r="AB50" i="26"/>
  <c r="X51" i="26"/>
  <c r="Y51" i="26"/>
  <c r="Z51" i="26"/>
  <c r="AA51" i="26"/>
  <c r="AB51" i="26"/>
  <c r="X52" i="26"/>
  <c r="Y52" i="26"/>
  <c r="Z52" i="26"/>
  <c r="AA52" i="26"/>
  <c r="AB52" i="26"/>
  <c r="X55" i="26"/>
  <c r="Y55" i="26"/>
  <c r="Z55" i="26"/>
  <c r="AA55" i="26"/>
  <c r="AB55" i="26"/>
  <c r="X56" i="26"/>
  <c r="Y56" i="26"/>
  <c r="Z56" i="26"/>
  <c r="AA56" i="26"/>
  <c r="AB56" i="26"/>
  <c r="X40" i="26"/>
  <c r="Y40" i="26"/>
  <c r="Z40" i="26"/>
  <c r="AA40" i="26"/>
  <c r="AU40" i="26" s="1"/>
  <c r="AB40" i="26"/>
  <c r="X41" i="26"/>
  <c r="Y41" i="26"/>
  <c r="Z41" i="26"/>
  <c r="AA41" i="26"/>
  <c r="AB41" i="26"/>
  <c r="X42" i="26"/>
  <c r="Y42" i="26"/>
  <c r="Z42" i="26"/>
  <c r="AA42" i="26"/>
  <c r="AB42" i="26"/>
  <c r="X43" i="26"/>
  <c r="Y43" i="26"/>
  <c r="Z43" i="26"/>
  <c r="AA43" i="26"/>
  <c r="AB43" i="26"/>
  <c r="X44" i="26"/>
  <c r="Y44" i="26"/>
  <c r="Z44" i="26"/>
  <c r="AA44" i="26"/>
  <c r="AB44" i="26"/>
  <c r="X45" i="26"/>
  <c r="Y45" i="26"/>
  <c r="Z45" i="26"/>
  <c r="AA45" i="26"/>
  <c r="AB45" i="26"/>
  <c r="X46" i="26"/>
  <c r="Y46" i="26"/>
  <c r="Z46" i="26"/>
  <c r="AA46" i="26"/>
  <c r="AB46" i="26"/>
  <c r="X47" i="26"/>
  <c r="Y47" i="26"/>
  <c r="Z47" i="26"/>
  <c r="AA47" i="26"/>
  <c r="AB47" i="26"/>
  <c r="B52" i="26"/>
  <c r="A52" i="26" s="1"/>
  <c r="U52" i="26"/>
  <c r="R41" i="26"/>
  <c r="S41" i="26"/>
  <c r="T41" i="26"/>
  <c r="U41" i="26"/>
  <c r="R42" i="26"/>
  <c r="S42" i="26"/>
  <c r="T42" i="26"/>
  <c r="U42" i="26"/>
  <c r="R43" i="26"/>
  <c r="S43" i="26"/>
  <c r="T43" i="26"/>
  <c r="U43" i="26"/>
  <c r="R44" i="26"/>
  <c r="S44" i="26"/>
  <c r="T44" i="26"/>
  <c r="U44" i="26"/>
  <c r="R45" i="26"/>
  <c r="S45" i="26"/>
  <c r="T45" i="26"/>
  <c r="U45" i="26"/>
  <c r="R46" i="26"/>
  <c r="S46" i="26"/>
  <c r="T46" i="26"/>
  <c r="U46" i="26"/>
  <c r="R47" i="26"/>
  <c r="S47" i="26"/>
  <c r="T47" i="26"/>
  <c r="U47" i="26"/>
  <c r="R48" i="26"/>
  <c r="S48" i="26"/>
  <c r="T48" i="26"/>
  <c r="U48" i="26"/>
  <c r="R49" i="26"/>
  <c r="S49" i="26"/>
  <c r="T49" i="26"/>
  <c r="U49" i="26"/>
  <c r="R50" i="26"/>
  <c r="S50" i="26"/>
  <c r="T50" i="26"/>
  <c r="U50" i="26"/>
  <c r="R51" i="26"/>
  <c r="S51" i="26"/>
  <c r="T51" i="26"/>
  <c r="U51" i="26"/>
  <c r="R52" i="26"/>
  <c r="S52" i="26"/>
  <c r="T52" i="26"/>
  <c r="U40" i="26"/>
  <c r="T40" i="26"/>
  <c r="S40" i="26"/>
  <c r="R40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B40" i="26"/>
  <c r="A40" i="26" s="1"/>
  <c r="B41" i="26"/>
  <c r="A41" i="26" s="1"/>
  <c r="B42" i="26"/>
  <c r="A42" i="26" s="1"/>
  <c r="B43" i="26"/>
  <c r="A43" i="26" s="1"/>
  <c r="B44" i="26"/>
  <c r="A44" i="26" s="1"/>
  <c r="B45" i="26"/>
  <c r="A45" i="26" s="1"/>
  <c r="B46" i="26"/>
  <c r="A46" i="26" s="1"/>
  <c r="B47" i="26"/>
  <c r="A47" i="26" s="1"/>
  <c r="B49" i="26"/>
  <c r="A49" i="26" s="1"/>
  <c r="B50" i="26"/>
  <c r="A50" i="26" s="1"/>
  <c r="B51" i="26"/>
  <c r="A51" i="26" s="1"/>
  <c r="S53" i="26" l="1"/>
  <c r="AD379" i="24"/>
  <c r="AE379" i="24" s="1"/>
  <c r="V48" i="26"/>
  <c r="AG48" i="26" s="1"/>
  <c r="R53" i="26"/>
  <c r="AX40" i="26"/>
  <c r="T53" i="26"/>
  <c r="AW40" i="26"/>
  <c r="U53" i="26"/>
  <c r="AV40" i="26"/>
  <c r="AE50" i="26"/>
  <c r="AG39" i="26"/>
  <c r="AD38" i="26"/>
  <c r="AU39" i="26"/>
  <c r="AQ38" i="26"/>
  <c r="AI38" i="26"/>
  <c r="AF38" i="26"/>
  <c r="AW39" i="26"/>
  <c r="AS38" i="26"/>
  <c r="AK38" i="26"/>
  <c r="AW38" i="26"/>
  <c r="AU38" i="26"/>
  <c r="AS39" i="26"/>
  <c r="AQ39" i="26"/>
  <c r="AO38" i="26"/>
  <c r="AM38" i="26"/>
  <c r="AK39" i="26"/>
  <c r="AI39" i="26"/>
  <c r="AF39" i="26"/>
  <c r="AD39" i="26"/>
  <c r="AG38" i="26"/>
  <c r="AE38" i="26"/>
  <c r="AX39" i="26"/>
  <c r="AX38" i="26"/>
  <c r="AT39" i="26"/>
  <c r="AT38" i="26"/>
  <c r="AP38" i="26"/>
  <c r="AL39" i="26"/>
  <c r="AL38" i="26"/>
  <c r="AU47" i="26"/>
  <c r="AW47" i="26"/>
  <c r="AV47" i="26"/>
  <c r="AX47" i="26"/>
  <c r="AM47" i="26"/>
  <c r="AO47" i="26"/>
  <c r="AN47" i="26"/>
  <c r="AP47" i="26"/>
  <c r="AQ46" i="26"/>
  <c r="AS46" i="26"/>
  <c r="AR46" i="26"/>
  <c r="AT46" i="26"/>
  <c r="AI46" i="26"/>
  <c r="AK46" i="26"/>
  <c r="AJ46" i="26"/>
  <c r="AL46" i="26"/>
  <c r="AU45" i="26"/>
  <c r="AW45" i="26"/>
  <c r="AV45" i="26"/>
  <c r="AX45" i="26"/>
  <c r="AM45" i="26"/>
  <c r="AO45" i="26"/>
  <c r="AN45" i="26"/>
  <c r="AP45" i="26"/>
  <c r="AQ44" i="26"/>
  <c r="AS44" i="26"/>
  <c r="AR44" i="26"/>
  <c r="AT44" i="26"/>
  <c r="AI44" i="26"/>
  <c r="AK44" i="26"/>
  <c r="AJ44" i="26"/>
  <c r="AL44" i="26"/>
  <c r="AU43" i="26"/>
  <c r="AW43" i="26"/>
  <c r="AV43" i="26"/>
  <c r="AX43" i="26"/>
  <c r="AM43" i="26"/>
  <c r="AO43" i="26"/>
  <c r="AN43" i="26"/>
  <c r="AP43" i="26"/>
  <c r="AQ42" i="26"/>
  <c r="AS42" i="26"/>
  <c r="AR42" i="26"/>
  <c r="AT42" i="26"/>
  <c r="AI42" i="26"/>
  <c r="AK42" i="26"/>
  <c r="AJ42" i="26"/>
  <c r="AL42" i="26"/>
  <c r="AU41" i="26"/>
  <c r="AW41" i="26"/>
  <c r="AV41" i="26"/>
  <c r="AX41" i="26"/>
  <c r="AM41" i="26"/>
  <c r="AO41" i="26"/>
  <c r="AP41" i="26"/>
  <c r="AN41" i="26"/>
  <c r="AQ40" i="26"/>
  <c r="AS40" i="26"/>
  <c r="AR40" i="26"/>
  <c r="AT40" i="26"/>
  <c r="AI40" i="26"/>
  <c r="AK40" i="26"/>
  <c r="AJ40" i="26"/>
  <c r="AL40" i="26"/>
  <c r="AM39" i="26"/>
  <c r="AO39" i="26"/>
  <c r="AP39" i="26"/>
  <c r="AN39" i="26"/>
  <c r="AQ52" i="26"/>
  <c r="AS52" i="26"/>
  <c r="AR52" i="26"/>
  <c r="AT52" i="26"/>
  <c r="AI52" i="26"/>
  <c r="AK52" i="26"/>
  <c r="AJ52" i="26"/>
  <c r="AL52" i="26"/>
  <c r="AU51" i="26"/>
  <c r="AW51" i="26"/>
  <c r="AV51" i="26"/>
  <c r="AX51" i="26"/>
  <c r="AM51" i="26"/>
  <c r="AO51" i="26"/>
  <c r="AN51" i="26"/>
  <c r="AP51" i="26"/>
  <c r="AQ50" i="26"/>
  <c r="AS50" i="26"/>
  <c r="AR50" i="26"/>
  <c r="AT50" i="26"/>
  <c r="AI50" i="26"/>
  <c r="AK50" i="26"/>
  <c r="AJ50" i="26"/>
  <c r="AL50" i="26"/>
  <c r="AU49" i="26"/>
  <c r="AW49" i="26"/>
  <c r="AV49" i="26"/>
  <c r="AX49" i="26"/>
  <c r="AM49" i="26"/>
  <c r="AO49" i="26"/>
  <c r="AN49" i="26"/>
  <c r="AP49" i="26"/>
  <c r="AQ48" i="26"/>
  <c r="AS48" i="26"/>
  <c r="AR48" i="26"/>
  <c r="AT48" i="26"/>
  <c r="AF48" i="26"/>
  <c r="AI48" i="26"/>
  <c r="AK48" i="26"/>
  <c r="AJ48" i="26"/>
  <c r="AL48" i="26"/>
  <c r="AQ47" i="26"/>
  <c r="AS47" i="26"/>
  <c r="AR47" i="26"/>
  <c r="AT47" i="26"/>
  <c r="AI47" i="26"/>
  <c r="AK47" i="26"/>
  <c r="AJ47" i="26"/>
  <c r="AL47" i="26"/>
  <c r="AU46" i="26"/>
  <c r="AW46" i="26"/>
  <c r="AV46" i="26"/>
  <c r="AX46" i="26"/>
  <c r="AM46" i="26"/>
  <c r="AO46" i="26"/>
  <c r="AN46" i="26"/>
  <c r="AP46" i="26"/>
  <c r="AQ45" i="26"/>
  <c r="AS45" i="26"/>
  <c r="AR45" i="26"/>
  <c r="AT45" i="26"/>
  <c r="AI45" i="26"/>
  <c r="AK45" i="26"/>
  <c r="AJ45" i="26"/>
  <c r="AL45" i="26"/>
  <c r="AU44" i="26"/>
  <c r="AW44" i="26"/>
  <c r="AV44" i="26"/>
  <c r="AX44" i="26"/>
  <c r="AM44" i="26"/>
  <c r="AO44" i="26"/>
  <c r="AN44" i="26"/>
  <c r="AP44" i="26"/>
  <c r="AQ43" i="26"/>
  <c r="AS43" i="26"/>
  <c r="AR43" i="26"/>
  <c r="AT43" i="26"/>
  <c r="AI43" i="26"/>
  <c r="AK43" i="26"/>
  <c r="AJ43" i="26"/>
  <c r="AL43" i="26"/>
  <c r="AU42" i="26"/>
  <c r="AW42" i="26"/>
  <c r="AV42" i="26"/>
  <c r="AX42" i="26"/>
  <c r="AM42" i="26"/>
  <c r="AO42" i="26"/>
  <c r="AN42" i="26"/>
  <c r="AP42" i="26"/>
  <c r="AQ41" i="26"/>
  <c r="AS41" i="26"/>
  <c r="AR41" i="26"/>
  <c r="AT41" i="26"/>
  <c r="AI41" i="26"/>
  <c r="AK41" i="26"/>
  <c r="AJ41" i="26"/>
  <c r="AL41" i="26"/>
  <c r="AM40" i="26"/>
  <c r="AO40" i="26"/>
  <c r="AP40" i="26"/>
  <c r="AN40" i="26"/>
  <c r="AU52" i="26"/>
  <c r="AW52" i="26"/>
  <c r="AV52" i="26"/>
  <c r="AX52" i="26"/>
  <c r="AM52" i="26"/>
  <c r="AO52" i="26"/>
  <c r="AN52" i="26"/>
  <c r="AP52" i="26"/>
  <c r="AQ51" i="26"/>
  <c r="AS51" i="26"/>
  <c r="AR51" i="26"/>
  <c r="AT51" i="26"/>
  <c r="AI51" i="26"/>
  <c r="AK51" i="26"/>
  <c r="AJ51" i="26"/>
  <c r="AL51" i="26"/>
  <c r="AU50" i="26"/>
  <c r="AW50" i="26"/>
  <c r="AV50" i="26"/>
  <c r="AX50" i="26"/>
  <c r="AM50" i="26"/>
  <c r="AO50" i="26"/>
  <c r="AN50" i="26"/>
  <c r="AP50" i="26"/>
  <c r="AQ49" i="26"/>
  <c r="AS49" i="26"/>
  <c r="AR49" i="26"/>
  <c r="AT49" i="26"/>
  <c r="AI49" i="26"/>
  <c r="AK49" i="26"/>
  <c r="AJ49" i="26"/>
  <c r="AL49" i="26"/>
  <c r="AU48" i="26"/>
  <c r="AW48" i="26"/>
  <c r="AV48" i="26"/>
  <c r="AX48" i="26"/>
  <c r="AM48" i="26"/>
  <c r="AO48" i="26"/>
  <c r="AN48" i="26"/>
  <c r="AP48" i="26"/>
  <c r="AF51" i="26"/>
  <c r="AE48" i="26"/>
  <c r="V44" i="26"/>
  <c r="AF44" i="26" s="1"/>
  <c r="V50" i="26"/>
  <c r="AH50" i="26" s="1"/>
  <c r="V42" i="26"/>
  <c r="AD42" i="26" s="1"/>
  <c r="V52" i="26"/>
  <c r="AH52" i="26" s="1"/>
  <c r="V46" i="26"/>
  <c r="AF46" i="26" s="1"/>
  <c r="V49" i="26"/>
  <c r="AF49" i="26" s="1"/>
  <c r="V45" i="26"/>
  <c r="AD45" i="26" s="1"/>
  <c r="V41" i="26"/>
  <c r="V40" i="26"/>
  <c r="V51" i="26"/>
  <c r="V47" i="26"/>
  <c r="AE47" i="26" s="1"/>
  <c r="V43" i="26"/>
  <c r="AF43" i="26" s="1"/>
  <c r="AD52" i="26" l="1"/>
  <c r="AE52" i="26"/>
  <c r="AH48" i="26"/>
  <c r="AE45" i="26"/>
  <c r="AG44" i="26"/>
  <c r="AG46" i="26"/>
  <c r="AD48" i="26"/>
  <c r="AE44" i="26"/>
  <c r="AD43" i="26"/>
  <c r="AD47" i="26"/>
  <c r="AH51" i="26"/>
  <c r="AD40" i="26"/>
  <c r="AE40" i="26"/>
  <c r="AF40" i="26"/>
  <c r="V53" i="26"/>
  <c r="AG40" i="26"/>
  <c r="AH40" i="26"/>
  <c r="AG52" i="26"/>
  <c r="AF45" i="26"/>
  <c r="AE51" i="26"/>
  <c r="AE49" i="26"/>
  <c r="AD46" i="26"/>
  <c r="AH44" i="26"/>
  <c r="AH43" i="26"/>
  <c r="AF41" i="26"/>
  <c r="AG41" i="26"/>
  <c r="AH41" i="26"/>
  <c r="AD41" i="26"/>
  <c r="AE41" i="26"/>
  <c r="AF47" i="26"/>
  <c r="AG51" i="26"/>
  <c r="AG45" i="26"/>
  <c r="AG42" i="26"/>
  <c r="AD50" i="26"/>
  <c r="AE43" i="26"/>
  <c r="AH49" i="26"/>
  <c r="AF52" i="26"/>
  <c r="AG49" i="26"/>
  <c r="AF42" i="26"/>
  <c r="AH42" i="26"/>
  <c r="AD49" i="26"/>
  <c r="AG50" i="26"/>
  <c r="AD44" i="26"/>
  <c r="AH47" i="26"/>
  <c r="AH46" i="26"/>
  <c r="AH45" i="26"/>
  <c r="AD51" i="26"/>
  <c r="AE42" i="26"/>
  <c r="AE46" i="26"/>
  <c r="AF50" i="26"/>
  <c r="AY50" i="26" s="1"/>
  <c r="AZ50" i="26" s="1"/>
  <c r="AG43" i="26"/>
  <c r="AG47" i="26"/>
  <c r="AY38" i="26"/>
  <c r="AY39" i="26"/>
  <c r="AZ39" i="26" s="1"/>
  <c r="AY48" i="26"/>
  <c r="AZ48" i="26" s="1"/>
  <c r="Q21" i="26"/>
  <c r="Q20" i="26"/>
  <c r="Q19" i="26"/>
  <c r="Q18" i="26"/>
  <c r="Q17" i="26"/>
  <c r="O25" i="43"/>
  <c r="AY44" i="26" l="1"/>
  <c r="AZ44" i="26" s="1"/>
  <c r="AY45" i="26"/>
  <c r="AZ45" i="26" s="1"/>
  <c r="AY49" i="26"/>
  <c r="AZ49" i="26" s="1"/>
  <c r="AY43" i="26"/>
  <c r="AZ43" i="26" s="1"/>
  <c r="AY51" i="26"/>
  <c r="AZ51" i="26" s="1"/>
  <c r="AY42" i="26"/>
  <c r="AZ42" i="26" s="1"/>
  <c r="AY52" i="26"/>
  <c r="AZ52" i="26" s="1"/>
  <c r="AY40" i="26"/>
  <c r="AZ40" i="26" s="1"/>
  <c r="AY47" i="26"/>
  <c r="AZ47" i="26" s="1"/>
  <c r="AY46" i="26"/>
  <c r="AZ46" i="26" s="1"/>
  <c r="AY41" i="26"/>
  <c r="AZ41" i="26" s="1"/>
  <c r="AZ38" i="26"/>
  <c r="Q10" i="26"/>
  <c r="T12" i="43" l="1"/>
  <c r="S114" i="43"/>
  <c r="O60" i="43"/>
  <c r="N168" i="24"/>
  <c r="N228" i="24" l="1"/>
  <c r="I432" i="24"/>
  <c r="J426" i="24"/>
  <c r="Z127" i="43"/>
  <c r="B12" i="26"/>
  <c r="B10" i="26"/>
  <c r="N229" i="24" l="1"/>
  <c r="B14" i="26" l="1"/>
  <c r="B13" i="26"/>
  <c r="B11" i="26"/>
  <c r="B28" i="26"/>
  <c r="B34" i="26"/>
  <c r="B29" i="26"/>
  <c r="B31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30" i="26"/>
  <c r="B32" i="26"/>
  <c r="B33" i="26"/>
  <c r="B35" i="26"/>
  <c r="B36" i="26"/>
  <c r="B37" i="26"/>
  <c r="E96" i="26" l="1"/>
  <c r="Q31" i="26"/>
  <c r="AB577" i="24" l="1"/>
  <c r="AC577" i="24"/>
  <c r="AD577" i="24"/>
  <c r="AB581" i="24"/>
  <c r="AC581" i="24"/>
  <c r="AD581" i="24"/>
  <c r="AB582" i="24"/>
  <c r="AC582" i="24"/>
  <c r="AD582" i="24"/>
  <c r="AB583" i="24"/>
  <c r="AC583" i="24"/>
  <c r="AD583" i="24"/>
  <c r="AA577" i="24"/>
  <c r="AA581" i="24"/>
  <c r="AA582" i="24"/>
  <c r="AA583" i="24"/>
  <c r="AB584" i="24"/>
  <c r="AC584" i="24"/>
  <c r="AD584" i="24"/>
  <c r="AA584" i="24"/>
  <c r="AA42" i="24"/>
  <c r="AA51" i="24"/>
  <c r="AA56" i="24"/>
  <c r="AA69" i="24"/>
  <c r="AA81" i="24"/>
  <c r="AA140" i="24"/>
  <c r="AA166" i="24"/>
  <c r="AA171" i="24"/>
  <c r="AA173" i="24"/>
  <c r="AA175" i="24"/>
  <c r="AA184" i="24"/>
  <c r="AA194" i="24"/>
  <c r="AA204" i="24"/>
  <c r="AA215" i="24"/>
  <c r="AA217" i="24"/>
  <c r="AA219" i="24"/>
  <c r="AA221" i="24"/>
  <c r="AA222" i="24"/>
  <c r="AA233" i="24"/>
  <c r="AA239" i="24"/>
  <c r="AA248" i="24"/>
  <c r="AA252" i="24"/>
  <c r="AA269" i="24"/>
  <c r="AA271" i="24"/>
  <c r="AA281" i="24"/>
  <c r="AA282" i="24"/>
  <c r="AA288" i="24"/>
  <c r="AA294" i="24"/>
  <c r="AA300" i="24"/>
  <c r="AA309" i="24"/>
  <c r="AA310" i="24"/>
  <c r="AA317" i="24"/>
  <c r="AA319" i="24"/>
  <c r="AA326" i="24"/>
  <c r="AA341" i="24"/>
  <c r="AA342" i="24"/>
  <c r="AA377" i="24"/>
  <c r="AA381" i="24"/>
  <c r="AA382" i="24"/>
  <c r="AA405" i="24"/>
  <c r="AA428" i="24"/>
  <c r="AA444" i="24"/>
  <c r="AA451" i="24"/>
  <c r="AA452" i="24"/>
  <c r="AA455" i="24"/>
  <c r="AA457" i="24"/>
  <c r="AA464" i="24"/>
  <c r="AA472" i="24"/>
  <c r="AA502" i="24"/>
  <c r="AH9" i="24" l="1"/>
  <c r="AI9" i="24" s="1"/>
  <c r="AH10" i="24"/>
  <c r="AI10" i="24" s="1"/>
  <c r="T9" i="24"/>
  <c r="Y9" i="24" s="1"/>
  <c r="U9" i="24"/>
  <c r="Z9" i="24" s="1"/>
  <c r="V9" i="24"/>
  <c r="AA9" i="24" s="1"/>
  <c r="W9" i="24"/>
  <c r="AB9" i="24" s="1"/>
  <c r="X9" i="24"/>
  <c r="AC9" i="24" s="1"/>
  <c r="T10" i="24"/>
  <c r="Y10" i="24" s="1"/>
  <c r="U10" i="24"/>
  <c r="Z10" i="24" s="1"/>
  <c r="V10" i="24"/>
  <c r="AA10" i="24" s="1"/>
  <c r="W10" i="24"/>
  <c r="AB10" i="24" s="1"/>
  <c r="X10" i="24"/>
  <c r="AC10" i="24" s="1"/>
  <c r="T73" i="26"/>
  <c r="U73" i="26"/>
  <c r="T74" i="26"/>
  <c r="U74" i="26"/>
  <c r="T75" i="26"/>
  <c r="U75" i="26"/>
  <c r="S74" i="26"/>
  <c r="S75" i="26"/>
  <c r="S73" i="26"/>
  <c r="R74" i="26"/>
  <c r="R75" i="26"/>
  <c r="R73" i="26"/>
  <c r="T31" i="26"/>
  <c r="U31" i="26"/>
  <c r="T32" i="26"/>
  <c r="U32" i="26"/>
  <c r="T33" i="26"/>
  <c r="U33" i="26"/>
  <c r="T34" i="26"/>
  <c r="U34" i="26"/>
  <c r="S32" i="26"/>
  <c r="S33" i="26"/>
  <c r="S34" i="26"/>
  <c r="S31" i="26"/>
  <c r="R32" i="26"/>
  <c r="R33" i="26"/>
  <c r="R34" i="26"/>
  <c r="R31" i="26"/>
  <c r="T24" i="26"/>
  <c r="U24" i="26"/>
  <c r="T25" i="26"/>
  <c r="U25" i="26"/>
  <c r="T26" i="26"/>
  <c r="U26" i="26"/>
  <c r="T27" i="26"/>
  <c r="U27" i="26"/>
  <c r="T28" i="26"/>
  <c r="U28" i="26"/>
  <c r="S25" i="26"/>
  <c r="S26" i="26"/>
  <c r="S27" i="26"/>
  <c r="S28" i="26"/>
  <c r="S24" i="26"/>
  <c r="R25" i="26"/>
  <c r="R26" i="26"/>
  <c r="R27" i="26"/>
  <c r="R28" i="26"/>
  <c r="R24" i="26"/>
  <c r="S17" i="26"/>
  <c r="T17" i="26"/>
  <c r="U17" i="26"/>
  <c r="S18" i="26"/>
  <c r="T18" i="26"/>
  <c r="U18" i="26"/>
  <c r="S19" i="26"/>
  <c r="T19" i="26"/>
  <c r="U19" i="26"/>
  <c r="S20" i="26"/>
  <c r="T20" i="26"/>
  <c r="U20" i="26"/>
  <c r="S21" i="26"/>
  <c r="T21" i="26"/>
  <c r="U21" i="26"/>
  <c r="R18" i="26"/>
  <c r="R19" i="26"/>
  <c r="R20" i="26"/>
  <c r="R21" i="26"/>
  <c r="R17" i="26"/>
  <c r="T10" i="26"/>
  <c r="U10" i="26"/>
  <c r="T11" i="26"/>
  <c r="U11" i="26"/>
  <c r="T12" i="26"/>
  <c r="U12" i="26"/>
  <c r="T13" i="26"/>
  <c r="U13" i="26"/>
  <c r="T14" i="26"/>
  <c r="U14" i="26"/>
  <c r="S11" i="26"/>
  <c r="S12" i="26"/>
  <c r="S13" i="26"/>
  <c r="S14" i="26"/>
  <c r="S10" i="26"/>
  <c r="R11" i="26"/>
  <c r="R12" i="26"/>
  <c r="R13" i="26"/>
  <c r="R14" i="26"/>
  <c r="R10" i="26"/>
  <c r="X35" i="26"/>
  <c r="AD35" i="26" s="1"/>
  <c r="Y35" i="26"/>
  <c r="AE35" i="26" s="1"/>
  <c r="Z35" i="26"/>
  <c r="AF35" i="26" s="1"/>
  <c r="AA35" i="26"/>
  <c r="AG35" i="26" s="1"/>
  <c r="AB35" i="26"/>
  <c r="AH35" i="26" s="1"/>
  <c r="X36" i="26"/>
  <c r="Y36" i="26"/>
  <c r="Z36" i="26"/>
  <c r="AA36" i="26"/>
  <c r="AB36" i="26"/>
  <c r="X37" i="26"/>
  <c r="AD37" i="26" s="1"/>
  <c r="Y37" i="26"/>
  <c r="AE37" i="26" s="1"/>
  <c r="Z37" i="26"/>
  <c r="AF37" i="26" s="1"/>
  <c r="AA37" i="26"/>
  <c r="AG37" i="26" s="1"/>
  <c r="AB37" i="26"/>
  <c r="AH37" i="26" s="1"/>
  <c r="AC89" i="26"/>
  <c r="Q445" i="24"/>
  <c r="R445" i="24"/>
  <c r="P445" i="24"/>
  <c r="O445" i="24"/>
  <c r="Q440" i="24"/>
  <c r="R440" i="24"/>
  <c r="Q441" i="24"/>
  <c r="R441" i="24"/>
  <c r="P440" i="24"/>
  <c r="P441" i="24"/>
  <c r="O440" i="24"/>
  <c r="O441" i="24"/>
  <c r="Q422" i="24"/>
  <c r="R422" i="24"/>
  <c r="Q425" i="24"/>
  <c r="R425" i="24"/>
  <c r="Q427" i="24"/>
  <c r="R427" i="24"/>
  <c r="P422" i="24"/>
  <c r="P425" i="24"/>
  <c r="P427" i="24"/>
  <c r="O422" i="24"/>
  <c r="O425" i="24"/>
  <c r="O427" i="24"/>
  <c r="Q396" i="24"/>
  <c r="R396" i="24"/>
  <c r="P396" i="24"/>
  <c r="O396" i="24"/>
  <c r="Q368" i="24"/>
  <c r="R368" i="24"/>
  <c r="P368" i="24"/>
  <c r="O368" i="24"/>
  <c r="Q356" i="24"/>
  <c r="R356" i="24"/>
  <c r="P356" i="24"/>
  <c r="O356" i="24"/>
  <c r="Q328" i="24"/>
  <c r="R328" i="24"/>
  <c r="Q329" i="24"/>
  <c r="R329" i="24"/>
  <c r="Q330" i="24"/>
  <c r="R330" i="24"/>
  <c r="Q331" i="24"/>
  <c r="R331" i="24"/>
  <c r="Q332" i="24"/>
  <c r="R332" i="24"/>
  <c r="Q333" i="24"/>
  <c r="R333" i="24"/>
  <c r="Q334" i="24"/>
  <c r="R334" i="24"/>
  <c r="Q335" i="24"/>
  <c r="R335" i="24"/>
  <c r="Q336" i="24"/>
  <c r="R336" i="24"/>
  <c r="Q337" i="24"/>
  <c r="R337" i="24"/>
  <c r="Q338" i="24"/>
  <c r="R338" i="24"/>
  <c r="Q339" i="24"/>
  <c r="R339" i="24"/>
  <c r="P329" i="24"/>
  <c r="P330" i="24"/>
  <c r="P331" i="24"/>
  <c r="P332" i="24"/>
  <c r="P333" i="24"/>
  <c r="P334" i="24"/>
  <c r="P335" i="24"/>
  <c r="P336" i="24"/>
  <c r="P337" i="24"/>
  <c r="P338" i="24"/>
  <c r="P339" i="24"/>
  <c r="P328" i="24"/>
  <c r="O329" i="24"/>
  <c r="O330" i="24"/>
  <c r="O331" i="24"/>
  <c r="O332" i="24"/>
  <c r="O333" i="24"/>
  <c r="O334" i="24"/>
  <c r="O335" i="24"/>
  <c r="O336" i="24"/>
  <c r="O337" i="24"/>
  <c r="O338" i="24"/>
  <c r="O339" i="24"/>
  <c r="O328" i="24"/>
  <c r="Q321" i="24"/>
  <c r="R321" i="24"/>
  <c r="Q322" i="24"/>
  <c r="R322" i="24"/>
  <c r="P322" i="24"/>
  <c r="P321" i="24"/>
  <c r="O322" i="24"/>
  <c r="O321" i="24"/>
  <c r="R314" i="24"/>
  <c r="P311" i="24"/>
  <c r="Q311" i="24"/>
  <c r="R311" i="24"/>
  <c r="P312" i="24"/>
  <c r="Q312" i="24"/>
  <c r="R312" i="24"/>
  <c r="P313" i="24"/>
  <c r="Q313" i="24"/>
  <c r="R313" i="24"/>
  <c r="P314" i="24"/>
  <c r="Q314" i="24"/>
  <c r="O312" i="24"/>
  <c r="O313" i="24"/>
  <c r="O314" i="24"/>
  <c r="O311" i="24"/>
  <c r="Q302" i="24"/>
  <c r="R302" i="24"/>
  <c r="Q303" i="24"/>
  <c r="R303" i="24"/>
  <c r="Q304" i="24"/>
  <c r="R304" i="24"/>
  <c r="Q305" i="24"/>
  <c r="R305" i="24"/>
  <c r="Q306" i="24"/>
  <c r="R306" i="24"/>
  <c r="P303" i="24"/>
  <c r="P304" i="24"/>
  <c r="P305" i="24"/>
  <c r="P306" i="24"/>
  <c r="P302" i="24"/>
  <c r="O303" i="24"/>
  <c r="O304" i="24"/>
  <c r="O305" i="24"/>
  <c r="O306" i="24"/>
  <c r="O302" i="24"/>
  <c r="Q296" i="24"/>
  <c r="R296" i="24"/>
  <c r="Q297" i="24"/>
  <c r="R297" i="24"/>
  <c r="Q298" i="24"/>
  <c r="R298" i="24"/>
  <c r="P297" i="24"/>
  <c r="P298" i="24"/>
  <c r="P296" i="24"/>
  <c r="O298" i="24"/>
  <c r="O297" i="24"/>
  <c r="O296" i="24"/>
  <c r="R292" i="24"/>
  <c r="Q289" i="24"/>
  <c r="R289" i="24"/>
  <c r="Q290" i="24"/>
  <c r="R290" i="24"/>
  <c r="Q291" i="24"/>
  <c r="R291" i="24"/>
  <c r="Q292" i="24"/>
  <c r="P292" i="24"/>
  <c r="P291" i="24"/>
  <c r="P290" i="24"/>
  <c r="P289" i="24"/>
  <c r="O292" i="24"/>
  <c r="O291" i="24"/>
  <c r="O290" i="24"/>
  <c r="O289" i="24"/>
  <c r="O285" i="24"/>
  <c r="O283" i="24"/>
  <c r="Q283" i="24"/>
  <c r="R283" i="24"/>
  <c r="Q284" i="24"/>
  <c r="R284" i="24"/>
  <c r="Q285" i="24"/>
  <c r="R285" i="24"/>
  <c r="P284" i="24"/>
  <c r="P285" i="24"/>
  <c r="P283" i="24"/>
  <c r="O284" i="24"/>
  <c r="R277" i="24"/>
  <c r="Q273" i="24"/>
  <c r="R273" i="24"/>
  <c r="Q274" i="24"/>
  <c r="R274" i="24"/>
  <c r="Q275" i="24"/>
  <c r="R275" i="24"/>
  <c r="Q276" i="24"/>
  <c r="R276" i="24"/>
  <c r="Q277" i="24"/>
  <c r="Q278" i="24"/>
  <c r="R278" i="24"/>
  <c r="Q279" i="24"/>
  <c r="R279" i="24"/>
  <c r="P274" i="24"/>
  <c r="P275" i="24"/>
  <c r="P276" i="24"/>
  <c r="P277" i="24"/>
  <c r="P278" i="24"/>
  <c r="P279" i="24"/>
  <c r="P273" i="24"/>
  <c r="O274" i="24"/>
  <c r="O275" i="24"/>
  <c r="O276" i="24"/>
  <c r="O277" i="24"/>
  <c r="O278" i="24"/>
  <c r="O279" i="24"/>
  <c r="O273" i="24"/>
  <c r="Q262" i="24"/>
  <c r="R262" i="24"/>
  <c r="Q263" i="24"/>
  <c r="R263" i="24"/>
  <c r="Q264" i="24"/>
  <c r="R264" i="24"/>
  <c r="Q265" i="24"/>
  <c r="R265" i="24"/>
  <c r="Q266" i="24"/>
  <c r="AC575" i="24" s="1"/>
  <c r="R266" i="24"/>
  <c r="AD575" i="24" s="1"/>
  <c r="P263" i="24"/>
  <c r="P264" i="24"/>
  <c r="P265" i="24"/>
  <c r="P266" i="24"/>
  <c r="AB575" i="24" s="1"/>
  <c r="P262" i="24"/>
  <c r="O263" i="24"/>
  <c r="O264" i="24"/>
  <c r="O265" i="24"/>
  <c r="O266" i="24"/>
  <c r="AA575" i="24" s="1"/>
  <c r="O262" i="24"/>
  <c r="R258" i="24"/>
  <c r="Q258" i="24"/>
  <c r="Q241" i="24"/>
  <c r="R241" i="24"/>
  <c r="Q242" i="24"/>
  <c r="R242" i="24"/>
  <c r="Q243" i="24"/>
  <c r="R243" i="24"/>
  <c r="Q244" i="24"/>
  <c r="R244" i="24"/>
  <c r="Q245" i="24"/>
  <c r="R245" i="24"/>
  <c r="Q246" i="24"/>
  <c r="R246" i="24"/>
  <c r="Q247" i="24"/>
  <c r="R247" i="24"/>
  <c r="Q249" i="24"/>
  <c r="R249" i="24"/>
  <c r="Q250" i="24"/>
  <c r="R250" i="24"/>
  <c r="Q251" i="24"/>
  <c r="R251" i="24"/>
  <c r="Q253" i="24"/>
  <c r="R253" i="24"/>
  <c r="Q254" i="24"/>
  <c r="R254" i="24"/>
  <c r="Q256" i="24"/>
  <c r="R256" i="24"/>
  <c r="Q257" i="24"/>
  <c r="R257" i="24"/>
  <c r="P258" i="24"/>
  <c r="P257" i="24"/>
  <c r="P249" i="24"/>
  <c r="P242" i="24"/>
  <c r="P243" i="24"/>
  <c r="P244" i="24"/>
  <c r="P245" i="24"/>
  <c r="P246" i="24"/>
  <c r="P247" i="24"/>
  <c r="P256" i="24"/>
  <c r="P254" i="24"/>
  <c r="P253" i="24"/>
  <c r="P250" i="24"/>
  <c r="P251" i="24"/>
  <c r="O258" i="24"/>
  <c r="O257" i="24"/>
  <c r="O256" i="24"/>
  <c r="O254" i="24"/>
  <c r="O253" i="24"/>
  <c r="O250" i="24"/>
  <c r="O251" i="24"/>
  <c r="O249" i="24"/>
  <c r="P241" i="24"/>
  <c r="O242" i="24"/>
  <c r="O243" i="24"/>
  <c r="O244" i="24"/>
  <c r="O245" i="24"/>
  <c r="O246" i="24"/>
  <c r="O247" i="24"/>
  <c r="O241" i="24"/>
  <c r="Q223" i="24"/>
  <c r="R223" i="24"/>
  <c r="Q224" i="24"/>
  <c r="R224" i="24"/>
  <c r="Q225" i="24"/>
  <c r="R225" i="24"/>
  <c r="Q226" i="24"/>
  <c r="R226" i="24"/>
  <c r="Q227" i="24"/>
  <c r="R227" i="24"/>
  <c r="Q228" i="24"/>
  <c r="R228" i="24"/>
  <c r="Q230" i="24"/>
  <c r="R230" i="24"/>
  <c r="Q231" i="24"/>
  <c r="R231" i="24"/>
  <c r="P224" i="24"/>
  <c r="P225" i="24"/>
  <c r="P226" i="24"/>
  <c r="P227" i="24"/>
  <c r="P228" i="24"/>
  <c r="P230" i="24"/>
  <c r="P231" i="24"/>
  <c r="P223" i="24"/>
  <c r="O224" i="24"/>
  <c r="O225" i="24"/>
  <c r="O226" i="24"/>
  <c r="O227" i="24"/>
  <c r="O228" i="24"/>
  <c r="O230" i="24"/>
  <c r="O231" i="24"/>
  <c r="O223" i="24"/>
  <c r="Q206" i="24"/>
  <c r="R206" i="24"/>
  <c r="Q207" i="24"/>
  <c r="R207" i="24"/>
  <c r="Q208" i="24"/>
  <c r="R208" i="24"/>
  <c r="Q209" i="24"/>
  <c r="R209" i="24"/>
  <c r="Q210" i="24"/>
  <c r="R210" i="24"/>
  <c r="Q211" i="24"/>
  <c r="R211" i="24"/>
  <c r="Q212" i="24"/>
  <c r="R212" i="24"/>
  <c r="Q213" i="24"/>
  <c r="R213" i="24"/>
  <c r="P207" i="24"/>
  <c r="P208" i="24"/>
  <c r="P209" i="24"/>
  <c r="P210" i="24"/>
  <c r="P211" i="24"/>
  <c r="P212" i="24"/>
  <c r="P213" i="24"/>
  <c r="P206" i="24"/>
  <c r="O207" i="24"/>
  <c r="O208" i="24"/>
  <c r="O209" i="24"/>
  <c r="O210" i="24"/>
  <c r="O211" i="24"/>
  <c r="O212" i="24"/>
  <c r="O213" i="24"/>
  <c r="O206" i="24"/>
  <c r="Q196" i="24"/>
  <c r="R196" i="24"/>
  <c r="Q197" i="24"/>
  <c r="R197" i="24"/>
  <c r="Q198" i="24"/>
  <c r="R198" i="24"/>
  <c r="Q200" i="24"/>
  <c r="R200" i="24"/>
  <c r="Q201" i="24"/>
  <c r="R201" i="24"/>
  <c r="Q202" i="24"/>
  <c r="R202" i="24"/>
  <c r="P197" i="24"/>
  <c r="P198" i="24"/>
  <c r="P200" i="24"/>
  <c r="P201" i="24"/>
  <c r="P202" i="24"/>
  <c r="P196" i="24"/>
  <c r="O197" i="24"/>
  <c r="O198" i="24"/>
  <c r="O200" i="24"/>
  <c r="O201" i="24"/>
  <c r="O202" i="24"/>
  <c r="O196" i="24"/>
  <c r="Q186" i="24"/>
  <c r="R186" i="24"/>
  <c r="Q187" i="24"/>
  <c r="R187" i="24"/>
  <c r="Q188" i="24"/>
  <c r="R188" i="24"/>
  <c r="Q190" i="24"/>
  <c r="R190" i="24"/>
  <c r="Q191" i="24"/>
  <c r="R191" i="24"/>
  <c r="Q192" i="24"/>
  <c r="R192" i="24"/>
  <c r="P187" i="24"/>
  <c r="P188" i="24"/>
  <c r="P190" i="24"/>
  <c r="P191" i="24"/>
  <c r="P192" i="24"/>
  <c r="P186" i="24"/>
  <c r="O187" i="24"/>
  <c r="O188" i="24"/>
  <c r="O190" i="24"/>
  <c r="O191" i="24"/>
  <c r="O192" i="24"/>
  <c r="O186" i="24"/>
  <c r="R177" i="24"/>
  <c r="R178" i="24"/>
  <c r="R179" i="24"/>
  <c r="R180" i="24"/>
  <c r="R181" i="24"/>
  <c r="R182" i="24"/>
  <c r="Q177" i="24"/>
  <c r="Q178" i="24"/>
  <c r="Q179" i="24"/>
  <c r="Q180" i="24"/>
  <c r="Q181" i="24"/>
  <c r="Q182" i="24"/>
  <c r="P178" i="24"/>
  <c r="P179" i="24"/>
  <c r="P180" i="24"/>
  <c r="P181" i="24"/>
  <c r="P182" i="24"/>
  <c r="P177" i="24"/>
  <c r="O178" i="24"/>
  <c r="O179" i="24"/>
  <c r="O180" i="24"/>
  <c r="O181" i="24"/>
  <c r="O182" i="24"/>
  <c r="O177" i="24"/>
  <c r="Q168" i="24"/>
  <c r="R168" i="24"/>
  <c r="Q169" i="24"/>
  <c r="R169" i="24"/>
  <c r="P169" i="24"/>
  <c r="P168" i="24"/>
  <c r="O169" i="24"/>
  <c r="O168" i="24"/>
  <c r="Q160" i="24"/>
  <c r="R160" i="24"/>
  <c r="Q161" i="24"/>
  <c r="R161" i="24"/>
  <c r="Q162" i="24"/>
  <c r="R162" i="24"/>
  <c r="P161" i="24"/>
  <c r="P162" i="24"/>
  <c r="O161" i="24"/>
  <c r="O162" i="24"/>
  <c r="O160" i="24"/>
  <c r="Q154" i="24"/>
  <c r="R154" i="24"/>
  <c r="Q155" i="24"/>
  <c r="R155" i="24"/>
  <c r="Q156" i="24"/>
  <c r="R156" i="24"/>
  <c r="O155" i="24"/>
  <c r="O156" i="24"/>
  <c r="O154" i="24"/>
  <c r="P155" i="24"/>
  <c r="P156" i="24"/>
  <c r="K154" i="24"/>
  <c r="P154" i="24" s="1"/>
  <c r="Q148" i="24"/>
  <c r="R148" i="24"/>
  <c r="Q149" i="24"/>
  <c r="R149" i="24"/>
  <c r="Q150" i="24"/>
  <c r="R150" i="24"/>
  <c r="P150" i="24"/>
  <c r="P149" i="24"/>
  <c r="O148" i="24"/>
  <c r="K148" i="24"/>
  <c r="P148" i="24" s="1"/>
  <c r="O149" i="24"/>
  <c r="O150" i="24"/>
  <c r="Q141" i="24"/>
  <c r="Q145" i="24" s="1"/>
  <c r="R141" i="24"/>
  <c r="R145" i="24" s="1"/>
  <c r="P141" i="24"/>
  <c r="P145" i="24" s="1"/>
  <c r="O141" i="24"/>
  <c r="O145" i="24" s="1"/>
  <c r="Q112" i="24"/>
  <c r="R112" i="24"/>
  <c r="Q113" i="24"/>
  <c r="R113" i="24"/>
  <c r="Q114" i="24"/>
  <c r="R114" i="24"/>
  <c r="Q115" i="24"/>
  <c r="R115" i="24"/>
  <c r="Q116" i="24"/>
  <c r="R116" i="24"/>
  <c r="Q117" i="24"/>
  <c r="R117" i="24"/>
  <c r="Q118" i="24"/>
  <c r="R118" i="24"/>
  <c r="Q119" i="24"/>
  <c r="R119" i="24"/>
  <c r="Q120" i="24"/>
  <c r="R120" i="24"/>
  <c r="Q121" i="24"/>
  <c r="R121" i="24"/>
  <c r="Q122" i="24"/>
  <c r="R122" i="24"/>
  <c r="Q123" i="24"/>
  <c r="R123" i="24"/>
  <c r="Q124" i="24"/>
  <c r="R124" i="24"/>
  <c r="Q125" i="24"/>
  <c r="R125" i="24"/>
  <c r="Q126" i="24"/>
  <c r="R126" i="24"/>
  <c r="Q127" i="24"/>
  <c r="R127" i="24"/>
  <c r="Q128" i="24"/>
  <c r="R128" i="24"/>
  <c r="Q129" i="24"/>
  <c r="R129" i="24"/>
  <c r="Q130" i="24"/>
  <c r="R130" i="24"/>
  <c r="Q131" i="24"/>
  <c r="R131" i="24"/>
  <c r="Q132" i="24"/>
  <c r="R13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12" i="24"/>
  <c r="O113" i="24"/>
  <c r="O114" i="24"/>
  <c r="O115" i="24"/>
  <c r="O116" i="24"/>
  <c r="O117" i="24"/>
  <c r="O118" i="24"/>
  <c r="O119" i="24"/>
  <c r="O120" i="24"/>
  <c r="O121" i="24"/>
  <c r="O122" i="24"/>
  <c r="O123" i="24"/>
  <c r="O124" i="24"/>
  <c r="O125" i="24"/>
  <c r="O126" i="24"/>
  <c r="O127" i="24"/>
  <c r="O128" i="24"/>
  <c r="O129" i="24"/>
  <c r="O130" i="24"/>
  <c r="O131" i="24"/>
  <c r="O132" i="24"/>
  <c r="O112" i="24"/>
  <c r="Q105" i="24"/>
  <c r="Q104" i="24"/>
  <c r="Q103" i="24"/>
  <c r="Q83" i="24"/>
  <c r="R83" i="24"/>
  <c r="Q84" i="24"/>
  <c r="R84" i="24"/>
  <c r="Q85" i="24"/>
  <c r="R85" i="24"/>
  <c r="Q86" i="24"/>
  <c r="R86" i="24"/>
  <c r="Q87" i="24"/>
  <c r="R87" i="24"/>
  <c r="Q88" i="24"/>
  <c r="R88" i="24"/>
  <c r="Q89" i="24"/>
  <c r="R89" i="24"/>
  <c r="Q90" i="24"/>
  <c r="R90" i="24"/>
  <c r="Q91" i="24"/>
  <c r="R91" i="24"/>
  <c r="Q92" i="24"/>
  <c r="R92" i="24"/>
  <c r="Q93" i="24"/>
  <c r="R93" i="24"/>
  <c r="Q94" i="24"/>
  <c r="R94" i="24"/>
  <c r="Q95" i="24"/>
  <c r="R95" i="24"/>
  <c r="Q96" i="24"/>
  <c r="R96" i="24"/>
  <c r="Q97" i="24"/>
  <c r="R97" i="24"/>
  <c r="Q98" i="24"/>
  <c r="R98" i="24"/>
  <c r="Q99" i="24"/>
  <c r="R99" i="24"/>
  <c r="Q100" i="24"/>
  <c r="R100" i="24"/>
  <c r="Q101" i="24"/>
  <c r="R101" i="24"/>
  <c r="Q102" i="24"/>
  <c r="R102" i="24"/>
  <c r="R103" i="24"/>
  <c r="R104" i="24"/>
  <c r="R105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83" i="24"/>
  <c r="R79" i="24"/>
  <c r="Q71" i="24"/>
  <c r="R71" i="24"/>
  <c r="Q72" i="24"/>
  <c r="R72" i="24"/>
  <c r="Q73" i="24"/>
  <c r="R73" i="24"/>
  <c r="Q74" i="24"/>
  <c r="R74" i="24"/>
  <c r="Q75" i="24"/>
  <c r="R75" i="24"/>
  <c r="Q76" i="24"/>
  <c r="R76" i="24"/>
  <c r="Q77" i="24"/>
  <c r="R77" i="24"/>
  <c r="Q78" i="24"/>
  <c r="R78" i="24"/>
  <c r="Q79" i="24"/>
  <c r="P79" i="24"/>
  <c r="P72" i="24"/>
  <c r="P73" i="24"/>
  <c r="P74" i="24"/>
  <c r="P75" i="24"/>
  <c r="P76" i="24"/>
  <c r="P77" i="24"/>
  <c r="P78" i="24"/>
  <c r="P71" i="24"/>
  <c r="O71" i="24"/>
  <c r="O79" i="24"/>
  <c r="O77" i="24"/>
  <c r="O78" i="24"/>
  <c r="O72" i="24"/>
  <c r="O73" i="24"/>
  <c r="O74" i="24"/>
  <c r="O75" i="24"/>
  <c r="O76" i="24"/>
  <c r="Q63" i="24"/>
  <c r="R63" i="24"/>
  <c r="P63" i="24"/>
  <c r="O63" i="24"/>
  <c r="Q47" i="24"/>
  <c r="AC573" i="24" s="1"/>
  <c r="R47" i="24"/>
  <c r="AD573" i="24" s="1"/>
  <c r="Q44" i="24"/>
  <c r="R44" i="24"/>
  <c r="P44" i="24"/>
  <c r="O44" i="24"/>
  <c r="R40" i="24"/>
  <c r="Q40" i="24"/>
  <c r="P40" i="24"/>
  <c r="O40" i="24"/>
  <c r="N386" i="24"/>
  <c r="K160" i="24"/>
  <c r="P160" i="24" s="1"/>
  <c r="P109" i="24" l="1"/>
  <c r="P138" i="24"/>
  <c r="O138" i="24"/>
  <c r="R138" i="24"/>
  <c r="Q138" i="24"/>
  <c r="R109" i="24"/>
  <c r="Q109" i="24"/>
  <c r="O109" i="24"/>
  <c r="S228" i="24"/>
  <c r="S132" i="24"/>
  <c r="S130" i="24"/>
  <c r="O280" i="24"/>
  <c r="Q259" i="24"/>
  <c r="P259" i="24"/>
  <c r="S262" i="24"/>
  <c r="AD576" i="24"/>
  <c r="R36" i="26"/>
  <c r="R55" i="26" s="1"/>
  <c r="AA576" i="24"/>
  <c r="S149" i="24"/>
  <c r="N148" i="24"/>
  <c r="S154" i="24"/>
  <c r="S182" i="24"/>
  <c r="R293" i="24"/>
  <c r="S168" i="24"/>
  <c r="O259" i="24"/>
  <c r="R280" i="24"/>
  <c r="S192" i="24"/>
  <c r="S202" i="24"/>
  <c r="S213" i="24"/>
  <c r="S231" i="24"/>
  <c r="R259" i="24"/>
  <c r="S160" i="24"/>
  <c r="V10" i="26"/>
  <c r="AB578" i="24"/>
  <c r="P163" i="24"/>
  <c r="AC130" i="24" l="1"/>
  <c r="AB130" i="24"/>
  <c r="Z130" i="24"/>
  <c r="Y130" i="24"/>
  <c r="AA130" i="24"/>
  <c r="Z132" i="24"/>
  <c r="Y132" i="24"/>
  <c r="AC132" i="24"/>
  <c r="AA132" i="24"/>
  <c r="AB132" i="24"/>
  <c r="AD578" i="24"/>
  <c r="AC578" i="24"/>
  <c r="AA578" i="24"/>
  <c r="S79" i="24"/>
  <c r="I47" i="24"/>
  <c r="AD130" i="24" l="1"/>
  <c r="AE130" i="24" s="1"/>
  <c r="AD132" i="24"/>
  <c r="AE132" i="24" s="1"/>
  <c r="Z578" i="24"/>
  <c r="P47" i="24"/>
  <c r="AB573" i="24" s="1"/>
  <c r="O47" i="24"/>
  <c r="AA573" i="24" s="1"/>
  <c r="AI79" i="24"/>
  <c r="X79" i="24"/>
  <c r="W79" i="24"/>
  <c r="V79" i="24"/>
  <c r="AA79" i="24" s="1"/>
  <c r="U79" i="24"/>
  <c r="T79" i="24"/>
  <c r="N79" i="24"/>
  <c r="AC79" i="24" l="1"/>
  <c r="I391" i="24"/>
  <c r="H6" i="35" l="1"/>
  <c r="R395" i="24"/>
  <c r="O395" i="24"/>
  <c r="Q395" i="24"/>
  <c r="P395" i="24"/>
  <c r="Z79" i="24"/>
  <c r="AB79" i="24"/>
  <c r="Y79" i="24"/>
  <c r="AD79" i="24" l="1"/>
  <c r="AE79" i="24" s="1"/>
  <c r="Q18" i="24" l="1"/>
  <c r="P18" i="24"/>
  <c r="R18" i="24"/>
  <c r="O18" i="24"/>
  <c r="AM27" i="45"/>
  <c r="O18" i="28"/>
  <c r="AH235" i="24"/>
  <c r="AH234" i="24"/>
  <c r="AH224" i="24"/>
  <c r="AH225" i="24"/>
  <c r="AH226" i="24"/>
  <c r="AH227" i="24"/>
  <c r="AH228" i="24"/>
  <c r="AH229" i="24"/>
  <c r="AH230" i="24"/>
  <c r="AH231" i="24"/>
  <c r="AH223" i="24"/>
  <c r="AH374" i="24"/>
  <c r="AI374" i="24" s="1"/>
  <c r="AH373" i="24"/>
  <c r="AI373" i="24" s="1"/>
  <c r="AH372" i="24"/>
  <c r="AI372" i="24" s="1"/>
  <c r="AH371" i="24"/>
  <c r="AI371" i="24" s="1"/>
  <c r="AH368" i="24"/>
  <c r="AI368" i="24" s="1"/>
  <c r="AH367" i="24"/>
  <c r="AI367" i="24" s="1"/>
  <c r="AH366" i="24"/>
  <c r="AI366" i="24" s="1"/>
  <c r="AH365" i="24"/>
  <c r="AI365" i="24" s="1"/>
  <c r="AH362" i="24"/>
  <c r="AI362" i="24" s="1"/>
  <c r="AH361" i="24"/>
  <c r="AI361" i="24" s="1"/>
  <c r="AH358" i="24"/>
  <c r="AI358" i="24" s="1"/>
  <c r="AH357" i="24"/>
  <c r="AI357" i="24" s="1"/>
  <c r="AH356" i="24"/>
  <c r="AI356" i="24" s="1"/>
  <c r="R45" i="35"/>
  <c r="S44" i="35"/>
  <c r="N45" i="35"/>
  <c r="O45" i="35"/>
  <c r="P45" i="35"/>
  <c r="Q45" i="35"/>
  <c r="M45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29" i="35"/>
  <c r="S30" i="35"/>
  <c r="S31" i="35"/>
  <c r="S32" i="35"/>
  <c r="S33" i="35"/>
  <c r="S34" i="35"/>
  <c r="S35" i="35"/>
  <c r="S36" i="35"/>
  <c r="S37" i="35"/>
  <c r="S38" i="35"/>
  <c r="S39" i="35"/>
  <c r="S40" i="35"/>
  <c r="S41" i="35"/>
  <c r="S42" i="35"/>
  <c r="S43" i="35"/>
  <c r="S7" i="35"/>
  <c r="L29" i="28"/>
  <c r="M29" i="28"/>
  <c r="N29" i="28"/>
  <c r="K29" i="28"/>
  <c r="S18" i="24" l="1"/>
  <c r="R46" i="35"/>
  <c r="AN25" i="45"/>
  <c r="AN23" i="45"/>
  <c r="AN22" i="45"/>
  <c r="AN21" i="45"/>
  <c r="AN24" i="45"/>
  <c r="AN20" i="45"/>
  <c r="AL15" i="45"/>
  <c r="AM7" i="45"/>
  <c r="AM8" i="45"/>
  <c r="AM9" i="45"/>
  <c r="AM10" i="45"/>
  <c r="AM11" i="45"/>
  <c r="AM12" i="45"/>
  <c r="AM13" i="45"/>
  <c r="AM6" i="45"/>
  <c r="AJ15" i="45"/>
  <c r="AK15" i="45"/>
  <c r="AI15" i="45"/>
  <c r="G36" i="35"/>
  <c r="N16" i="28"/>
  <c r="L28" i="28"/>
  <c r="M28" i="28"/>
  <c r="O15" i="28"/>
  <c r="O16" i="28"/>
  <c r="O17" i="28"/>
  <c r="O14" i="28"/>
  <c r="L19" i="28"/>
  <c r="M19" i="28"/>
  <c r="K19" i="28"/>
  <c r="O6" i="28"/>
  <c r="O7" i="28"/>
  <c r="O8" i="28"/>
  <c r="O9" i="28"/>
  <c r="O10" i="28"/>
  <c r="O5" i="28"/>
  <c r="M12" i="28"/>
  <c r="N12" i="28"/>
  <c r="L12" i="28"/>
  <c r="K12" i="28"/>
  <c r="I17" i="46"/>
  <c r="I18" i="46"/>
  <c r="I19" i="46"/>
  <c r="I20" i="46"/>
  <c r="I21" i="46"/>
  <c r="I16" i="46"/>
  <c r="D22" i="46"/>
  <c r="E22" i="46"/>
  <c r="F22" i="46"/>
  <c r="G22" i="46"/>
  <c r="C22" i="46"/>
  <c r="I7" i="46"/>
  <c r="I8" i="46"/>
  <c r="I9" i="46"/>
  <c r="I10" i="46"/>
  <c r="I6" i="46"/>
  <c r="D11" i="46"/>
  <c r="E11" i="46"/>
  <c r="F11" i="46"/>
  <c r="G11" i="46"/>
  <c r="C11" i="46"/>
  <c r="N19" i="28" l="1"/>
  <c r="N30" i="28" s="1"/>
  <c r="N34" i="28" s="1"/>
  <c r="N18" i="28"/>
  <c r="M30" i="28"/>
  <c r="M34" i="28" s="1"/>
  <c r="L30" i="28"/>
  <c r="L34" i="28" s="1"/>
  <c r="AM14" i="45"/>
  <c r="AM15" i="45"/>
  <c r="O11" i="28"/>
  <c r="K30" i="28"/>
  <c r="AN26" i="45"/>
  <c r="K34" i="28" l="1"/>
  <c r="N31" i="28"/>
  <c r="R392" i="24"/>
  <c r="P392" i="24"/>
  <c r="Q392" i="24"/>
  <c r="O392" i="24"/>
  <c r="M394" i="24"/>
  <c r="L394" i="24"/>
  <c r="K394" i="24"/>
  <c r="J394" i="24"/>
  <c r="M393" i="24" l="1"/>
  <c r="L393" i="24"/>
  <c r="K393" i="24"/>
  <c r="J393" i="24"/>
  <c r="T13" i="45" l="1"/>
  <c r="V13" i="45" s="1"/>
  <c r="T12" i="45"/>
  <c r="T11" i="45"/>
  <c r="S11" i="45"/>
  <c r="S9" i="45"/>
  <c r="V11" i="45" l="1"/>
  <c r="V9" i="45"/>
  <c r="V12" i="45"/>
  <c r="BC68" i="26"/>
  <c r="BD68" i="26" s="1"/>
  <c r="BC67" i="26"/>
  <c r="BD67" i="26" s="1"/>
  <c r="BC66" i="26"/>
  <c r="BD66" i="26" s="1"/>
  <c r="BC65" i="26"/>
  <c r="BD65" i="26" s="1"/>
  <c r="BC64" i="26"/>
  <c r="BD64" i="26" s="1"/>
  <c r="BC63" i="26"/>
  <c r="BD63" i="26" s="1"/>
  <c r="BC62" i="26"/>
  <c r="BD62" i="26" s="1"/>
  <c r="BC61" i="26"/>
  <c r="BD61" i="26" s="1"/>
  <c r="BC60" i="26"/>
  <c r="BD60" i="26" s="1"/>
  <c r="S197" i="24" l="1"/>
  <c r="S256" i="24"/>
  <c r="S253" i="24"/>
  <c r="S254" i="24"/>
  <c r="S258" i="24"/>
  <c r="S198" i="24"/>
  <c r="AH246" i="24"/>
  <c r="AI246" i="24" s="1"/>
  <c r="X246" i="24"/>
  <c r="W246" i="24"/>
  <c r="V246" i="24"/>
  <c r="U246" i="24"/>
  <c r="T246" i="24"/>
  <c r="N247" i="24"/>
  <c r="S246" i="24"/>
  <c r="N246" i="24"/>
  <c r="AA246" i="24" l="1"/>
  <c r="S247" i="24"/>
  <c r="AC246" i="24"/>
  <c r="Y246" i="24"/>
  <c r="Z246" i="24"/>
  <c r="AB246" i="24"/>
  <c r="AD246" i="24" l="1"/>
  <c r="AE246" i="24" s="1"/>
  <c r="K138" i="43"/>
  <c r="Y120" i="43" l="1"/>
  <c r="Y121" i="43"/>
  <c r="Y122" i="43"/>
  <c r="Y123" i="43"/>
  <c r="Y124" i="43"/>
  <c r="Y125" i="43"/>
  <c r="Y126" i="43"/>
  <c r="Y127" i="43"/>
  <c r="Y119" i="43"/>
  <c r="Y131" i="43"/>
  <c r="Y130" i="43"/>
  <c r="Y135" i="43"/>
  <c r="Y136" i="43"/>
  <c r="Y137" i="43"/>
  <c r="Y138" i="43"/>
  <c r="Y139" i="43"/>
  <c r="Y140" i="43"/>
  <c r="Y141" i="43"/>
  <c r="Y134" i="43"/>
  <c r="X141" i="43"/>
  <c r="W141" i="43"/>
  <c r="V141" i="43"/>
  <c r="U141" i="43"/>
  <c r="X140" i="43"/>
  <c r="W140" i="43"/>
  <c r="V140" i="43"/>
  <c r="U140" i="43"/>
  <c r="X139" i="43"/>
  <c r="W139" i="43"/>
  <c r="V139" i="43"/>
  <c r="U139" i="43"/>
  <c r="X138" i="43"/>
  <c r="W138" i="43"/>
  <c r="V138" i="43"/>
  <c r="U138" i="43"/>
  <c r="X137" i="43"/>
  <c r="W137" i="43"/>
  <c r="V137" i="43"/>
  <c r="U137" i="43"/>
  <c r="X136" i="43"/>
  <c r="W136" i="43"/>
  <c r="V136" i="43"/>
  <c r="U136" i="43"/>
  <c r="X135" i="43"/>
  <c r="W135" i="43"/>
  <c r="V135" i="43"/>
  <c r="U135" i="43"/>
  <c r="X134" i="43"/>
  <c r="W134" i="43"/>
  <c r="V134" i="43"/>
  <c r="U134" i="43"/>
  <c r="U131" i="43"/>
  <c r="U130" i="43"/>
  <c r="U126" i="43"/>
  <c r="U125" i="43"/>
  <c r="U124" i="43"/>
  <c r="U123" i="43"/>
  <c r="U122" i="43"/>
  <c r="U121" i="43"/>
  <c r="U120" i="43"/>
  <c r="U119" i="43"/>
  <c r="X131" i="43"/>
  <c r="W131" i="43"/>
  <c r="V131" i="43"/>
  <c r="X130" i="43"/>
  <c r="W130" i="43"/>
  <c r="V130" i="43"/>
  <c r="X126" i="43"/>
  <c r="W126" i="43"/>
  <c r="V126" i="43"/>
  <c r="X125" i="43"/>
  <c r="W125" i="43"/>
  <c r="V125" i="43"/>
  <c r="X124" i="43"/>
  <c r="W124" i="43"/>
  <c r="V124" i="43"/>
  <c r="X123" i="43"/>
  <c r="W123" i="43"/>
  <c r="V123" i="43"/>
  <c r="X122" i="43"/>
  <c r="W122" i="43"/>
  <c r="V122" i="43"/>
  <c r="X121" i="43"/>
  <c r="W121" i="43"/>
  <c r="V121" i="43"/>
  <c r="X120" i="43"/>
  <c r="W120" i="43"/>
  <c r="V120" i="43"/>
  <c r="X119" i="43"/>
  <c r="W119" i="43"/>
  <c r="V119" i="43"/>
  <c r="V127" i="43"/>
  <c r="U127" i="43"/>
  <c r="X127" i="43"/>
  <c r="W127" i="43"/>
  <c r="BG127" i="43"/>
  <c r="BH127" i="43" s="1"/>
  <c r="I127" i="43"/>
  <c r="S127" i="43" s="1"/>
  <c r="O127" i="43"/>
  <c r="N134" i="43"/>
  <c r="M134" i="43"/>
  <c r="L134" i="43"/>
  <c r="K134" i="43"/>
  <c r="I134" i="43"/>
  <c r="N136" i="43"/>
  <c r="M136" i="43"/>
  <c r="L136" i="43"/>
  <c r="K136" i="43"/>
  <c r="I136" i="43"/>
  <c r="N137" i="43"/>
  <c r="M137" i="43"/>
  <c r="L137" i="43"/>
  <c r="K137" i="43"/>
  <c r="I137" i="43"/>
  <c r="N139" i="43"/>
  <c r="M139" i="43"/>
  <c r="L139" i="43"/>
  <c r="N138" i="43"/>
  <c r="M138" i="43"/>
  <c r="L138" i="43"/>
  <c r="I138" i="43"/>
  <c r="N140" i="43"/>
  <c r="M140" i="43"/>
  <c r="L140" i="43"/>
  <c r="K140" i="43"/>
  <c r="I140" i="43"/>
  <c r="I139" i="43"/>
  <c r="BG141" i="43"/>
  <c r="BG140" i="43"/>
  <c r="BG139" i="43"/>
  <c r="BG138" i="43"/>
  <c r="BG137" i="43"/>
  <c r="BG136" i="43"/>
  <c r="BG135" i="43"/>
  <c r="BG134" i="43"/>
  <c r="BG131" i="43"/>
  <c r="BG130" i="43"/>
  <c r="BG129" i="43"/>
  <c r="BG126" i="43"/>
  <c r="BG125" i="43"/>
  <c r="BG124" i="43"/>
  <c r="BG123" i="43"/>
  <c r="BG122" i="43"/>
  <c r="BG121" i="43"/>
  <c r="BG120" i="43"/>
  <c r="BG119" i="43"/>
  <c r="BG118" i="43"/>
  <c r="BG113" i="43"/>
  <c r="BG112" i="43"/>
  <c r="BG111" i="43"/>
  <c r="BG110" i="43"/>
  <c r="BG109" i="43"/>
  <c r="BG108" i="43"/>
  <c r="BG107" i="43"/>
  <c r="BG106" i="43"/>
  <c r="BG105" i="43"/>
  <c r="BG104" i="43"/>
  <c r="BG103" i="43"/>
  <c r="BG100" i="43"/>
  <c r="BG99" i="43"/>
  <c r="BG98" i="43"/>
  <c r="BG97" i="43"/>
  <c r="BG96" i="43"/>
  <c r="BG95" i="43"/>
  <c r="BG94" i="43"/>
  <c r="BG93" i="43"/>
  <c r="BG92" i="43"/>
  <c r="BG91" i="43"/>
  <c r="BG90" i="43"/>
  <c r="BG87" i="43"/>
  <c r="BG86" i="43"/>
  <c r="BG85" i="43"/>
  <c r="BG84" i="43"/>
  <c r="BG83" i="43"/>
  <c r="BG82" i="43"/>
  <c r="BG81" i="43"/>
  <c r="BG80" i="43"/>
  <c r="BG79" i="43"/>
  <c r="BG78" i="43"/>
  <c r="BG77" i="43"/>
  <c r="BG74" i="43"/>
  <c r="BG73" i="43"/>
  <c r="BG72" i="43"/>
  <c r="BG71" i="43"/>
  <c r="BG70" i="43"/>
  <c r="BG69" i="43"/>
  <c r="BG68" i="43"/>
  <c r="BG67" i="43"/>
  <c r="BG66" i="43"/>
  <c r="BG65" i="43"/>
  <c r="BG64" i="43"/>
  <c r="BG61" i="43"/>
  <c r="BG60" i="43"/>
  <c r="BG59" i="43"/>
  <c r="BG58" i="43"/>
  <c r="BG57" i="43"/>
  <c r="BG56" i="43"/>
  <c r="BG55" i="43"/>
  <c r="BG54" i="43"/>
  <c r="BG53" i="43"/>
  <c r="BG52" i="43"/>
  <c r="BG51" i="43"/>
  <c r="BG48" i="43"/>
  <c r="BG47" i="43"/>
  <c r="BG46" i="43"/>
  <c r="BG45" i="43"/>
  <c r="BG44" i="43"/>
  <c r="BG43" i="43"/>
  <c r="BG42" i="43"/>
  <c r="BG41" i="43"/>
  <c r="BG40" i="43"/>
  <c r="BG39" i="43"/>
  <c r="BG38" i="43"/>
  <c r="BG35" i="43"/>
  <c r="BG34" i="43"/>
  <c r="BG33" i="43"/>
  <c r="BG32" i="43"/>
  <c r="BG31" i="43"/>
  <c r="BG30" i="43"/>
  <c r="BG29" i="43"/>
  <c r="BG28" i="43"/>
  <c r="BG27" i="43"/>
  <c r="BG26" i="43"/>
  <c r="BG25" i="43"/>
  <c r="BG22" i="43"/>
  <c r="BH22" i="43" s="1"/>
  <c r="BG21" i="43"/>
  <c r="BH21" i="43" s="1"/>
  <c r="BG20" i="43"/>
  <c r="BH20" i="43" s="1"/>
  <c r="BG19" i="43"/>
  <c r="BH19" i="43" s="1"/>
  <c r="BG18" i="43"/>
  <c r="BH18" i="43" s="1"/>
  <c r="BG17" i="43"/>
  <c r="BH17" i="43" s="1"/>
  <c r="BG16" i="43"/>
  <c r="BH16" i="43" s="1"/>
  <c r="BG15" i="43"/>
  <c r="BH15" i="43" s="1"/>
  <c r="BG14" i="43"/>
  <c r="BH14" i="43" s="1"/>
  <c r="BG13" i="43"/>
  <c r="BH13" i="43" s="1"/>
  <c r="BG12" i="43"/>
  <c r="BH12" i="43" s="1"/>
  <c r="R127" i="43" l="1"/>
  <c r="AB127" i="43" s="1"/>
  <c r="Q127" i="43"/>
  <c r="AK127" i="43" s="1"/>
  <c r="P127" i="43"/>
  <c r="AC127" i="43"/>
  <c r="AR127" i="43"/>
  <c r="AH127" i="43"/>
  <c r="AQ127" i="43"/>
  <c r="AG127" i="43"/>
  <c r="AV127" i="43"/>
  <c r="AL127" i="43"/>
  <c r="AW127" i="43"/>
  <c r="AF127" i="43"/>
  <c r="AU127" i="43"/>
  <c r="AM127" i="43"/>
  <c r="AA127" i="43"/>
  <c r="X378" i="24"/>
  <c r="W378" i="24"/>
  <c r="V378" i="24"/>
  <c r="U378" i="24"/>
  <c r="T378" i="24"/>
  <c r="AH378" i="24"/>
  <c r="AI378" i="24" s="1"/>
  <c r="Q378" i="24"/>
  <c r="R378" i="24"/>
  <c r="P378" i="24"/>
  <c r="O378" i="24"/>
  <c r="AB580" i="24" l="1"/>
  <c r="P380" i="24"/>
  <c r="AD580" i="24"/>
  <c r="R380" i="24"/>
  <c r="AA580" i="24"/>
  <c r="O380" i="24"/>
  <c r="AC580" i="24"/>
  <c r="Q380" i="24"/>
  <c r="AJ127" i="43"/>
  <c r="AN127" i="43" s="1"/>
  <c r="T127" i="43"/>
  <c r="AP127" i="43"/>
  <c r="AT127" i="43"/>
  <c r="AX127" i="43" s="1"/>
  <c r="AO127" i="43"/>
  <c r="S378" i="24"/>
  <c r="AE127" i="43"/>
  <c r="AD127" i="43"/>
  <c r="AY127" i="43"/>
  <c r="AZ127" i="43"/>
  <c r="BA127" i="43"/>
  <c r="BB127" i="43"/>
  <c r="BC127" i="43"/>
  <c r="AI127" i="43"/>
  <c r="AH396" i="24"/>
  <c r="AI396" i="24" s="1"/>
  <c r="N396" i="24"/>
  <c r="T396" i="24"/>
  <c r="U396" i="24"/>
  <c r="V396" i="24"/>
  <c r="W396" i="24"/>
  <c r="X396" i="24"/>
  <c r="AA378" i="24" l="1"/>
  <c r="S380" i="24"/>
  <c r="AS127" i="43"/>
  <c r="S396" i="24"/>
  <c r="AC378" i="24"/>
  <c r="Y378" i="24"/>
  <c r="AA380" i="24"/>
  <c r="AD380" i="24" s="1"/>
  <c r="AE380" i="24" s="1"/>
  <c r="AB378" i="24"/>
  <c r="Z378" i="24"/>
  <c r="Y396" i="24" l="1"/>
  <c r="AA396" i="24"/>
  <c r="AD378" i="24"/>
  <c r="E26" i="28"/>
  <c r="E24" i="28"/>
  <c r="E23" i="28"/>
  <c r="AH403" i="24"/>
  <c r="AI403" i="24" s="1"/>
  <c r="AH404" i="24"/>
  <c r="AI404" i="24" s="1"/>
  <c r="AE378" i="24" l="1"/>
  <c r="AE381" i="24"/>
  <c r="AD396" i="24"/>
  <c r="AE396" i="24" s="1"/>
  <c r="E8" i="28"/>
  <c r="E9" i="28"/>
  <c r="E6" i="28"/>
  <c r="E5" i="28"/>
  <c r="O11" i="44" l="1"/>
  <c r="AH40" i="24"/>
  <c r="AI40" i="24" s="1"/>
  <c r="BG200" i="43" l="1"/>
  <c r="BH200" i="43" s="1"/>
  <c r="AS200" i="43"/>
  <c r="AR200" i="43"/>
  <c r="AQ200" i="43"/>
  <c r="AP200" i="43"/>
  <c r="AO200" i="43"/>
  <c r="AN200" i="43"/>
  <c r="AM200" i="43"/>
  <c r="AL200" i="43"/>
  <c r="AK200" i="43"/>
  <c r="AJ200" i="43"/>
  <c r="Y200" i="43"/>
  <c r="X200" i="43"/>
  <c r="W200" i="43"/>
  <c r="V200" i="43"/>
  <c r="U200" i="43"/>
  <c r="BG199" i="43"/>
  <c r="BH199" i="43" s="1"/>
  <c r="Y199" i="43"/>
  <c r="X199" i="43"/>
  <c r="W199" i="43"/>
  <c r="V199" i="43"/>
  <c r="U199" i="43"/>
  <c r="BG198" i="43"/>
  <c r="BH198" i="43" s="1"/>
  <c r="Y198" i="43"/>
  <c r="X198" i="43"/>
  <c r="W198" i="43"/>
  <c r="V198" i="43"/>
  <c r="U198" i="43"/>
  <c r="S198" i="43"/>
  <c r="R198" i="43"/>
  <c r="Q198" i="43"/>
  <c r="P198" i="43"/>
  <c r="O198" i="43"/>
  <c r="BG197" i="43"/>
  <c r="BH197" i="43" s="1"/>
  <c r="Y197" i="43"/>
  <c r="X197" i="43"/>
  <c r="W197" i="43"/>
  <c r="V197" i="43"/>
  <c r="U197" i="43"/>
  <c r="S197" i="43"/>
  <c r="R197" i="43"/>
  <c r="Q197" i="43"/>
  <c r="P197" i="43"/>
  <c r="O197" i="43"/>
  <c r="BG196" i="43"/>
  <c r="BH196" i="43" s="1"/>
  <c r="Y196" i="43"/>
  <c r="X196" i="43"/>
  <c r="W196" i="43"/>
  <c r="V196" i="43"/>
  <c r="U196" i="43"/>
  <c r="S196" i="43"/>
  <c r="R196" i="43"/>
  <c r="Q196" i="43"/>
  <c r="P196" i="43"/>
  <c r="O196" i="43"/>
  <c r="BG195" i="43"/>
  <c r="BH195" i="43" s="1"/>
  <c r="Y195" i="43"/>
  <c r="X195" i="43"/>
  <c r="W195" i="43"/>
  <c r="V195" i="43"/>
  <c r="U195" i="43"/>
  <c r="S195" i="43"/>
  <c r="R195" i="43"/>
  <c r="Q195" i="43"/>
  <c r="P195" i="43"/>
  <c r="AT195" i="43" s="1"/>
  <c r="O195" i="43"/>
  <c r="BG194" i="43"/>
  <c r="BH194" i="43" s="1"/>
  <c r="Y194" i="43"/>
  <c r="X194" i="43"/>
  <c r="W194" i="43"/>
  <c r="V194" i="43"/>
  <c r="U194" i="43"/>
  <c r="S194" i="43"/>
  <c r="R194" i="43"/>
  <c r="Q194" i="43"/>
  <c r="P194" i="43"/>
  <c r="O194" i="43"/>
  <c r="BG193" i="43"/>
  <c r="BH193" i="43" s="1"/>
  <c r="Y193" i="43"/>
  <c r="X193" i="43"/>
  <c r="W193" i="43"/>
  <c r="V193" i="43"/>
  <c r="U193" i="43"/>
  <c r="S193" i="43"/>
  <c r="R193" i="43"/>
  <c r="Q193" i="43"/>
  <c r="P193" i="43"/>
  <c r="O193" i="43"/>
  <c r="BG192" i="43"/>
  <c r="BH192" i="43" s="1"/>
  <c r="Y192" i="43"/>
  <c r="X192" i="43"/>
  <c r="W192" i="43"/>
  <c r="V192" i="43"/>
  <c r="U192" i="43"/>
  <c r="S192" i="43"/>
  <c r="R192" i="43"/>
  <c r="Q192" i="43"/>
  <c r="P192" i="43"/>
  <c r="O192" i="43"/>
  <c r="BG191" i="43"/>
  <c r="BH191" i="43" s="1"/>
  <c r="Y191" i="43"/>
  <c r="X191" i="43"/>
  <c r="W191" i="43"/>
  <c r="V191" i="43"/>
  <c r="U191" i="43"/>
  <c r="S191" i="43"/>
  <c r="R191" i="43"/>
  <c r="Q191" i="43"/>
  <c r="P191" i="43"/>
  <c r="O191" i="43"/>
  <c r="BG190" i="43"/>
  <c r="BH190" i="43" s="1"/>
  <c r="Y190" i="43"/>
  <c r="X190" i="43"/>
  <c r="W190" i="43"/>
  <c r="V190" i="43"/>
  <c r="U190" i="43"/>
  <c r="S190" i="43"/>
  <c r="R190" i="43"/>
  <c r="Q190" i="43"/>
  <c r="P190" i="43"/>
  <c r="O190" i="43"/>
  <c r="BG189" i="43"/>
  <c r="BH189" i="43" s="1"/>
  <c r="Y189" i="43"/>
  <c r="X189" i="43"/>
  <c r="W189" i="43"/>
  <c r="V189" i="43"/>
  <c r="U189" i="43"/>
  <c r="S189" i="43"/>
  <c r="R189" i="43"/>
  <c r="Q189" i="43"/>
  <c r="P189" i="43"/>
  <c r="O189" i="43"/>
  <c r="BG188" i="43"/>
  <c r="BH188" i="43" s="1"/>
  <c r="Y188" i="43"/>
  <c r="X188" i="43"/>
  <c r="W188" i="43"/>
  <c r="V188" i="43"/>
  <c r="U188" i="43"/>
  <c r="S188" i="43"/>
  <c r="R188" i="43"/>
  <c r="Q188" i="43"/>
  <c r="P188" i="43"/>
  <c r="O188" i="43"/>
  <c r="BG187" i="43"/>
  <c r="BH187" i="43" s="1"/>
  <c r="Y187" i="43"/>
  <c r="X187" i="43"/>
  <c r="W187" i="43"/>
  <c r="V187" i="43"/>
  <c r="U187" i="43"/>
  <c r="S187" i="43"/>
  <c r="R187" i="43"/>
  <c r="Q187" i="43"/>
  <c r="P187" i="43"/>
  <c r="AT187" i="43" s="1"/>
  <c r="O187" i="43"/>
  <c r="BG186" i="43"/>
  <c r="BH186" i="43" s="1"/>
  <c r="Y186" i="43"/>
  <c r="X186" i="43"/>
  <c r="W186" i="43"/>
  <c r="V186" i="43"/>
  <c r="U186" i="43"/>
  <c r="S186" i="43"/>
  <c r="R186" i="43"/>
  <c r="Q186" i="43"/>
  <c r="P186" i="43"/>
  <c r="O186" i="43"/>
  <c r="BG185" i="43"/>
  <c r="BH185" i="43" s="1"/>
  <c r="Y185" i="43"/>
  <c r="X185" i="43"/>
  <c r="W185" i="43"/>
  <c r="V185" i="43"/>
  <c r="U185" i="43"/>
  <c r="S185" i="43"/>
  <c r="R185" i="43"/>
  <c r="Q185" i="43"/>
  <c r="P185" i="43"/>
  <c r="O185" i="43"/>
  <c r="BG184" i="43"/>
  <c r="BH184" i="43" s="1"/>
  <c r="Y184" i="43"/>
  <c r="X184" i="43"/>
  <c r="W184" i="43"/>
  <c r="V184" i="43"/>
  <c r="U184" i="43"/>
  <c r="S184" i="43"/>
  <c r="R184" i="43"/>
  <c r="Q184" i="43"/>
  <c r="P184" i="43"/>
  <c r="O184" i="43"/>
  <c r="BG183" i="43"/>
  <c r="BH183" i="43" s="1"/>
  <c r="Y183" i="43"/>
  <c r="X183" i="43"/>
  <c r="W183" i="43"/>
  <c r="V183" i="43"/>
  <c r="U183" i="43"/>
  <c r="S183" i="43"/>
  <c r="R183" i="43"/>
  <c r="Q183" i="43"/>
  <c r="P183" i="43"/>
  <c r="O183" i="43"/>
  <c r="BG182" i="43"/>
  <c r="BH182" i="43" s="1"/>
  <c r="Y182" i="43"/>
  <c r="X182" i="43"/>
  <c r="W182" i="43"/>
  <c r="V182" i="43"/>
  <c r="U182" i="43"/>
  <c r="S182" i="43"/>
  <c r="R182" i="43"/>
  <c r="Q182" i="43"/>
  <c r="P182" i="43"/>
  <c r="O182" i="43"/>
  <c r="BG181" i="43"/>
  <c r="BH181" i="43" s="1"/>
  <c r="Y181" i="43"/>
  <c r="X181" i="43"/>
  <c r="W181" i="43"/>
  <c r="V181" i="43"/>
  <c r="U181" i="43"/>
  <c r="S181" i="43"/>
  <c r="R181" i="43"/>
  <c r="Q181" i="43"/>
  <c r="P181" i="43"/>
  <c r="O181" i="43"/>
  <c r="BG180" i="43"/>
  <c r="BH180" i="43" s="1"/>
  <c r="Y180" i="43"/>
  <c r="X180" i="43"/>
  <c r="W180" i="43"/>
  <c r="V180" i="43"/>
  <c r="U180" i="43"/>
  <c r="BG179" i="43"/>
  <c r="BH179" i="43" s="1"/>
  <c r="Y179" i="43"/>
  <c r="X179" i="43"/>
  <c r="W179" i="43"/>
  <c r="V179" i="43"/>
  <c r="U179" i="43"/>
  <c r="BG178" i="43"/>
  <c r="BH178" i="43" s="1"/>
  <c r="Y178" i="43"/>
  <c r="X178" i="43"/>
  <c r="BB178" i="43" s="1"/>
  <c r="W178" i="43"/>
  <c r="BA178" i="43" s="1"/>
  <c r="V178" i="43"/>
  <c r="U178" i="43"/>
  <c r="AY178" i="43" s="1"/>
  <c r="S178" i="43"/>
  <c r="R178" i="43"/>
  <c r="Q178" i="43"/>
  <c r="P178" i="43"/>
  <c r="BG177" i="43"/>
  <c r="BH177" i="43" s="1"/>
  <c r="Y177" i="43"/>
  <c r="X177" i="43"/>
  <c r="W177" i="43"/>
  <c r="V177" i="43"/>
  <c r="U177" i="43"/>
  <c r="S177" i="43"/>
  <c r="R177" i="43"/>
  <c r="Q177" i="43"/>
  <c r="P177" i="43"/>
  <c r="AT177" i="43" s="1"/>
  <c r="O177" i="43"/>
  <c r="BG176" i="43"/>
  <c r="BH176" i="43" s="1"/>
  <c r="Y176" i="43"/>
  <c r="X176" i="43"/>
  <c r="W176" i="43"/>
  <c r="V176" i="43"/>
  <c r="U176" i="43"/>
  <c r="S176" i="43"/>
  <c r="R176" i="43"/>
  <c r="Q176" i="43"/>
  <c r="P176" i="43"/>
  <c r="O176" i="43"/>
  <c r="BG175" i="43"/>
  <c r="BH175" i="43" s="1"/>
  <c r="Y175" i="43"/>
  <c r="X175" i="43"/>
  <c r="AO175" i="43" s="1"/>
  <c r="W175" i="43"/>
  <c r="V175" i="43"/>
  <c r="U175" i="43"/>
  <c r="S175" i="43"/>
  <c r="R175" i="43"/>
  <c r="Q175" i="43"/>
  <c r="P175" i="43"/>
  <c r="O175" i="43"/>
  <c r="BG174" i="43"/>
  <c r="BH174" i="43" s="1"/>
  <c r="Y174" i="43"/>
  <c r="X174" i="43"/>
  <c r="W174" i="43"/>
  <c r="V174" i="43"/>
  <c r="U174" i="43"/>
  <c r="S174" i="43"/>
  <c r="R174" i="43"/>
  <c r="Q174" i="43"/>
  <c r="P174" i="43"/>
  <c r="O174" i="43"/>
  <c r="BG173" i="43"/>
  <c r="BH173" i="43" s="1"/>
  <c r="Y173" i="43"/>
  <c r="X173" i="43"/>
  <c r="W173" i="43"/>
  <c r="V173" i="43"/>
  <c r="U173" i="43"/>
  <c r="S173" i="43"/>
  <c r="R173" i="43"/>
  <c r="Q173" i="43"/>
  <c r="P173" i="43"/>
  <c r="O173" i="43"/>
  <c r="BG172" i="43"/>
  <c r="BH172" i="43" s="1"/>
  <c r="Y172" i="43"/>
  <c r="X172" i="43"/>
  <c r="W172" i="43"/>
  <c r="V172" i="43"/>
  <c r="U172" i="43"/>
  <c r="S172" i="43"/>
  <c r="R172" i="43"/>
  <c r="Q172" i="43"/>
  <c r="P172" i="43"/>
  <c r="O172" i="43"/>
  <c r="BG171" i="43"/>
  <c r="BH171" i="43" s="1"/>
  <c r="Y171" i="43"/>
  <c r="X171" i="43"/>
  <c r="W171" i="43"/>
  <c r="V171" i="43"/>
  <c r="U171" i="43"/>
  <c r="S171" i="43"/>
  <c r="R171" i="43"/>
  <c r="Q171" i="43"/>
  <c r="P171" i="43"/>
  <c r="O171" i="43"/>
  <c r="BG170" i="43"/>
  <c r="BH170" i="43" s="1"/>
  <c r="Y170" i="43"/>
  <c r="X170" i="43"/>
  <c r="W170" i="43"/>
  <c r="V170" i="43"/>
  <c r="U170" i="43"/>
  <c r="S170" i="43"/>
  <c r="R170" i="43"/>
  <c r="Q170" i="43"/>
  <c r="P170" i="43"/>
  <c r="O170" i="43"/>
  <c r="BG169" i="43"/>
  <c r="BH169" i="43" s="1"/>
  <c r="Y169" i="43"/>
  <c r="X169" i="43"/>
  <c r="W169" i="43"/>
  <c r="V169" i="43"/>
  <c r="U169" i="43"/>
  <c r="S169" i="43"/>
  <c r="R169" i="43"/>
  <c r="Q169" i="43"/>
  <c r="P169" i="43"/>
  <c r="O169" i="43"/>
  <c r="BG168" i="43"/>
  <c r="BH168" i="43" s="1"/>
  <c r="Y168" i="43"/>
  <c r="X168" i="43"/>
  <c r="W168" i="43"/>
  <c r="V168" i="43"/>
  <c r="U168" i="43"/>
  <c r="S168" i="43"/>
  <c r="R168" i="43"/>
  <c r="Q168" i="43"/>
  <c r="P168" i="43"/>
  <c r="O168" i="43"/>
  <c r="BG167" i="43"/>
  <c r="BH167" i="43" s="1"/>
  <c r="Y167" i="43"/>
  <c r="X167" i="43"/>
  <c r="W167" i="43"/>
  <c r="V167" i="43"/>
  <c r="U167" i="43"/>
  <c r="S167" i="43"/>
  <c r="R167" i="43"/>
  <c r="Q167" i="43"/>
  <c r="P167" i="43"/>
  <c r="O167" i="43"/>
  <c r="BG166" i="43"/>
  <c r="BH166" i="43" s="1"/>
  <c r="Y166" i="43"/>
  <c r="X166" i="43"/>
  <c r="W166" i="43"/>
  <c r="V166" i="43"/>
  <c r="U166" i="43"/>
  <c r="S166" i="43"/>
  <c r="R166" i="43"/>
  <c r="Q166" i="43"/>
  <c r="P166" i="43"/>
  <c r="O166" i="43"/>
  <c r="BG165" i="43"/>
  <c r="BH165" i="43" s="1"/>
  <c r="Y165" i="43"/>
  <c r="X165" i="43"/>
  <c r="W165" i="43"/>
  <c r="V165" i="43"/>
  <c r="U165" i="43"/>
  <c r="S165" i="43"/>
  <c r="R165" i="43"/>
  <c r="Q165" i="43"/>
  <c r="P165" i="43"/>
  <c r="O165" i="43"/>
  <c r="BG164" i="43"/>
  <c r="BH164" i="43" s="1"/>
  <c r="Y164" i="43"/>
  <c r="X164" i="43"/>
  <c r="W164" i="43"/>
  <c r="V164" i="43"/>
  <c r="U164" i="43"/>
  <c r="S164" i="43"/>
  <c r="R164" i="43"/>
  <c r="Q164" i="43"/>
  <c r="P164" i="43"/>
  <c r="O164" i="43"/>
  <c r="BG163" i="43"/>
  <c r="BH163" i="43" s="1"/>
  <c r="Y163" i="43"/>
  <c r="X163" i="43"/>
  <c r="W163" i="43"/>
  <c r="V163" i="43"/>
  <c r="U163" i="43"/>
  <c r="S163" i="43"/>
  <c r="R163" i="43"/>
  <c r="Q163" i="43"/>
  <c r="P163" i="43"/>
  <c r="O163" i="43"/>
  <c r="BG162" i="43"/>
  <c r="BH162" i="43" s="1"/>
  <c r="Y162" i="43"/>
  <c r="X162" i="43"/>
  <c r="W162" i="43"/>
  <c r="V162" i="43"/>
  <c r="U162" i="43"/>
  <c r="S162" i="43"/>
  <c r="R162" i="43"/>
  <c r="Q162" i="43"/>
  <c r="P162" i="43"/>
  <c r="O162" i="43"/>
  <c r="BG161" i="43"/>
  <c r="BH161" i="43" s="1"/>
  <c r="Y161" i="43"/>
  <c r="X161" i="43"/>
  <c r="W161" i="43"/>
  <c r="V161" i="43"/>
  <c r="U161" i="43"/>
  <c r="S161" i="43"/>
  <c r="R161" i="43"/>
  <c r="Q161" i="43"/>
  <c r="P161" i="43"/>
  <c r="O161" i="43"/>
  <c r="BG160" i="43"/>
  <c r="BH160" i="43" s="1"/>
  <c r="Y160" i="43"/>
  <c r="X160" i="43"/>
  <c r="W160" i="43"/>
  <c r="V160" i="43"/>
  <c r="U160" i="43"/>
  <c r="S160" i="43"/>
  <c r="R160" i="43"/>
  <c r="Q160" i="43"/>
  <c r="P160" i="43"/>
  <c r="O160" i="43"/>
  <c r="BG159" i="43"/>
  <c r="BH159" i="43" s="1"/>
  <c r="Y159" i="43"/>
  <c r="X159" i="43"/>
  <c r="W159" i="43"/>
  <c r="V159" i="43"/>
  <c r="U159" i="43"/>
  <c r="S159" i="43"/>
  <c r="R159" i="43"/>
  <c r="Q159" i="43"/>
  <c r="P159" i="43"/>
  <c r="O159" i="43"/>
  <c r="BG158" i="43"/>
  <c r="BH158" i="43" s="1"/>
  <c r="Y158" i="43"/>
  <c r="X158" i="43"/>
  <c r="W158" i="43"/>
  <c r="V158" i="43"/>
  <c r="U158" i="43"/>
  <c r="S158" i="43"/>
  <c r="R158" i="43"/>
  <c r="Q158" i="43"/>
  <c r="P158" i="43"/>
  <c r="AT158" i="43" s="1"/>
  <c r="O158" i="43"/>
  <c r="BG157" i="43"/>
  <c r="BH157" i="43" s="1"/>
  <c r="Y157" i="43"/>
  <c r="X157" i="43"/>
  <c r="W157" i="43"/>
  <c r="V157" i="43"/>
  <c r="U157" i="43"/>
  <c r="S157" i="43"/>
  <c r="R157" i="43"/>
  <c r="Q157" i="43"/>
  <c r="P157" i="43"/>
  <c r="O157" i="43"/>
  <c r="BG156" i="43"/>
  <c r="BH156" i="43" s="1"/>
  <c r="Y156" i="43"/>
  <c r="X156" i="43"/>
  <c r="W156" i="43"/>
  <c r="V156" i="43"/>
  <c r="U156" i="43"/>
  <c r="BG155" i="43"/>
  <c r="BH155" i="43" s="1"/>
  <c r="Y155" i="43"/>
  <c r="X155" i="43"/>
  <c r="W155" i="43"/>
  <c r="V155" i="43"/>
  <c r="U155" i="43"/>
  <c r="BG154" i="43"/>
  <c r="BH154" i="43" s="1"/>
  <c r="Y154" i="43"/>
  <c r="X154" i="43"/>
  <c r="W154" i="43"/>
  <c r="V154" i="43"/>
  <c r="U154" i="43"/>
  <c r="S154" i="43"/>
  <c r="R154" i="43"/>
  <c r="Q154" i="43"/>
  <c r="P154" i="43"/>
  <c r="O154" i="43"/>
  <c r="BG153" i="43"/>
  <c r="BH153" i="43" s="1"/>
  <c r="Y153" i="43"/>
  <c r="X153" i="43"/>
  <c r="W153" i="43"/>
  <c r="V153" i="43"/>
  <c r="U153" i="43"/>
  <c r="S153" i="43"/>
  <c r="R153" i="43"/>
  <c r="Q153" i="43"/>
  <c r="P153" i="43"/>
  <c r="O153" i="43"/>
  <c r="BG152" i="43"/>
  <c r="BH152" i="43" s="1"/>
  <c r="Y152" i="43"/>
  <c r="X152" i="43"/>
  <c r="W152" i="43"/>
  <c r="V152" i="43"/>
  <c r="U152" i="43"/>
  <c r="S152" i="43"/>
  <c r="R152" i="43"/>
  <c r="Q152" i="43"/>
  <c r="P152" i="43"/>
  <c r="O152" i="43"/>
  <c r="BG151" i="43"/>
  <c r="BH151" i="43" s="1"/>
  <c r="Y151" i="43"/>
  <c r="X151" i="43"/>
  <c r="W151" i="43"/>
  <c r="V151" i="43"/>
  <c r="U151" i="43"/>
  <c r="S151" i="43"/>
  <c r="R151" i="43"/>
  <c r="Q151" i="43"/>
  <c r="P151" i="43"/>
  <c r="O151" i="43"/>
  <c r="BG150" i="43"/>
  <c r="BH150" i="43" s="1"/>
  <c r="Y150" i="43"/>
  <c r="X150" i="43"/>
  <c r="W150" i="43"/>
  <c r="V150" i="43"/>
  <c r="U150" i="43"/>
  <c r="S150" i="43"/>
  <c r="R150" i="43"/>
  <c r="Q150" i="43"/>
  <c r="P150" i="43"/>
  <c r="O150" i="43"/>
  <c r="BG149" i="43"/>
  <c r="BH149" i="43" s="1"/>
  <c r="Y149" i="43"/>
  <c r="X149" i="43"/>
  <c r="W149" i="43"/>
  <c r="V149" i="43"/>
  <c r="U149" i="43"/>
  <c r="S149" i="43"/>
  <c r="R149" i="43"/>
  <c r="Q149" i="43"/>
  <c r="P149" i="43"/>
  <c r="AT149" i="43" s="1"/>
  <c r="O149" i="43"/>
  <c r="BG148" i="43"/>
  <c r="BH148" i="43" s="1"/>
  <c r="Y148" i="43"/>
  <c r="X148" i="43"/>
  <c r="W148" i="43"/>
  <c r="V148" i="43"/>
  <c r="U148" i="43"/>
  <c r="S148" i="43"/>
  <c r="R148" i="43"/>
  <c r="Q148" i="43"/>
  <c r="P148" i="43"/>
  <c r="O148" i="43"/>
  <c r="BG147" i="43"/>
  <c r="BH147" i="43" s="1"/>
  <c r="Y147" i="43"/>
  <c r="AW147" i="43" s="1"/>
  <c r="X147" i="43"/>
  <c r="AR147" i="43" s="1"/>
  <c r="W147" i="43"/>
  <c r="AJ147" i="43" s="1"/>
  <c r="V147" i="43"/>
  <c r="AZ147" i="43" s="1"/>
  <c r="U147" i="43"/>
  <c r="AC147" i="43" s="1"/>
  <c r="BG146" i="43"/>
  <c r="BH146" i="43" s="1"/>
  <c r="Y146" i="43"/>
  <c r="X146" i="43"/>
  <c r="W146" i="43"/>
  <c r="V146" i="43"/>
  <c r="U146" i="43"/>
  <c r="BG145" i="43"/>
  <c r="BH145" i="43" s="1"/>
  <c r="Y145" i="43"/>
  <c r="X145" i="43"/>
  <c r="W145" i="43"/>
  <c r="V145" i="43"/>
  <c r="U145" i="43"/>
  <c r="BG144" i="43"/>
  <c r="BH144" i="43" s="1"/>
  <c r="Y144" i="43"/>
  <c r="X144" i="43"/>
  <c r="W144" i="43"/>
  <c r="V144" i="43"/>
  <c r="U144" i="43"/>
  <c r="Y143" i="43"/>
  <c r="X143" i="43"/>
  <c r="W143" i="43"/>
  <c r="V143" i="43"/>
  <c r="U143" i="43"/>
  <c r="Y142" i="43"/>
  <c r="X142" i="43"/>
  <c r="W142" i="43"/>
  <c r="V142" i="43"/>
  <c r="U142" i="43"/>
  <c r="BH141" i="43"/>
  <c r="O141" i="43"/>
  <c r="I141" i="43"/>
  <c r="S141" i="43" s="1"/>
  <c r="BH140" i="43"/>
  <c r="O140" i="43"/>
  <c r="BH139" i="43"/>
  <c r="S139" i="43"/>
  <c r="AR139" i="43" s="1"/>
  <c r="R139" i="43"/>
  <c r="AG139" i="43" s="1"/>
  <c r="Q139" i="43"/>
  <c r="AP139" i="43" s="1"/>
  <c r="P139" i="43"/>
  <c r="AJ139" i="43" s="1"/>
  <c r="O139" i="43"/>
  <c r="T139" i="43" s="1"/>
  <c r="BH138" i="43"/>
  <c r="P138" i="43"/>
  <c r="O138" i="43"/>
  <c r="BH137" i="43"/>
  <c r="S137" i="43"/>
  <c r="Q137" i="43"/>
  <c r="O137" i="43"/>
  <c r="BH136" i="43"/>
  <c r="O136" i="43"/>
  <c r="S136" i="43"/>
  <c r="BH135" i="43"/>
  <c r="O135" i="43"/>
  <c r="I135" i="43"/>
  <c r="Q135" i="43" s="1"/>
  <c r="BH134" i="43"/>
  <c r="R134" i="43"/>
  <c r="Q134" i="43"/>
  <c r="P134" i="43"/>
  <c r="O134" i="43"/>
  <c r="Y133" i="43"/>
  <c r="X133" i="43"/>
  <c r="W133" i="43"/>
  <c r="V133" i="43"/>
  <c r="U133" i="43"/>
  <c r="Y132" i="43"/>
  <c r="X132" i="43"/>
  <c r="W132" i="43"/>
  <c r="V132" i="43"/>
  <c r="U132" i="43"/>
  <c r="BH131" i="43"/>
  <c r="O131" i="43"/>
  <c r="I131" i="43"/>
  <c r="Q131" i="43" s="1"/>
  <c r="AK131" i="43" s="1"/>
  <c r="BH130" i="43"/>
  <c r="O130" i="43"/>
  <c r="I130" i="43"/>
  <c r="Q130" i="43" s="1"/>
  <c r="BH129" i="43"/>
  <c r="Y129" i="43"/>
  <c r="X129" i="43"/>
  <c r="W129" i="43"/>
  <c r="V129" i="43"/>
  <c r="U129" i="43"/>
  <c r="Y128" i="43"/>
  <c r="X128" i="43"/>
  <c r="W128" i="43"/>
  <c r="V128" i="43"/>
  <c r="U128" i="43"/>
  <c r="BH126" i="43"/>
  <c r="O126" i="43"/>
  <c r="I126" i="43"/>
  <c r="BH125" i="43"/>
  <c r="S125" i="43"/>
  <c r="AR125" i="43" s="1"/>
  <c r="R125" i="43"/>
  <c r="AB125" i="43" s="1"/>
  <c r="Q125" i="43"/>
  <c r="AA125" i="43" s="1"/>
  <c r="P125" i="43"/>
  <c r="AJ125" i="43" s="1"/>
  <c r="O125" i="43"/>
  <c r="BH124" i="43"/>
  <c r="S124" i="43"/>
  <c r="R124" i="43"/>
  <c r="Q124" i="43"/>
  <c r="AU124" i="43" s="1"/>
  <c r="P124" i="43"/>
  <c r="O124" i="43"/>
  <c r="BH123" i="43"/>
  <c r="O123" i="43"/>
  <c r="I123" i="43"/>
  <c r="BH122" i="43"/>
  <c r="O122" i="43"/>
  <c r="I122" i="43"/>
  <c r="BH121" i="43"/>
  <c r="O121" i="43"/>
  <c r="I121" i="43"/>
  <c r="BH120" i="43"/>
  <c r="S120" i="43"/>
  <c r="R120" i="43"/>
  <c r="AB120" i="43" s="1"/>
  <c r="Q120" i="43"/>
  <c r="P120" i="43"/>
  <c r="O120" i="43"/>
  <c r="BH119" i="43"/>
  <c r="O119" i="43"/>
  <c r="I119" i="43"/>
  <c r="BH118" i="43"/>
  <c r="AW118" i="43"/>
  <c r="AR118" i="43"/>
  <c r="AK118" i="43"/>
  <c r="AI118" i="43"/>
  <c r="U118" i="43"/>
  <c r="AC118" i="43" s="1"/>
  <c r="AW117" i="43"/>
  <c r="AR117" i="43"/>
  <c r="AI117" i="43"/>
  <c r="U117" i="43"/>
  <c r="Y116" i="43"/>
  <c r="X116" i="43"/>
  <c r="W116" i="43"/>
  <c r="V116" i="43"/>
  <c r="U116" i="43"/>
  <c r="AX115" i="43"/>
  <c r="AX201" i="43" s="1"/>
  <c r="AW115" i="43"/>
  <c r="AW201" i="43" s="1"/>
  <c r="Y210" i="43" s="1"/>
  <c r="AV115" i="43"/>
  <c r="AV201" i="43" s="1"/>
  <c r="X210" i="43" s="1"/>
  <c r="AU115" i="43"/>
  <c r="AU201" i="43" s="1"/>
  <c r="W210" i="43" s="1"/>
  <c r="AT115" i="43"/>
  <c r="AT201" i="43" s="1"/>
  <c r="V210" i="43" s="1"/>
  <c r="AS115" i="43"/>
  <c r="AR115" i="43"/>
  <c r="AQ115" i="43"/>
  <c r="AP115" i="43"/>
  <c r="AO115" i="43"/>
  <c r="Y115" i="43"/>
  <c r="X115" i="43"/>
  <c r="W115" i="43"/>
  <c r="V115" i="43"/>
  <c r="U115" i="43"/>
  <c r="Y114" i="43"/>
  <c r="X114" i="43"/>
  <c r="W114" i="43"/>
  <c r="V114" i="43"/>
  <c r="U114" i="43"/>
  <c r="BH113" i="43"/>
  <c r="Y113" i="43"/>
  <c r="X113" i="43"/>
  <c r="W113" i="43"/>
  <c r="V113" i="43"/>
  <c r="U113" i="43"/>
  <c r="O113" i="43"/>
  <c r="BH112" i="43"/>
  <c r="Y112" i="43"/>
  <c r="X112" i="43"/>
  <c r="W112" i="43"/>
  <c r="V112" i="43"/>
  <c r="U112" i="43"/>
  <c r="T112" i="43"/>
  <c r="O112" i="43"/>
  <c r="BH111" i="43"/>
  <c r="Y111" i="43"/>
  <c r="X111" i="43"/>
  <c r="W111" i="43"/>
  <c r="V111" i="43"/>
  <c r="U111" i="43"/>
  <c r="BH110" i="43"/>
  <c r="Y110" i="43"/>
  <c r="X110" i="43"/>
  <c r="W110" i="43"/>
  <c r="V110" i="43"/>
  <c r="U110" i="43"/>
  <c r="BH109" i="43"/>
  <c r="Y109" i="43"/>
  <c r="X109" i="43"/>
  <c r="AQ109" i="43" s="1"/>
  <c r="W109" i="43"/>
  <c r="V109" i="43"/>
  <c r="AE109" i="43" s="1"/>
  <c r="U109" i="43"/>
  <c r="BH108" i="43"/>
  <c r="Y108" i="43"/>
  <c r="X108" i="43"/>
  <c r="W108" i="43"/>
  <c r="V108" i="43"/>
  <c r="U108" i="43"/>
  <c r="BH107" i="43"/>
  <c r="Y107" i="43"/>
  <c r="X107" i="43"/>
  <c r="W107" i="43"/>
  <c r="V107" i="43"/>
  <c r="U107" i="43"/>
  <c r="BH106" i="43"/>
  <c r="Y106" i="43"/>
  <c r="X106" i="43"/>
  <c r="W106" i="43"/>
  <c r="V106" i="43"/>
  <c r="U106" i="43"/>
  <c r="Z106" i="43" s="1"/>
  <c r="BH105" i="43"/>
  <c r="Y105" i="43"/>
  <c r="AU105" i="43" s="1"/>
  <c r="X105" i="43"/>
  <c r="W105" i="43"/>
  <c r="V105" i="43"/>
  <c r="U105" i="43"/>
  <c r="BH104" i="43"/>
  <c r="Y104" i="43"/>
  <c r="X104" i="43"/>
  <c r="W104" i="43"/>
  <c r="V104" i="43"/>
  <c r="U104" i="43"/>
  <c r="BH103" i="43"/>
  <c r="Y103" i="43"/>
  <c r="X103" i="43"/>
  <c r="W103" i="43"/>
  <c r="AJ103" i="43" s="1"/>
  <c r="V103" i="43"/>
  <c r="U103" i="43"/>
  <c r="Y101" i="43"/>
  <c r="X101" i="43"/>
  <c r="W101" i="43"/>
  <c r="V101" i="43"/>
  <c r="U101" i="43"/>
  <c r="BH100" i="43"/>
  <c r="Y100" i="43"/>
  <c r="X100" i="43"/>
  <c r="W100" i="43"/>
  <c r="V100" i="43"/>
  <c r="AG100" i="43" s="1"/>
  <c r="U100" i="43"/>
  <c r="AB100" i="43" s="1"/>
  <c r="O100" i="43"/>
  <c r="BH99" i="43"/>
  <c r="Y99" i="43"/>
  <c r="X99" i="43"/>
  <c r="W99" i="43"/>
  <c r="AL99" i="43" s="1"/>
  <c r="V99" i="43"/>
  <c r="U99" i="43"/>
  <c r="AB99" i="43" s="1"/>
  <c r="O99" i="43"/>
  <c r="BH98" i="43"/>
  <c r="Y98" i="43"/>
  <c r="X98" i="43"/>
  <c r="W98" i="43"/>
  <c r="V98" i="43"/>
  <c r="U98" i="43"/>
  <c r="BH97" i="43"/>
  <c r="Y97" i="43"/>
  <c r="X97" i="43"/>
  <c r="W97" i="43"/>
  <c r="V97" i="43"/>
  <c r="U97" i="43"/>
  <c r="BH96" i="43"/>
  <c r="Y96" i="43"/>
  <c r="X96" i="43"/>
  <c r="W96" i="43"/>
  <c r="V96" i="43"/>
  <c r="U96" i="43"/>
  <c r="BH95" i="43"/>
  <c r="Y95" i="43"/>
  <c r="X95" i="43"/>
  <c r="W95" i="43"/>
  <c r="V95" i="43"/>
  <c r="U95" i="43"/>
  <c r="BH94" i="43"/>
  <c r="Y94" i="43"/>
  <c r="X94" i="43"/>
  <c r="AO94" i="43" s="1"/>
  <c r="W94" i="43"/>
  <c r="V94" i="43"/>
  <c r="U94" i="43"/>
  <c r="BH93" i="43"/>
  <c r="Y93" i="43"/>
  <c r="X93" i="43"/>
  <c r="W93" i="43"/>
  <c r="V93" i="43"/>
  <c r="U93" i="43"/>
  <c r="BH92" i="43"/>
  <c r="Y92" i="43"/>
  <c r="X92" i="43"/>
  <c r="W92" i="43"/>
  <c r="V92" i="43"/>
  <c r="U92" i="43"/>
  <c r="BH91" i="43"/>
  <c r="Y91" i="43"/>
  <c r="X91" i="43"/>
  <c r="W91" i="43"/>
  <c r="V91" i="43"/>
  <c r="U91" i="43"/>
  <c r="BH90" i="43"/>
  <c r="Y90" i="43"/>
  <c r="X90" i="43"/>
  <c r="W90" i="43"/>
  <c r="V90" i="43"/>
  <c r="U90" i="43"/>
  <c r="O90" i="43"/>
  <c r="Y88" i="43"/>
  <c r="X88" i="43"/>
  <c r="W88" i="43"/>
  <c r="V88" i="43"/>
  <c r="U88" i="43"/>
  <c r="BH87" i="43"/>
  <c r="Y87" i="43"/>
  <c r="X87" i="43"/>
  <c r="W87" i="43"/>
  <c r="V87" i="43"/>
  <c r="U87" i="43"/>
  <c r="O87" i="43"/>
  <c r="BH86" i="43"/>
  <c r="Y86" i="43"/>
  <c r="X86" i="43"/>
  <c r="W86" i="43"/>
  <c r="V86" i="43"/>
  <c r="U86" i="43"/>
  <c r="O86" i="43"/>
  <c r="T86" i="43" s="1"/>
  <c r="BH85" i="43"/>
  <c r="Y85" i="43"/>
  <c r="X85" i="43"/>
  <c r="W85" i="43"/>
  <c r="V85" i="43"/>
  <c r="AE85" i="43" s="1"/>
  <c r="U85" i="43"/>
  <c r="BH84" i="43"/>
  <c r="Y84" i="43"/>
  <c r="AT84" i="43" s="1"/>
  <c r="X84" i="43"/>
  <c r="W84" i="43"/>
  <c r="AJ84" i="43" s="1"/>
  <c r="V84" i="43"/>
  <c r="U84" i="43"/>
  <c r="BH83" i="43"/>
  <c r="Y83" i="43"/>
  <c r="X83" i="43"/>
  <c r="W83" i="43"/>
  <c r="V83" i="43"/>
  <c r="U83" i="43"/>
  <c r="BH82" i="43"/>
  <c r="Y82" i="43"/>
  <c r="X82" i="43"/>
  <c r="W82" i="43"/>
  <c r="V82" i="43"/>
  <c r="U82" i="43"/>
  <c r="BH81" i="43"/>
  <c r="Y81" i="43"/>
  <c r="X81" i="43"/>
  <c r="W81" i="43"/>
  <c r="V81" i="43"/>
  <c r="U81" i="43"/>
  <c r="BH80" i="43"/>
  <c r="Y80" i="43"/>
  <c r="X80" i="43"/>
  <c r="W80" i="43"/>
  <c r="V80" i="43"/>
  <c r="U80" i="43"/>
  <c r="BH79" i="43"/>
  <c r="Y79" i="43"/>
  <c r="X79" i="43"/>
  <c r="W79" i="43"/>
  <c r="V79" i="43"/>
  <c r="U79" i="43"/>
  <c r="BH78" i="43"/>
  <c r="Y78" i="43"/>
  <c r="X78" i="43"/>
  <c r="W78" i="43"/>
  <c r="V78" i="43"/>
  <c r="U78" i="43"/>
  <c r="BH77" i="43"/>
  <c r="Y77" i="43"/>
  <c r="X77" i="43"/>
  <c r="W77" i="43"/>
  <c r="V77" i="43"/>
  <c r="U77" i="43"/>
  <c r="Y75" i="43"/>
  <c r="X75" i="43"/>
  <c r="W75" i="43"/>
  <c r="V75" i="43"/>
  <c r="U75" i="43"/>
  <c r="BH74" i="43"/>
  <c r="Y74" i="43"/>
  <c r="X74" i="43"/>
  <c r="W74" i="43"/>
  <c r="V74" i="43"/>
  <c r="AF74" i="43" s="1"/>
  <c r="U74" i="43"/>
  <c r="O74" i="43"/>
  <c r="BH73" i="43"/>
  <c r="Y73" i="43"/>
  <c r="X73" i="43"/>
  <c r="W73" i="43"/>
  <c r="V73" i="43"/>
  <c r="U73" i="43"/>
  <c r="O73" i="43"/>
  <c r="BH72" i="43"/>
  <c r="Y72" i="43"/>
  <c r="X72" i="43"/>
  <c r="W72" i="43"/>
  <c r="V72" i="43"/>
  <c r="U72" i="43"/>
  <c r="BH71" i="43"/>
  <c r="Y71" i="43"/>
  <c r="X71" i="43"/>
  <c r="W71" i="43"/>
  <c r="V71" i="43"/>
  <c r="AE71" i="43" s="1"/>
  <c r="U71" i="43"/>
  <c r="Z71" i="43" s="1"/>
  <c r="BH70" i="43"/>
  <c r="Y70" i="43"/>
  <c r="X70" i="43"/>
  <c r="W70" i="43"/>
  <c r="V70" i="43"/>
  <c r="U70" i="43"/>
  <c r="BH69" i="43"/>
  <c r="Y69" i="43"/>
  <c r="X69" i="43"/>
  <c r="W69" i="43"/>
  <c r="V69" i="43"/>
  <c r="U69" i="43"/>
  <c r="BH68" i="43"/>
  <c r="Y68" i="43"/>
  <c r="AT68" i="43" s="1"/>
  <c r="X68" i="43"/>
  <c r="W68" i="43"/>
  <c r="V68" i="43"/>
  <c r="U68" i="43"/>
  <c r="BH67" i="43"/>
  <c r="Y67" i="43"/>
  <c r="AT67" i="43" s="1"/>
  <c r="X67" i="43"/>
  <c r="W67" i="43"/>
  <c r="V67" i="43"/>
  <c r="U67" i="43"/>
  <c r="BH66" i="43"/>
  <c r="Y66" i="43"/>
  <c r="X66" i="43"/>
  <c r="W66" i="43"/>
  <c r="AJ66" i="43" s="1"/>
  <c r="V66" i="43"/>
  <c r="U66" i="43"/>
  <c r="BH65" i="43"/>
  <c r="Y65" i="43"/>
  <c r="X65" i="43"/>
  <c r="W65" i="43"/>
  <c r="V65" i="43"/>
  <c r="U65" i="43"/>
  <c r="BH64" i="43"/>
  <c r="Y64" i="43"/>
  <c r="X64" i="43"/>
  <c r="W64" i="43"/>
  <c r="V64" i="43"/>
  <c r="U64" i="43"/>
  <c r="Y62" i="43"/>
  <c r="X62" i="43"/>
  <c r="W62" i="43"/>
  <c r="V62" i="43"/>
  <c r="U62" i="43"/>
  <c r="BH61" i="43"/>
  <c r="Y61" i="43"/>
  <c r="X61" i="43"/>
  <c r="W61" i="43"/>
  <c r="V61" i="43"/>
  <c r="U61" i="43"/>
  <c r="O61" i="43"/>
  <c r="BH60" i="43"/>
  <c r="Y60" i="43"/>
  <c r="AV60" i="43" s="1"/>
  <c r="X60" i="43"/>
  <c r="W60" i="43"/>
  <c r="V60" i="43"/>
  <c r="U60" i="43"/>
  <c r="AB60" i="43" s="1"/>
  <c r="BH59" i="43"/>
  <c r="Y59" i="43"/>
  <c r="X59" i="43"/>
  <c r="W59" i="43"/>
  <c r="AJ59" i="43" s="1"/>
  <c r="V59" i="43"/>
  <c r="U59" i="43"/>
  <c r="BH58" i="43"/>
  <c r="Y58" i="43"/>
  <c r="X58" i="43"/>
  <c r="W58" i="43"/>
  <c r="V58" i="43"/>
  <c r="U58" i="43"/>
  <c r="BH57" i="43"/>
  <c r="Y57" i="43"/>
  <c r="X57" i="43"/>
  <c r="W57" i="43"/>
  <c r="V57" i="43"/>
  <c r="U57" i="43"/>
  <c r="BH56" i="43"/>
  <c r="Y56" i="43"/>
  <c r="X56" i="43"/>
  <c r="W56" i="43"/>
  <c r="V56" i="43"/>
  <c r="U56" i="43"/>
  <c r="BH55" i="43"/>
  <c r="Y55" i="43"/>
  <c r="X55" i="43"/>
  <c r="W55" i="43"/>
  <c r="V55" i="43"/>
  <c r="U55" i="43"/>
  <c r="BH54" i="43"/>
  <c r="Y54" i="43"/>
  <c r="X54" i="43"/>
  <c r="W54" i="43"/>
  <c r="V54" i="43"/>
  <c r="U54" i="43"/>
  <c r="BH53" i="43"/>
  <c r="Y53" i="43"/>
  <c r="X53" i="43"/>
  <c r="W53" i="43"/>
  <c r="V53" i="43"/>
  <c r="U53" i="43"/>
  <c r="BH52" i="43"/>
  <c r="Y52" i="43"/>
  <c r="AT52" i="43" s="1"/>
  <c r="X52" i="43"/>
  <c r="W52" i="43"/>
  <c r="V52" i="43"/>
  <c r="U52" i="43"/>
  <c r="BH51" i="43"/>
  <c r="Y51" i="43"/>
  <c r="AT51" i="43" s="1"/>
  <c r="X51" i="43"/>
  <c r="W51" i="43"/>
  <c r="V51" i="43"/>
  <c r="AE51" i="43" s="1"/>
  <c r="U51" i="43"/>
  <c r="Z51" i="43" s="1"/>
  <c r="Y49" i="43"/>
  <c r="X49" i="43"/>
  <c r="W49" i="43"/>
  <c r="V49" i="43"/>
  <c r="U49" i="43"/>
  <c r="BH48" i="43"/>
  <c r="Y48" i="43"/>
  <c r="AT48" i="43" s="1"/>
  <c r="X48" i="43"/>
  <c r="W48" i="43"/>
  <c r="V48" i="43"/>
  <c r="U48" i="43"/>
  <c r="O48" i="43"/>
  <c r="BH47" i="43"/>
  <c r="Y47" i="43"/>
  <c r="X47" i="43"/>
  <c r="W47" i="43"/>
  <c r="V47" i="43"/>
  <c r="AE47" i="43" s="1"/>
  <c r="U47" i="43"/>
  <c r="O47" i="43"/>
  <c r="BH46" i="43"/>
  <c r="Y46" i="43"/>
  <c r="X46" i="43"/>
  <c r="W46" i="43"/>
  <c r="V46" i="43"/>
  <c r="U46" i="43"/>
  <c r="BH45" i="43"/>
  <c r="Y45" i="43"/>
  <c r="X45" i="43"/>
  <c r="W45" i="43"/>
  <c r="V45" i="43"/>
  <c r="U45" i="43"/>
  <c r="BH44" i="43"/>
  <c r="Y44" i="43"/>
  <c r="X44" i="43"/>
  <c r="W44" i="43"/>
  <c r="V44" i="43"/>
  <c r="U44" i="43"/>
  <c r="BH43" i="43"/>
  <c r="Y43" i="43"/>
  <c r="X43" i="43"/>
  <c r="W43" i="43"/>
  <c r="V43" i="43"/>
  <c r="U43" i="43"/>
  <c r="BH42" i="43"/>
  <c r="Y42" i="43"/>
  <c r="AT42" i="43" s="1"/>
  <c r="X42" i="43"/>
  <c r="AO42" i="43" s="1"/>
  <c r="W42" i="43"/>
  <c r="AJ42" i="43" s="1"/>
  <c r="V42" i="43"/>
  <c r="AE42" i="43" s="1"/>
  <c r="U42" i="43"/>
  <c r="Z42" i="43" s="1"/>
  <c r="BH41" i="43"/>
  <c r="Y41" i="43"/>
  <c r="AT41" i="43" s="1"/>
  <c r="X41" i="43"/>
  <c r="AO41" i="43" s="1"/>
  <c r="W41" i="43"/>
  <c r="AJ41" i="43" s="1"/>
  <c r="V41" i="43"/>
  <c r="AE41" i="43" s="1"/>
  <c r="U41" i="43"/>
  <c r="Z41" i="43" s="1"/>
  <c r="BH40" i="43"/>
  <c r="Y40" i="43"/>
  <c r="AT40" i="43" s="1"/>
  <c r="X40" i="43"/>
  <c r="AO40" i="43" s="1"/>
  <c r="W40" i="43"/>
  <c r="AJ40" i="43" s="1"/>
  <c r="V40" i="43"/>
  <c r="U40" i="43"/>
  <c r="Z40" i="43" s="1"/>
  <c r="BH39" i="43"/>
  <c r="Y39" i="43"/>
  <c r="AT39" i="43" s="1"/>
  <c r="X39" i="43"/>
  <c r="AO39" i="43" s="1"/>
  <c r="W39" i="43"/>
  <c r="AJ39" i="43" s="1"/>
  <c r="V39" i="43"/>
  <c r="U39" i="43"/>
  <c r="Z39" i="43" s="1"/>
  <c r="O39" i="43"/>
  <c r="BH38" i="43"/>
  <c r="Y38" i="43"/>
  <c r="X38" i="43"/>
  <c r="W38" i="43"/>
  <c r="V38" i="43"/>
  <c r="AE38" i="43" s="1"/>
  <c r="U38" i="43"/>
  <c r="AW37" i="43"/>
  <c r="AV37" i="43"/>
  <c r="AU37" i="43"/>
  <c r="AT37" i="43"/>
  <c r="AR37" i="43"/>
  <c r="AQ37" i="43"/>
  <c r="AP37" i="43"/>
  <c r="AO37" i="43"/>
  <c r="AI37" i="43"/>
  <c r="AH37" i="43"/>
  <c r="AG37" i="43"/>
  <c r="AF37" i="43"/>
  <c r="AE37" i="43"/>
  <c r="AC37" i="43"/>
  <c r="AB37" i="43"/>
  <c r="AA37" i="43"/>
  <c r="Z37" i="43"/>
  <c r="Y36" i="43"/>
  <c r="X36" i="43"/>
  <c r="W36" i="43"/>
  <c r="V36" i="43"/>
  <c r="U36" i="43"/>
  <c r="BH35" i="43"/>
  <c r="Y35" i="43"/>
  <c r="X35" i="43"/>
  <c r="W35" i="43"/>
  <c r="V35" i="43"/>
  <c r="U35" i="43"/>
  <c r="O35" i="43"/>
  <c r="BH34" i="43"/>
  <c r="Y34" i="43"/>
  <c r="X34" i="43"/>
  <c r="W34" i="43"/>
  <c r="V34" i="43"/>
  <c r="U34" i="43"/>
  <c r="O34" i="43"/>
  <c r="BH33" i="43"/>
  <c r="Y33" i="43"/>
  <c r="X33" i="43"/>
  <c r="AO33" i="43" s="1"/>
  <c r="W33" i="43"/>
  <c r="V33" i="43"/>
  <c r="U33" i="43"/>
  <c r="Z33" i="43" s="1"/>
  <c r="BH32" i="43"/>
  <c r="Y32" i="43"/>
  <c r="X32" i="43"/>
  <c r="W32" i="43"/>
  <c r="AJ32" i="43" s="1"/>
  <c r="V32" i="43"/>
  <c r="U32" i="43"/>
  <c r="BH31" i="43"/>
  <c r="Y31" i="43"/>
  <c r="AT31" i="43" s="1"/>
  <c r="X31" i="43"/>
  <c r="W31" i="43"/>
  <c r="V31" i="43"/>
  <c r="U31" i="43"/>
  <c r="BH30" i="43"/>
  <c r="Y30" i="43"/>
  <c r="X30" i="43"/>
  <c r="W30" i="43"/>
  <c r="V30" i="43"/>
  <c r="U30" i="43"/>
  <c r="BH29" i="43"/>
  <c r="Y29" i="43"/>
  <c r="X29" i="43"/>
  <c r="W29" i="43"/>
  <c r="V29" i="43"/>
  <c r="U29" i="43"/>
  <c r="BH28" i="43"/>
  <c r="Y28" i="43"/>
  <c r="X28" i="43"/>
  <c r="W28" i="43"/>
  <c r="AJ28" i="43" s="1"/>
  <c r="V28" i="43"/>
  <c r="U28" i="43"/>
  <c r="BH27" i="43"/>
  <c r="Y27" i="43"/>
  <c r="X27" i="43"/>
  <c r="W27" i="43"/>
  <c r="V27" i="43"/>
  <c r="U27" i="43"/>
  <c r="BH26" i="43"/>
  <c r="Y26" i="43"/>
  <c r="X26" i="43"/>
  <c r="W26" i="43"/>
  <c r="V26" i="43"/>
  <c r="U26" i="43"/>
  <c r="BH25" i="43"/>
  <c r="Y25" i="43"/>
  <c r="X25" i="43"/>
  <c r="W25" i="43"/>
  <c r="V25" i="43"/>
  <c r="U25" i="43"/>
  <c r="Z25" i="43" s="1"/>
  <c r="Y24" i="43"/>
  <c r="AW24" i="43" s="1"/>
  <c r="X24" i="43"/>
  <c r="AP24" i="43" s="1"/>
  <c r="W24" i="43"/>
  <c r="BA24" i="43" s="1"/>
  <c r="V24" i="43"/>
  <c r="AG24" i="43" s="1"/>
  <c r="U24" i="43"/>
  <c r="AC24" i="43" s="1"/>
  <c r="Y23" i="43"/>
  <c r="X23" i="43"/>
  <c r="W23" i="43"/>
  <c r="V23" i="43"/>
  <c r="U23" i="43"/>
  <c r="Y22" i="43"/>
  <c r="X22" i="43"/>
  <c r="W22" i="43"/>
  <c r="AJ22" i="43" s="1"/>
  <c r="V22" i="43"/>
  <c r="U22" i="43"/>
  <c r="Y21" i="43"/>
  <c r="X21" i="43"/>
  <c r="W21" i="43"/>
  <c r="V21" i="43"/>
  <c r="U21" i="43"/>
  <c r="Y20" i="43"/>
  <c r="X20" i="43"/>
  <c r="W20" i="43"/>
  <c r="V20" i="43"/>
  <c r="U20" i="43"/>
  <c r="Y19" i="43"/>
  <c r="X19" i="43"/>
  <c r="W19" i="43"/>
  <c r="V19" i="43"/>
  <c r="U19" i="43"/>
  <c r="Y18" i="43"/>
  <c r="X18" i="43"/>
  <c r="W18" i="43"/>
  <c r="V18" i="43"/>
  <c r="U18" i="43"/>
  <c r="AB18" i="43" s="1"/>
  <c r="Y17" i="43"/>
  <c r="X17" i="43"/>
  <c r="W17" i="43"/>
  <c r="V17" i="43"/>
  <c r="U17" i="43"/>
  <c r="Y16" i="43"/>
  <c r="X16" i="43"/>
  <c r="W16" i="43"/>
  <c r="V16" i="43"/>
  <c r="U16" i="43"/>
  <c r="Y15" i="43"/>
  <c r="X15" i="43"/>
  <c r="W15" i="43"/>
  <c r="V15" i="43"/>
  <c r="U15" i="43"/>
  <c r="Y14" i="43"/>
  <c r="X14" i="43"/>
  <c r="W14" i="43"/>
  <c r="V14" i="43"/>
  <c r="U14" i="43"/>
  <c r="AB14" i="43" s="1"/>
  <c r="Y13" i="43"/>
  <c r="X13" i="43"/>
  <c r="W13" i="43"/>
  <c r="V13" i="43"/>
  <c r="U13" i="43"/>
  <c r="Y12" i="43"/>
  <c r="X12" i="43"/>
  <c r="W12" i="43"/>
  <c r="V12" i="43"/>
  <c r="U12" i="43"/>
  <c r="AW11" i="43"/>
  <c r="AV11" i="43"/>
  <c r="AU11" i="43"/>
  <c r="AT11" i="43"/>
  <c r="AH11" i="43"/>
  <c r="AG11" i="43"/>
  <c r="AF11" i="43"/>
  <c r="AE11" i="43"/>
  <c r="AC11" i="43"/>
  <c r="AB11" i="43"/>
  <c r="AA11" i="43"/>
  <c r="Z11" i="43"/>
  <c r="AT124" i="43" l="1"/>
  <c r="Z124" i="43"/>
  <c r="AW74" i="43"/>
  <c r="AW61" i="43"/>
  <c r="AQ47" i="43"/>
  <c r="AB48" i="43"/>
  <c r="AV35" i="43"/>
  <c r="AQ34" i="43"/>
  <c r="AJ198" i="43"/>
  <c r="Z161" i="43"/>
  <c r="AR168" i="43"/>
  <c r="AM188" i="43"/>
  <c r="AG191" i="43"/>
  <c r="AP193" i="43"/>
  <c r="AM196" i="43"/>
  <c r="AH151" i="43"/>
  <c r="AG173" i="43"/>
  <c r="AT169" i="43"/>
  <c r="AW151" i="43"/>
  <c r="AC186" i="43"/>
  <c r="AU195" i="43"/>
  <c r="P131" i="43"/>
  <c r="AH161" i="43"/>
  <c r="AB172" i="43"/>
  <c r="AB189" i="43"/>
  <c r="S131" i="43"/>
  <c r="AR131" i="43" s="1"/>
  <c r="AM186" i="43"/>
  <c r="AG189" i="43"/>
  <c r="AG197" i="43"/>
  <c r="AC151" i="43"/>
  <c r="AU186" i="43"/>
  <c r="AG182" i="43"/>
  <c r="AM151" i="43"/>
  <c r="AG154" i="43"/>
  <c r="T150" i="43"/>
  <c r="BA150" i="43" s="1"/>
  <c r="AW150" i="43"/>
  <c r="AC164" i="43"/>
  <c r="AW172" i="43"/>
  <c r="H17" i="44"/>
  <c r="H17" i="45"/>
  <c r="AB153" i="43"/>
  <c r="AV153" i="43"/>
  <c r="T159" i="43"/>
  <c r="AZ159" i="43" s="1"/>
  <c r="AB159" i="43"/>
  <c r="AW159" i="43"/>
  <c r="AQ162" i="43"/>
  <c r="AB163" i="43"/>
  <c r="AH164" i="43"/>
  <c r="AV167" i="43"/>
  <c r="AH172" i="43"/>
  <c r="AB175" i="43"/>
  <c r="AV175" i="43"/>
  <c r="AQ191" i="43"/>
  <c r="AW196" i="43"/>
  <c r="AW164" i="43"/>
  <c r="AQ167" i="43"/>
  <c r="AC181" i="43"/>
  <c r="AT120" i="43"/>
  <c r="AO120" i="43"/>
  <c r="AV120" i="43"/>
  <c r="AR151" i="43"/>
  <c r="AL154" i="43"/>
  <c r="AU158" i="43"/>
  <c r="AG159" i="43"/>
  <c r="AA162" i="43"/>
  <c r="AM164" i="43"/>
  <c r="AU166" i="43"/>
  <c r="AO169" i="43"/>
  <c r="AC170" i="43"/>
  <c r="AV170" i="43"/>
  <c r="AG171" i="43"/>
  <c r="AM172" i="43"/>
  <c r="AG175" i="43"/>
  <c r="AH188" i="43"/>
  <c r="AQ190" i="43"/>
  <c r="AB191" i="43"/>
  <c r="AV191" i="43"/>
  <c r="AP194" i="43"/>
  <c r="AL197" i="43"/>
  <c r="AJ164" i="43"/>
  <c r="AQ149" i="43"/>
  <c r="AO15" i="43"/>
  <c r="AF185" i="43"/>
  <c r="AJ46" i="43"/>
  <c r="AT107" i="43"/>
  <c r="AK15" i="43"/>
  <c r="AA48" i="43"/>
  <c r="Z157" i="43"/>
  <c r="AU170" i="43"/>
  <c r="AL106" i="43"/>
  <c r="AT109" i="43"/>
  <c r="AF34" i="43"/>
  <c r="AY24" i="43"/>
  <c r="AP161" i="43"/>
  <c r="AP169" i="43"/>
  <c r="AQ183" i="43"/>
  <c r="AP70" i="43"/>
  <c r="AQ113" i="43"/>
  <c r="AQ173" i="43"/>
  <c r="AB198" i="43"/>
  <c r="AT182" i="43"/>
  <c r="AM14" i="43"/>
  <c r="AE152" i="43"/>
  <c r="AB95" i="43"/>
  <c r="BB112" i="43"/>
  <c r="AO172" i="43"/>
  <c r="AU194" i="43"/>
  <c r="Z47" i="43"/>
  <c r="AC19" i="43"/>
  <c r="AC183" i="43"/>
  <c r="AT16" i="43"/>
  <c r="AU57" i="43"/>
  <c r="AT91" i="43"/>
  <c r="AB197" i="43"/>
  <c r="AV174" i="43"/>
  <c r="AE33" i="43"/>
  <c r="AL47" i="43"/>
  <c r="AT66" i="43"/>
  <c r="Z111" i="43"/>
  <c r="AJ113" i="43"/>
  <c r="Q122" i="43"/>
  <c r="AU125" i="43"/>
  <c r="AB154" i="43"/>
  <c r="AH157" i="43"/>
  <c r="AE162" i="43"/>
  <c r="AU174" i="43"/>
  <c r="AU177" i="43"/>
  <c r="AH187" i="43"/>
  <c r="AM149" i="43"/>
  <c r="AG160" i="43"/>
  <c r="AT25" i="43"/>
  <c r="AT29" i="43"/>
  <c r="O53" i="43"/>
  <c r="AP74" i="43"/>
  <c r="O78" i="43"/>
  <c r="AB81" i="43"/>
  <c r="AK86" i="43"/>
  <c r="AH87" i="43"/>
  <c r="AK92" i="43"/>
  <c r="AE105" i="43"/>
  <c r="AQ107" i="43"/>
  <c r="AE108" i="43"/>
  <c r="AB112" i="43"/>
  <c r="AC150" i="43"/>
  <c r="AF159" i="43"/>
  <c r="Z162" i="43"/>
  <c r="AO173" i="43"/>
  <c r="AB174" i="43"/>
  <c r="AG190" i="43"/>
  <c r="AQ192" i="43"/>
  <c r="AH195" i="43"/>
  <c r="AQ197" i="43"/>
  <c r="Z79" i="43"/>
  <c r="T153" i="43"/>
  <c r="AI153" i="43" s="1"/>
  <c r="AK164" i="43"/>
  <c r="AL25" i="43"/>
  <c r="O33" i="43"/>
  <c r="Z55" i="43"/>
  <c r="AE67" i="43"/>
  <c r="AT71" i="43"/>
  <c r="AT72" i="43"/>
  <c r="AJ79" i="43"/>
  <c r="AT95" i="43"/>
  <c r="AK96" i="43"/>
  <c r="O107" i="43"/>
  <c r="AB109" i="43"/>
  <c r="AG112" i="43"/>
  <c r="AG113" i="43"/>
  <c r="AJ152" i="43"/>
  <c r="AO154" i="43"/>
  <c r="AV154" i="43"/>
  <c r="AP157" i="43"/>
  <c r="AQ160" i="43"/>
  <c r="AA177" i="43"/>
  <c r="AG183" i="43"/>
  <c r="AM185" i="43"/>
  <c r="AP187" i="43"/>
  <c r="AL190" i="43"/>
  <c r="AH193" i="43"/>
  <c r="AJ195" i="43"/>
  <c r="AT70" i="43"/>
  <c r="AT113" i="43"/>
  <c r="Q155" i="43"/>
  <c r="AC185" i="43"/>
  <c r="AO186" i="43"/>
  <c r="T188" i="43"/>
  <c r="AZ188" i="43" s="1"/>
  <c r="T196" i="43"/>
  <c r="AY196" i="43" s="1"/>
  <c r="AU21" i="43"/>
  <c r="AT81" i="43"/>
  <c r="AL82" i="43"/>
  <c r="AJ91" i="43"/>
  <c r="Z94" i="43"/>
  <c r="AO105" i="43"/>
  <c r="AR113" i="43"/>
  <c r="AP152" i="43"/>
  <c r="AH159" i="43"/>
  <c r="AV160" i="43"/>
  <c r="AM166" i="43"/>
  <c r="AL174" i="43"/>
  <c r="AG177" i="43"/>
  <c r="AL183" i="43"/>
  <c r="AU187" i="43"/>
  <c r="AK193" i="43"/>
  <c r="S126" i="43"/>
  <c r="AR126" i="43" s="1"/>
  <c r="R126" i="43"/>
  <c r="AB126" i="43" s="1"/>
  <c r="Q126" i="43"/>
  <c r="AP126" i="43" s="1"/>
  <c r="P126" i="43"/>
  <c r="AO31" i="43"/>
  <c r="Z34" i="43"/>
  <c r="AA41" i="43"/>
  <c r="Z44" i="43"/>
  <c r="AE53" i="43"/>
  <c r="AO54" i="43"/>
  <c r="AF64" i="43"/>
  <c r="P75" i="43"/>
  <c r="AO70" i="43"/>
  <c r="AT79" i="43"/>
  <c r="AT108" i="43"/>
  <c r="AL109" i="43"/>
  <c r="AR112" i="43"/>
  <c r="AF148" i="43"/>
  <c r="AK177" i="43"/>
  <c r="AJ30" i="43"/>
  <c r="AP31" i="43"/>
  <c r="AJ54" i="43"/>
  <c r="AT56" i="43"/>
  <c r="O82" i="43"/>
  <c r="AG87" i="43"/>
  <c r="AF92" i="43"/>
  <c r="Z104" i="43"/>
  <c r="AV124" i="43"/>
  <c r="AO170" i="43"/>
  <c r="AL172" i="43"/>
  <c r="AH185" i="43"/>
  <c r="AE188" i="43"/>
  <c r="AT20" i="43"/>
  <c r="AE21" i="43"/>
  <c r="AP29" i="43"/>
  <c r="AP65" i="43"/>
  <c r="AK68" i="43"/>
  <c r="AU69" i="43"/>
  <c r="O85" i="43"/>
  <c r="AT94" i="43"/>
  <c r="AU117" i="43"/>
  <c r="AJ168" i="43"/>
  <c r="AL170" i="43"/>
  <c r="AU173" i="43"/>
  <c r="AE173" i="43"/>
  <c r="AQ178" i="43"/>
  <c r="AF186" i="43"/>
  <c r="AE194" i="43"/>
  <c r="AT167" i="43"/>
  <c r="AU14" i="43"/>
  <c r="O29" i="43"/>
  <c r="AU32" i="43"/>
  <c r="AL34" i="43"/>
  <c r="AB61" i="43"/>
  <c r="AJ67" i="43"/>
  <c r="AQ79" i="43"/>
  <c r="AJ161" i="43"/>
  <c r="AM165" i="43"/>
  <c r="AT191" i="43"/>
  <c r="AF43" i="43"/>
  <c r="AT55" i="43"/>
  <c r="O65" i="43"/>
  <c r="AT134" i="43"/>
  <c r="AO151" i="43"/>
  <c r="AA182" i="43"/>
  <c r="AH196" i="43"/>
  <c r="AT99" i="43"/>
  <c r="AA13" i="43"/>
  <c r="AH16" i="43"/>
  <c r="AW19" i="43"/>
  <c r="AF22" i="43"/>
  <c r="AO29" i="43"/>
  <c r="O32" i="43"/>
  <c r="AU35" i="43"/>
  <c r="AJ109" i="43"/>
  <c r="AE111" i="43"/>
  <c r="AP151" i="43"/>
  <c r="AG164" i="43"/>
  <c r="AV171" i="43"/>
  <c r="Z185" i="43"/>
  <c r="AA192" i="43"/>
  <c r="AF68" i="43"/>
  <c r="AO19" i="43"/>
  <c r="AQ21" i="43"/>
  <c r="AB19" i="43"/>
  <c r="AG22" i="43"/>
  <c r="Z54" i="43"/>
  <c r="AB77" i="43"/>
  <c r="Z83" i="43"/>
  <c r="AM85" i="43"/>
  <c r="AR86" i="43"/>
  <c r="AG97" i="43"/>
  <c r="AM105" i="43"/>
  <c r="AC108" i="43"/>
  <c r="AL134" i="43"/>
  <c r="AV134" i="43"/>
  <c r="AA139" i="43"/>
  <c r="AE139" i="43"/>
  <c r="AO139" i="43"/>
  <c r="AP27" i="43"/>
  <c r="AK31" i="43"/>
  <c r="AT34" i="43"/>
  <c r="AA22" i="43"/>
  <c r="AT27" i="43"/>
  <c r="AP45" i="43"/>
  <c r="Z46" i="43"/>
  <c r="O52" i="43"/>
  <c r="O57" i="43"/>
  <c r="O105" i="43"/>
  <c r="AP110" i="43"/>
  <c r="AK12" i="43"/>
  <c r="AP12" i="43"/>
  <c r="AK16" i="43"/>
  <c r="Z20" i="43"/>
  <c r="AB22" i="43"/>
  <c r="AE28" i="43"/>
  <c r="O31" i="43"/>
  <c r="AH39" i="43"/>
  <c r="AT47" i="43"/>
  <c r="AP93" i="43"/>
  <c r="O93" i="43"/>
  <c r="AQ100" i="43"/>
  <c r="AF14" i="43"/>
  <c r="O38" i="43"/>
  <c r="O54" i="43"/>
  <c r="O58" i="43"/>
  <c r="AP58" i="43"/>
  <c r="O69" i="43"/>
  <c r="AO95" i="43"/>
  <c r="AT98" i="43"/>
  <c r="AO98" i="43"/>
  <c r="AB15" i="43"/>
  <c r="AK20" i="43"/>
  <c r="AP21" i="43"/>
  <c r="AJ26" i="43"/>
  <c r="AF32" i="43"/>
  <c r="AT33" i="43"/>
  <c r="AA34" i="43"/>
  <c r="AT38" i="43"/>
  <c r="O41" i="43"/>
  <c r="AK44" i="43"/>
  <c r="AO46" i="43"/>
  <c r="AV47" i="43"/>
  <c r="AF48" i="43"/>
  <c r="AU111" i="43"/>
  <c r="O111" i="43"/>
  <c r="T113" i="43"/>
  <c r="AY113" i="43" s="1"/>
  <c r="AV18" i="43"/>
  <c r="AO20" i="43"/>
  <c r="AP25" i="43"/>
  <c r="Z27" i="43"/>
  <c r="Z29" i="43"/>
  <c r="AJ33" i="43"/>
  <c r="AE34" i="43"/>
  <c r="AA35" i="43"/>
  <c r="AP44" i="43"/>
  <c r="AT46" i="43"/>
  <c r="AL48" i="43"/>
  <c r="AK52" i="43"/>
  <c r="AF53" i="43"/>
  <c r="Z59" i="43"/>
  <c r="AK90" i="43"/>
  <c r="O97" i="43"/>
  <c r="Z98" i="43"/>
  <c r="AQ106" i="43"/>
  <c r="AO106" i="43"/>
  <c r="AP13" i="43"/>
  <c r="AG19" i="43"/>
  <c r="AH21" i="43"/>
  <c r="AM22" i="43"/>
  <c r="AJ34" i="43"/>
  <c r="AA47" i="43"/>
  <c r="AP48" i="43"/>
  <c r="AF57" i="43"/>
  <c r="AT58" i="43"/>
  <c r="Z58" i="43"/>
  <c r="AE83" i="43"/>
  <c r="AJ19" i="43"/>
  <c r="Z21" i="43"/>
  <c r="AK27" i="43"/>
  <c r="AJ51" i="43"/>
  <c r="AC60" i="43"/>
  <c r="AR61" i="43"/>
  <c r="AJ80" i="43"/>
  <c r="AG93" i="43"/>
  <c r="AO58" i="43"/>
  <c r="AV61" i="43"/>
  <c r="AT64" i="43"/>
  <c r="O66" i="43"/>
  <c r="AA69" i="43"/>
  <c r="AJ70" i="43"/>
  <c r="AK72" i="43"/>
  <c r="AO74" i="43"/>
  <c r="AV78" i="43"/>
  <c r="AW90" i="43"/>
  <c r="AJ94" i="43"/>
  <c r="AE96" i="43"/>
  <c r="AM99" i="43"/>
  <c r="AC104" i="43"/>
  <c r="AJ106" i="43"/>
  <c r="AK110" i="43"/>
  <c r="AO111" i="43"/>
  <c r="P119" i="43"/>
  <c r="AJ119" i="43" s="1"/>
  <c r="AP120" i="43"/>
  <c r="P122" i="43"/>
  <c r="Z122" i="43" s="1"/>
  <c r="AA124" i="43"/>
  <c r="AO125" i="43"/>
  <c r="AQ134" i="43"/>
  <c r="Q136" i="43"/>
  <c r="AK136" i="43" s="1"/>
  <c r="R137" i="43"/>
  <c r="AV137" i="43" s="1"/>
  <c r="AU137" i="43"/>
  <c r="AF139" i="43"/>
  <c r="Q141" i="43"/>
  <c r="AF141" i="43" s="1"/>
  <c r="P155" i="43"/>
  <c r="AU148" i="43"/>
  <c r="AG149" i="43"/>
  <c r="AR150" i="43"/>
  <c r="AH152" i="43"/>
  <c r="AQ153" i="43"/>
  <c r="AW157" i="43"/>
  <c r="AQ159" i="43"/>
  <c r="AK163" i="43"/>
  <c r="AK165" i="43"/>
  <c r="AW171" i="43"/>
  <c r="T172" i="43"/>
  <c r="AZ172" i="43" s="1"/>
  <c r="AT172" i="43"/>
  <c r="AB173" i="43"/>
  <c r="AF174" i="43"/>
  <c r="AK176" i="43"/>
  <c r="AB178" i="43"/>
  <c r="P199" i="43"/>
  <c r="AB182" i="43"/>
  <c r="AU183" i="43"/>
  <c r="AC184" i="43"/>
  <c r="AA185" i="43"/>
  <c r="AW186" i="43"/>
  <c r="AR186" i="43"/>
  <c r="AE187" i="43"/>
  <c r="AW188" i="43"/>
  <c r="AB192" i="43"/>
  <c r="AW193" i="43"/>
  <c r="AH194" i="43"/>
  <c r="AQ125" i="43"/>
  <c r="AE138" i="43"/>
  <c r="AK139" i="43"/>
  <c r="T151" i="43"/>
  <c r="BB151" i="43" s="1"/>
  <c r="Z158" i="43"/>
  <c r="AR165" i="43"/>
  <c r="AR176" i="43"/>
  <c r="AU181" i="43"/>
  <c r="AF184" i="43"/>
  <c r="AG192" i="43"/>
  <c r="AM194" i="43"/>
  <c r="AB196" i="43"/>
  <c r="AA65" i="43"/>
  <c r="AO66" i="43"/>
  <c r="O83" i="43"/>
  <c r="AJ83" i="43"/>
  <c r="AO91" i="43"/>
  <c r="AM93" i="43"/>
  <c r="AC95" i="43"/>
  <c r="O98" i="43"/>
  <c r="AG98" i="43"/>
  <c r="AW99" i="43"/>
  <c r="O103" i="43"/>
  <c r="AO103" i="43"/>
  <c r="AU110" i="43"/>
  <c r="AO113" i="43"/>
  <c r="AF118" i="43"/>
  <c r="AJ120" i="43"/>
  <c r="R122" i="43"/>
  <c r="AL122" i="43" s="1"/>
  <c r="AK124" i="43"/>
  <c r="AM139" i="43"/>
  <c r="AT153" i="43"/>
  <c r="AE158" i="43"/>
  <c r="AC160" i="43"/>
  <c r="AC166" i="43"/>
  <c r="AU169" i="43"/>
  <c r="AH171" i="43"/>
  <c r="AJ174" i="43"/>
  <c r="AK184" i="43"/>
  <c r="AE186" i="43"/>
  <c r="AJ188" i="43"/>
  <c r="AW190" i="43"/>
  <c r="AK192" i="43"/>
  <c r="AG196" i="43"/>
  <c r="AO197" i="43"/>
  <c r="AG198" i="43"/>
  <c r="AP69" i="43"/>
  <c r="AJ73" i="43"/>
  <c r="AQ83" i="43"/>
  <c r="AH90" i="43"/>
  <c r="AC92" i="43"/>
  <c r="AO93" i="43"/>
  <c r="AU96" i="43"/>
  <c r="AJ98" i="43"/>
  <c r="AT103" i="43"/>
  <c r="AE104" i="43"/>
  <c r="AV105" i="43"/>
  <c r="AR110" i="43"/>
  <c r="AU118" i="43"/>
  <c r="AU120" i="43"/>
  <c r="S122" i="43"/>
  <c r="AR122" i="43" s="1"/>
  <c r="R123" i="43"/>
  <c r="AB123" i="43" s="1"/>
  <c r="P130" i="43"/>
  <c r="P132" i="43" s="1"/>
  <c r="R135" i="43"/>
  <c r="AQ135" i="43" s="1"/>
  <c r="AU135" i="43"/>
  <c r="R138" i="43"/>
  <c r="AG138" i="43" s="1"/>
  <c r="AV149" i="43"/>
  <c r="AT152" i="43"/>
  <c r="AJ158" i="43"/>
  <c r="AR159" i="43"/>
  <c r="AP165" i="43"/>
  <c r="AH168" i="43"/>
  <c r="AK169" i="43"/>
  <c r="AP170" i="43"/>
  <c r="T171" i="43"/>
  <c r="BC171" i="43" s="1"/>
  <c r="AP182" i="43"/>
  <c r="AP184" i="43"/>
  <c r="AJ189" i="43"/>
  <c r="AL198" i="43"/>
  <c r="AK56" i="43"/>
  <c r="AE59" i="43"/>
  <c r="AM61" i="43"/>
  <c r="AJ71" i="43"/>
  <c r="Z72" i="43"/>
  <c r="AR74" i="43"/>
  <c r="AT77" i="43"/>
  <c r="AV85" i="43"/>
  <c r="AV91" i="43"/>
  <c r="AW93" i="43"/>
  <c r="AJ95" i="43"/>
  <c r="AQ98" i="43"/>
  <c r="AJ100" i="43"/>
  <c r="AK104" i="43"/>
  <c r="AJ105" i="43"/>
  <c r="AJ107" i="43"/>
  <c r="AV109" i="43"/>
  <c r="AO110" i="43"/>
  <c r="AM112" i="43"/>
  <c r="AV118" i="43"/>
  <c r="AM125" i="43"/>
  <c r="S134" i="43"/>
  <c r="AC134" i="43" s="1"/>
  <c r="AI147" i="43"/>
  <c r="AP149" i="43"/>
  <c r="AE149" i="43"/>
  <c r="AQ154" i="43"/>
  <c r="AC157" i="43"/>
  <c r="AL160" i="43"/>
  <c r="AC161" i="43"/>
  <c r="AL162" i="43"/>
  <c r="AR164" i="43"/>
  <c r="AG167" i="43"/>
  <c r="AK168" i="43"/>
  <c r="T170" i="43"/>
  <c r="BB170" i="43" s="1"/>
  <c r="Z171" i="43"/>
  <c r="AR172" i="43"/>
  <c r="AT173" i="43"/>
  <c r="AQ177" i="43"/>
  <c r="T181" i="43"/>
  <c r="BB181" i="43" s="1"/>
  <c r="AV182" i="43"/>
  <c r="AB183" i="43"/>
  <c r="AP186" i="43"/>
  <c r="AB188" i="43"/>
  <c r="AR189" i="43"/>
  <c r="AL191" i="43"/>
  <c r="AV192" i="43"/>
  <c r="AC193" i="43"/>
  <c r="Z195" i="43"/>
  <c r="AQ196" i="43"/>
  <c r="AO198" i="43"/>
  <c r="R136" i="43"/>
  <c r="AQ136" i="43" s="1"/>
  <c r="R141" i="43"/>
  <c r="AB141" i="43" s="1"/>
  <c r="AT189" i="43"/>
  <c r="AT198" i="43"/>
  <c r="AM90" i="43"/>
  <c r="AA98" i="43"/>
  <c r="AE100" i="43"/>
  <c r="AT104" i="43"/>
  <c r="AU112" i="43"/>
  <c r="AE120" i="43"/>
  <c r="R121" i="43"/>
  <c r="AG121" i="43" s="1"/>
  <c r="AA126" i="43"/>
  <c r="R130" i="43"/>
  <c r="AG130" i="43" s="1"/>
  <c r="AG134" i="43"/>
  <c r="S135" i="43"/>
  <c r="AR135" i="43" s="1"/>
  <c r="Q138" i="43"/>
  <c r="AU138" i="43" s="1"/>
  <c r="AC139" i="43"/>
  <c r="AW149" i="43"/>
  <c r="AF150" i="43"/>
  <c r="AJ154" i="43"/>
  <c r="AM157" i="43"/>
  <c r="AC165" i="43"/>
  <c r="AT168" i="43"/>
  <c r="AA169" i="43"/>
  <c r="AH170" i="43"/>
  <c r="AM171" i="43"/>
  <c r="AJ172" i="43"/>
  <c r="T174" i="43"/>
  <c r="BA174" i="43" s="1"/>
  <c r="AA176" i="43"/>
  <c r="Z186" i="43"/>
  <c r="AL189" i="43"/>
  <c r="AQ198" i="43"/>
  <c r="AP53" i="43"/>
  <c r="AE55" i="43"/>
  <c r="AJ58" i="43"/>
  <c r="AT59" i="43"/>
  <c r="O70" i="43"/>
  <c r="AF72" i="43"/>
  <c r="AM74" i="43"/>
  <c r="AT80" i="43"/>
  <c r="AO86" i="43"/>
  <c r="AR90" i="43"/>
  <c r="AT92" i="43"/>
  <c r="O94" i="43"/>
  <c r="AE94" i="43"/>
  <c r="AC96" i="43"/>
  <c r="AF100" i="43"/>
  <c r="O106" i="43"/>
  <c r="AE106" i="43"/>
  <c r="AF110" i="43"/>
  <c r="Z113" i="43"/>
  <c r="AK120" i="43"/>
  <c r="S130" i="43"/>
  <c r="AC130" i="43" s="1"/>
  <c r="R131" i="43"/>
  <c r="AG131" i="43" s="1"/>
  <c r="AO131" i="43"/>
  <c r="AK134" i="43"/>
  <c r="AA135" i="43"/>
  <c r="P136" i="43"/>
  <c r="AE136" i="43" s="1"/>
  <c r="S138" i="43"/>
  <c r="AC138" i="43" s="1"/>
  <c r="P141" i="43"/>
  <c r="AP148" i="43"/>
  <c r="AC149" i="43"/>
  <c r="AM150" i="43"/>
  <c r="Z152" i="43"/>
  <c r="AM153" i="43"/>
  <c r="AR157" i="43"/>
  <c r="AL158" i="43"/>
  <c r="AM159" i="43"/>
  <c r="AL161" i="43"/>
  <c r="AF163" i="43"/>
  <c r="AH165" i="43"/>
  <c r="AE167" i="43"/>
  <c r="AE169" i="43"/>
  <c r="AK170" i="43"/>
  <c r="AO178" i="43"/>
  <c r="AV178" i="43"/>
  <c r="AM181" i="43"/>
  <c r="AW185" i="43"/>
  <c r="AH186" i="43"/>
  <c r="Z187" i="43"/>
  <c r="AR188" i="43"/>
  <c r="AP191" i="43"/>
  <c r="AA191" i="43"/>
  <c r="AC194" i="43"/>
  <c r="AB86" i="43"/>
  <c r="AC171" i="43"/>
  <c r="AU176" i="43"/>
  <c r="AU192" i="43"/>
  <c r="AF18" i="43"/>
  <c r="AH22" i="43"/>
  <c r="AO34" i="43"/>
  <c r="AV48" i="43"/>
  <c r="AK53" i="43"/>
  <c r="AA53" i="43"/>
  <c r="AF56" i="43"/>
  <c r="AP57" i="43"/>
  <c r="AE79" i="43"/>
  <c r="AL80" i="43"/>
  <c r="AV81" i="43"/>
  <c r="AJ86" i="43"/>
  <c r="AC87" i="43"/>
  <c r="AL98" i="43"/>
  <c r="AU99" i="43"/>
  <c r="AA105" i="43"/>
  <c r="AG106" i="43"/>
  <c r="AF124" i="43"/>
  <c r="AC125" i="43"/>
  <c r="AC136" i="43"/>
  <c r="AK148" i="43"/>
  <c r="AH148" i="43"/>
  <c r="AT150" i="43"/>
  <c r="AK158" i="43"/>
  <c r="AA158" i="43"/>
  <c r="AH166" i="43"/>
  <c r="AL167" i="43"/>
  <c r="AR170" i="43"/>
  <c r="AT178" i="43"/>
  <c r="AV183" i="43"/>
  <c r="AC187" i="43"/>
  <c r="AR187" i="43"/>
  <c r="AU188" i="43"/>
  <c r="AP17" i="43"/>
  <c r="AT96" i="43"/>
  <c r="AK108" i="43"/>
  <c r="AF12" i="43"/>
  <c r="AU13" i="43"/>
  <c r="AW16" i="43"/>
  <c r="AH25" i="43"/>
  <c r="AP52" i="43"/>
  <c r="AP72" i="43"/>
  <c r="AH78" i="43"/>
  <c r="AL85" i="43"/>
  <c r="AY86" i="43"/>
  <c r="AE112" i="43"/>
  <c r="AP124" i="43"/>
  <c r="AP147" i="43"/>
  <c r="AV150" i="43"/>
  <c r="Z150" i="43"/>
  <c r="AM152" i="43"/>
  <c r="AU153" i="43"/>
  <c r="AF157" i="43"/>
  <c r="AP168" i="43"/>
  <c r="AQ175" i="43"/>
  <c r="AE177" i="43"/>
  <c r="AF182" i="43"/>
  <c r="AP20" i="43"/>
  <c r="AF45" i="43"/>
  <c r="AV15" i="43"/>
  <c r="AA17" i="43"/>
  <c r="AE19" i="43"/>
  <c r="AO27" i="43"/>
  <c r="AM47" i="43"/>
  <c r="T48" i="43"/>
  <c r="BC48" i="43" s="1"/>
  <c r="AU48" i="43"/>
  <c r="AO59" i="43"/>
  <c r="AF60" i="43"/>
  <c r="AT74" i="43"/>
  <c r="AJ85" i="43"/>
  <c r="AR87" i="43"/>
  <c r="AG94" i="43"/>
  <c r="AH112" i="43"/>
  <c r="AK112" i="43"/>
  <c r="AA113" i="43"/>
  <c r="AE117" i="43"/>
  <c r="AE134" i="43"/>
  <c r="AH139" i="43"/>
  <c r="BB147" i="43"/>
  <c r="AO166" i="43"/>
  <c r="Z181" i="43"/>
  <c r="AQ182" i="43"/>
  <c r="AJ193" i="43"/>
  <c r="Z45" i="43"/>
  <c r="AO71" i="43"/>
  <c r="AU74" i="43"/>
  <c r="AL81" i="43"/>
  <c r="AJ90" i="43"/>
  <c r="AH94" i="43"/>
  <c r="AK100" i="43"/>
  <c r="BA112" i="43"/>
  <c r="AL112" i="43"/>
  <c r="AF117" i="43"/>
  <c r="AB124" i="43"/>
  <c r="AO134" i="43"/>
  <c r="AU150" i="43"/>
  <c r="AT151" i="43"/>
  <c r="AJ160" i="43"/>
  <c r="Z166" i="43"/>
  <c r="AO167" i="43"/>
  <c r="AJ181" i="43"/>
  <c r="AH184" i="43"/>
  <c r="AE189" i="43"/>
  <c r="AT190" i="43"/>
  <c r="AF193" i="43"/>
  <c r="AL196" i="43"/>
  <c r="AE196" i="43"/>
  <c r="AM197" i="43"/>
  <c r="AJ197" i="43"/>
  <c r="AC198" i="43"/>
  <c r="AU17" i="43"/>
  <c r="AA18" i="43"/>
  <c r="AM21" i="43"/>
  <c r="AQ22" i="43"/>
  <c r="AE27" i="43"/>
  <c r="AQ35" i="43"/>
  <c r="AV14" i="43"/>
  <c r="AJ15" i="43"/>
  <c r="AF15" i="43"/>
  <c r="AV22" i="43"/>
  <c r="AA24" i="43"/>
  <c r="AE32" i="43"/>
  <c r="AG47" i="43"/>
  <c r="AA57" i="43"/>
  <c r="AQ60" i="43"/>
  <c r="AK73" i="43"/>
  <c r="AQ86" i="43"/>
  <c r="AL100" i="43"/>
  <c r="AG120" i="43"/>
  <c r="AE154" i="43"/>
  <c r="AR160" i="43"/>
  <c r="AM163" i="43"/>
  <c r="AO165" i="43"/>
  <c r="AR166" i="43"/>
  <c r="AB170" i="43"/>
  <c r="AW181" i="43"/>
  <c r="AV184" i="43"/>
  <c r="AV193" i="43"/>
  <c r="AJ196" i="43"/>
  <c r="AE69" i="43"/>
  <c r="AV86" i="43"/>
  <c r="AW97" i="43"/>
  <c r="AA99" i="43"/>
  <c r="AM111" i="43"/>
  <c r="Z165" i="43"/>
  <c r="AW166" i="43"/>
  <c r="AA171" i="43"/>
  <c r="Z172" i="43"/>
  <c r="AA195" i="43"/>
  <c r="AR24" i="43"/>
  <c r="AI86" i="43"/>
  <c r="AG86" i="43"/>
  <c r="AE17" i="43"/>
  <c r="AO171" i="43"/>
  <c r="AQ171" i="43"/>
  <c r="AK35" i="43"/>
  <c r="AC16" i="43"/>
  <c r="AF20" i="43"/>
  <c r="AA21" i="43"/>
  <c r="AQ24" i="43"/>
  <c r="AU34" i="43"/>
  <c r="AQ48" i="43"/>
  <c r="AV163" i="43"/>
  <c r="AU163" i="43"/>
  <c r="AA148" i="43"/>
  <c r="Z148" i="43"/>
  <c r="AC168" i="43"/>
  <c r="Z168" i="43"/>
  <c r="AR19" i="43"/>
  <c r="Z24" i="43"/>
  <c r="AV24" i="43"/>
  <c r="AJ25" i="43"/>
  <c r="AE35" i="43"/>
  <c r="AD37" i="43"/>
  <c r="AS37" i="43"/>
  <c r="AT54" i="43"/>
  <c r="AA73" i="43"/>
  <c r="Z73" i="43"/>
  <c r="AU165" i="43"/>
  <c r="AT165" i="43"/>
  <c r="AW165" i="43"/>
  <c r="AP195" i="43"/>
  <c r="AR195" i="43"/>
  <c r="AV77" i="43"/>
  <c r="AU77" i="43"/>
  <c r="AQ158" i="43"/>
  <c r="AO158" i="43"/>
  <c r="AV162" i="43"/>
  <c r="AU162" i="43"/>
  <c r="AT162" i="43"/>
  <c r="AF65" i="43"/>
  <c r="AE65" i="43"/>
  <c r="AM13" i="43"/>
  <c r="AR18" i="43"/>
  <c r="AT21" i="43"/>
  <c r="AU22" i="43"/>
  <c r="AE24" i="43"/>
  <c r="AZ24" i="43"/>
  <c r="AO25" i="43"/>
  <c r="AP34" i="43"/>
  <c r="AL35" i="43"/>
  <c r="AE39" i="43"/>
  <c r="AA43" i="43"/>
  <c r="AO47" i="43"/>
  <c r="AU53" i="43"/>
  <c r="AU65" i="43"/>
  <c r="AL175" i="43"/>
  <c r="AK175" i="43"/>
  <c r="AH74" i="43"/>
  <c r="AE74" i="43"/>
  <c r="AV100" i="43"/>
  <c r="AT100" i="43"/>
  <c r="AU24" i="43"/>
  <c r="AP109" i="43"/>
  <c r="AQ17" i="43"/>
  <c r="AJ21" i="43"/>
  <c r="AH24" i="43"/>
  <c r="BC24" i="43"/>
  <c r="AF28" i="43"/>
  <c r="Z31" i="43"/>
  <c r="AF35" i="43"/>
  <c r="AM39" i="43"/>
  <c r="AJ48" i="43"/>
  <c r="AJ55" i="43"/>
  <c r="AE57" i="43"/>
  <c r="AK64" i="43"/>
  <c r="AP73" i="43"/>
  <c r="AO73" i="43"/>
  <c r="AP78" i="43"/>
  <c r="AO78" i="43"/>
  <c r="AK117" i="43"/>
  <c r="AM117" i="43"/>
  <c r="AR171" i="43"/>
  <c r="AV82" i="43"/>
  <c r="AW82" i="43"/>
  <c r="AQ13" i="43"/>
  <c r="AK48" i="43"/>
  <c r="AO55" i="43"/>
  <c r="AD11" i="43"/>
  <c r="AX11" i="43"/>
  <c r="AE20" i="43"/>
  <c r="AK21" i="43"/>
  <c r="AI24" i="43"/>
  <c r="AJ29" i="43"/>
  <c r="AX37" i="43"/>
  <c r="AP39" i="43"/>
  <c r="AP56" i="43"/>
  <c r="AG60" i="43"/>
  <c r="AG82" i="43"/>
  <c r="AF82" i="43"/>
  <c r="AW112" i="43"/>
  <c r="AV112" i="43"/>
  <c r="AT112" i="43"/>
  <c r="AW161" i="43"/>
  <c r="AT161" i="43"/>
  <c r="AL60" i="43"/>
  <c r="AT61" i="43"/>
  <c r="AP66" i="43"/>
  <c r="Z66" i="43"/>
  <c r="Z70" i="43"/>
  <c r="AF77" i="43"/>
  <c r="AL86" i="43"/>
  <c r="AA86" i="43"/>
  <c r="AB93" i="43"/>
  <c r="AC106" i="43"/>
  <c r="AE107" i="43"/>
  <c r="AJ112" i="43"/>
  <c r="AC113" i="43"/>
  <c r="AV117" i="43"/>
  <c r="AE118" i="43"/>
  <c r="AA134" i="43"/>
  <c r="AG147" i="43"/>
  <c r="BA147" i="43"/>
  <c r="AW148" i="43"/>
  <c r="AH150" i="43"/>
  <c r="AA153" i="43"/>
  <c r="AE157" i="43"/>
  <c r="AJ159" i="43"/>
  <c r="AW167" i="43"/>
  <c r="AK167" i="43"/>
  <c r="AR169" i="43"/>
  <c r="AW170" i="43"/>
  <c r="AE170" i="43"/>
  <c r="AP177" i="43"/>
  <c r="Z178" i="43"/>
  <c r="AB181" i="43"/>
  <c r="AP183" i="43"/>
  <c r="AA183" i="43"/>
  <c r="AU184" i="43"/>
  <c r="AG188" i="43"/>
  <c r="AW60" i="43"/>
  <c r="AO67" i="43"/>
  <c r="Z67" i="43"/>
  <c r="AL77" i="43"/>
  <c r="AB79" i="43"/>
  <c r="AB85" i="43"/>
  <c r="AT85" i="43"/>
  <c r="AE95" i="43"/>
  <c r="AE98" i="43"/>
  <c r="AA100" i="43"/>
  <c r="AC112" i="43"/>
  <c r="AH118" i="43"/>
  <c r="AJ131" i="43"/>
  <c r="AE131" i="43"/>
  <c r="AT138" i="43"/>
  <c r="AK147" i="43"/>
  <c r="AU149" i="43"/>
  <c r="AL151" i="43"/>
  <c r="Z151" i="43"/>
  <c r="AO152" i="43"/>
  <c r="AJ153" i="43"/>
  <c r="AK154" i="43"/>
  <c r="AL157" i="43"/>
  <c r="AJ157" i="43"/>
  <c r="AU159" i="43"/>
  <c r="AM160" i="43"/>
  <c r="AO160" i="43"/>
  <c r="AK161" i="43"/>
  <c r="AP162" i="43"/>
  <c r="AA163" i="43"/>
  <c r="AK171" i="43"/>
  <c r="AU171" i="43"/>
  <c r="AC172" i="43"/>
  <c r="AC177" i="43"/>
  <c r="AC178" i="43"/>
  <c r="AJ178" i="43"/>
  <c r="AL181" i="43"/>
  <c r="AL182" i="43"/>
  <c r="AT183" i="43"/>
  <c r="AK186" i="43"/>
  <c r="AO188" i="43"/>
  <c r="AO194" i="43"/>
  <c r="AO196" i="43"/>
  <c r="AK198" i="43"/>
  <c r="Z84" i="43"/>
  <c r="AE91" i="43"/>
  <c r="AR95" i="43"/>
  <c r="AB97" i="43"/>
  <c r="AF120" i="43"/>
  <c r="AM134" i="43"/>
  <c r="AO147" i="43"/>
  <c r="AO150" i="43"/>
  <c r="AR153" i="43"/>
  <c r="AK157" i="43"/>
  <c r="AV159" i="43"/>
  <c r="AB161" i="43"/>
  <c r="AG162" i="43"/>
  <c r="AL163" i="43"/>
  <c r="Z173" i="43"/>
  <c r="AJ175" i="43"/>
  <c r="AL178" i="43"/>
  <c r="AW182" i="43"/>
  <c r="AQ184" i="43"/>
  <c r="AK185" i="43"/>
  <c r="AM189" i="43"/>
  <c r="AJ190" i="43"/>
  <c r="Z191" i="43"/>
  <c r="AA193" i="43"/>
  <c r="AF194" i="43"/>
  <c r="Z194" i="43"/>
  <c r="AR196" i="43"/>
  <c r="AQ120" i="43"/>
  <c r="AW135" i="43"/>
  <c r="Z159" i="43"/>
  <c r="Z188" i="43"/>
  <c r="AK190" i="43"/>
  <c r="Z196" i="43"/>
  <c r="Z61" i="43"/>
  <c r="AP68" i="43"/>
  <c r="AL87" i="43"/>
  <c r="AQ147" i="43"/>
  <c r="AJ151" i="43"/>
  <c r="AA159" i="43"/>
  <c r="AW160" i="43"/>
  <c r="AO164" i="43"/>
  <c r="AK166" i="43"/>
  <c r="AE171" i="43"/>
  <c r="AP172" i="43"/>
  <c r="AV173" i="43"/>
  <c r="AA174" i="43"/>
  <c r="AL176" i="43"/>
  <c r="AT186" i="43"/>
  <c r="AO187" i="43"/>
  <c r="AA188" i="43"/>
  <c r="AO189" i="43"/>
  <c r="AB190" i="43"/>
  <c r="AO190" i="43"/>
  <c r="AL192" i="43"/>
  <c r="AF192" i="43"/>
  <c r="AR193" i="43"/>
  <c r="AW194" i="43"/>
  <c r="AC195" i="43"/>
  <c r="AE195" i="43"/>
  <c r="AA196" i="43"/>
  <c r="AR197" i="43"/>
  <c r="AP61" i="43"/>
  <c r="AK61" i="43"/>
  <c r="AU64" i="43"/>
  <c r="AF69" i="43"/>
  <c r="AU73" i="43"/>
  <c r="AV74" i="43"/>
  <c r="AH83" i="43"/>
  <c r="AM87" i="43"/>
  <c r="AV99" i="43"/>
  <c r="AE103" i="43"/>
  <c r="AE113" i="43"/>
  <c r="AU134" i="43"/>
  <c r="AK151" i="43"/>
  <c r="AT157" i="43"/>
  <c r="AF167" i="43"/>
  <c r="AU168" i="43"/>
  <c r="AF169" i="43"/>
  <c r="AA170" i="43"/>
  <c r="AM174" i="43"/>
  <c r="AW176" i="43"/>
  <c r="AQ188" i="43"/>
  <c r="AQ189" i="43"/>
  <c r="AC190" i="43"/>
  <c r="AM192" i="43"/>
  <c r="AQ61" i="43"/>
  <c r="AL61" i="43"/>
  <c r="Z74" i="43"/>
  <c r="AF86" i="43"/>
  <c r="AU93" i="43"/>
  <c r="AA137" i="43"/>
  <c r="AE160" i="43"/>
  <c r="AC188" i="43"/>
  <c r="AE197" i="43"/>
  <c r="AR12" i="43"/>
  <c r="S23" i="43"/>
  <c r="AM12" i="43"/>
  <c r="AC12" i="43"/>
  <c r="AH12" i="43"/>
  <c r="AW12" i="43"/>
  <c r="AB12" i="43"/>
  <c r="AQ12" i="43"/>
  <c r="AG12" i="43"/>
  <c r="R23" i="43"/>
  <c r="AL12" i="43"/>
  <c r="AV12" i="43"/>
  <c r="AB16" i="43"/>
  <c r="AQ16" i="43"/>
  <c r="AV16" i="43"/>
  <c r="AL16" i="43"/>
  <c r="AG16" i="43"/>
  <c r="AJ12" i="43"/>
  <c r="AT12" i="43"/>
  <c r="AO12" i="43"/>
  <c r="AE12" i="43"/>
  <c r="Z12" i="43"/>
  <c r="AG20" i="43"/>
  <c r="AV20" i="43"/>
  <c r="AB20" i="43"/>
  <c r="AQ20" i="43"/>
  <c r="AL20" i="43"/>
  <c r="AO16" i="43"/>
  <c r="AF13" i="43"/>
  <c r="AK13" i="43"/>
  <c r="Q23" i="43"/>
  <c r="AU12" i="43"/>
  <c r="AA12" i="43"/>
  <c r="AL13" i="43"/>
  <c r="AA14" i="43"/>
  <c r="AQ14" i="43"/>
  <c r="AA16" i="43"/>
  <c r="AF16" i="43"/>
  <c r="AU16" i="43"/>
  <c r="AU18" i="43"/>
  <c r="AK18" i="43"/>
  <c r="AP18" i="43"/>
  <c r="T22" i="43"/>
  <c r="AE22" i="43"/>
  <c r="AF25" i="43"/>
  <c r="O28" i="43"/>
  <c r="AU28" i="43"/>
  <c r="AE30" i="43"/>
  <c r="AT30" i="43"/>
  <c r="Z30" i="43"/>
  <c r="AO30" i="43"/>
  <c r="AF31" i="43"/>
  <c r="AE43" i="43"/>
  <c r="AO43" i="43"/>
  <c r="AT43" i="43"/>
  <c r="Z43" i="43"/>
  <c r="AJ43" i="43"/>
  <c r="AH15" i="43"/>
  <c r="AM15" i="43"/>
  <c r="AO13" i="43"/>
  <c r="AJ13" i="43"/>
  <c r="T13" i="43"/>
  <c r="AH13" i="43"/>
  <c r="AH14" i="43"/>
  <c r="AW14" i="43"/>
  <c r="AC14" i="43"/>
  <c r="AR14" i="43"/>
  <c r="AL18" i="43"/>
  <c r="AG18" i="43"/>
  <c r="AQ18" i="43"/>
  <c r="AV19" i="43"/>
  <c r="AL19" i="43"/>
  <c r="AQ19" i="43"/>
  <c r="AB25" i="43"/>
  <c r="AQ25" i="43"/>
  <c r="AV25" i="43"/>
  <c r="AG25" i="43"/>
  <c r="Z28" i="43"/>
  <c r="AO28" i="43"/>
  <c r="AT28" i="43"/>
  <c r="AK29" i="43"/>
  <c r="AA29" i="43"/>
  <c r="AF29" i="43"/>
  <c r="AU29" i="43"/>
  <c r="AK33" i="43"/>
  <c r="AA33" i="43"/>
  <c r="AP33" i="43"/>
  <c r="AF33" i="43"/>
  <c r="AU33" i="43"/>
  <c r="AG34" i="43"/>
  <c r="O46" i="43"/>
  <c r="O59" i="43"/>
  <c r="Z13" i="43"/>
  <c r="AQ15" i="43"/>
  <c r="AL15" i="43"/>
  <c r="Z17" i="43"/>
  <c r="AM19" i="43"/>
  <c r="AH19" i="43"/>
  <c r="Z32" i="43"/>
  <c r="AO32" i="43"/>
  <c r="AT32" i="43"/>
  <c r="AH34" i="43"/>
  <c r="AA38" i="43"/>
  <c r="AP38" i="43"/>
  <c r="AF38" i="43"/>
  <c r="AK38" i="43"/>
  <c r="AU39" i="43"/>
  <c r="AK39" i="43"/>
  <c r="T39" i="43"/>
  <c r="AA39" i="43"/>
  <c r="AF39" i="43"/>
  <c r="AF44" i="43"/>
  <c r="AL17" i="43"/>
  <c r="AB17" i="43"/>
  <c r="AG17" i="43"/>
  <c r="AV17" i="43"/>
  <c r="AE18" i="43"/>
  <c r="AT18" i="43"/>
  <c r="Z18" i="43"/>
  <c r="AO18" i="43"/>
  <c r="AW20" i="43"/>
  <c r="AM20" i="43"/>
  <c r="AR20" i="43"/>
  <c r="O40" i="43"/>
  <c r="AW13" i="43"/>
  <c r="AC13" i="43"/>
  <c r="AR13" i="43"/>
  <c r="AT13" i="43"/>
  <c r="AP14" i="43"/>
  <c r="AK14" i="43"/>
  <c r="Z15" i="43"/>
  <c r="AE15" i="43"/>
  <c r="AT15" i="43"/>
  <c r="AR15" i="43"/>
  <c r="AJ16" i="43"/>
  <c r="T16" i="43"/>
  <c r="AE16" i="43"/>
  <c r="AC17" i="43"/>
  <c r="AR17" i="43"/>
  <c r="AW17" i="43"/>
  <c r="AM18" i="43"/>
  <c r="AC18" i="43"/>
  <c r="AH18" i="43"/>
  <c r="AW18" i="43"/>
  <c r="AF19" i="43"/>
  <c r="AU19" i="43"/>
  <c r="AA19" i="43"/>
  <c r="AP19" i="43"/>
  <c r="Z22" i="43"/>
  <c r="AO22" i="43"/>
  <c r="AT22" i="43"/>
  <c r="O26" i="43"/>
  <c r="O27" i="43"/>
  <c r="O42" i="43"/>
  <c r="O51" i="43"/>
  <c r="AE13" i="43"/>
  <c r="AG14" i="43"/>
  <c r="AL14" i="43"/>
  <c r="AA15" i="43"/>
  <c r="AP15" i="43"/>
  <c r="AU15" i="43"/>
  <c r="AC15" i="43"/>
  <c r="AH17" i="43"/>
  <c r="T18" i="43"/>
  <c r="T19" i="43"/>
  <c r="AC20" i="43"/>
  <c r="AP22" i="43"/>
  <c r="AR22" i="43"/>
  <c r="AA28" i="43"/>
  <c r="AP28" i="43"/>
  <c r="AK28" i="43"/>
  <c r="O30" i="43"/>
  <c r="AL39" i="43"/>
  <c r="AB39" i="43"/>
  <c r="AQ39" i="43"/>
  <c r="AG39" i="43"/>
  <c r="AV39" i="43"/>
  <c r="AO45" i="43"/>
  <c r="AT45" i="43"/>
  <c r="AJ45" i="43"/>
  <c r="AE45" i="43"/>
  <c r="AL21" i="43"/>
  <c r="AB21" i="43"/>
  <c r="AG21" i="43"/>
  <c r="AV21" i="43"/>
  <c r="AC25" i="43"/>
  <c r="AR25" i="43"/>
  <c r="AM25" i="43"/>
  <c r="AA32" i="43"/>
  <c r="AP32" i="43"/>
  <c r="AK32" i="43"/>
  <c r="AM35" i="43"/>
  <c r="AC35" i="43"/>
  <c r="AR35" i="43"/>
  <c r="AH35" i="43"/>
  <c r="AW35" i="43"/>
  <c r="AG13" i="43"/>
  <c r="AV13" i="43"/>
  <c r="AB13" i="43"/>
  <c r="T15" i="43"/>
  <c r="AT17" i="43"/>
  <c r="AJ17" i="43"/>
  <c r="T17" i="43"/>
  <c r="AO17" i="43"/>
  <c r="AG15" i="43"/>
  <c r="AW15" i="43"/>
  <c r="AR16" i="43"/>
  <c r="AM16" i="43"/>
  <c r="Z16" i="43"/>
  <c r="AP16" i="43"/>
  <c r="AK17" i="43"/>
  <c r="AF17" i="43"/>
  <c r="AM17" i="43"/>
  <c r="AJ18" i="43"/>
  <c r="AK19" i="43"/>
  <c r="AH20" i="43"/>
  <c r="AC21" i="43"/>
  <c r="AR21" i="43"/>
  <c r="AW21" i="43"/>
  <c r="AW25" i="43"/>
  <c r="AE26" i="43"/>
  <c r="AT26" i="43"/>
  <c r="Z26" i="43"/>
  <c r="AO26" i="43"/>
  <c r="AF27" i="43"/>
  <c r="AE31" i="43"/>
  <c r="AU38" i="43"/>
  <c r="AV73" i="43"/>
  <c r="AL73" i="43"/>
  <c r="AB73" i="43"/>
  <c r="AG73" i="43"/>
  <c r="AQ73" i="43"/>
  <c r="O79" i="43"/>
  <c r="AH79" i="43" s="1"/>
  <c r="Z19" i="43"/>
  <c r="AA20" i="43"/>
  <c r="AF21" i="43"/>
  <c r="AC22" i="43"/>
  <c r="AK22" i="43"/>
  <c r="AF24" i="43"/>
  <c r="AE25" i="43"/>
  <c r="AA27" i="43"/>
  <c r="AE29" i="43"/>
  <c r="AA31" i="43"/>
  <c r="T34" i="43"/>
  <c r="AR34" i="43"/>
  <c r="AO35" i="43"/>
  <c r="AT44" i="43"/>
  <c r="AJ47" i="43"/>
  <c r="AK54" i="43"/>
  <c r="AA54" i="43"/>
  <c r="AF54" i="43"/>
  <c r="AU54" i="43"/>
  <c r="AJ57" i="43"/>
  <c r="Z57" i="43"/>
  <c r="AO57" i="43"/>
  <c r="AT57" i="43"/>
  <c r="AJ60" i="43"/>
  <c r="T60" i="43"/>
  <c r="Z60" i="43"/>
  <c r="AE60" i="43"/>
  <c r="AT60" i="43"/>
  <c r="AH61" i="43"/>
  <c r="AG61" i="43"/>
  <c r="AF61" i="43"/>
  <c r="Z64" i="43"/>
  <c r="AK87" i="43"/>
  <c r="AA87" i="43"/>
  <c r="AP87" i="43"/>
  <c r="AU87" i="43"/>
  <c r="AF87" i="43"/>
  <c r="T20" i="43"/>
  <c r="AJ20" i="43"/>
  <c r="AO21" i="43"/>
  <c r="AL22" i="43"/>
  <c r="AT24" i="43"/>
  <c r="BB24" i="43"/>
  <c r="AJ27" i="43"/>
  <c r="AJ31" i="43"/>
  <c r="AC34" i="43"/>
  <c r="AK34" i="43"/>
  <c r="Z35" i="43"/>
  <c r="AP35" i="43"/>
  <c r="P36" i="43"/>
  <c r="AW39" i="43"/>
  <c r="AF41" i="43"/>
  <c r="AK41" i="43"/>
  <c r="AU41" i="43"/>
  <c r="O43" i="43"/>
  <c r="O45" i="43"/>
  <c r="AP47" i="43"/>
  <c r="AF47" i="43"/>
  <c r="AK47" i="43"/>
  <c r="AJ53" i="43"/>
  <c r="Z53" i="43"/>
  <c r="AO53" i="43"/>
  <c r="AT53" i="43"/>
  <c r="O55" i="43"/>
  <c r="O56" i="43"/>
  <c r="AK57" i="43"/>
  <c r="AK60" i="43"/>
  <c r="AA60" i="43"/>
  <c r="AP60" i="43"/>
  <c r="AU60" i="43"/>
  <c r="Z68" i="43"/>
  <c r="AM91" i="43"/>
  <c r="AH91" i="43"/>
  <c r="AW91" i="43"/>
  <c r="AR91" i="43"/>
  <c r="AC91" i="43"/>
  <c r="AM34" i="43"/>
  <c r="T35" i="43"/>
  <c r="AJ35" i="43"/>
  <c r="P49" i="43"/>
  <c r="AH47" i="43"/>
  <c r="AC47" i="43"/>
  <c r="AR47" i="43"/>
  <c r="AK66" i="43"/>
  <c r="AA66" i="43"/>
  <c r="AF66" i="43"/>
  <c r="AU66" i="43"/>
  <c r="AW73" i="43"/>
  <c r="AM73" i="43"/>
  <c r="AC73" i="43"/>
  <c r="AR73" i="43"/>
  <c r="AH73" i="43"/>
  <c r="O84" i="43"/>
  <c r="AC84" i="43" s="1"/>
  <c r="AT19" i="43"/>
  <c r="AU20" i="43"/>
  <c r="T21" i="43"/>
  <c r="AW22" i="43"/>
  <c r="AB24" i="43"/>
  <c r="AO24" i="43"/>
  <c r="AU27" i="43"/>
  <c r="AU31" i="43"/>
  <c r="AV34" i="43"/>
  <c r="AO38" i="43"/>
  <c r="AR39" i="43"/>
  <c r="AE40" i="43"/>
  <c r="AU44" i="43"/>
  <c r="AA44" i="43"/>
  <c r="AU45" i="43"/>
  <c r="AU47" i="43"/>
  <c r="AE48" i="43"/>
  <c r="Z48" i="43"/>
  <c r="AO48" i="43"/>
  <c r="AP54" i="43"/>
  <c r="Z56" i="43"/>
  <c r="AC61" i="43"/>
  <c r="AJ65" i="43"/>
  <c r="Z65" i="43"/>
  <c r="AO65" i="43"/>
  <c r="AT65" i="43"/>
  <c r="AK70" i="43"/>
  <c r="AA70" i="43"/>
  <c r="AF70" i="43"/>
  <c r="AU70" i="43"/>
  <c r="O72" i="43"/>
  <c r="AA81" i="43"/>
  <c r="AP81" i="43"/>
  <c r="AK81" i="43"/>
  <c r="AU81" i="43"/>
  <c r="AF81" i="43"/>
  <c r="AG84" i="43"/>
  <c r="AV84" i="43"/>
  <c r="AL84" i="43"/>
  <c r="AQ84" i="43"/>
  <c r="AB84" i="43"/>
  <c r="AW34" i="43"/>
  <c r="AT35" i="43"/>
  <c r="Z38" i="43"/>
  <c r="AC39" i="43"/>
  <c r="AP41" i="43"/>
  <c r="AE46" i="43"/>
  <c r="AW47" i="43"/>
  <c r="P62" i="43"/>
  <c r="Z52" i="43"/>
  <c r="AO60" i="43"/>
  <c r="O64" i="43"/>
  <c r="AK65" i="43"/>
  <c r="AJ69" i="43"/>
  <c r="Z69" i="43"/>
  <c r="AO69" i="43"/>
  <c r="AT69" i="43"/>
  <c r="AU43" i="43"/>
  <c r="AK43" i="43"/>
  <c r="AP43" i="43"/>
  <c r="AA45" i="43"/>
  <c r="AK45" i="43"/>
  <c r="AG48" i="43"/>
  <c r="O67" i="43"/>
  <c r="O68" i="43"/>
  <c r="AK69" i="43"/>
  <c r="AO82" i="43"/>
  <c r="AJ38" i="43"/>
  <c r="AO44" i="43"/>
  <c r="AE44" i="43"/>
  <c r="AJ44" i="43"/>
  <c r="AM48" i="43"/>
  <c r="AC48" i="43"/>
  <c r="AH48" i="43"/>
  <c r="AW48" i="43"/>
  <c r="AR48" i="43"/>
  <c r="AU58" i="43"/>
  <c r="O71" i="43"/>
  <c r="AM83" i="43"/>
  <c r="AC83" i="43"/>
  <c r="AR83" i="43"/>
  <c r="AW83" i="43"/>
  <c r="AT87" i="43"/>
  <c r="AJ87" i="43"/>
  <c r="T87" i="43"/>
  <c r="Z87" i="43"/>
  <c r="AE87" i="43"/>
  <c r="AO87" i="43"/>
  <c r="AW87" i="43"/>
  <c r="AV87" i="43"/>
  <c r="T47" i="43"/>
  <c r="AB47" i="43"/>
  <c r="AO51" i="43"/>
  <c r="AA52" i="43"/>
  <c r="AE54" i="43"/>
  <c r="AA56" i="43"/>
  <c r="AE58" i="43"/>
  <c r="AA61" i="43"/>
  <c r="AA64" i="43"/>
  <c r="AE66" i="43"/>
  <c r="AA68" i="43"/>
  <c r="AE70" i="43"/>
  <c r="AA72" i="43"/>
  <c r="AT73" i="43"/>
  <c r="AF73" i="43"/>
  <c r="AA74" i="43"/>
  <c r="AK74" i="43"/>
  <c r="AJ77" i="43"/>
  <c r="Z77" i="43"/>
  <c r="AO77" i="43"/>
  <c r="P88" i="43"/>
  <c r="AE77" i="43"/>
  <c r="AL78" i="43"/>
  <c r="AB78" i="43"/>
  <c r="AQ78" i="43"/>
  <c r="AG78" i="43"/>
  <c r="AR85" i="43"/>
  <c r="AH85" i="43"/>
  <c r="AW85" i="43"/>
  <c r="AC85" i="43"/>
  <c r="BC86" i="43"/>
  <c r="BB86" i="43"/>
  <c r="BA86" i="43"/>
  <c r="AJ52" i="43"/>
  <c r="AJ56" i="43"/>
  <c r="AM60" i="43"/>
  <c r="T61" i="43"/>
  <c r="AJ61" i="43"/>
  <c r="AJ64" i="43"/>
  <c r="AJ68" i="43"/>
  <c r="AJ72" i="43"/>
  <c r="AB74" i="43"/>
  <c r="AQ74" i="43"/>
  <c r="AV83" i="43"/>
  <c r="AL83" i="43"/>
  <c r="AB83" i="43"/>
  <c r="AG83" i="43"/>
  <c r="AH92" i="43"/>
  <c r="AW92" i="43"/>
  <c r="AR92" i="43"/>
  <c r="AM92" i="43"/>
  <c r="O44" i="43"/>
  <c r="AE52" i="43"/>
  <c r="AU52" i="43"/>
  <c r="AE56" i="43"/>
  <c r="AU56" i="43"/>
  <c r="AH60" i="43"/>
  <c r="AE61" i="43"/>
  <c r="AU61" i="43"/>
  <c r="AE64" i="43"/>
  <c r="AE68" i="43"/>
  <c r="AU68" i="43"/>
  <c r="AE72" i="43"/>
  <c r="AU72" i="43"/>
  <c r="T73" i="43"/>
  <c r="AG74" i="43"/>
  <c r="AA77" i="43"/>
  <c r="AP77" i="43"/>
  <c r="AK77" i="43"/>
  <c r="O80" i="43"/>
  <c r="AR80" i="43" s="1"/>
  <c r="AC82" i="43"/>
  <c r="AR82" i="43"/>
  <c r="AH82" i="43"/>
  <c r="AM82" i="43"/>
  <c r="AH84" i="43"/>
  <c r="AW84" i="43"/>
  <c r="AM84" i="43"/>
  <c r="AG99" i="43"/>
  <c r="AF99" i="43"/>
  <c r="AC78" i="43"/>
  <c r="AR78" i="43"/>
  <c r="AM78" i="43"/>
  <c r="AG80" i="43"/>
  <c r="AV80" i="43"/>
  <c r="AQ80" i="43"/>
  <c r="AT82" i="43"/>
  <c r="AJ82" i="43"/>
  <c r="T82" i="43"/>
  <c r="Z82" i="43"/>
  <c r="AE82" i="43"/>
  <c r="AV97" i="43"/>
  <c r="AU97" i="43"/>
  <c r="AT106" i="43"/>
  <c r="AW106" i="43"/>
  <c r="AO52" i="43"/>
  <c r="AO56" i="43"/>
  <c r="AR60" i="43"/>
  <c r="AO61" i="43"/>
  <c r="AO64" i="43"/>
  <c r="AO68" i="43"/>
  <c r="AO72" i="43"/>
  <c r="AL74" i="43"/>
  <c r="AT78" i="43"/>
  <c r="AJ78" i="43"/>
  <c r="T78" i="43"/>
  <c r="AE78" i="43"/>
  <c r="Z78" i="43"/>
  <c r="AW78" i="43"/>
  <c r="AV79" i="43"/>
  <c r="AL79" i="43"/>
  <c r="AG79" i="43"/>
  <c r="AH80" i="43"/>
  <c r="AW80" i="43"/>
  <c r="AM80" i="43"/>
  <c r="AB80" i="43"/>
  <c r="O81" i="43"/>
  <c r="AK82" i="43"/>
  <c r="AA82" i="43"/>
  <c r="AP82" i="43"/>
  <c r="AU82" i="43"/>
  <c r="AA85" i="43"/>
  <c r="AP85" i="43"/>
  <c r="AF85" i="43"/>
  <c r="AK85" i="43"/>
  <c r="AU85" i="43"/>
  <c r="AH109" i="43"/>
  <c r="AW109" i="43"/>
  <c r="AR109" i="43"/>
  <c r="AM109" i="43"/>
  <c r="AC109" i="43"/>
  <c r="T109" i="43"/>
  <c r="AP64" i="43"/>
  <c r="AE73" i="43"/>
  <c r="AJ74" i="43"/>
  <c r="T74" i="43"/>
  <c r="O77" i="43"/>
  <c r="T77" i="43" s="1"/>
  <c r="AK78" i="43"/>
  <c r="AA78" i="43"/>
  <c r="AU78" i="43"/>
  <c r="AF78" i="43"/>
  <c r="AM79" i="43"/>
  <c r="AC79" i="43"/>
  <c r="AW79" i="43"/>
  <c r="Z80" i="43"/>
  <c r="AC80" i="43"/>
  <c r="AJ81" i="43"/>
  <c r="Z81" i="43"/>
  <c r="AO81" i="43"/>
  <c r="AE81" i="43"/>
  <c r="AW86" i="43"/>
  <c r="AM86" i="43"/>
  <c r="AC86" i="43"/>
  <c r="AH86" i="43"/>
  <c r="AZ86" i="43"/>
  <c r="AH96" i="43"/>
  <c r="AW96" i="43"/>
  <c r="AR96" i="43"/>
  <c r="AM96" i="43"/>
  <c r="AC98" i="43"/>
  <c r="AR98" i="43"/>
  <c r="AH98" i="43"/>
  <c r="AM98" i="43"/>
  <c r="AW98" i="43"/>
  <c r="AC74" i="43"/>
  <c r="AO79" i="43"/>
  <c r="AO83" i="43"/>
  <c r="Z86" i="43"/>
  <c r="AP86" i="43"/>
  <c r="O91" i="43"/>
  <c r="AG91" i="43"/>
  <c r="AP92" i="43"/>
  <c r="AA92" i="43"/>
  <c r="AC94" i="43"/>
  <c r="AR94" i="43"/>
  <c r="AM94" i="43"/>
  <c r="AW94" i="43"/>
  <c r="AP96" i="43"/>
  <c r="AF96" i="43"/>
  <c r="AA96" i="43"/>
  <c r="AK98" i="43"/>
  <c r="T98" i="43"/>
  <c r="AH99" i="43"/>
  <c r="Z108" i="43"/>
  <c r="O110" i="43"/>
  <c r="AT90" i="43"/>
  <c r="P101" i="43"/>
  <c r="AG92" i="43"/>
  <c r="AB92" i="43"/>
  <c r="AQ92" i="43"/>
  <c r="AM95" i="43"/>
  <c r="AH95" i="43"/>
  <c r="AW95" i="43"/>
  <c r="AG96" i="43"/>
  <c r="AV96" i="43"/>
  <c r="AB96" i="43"/>
  <c r="AQ96" i="43"/>
  <c r="AR97" i="43"/>
  <c r="AH97" i="43"/>
  <c r="AC97" i="43"/>
  <c r="AV103" i="43"/>
  <c r="AL103" i="43"/>
  <c r="AB103" i="43"/>
  <c r="AG103" i="43"/>
  <c r="AL90" i="43"/>
  <c r="R101" i="43"/>
  <c r="AV90" i="43"/>
  <c r="Z90" i="43"/>
  <c r="O92" i="43"/>
  <c r="O96" i="43"/>
  <c r="AJ97" i="43"/>
  <c r="T97" i="43"/>
  <c r="Z97" i="43"/>
  <c r="AT97" i="43"/>
  <c r="AE97" i="43"/>
  <c r="AP104" i="43"/>
  <c r="AF104" i="43"/>
  <c r="AU104" i="43"/>
  <c r="AA104" i="43"/>
  <c r="AK106" i="43"/>
  <c r="T106" i="43"/>
  <c r="AA106" i="43"/>
  <c r="AP106" i="43"/>
  <c r="AF106" i="43"/>
  <c r="AU106" i="43"/>
  <c r="AK111" i="43"/>
  <c r="AA111" i="43"/>
  <c r="AR120" i="43"/>
  <c r="AH120" i="43"/>
  <c r="AW120" i="43"/>
  <c r="AM120" i="43"/>
  <c r="AC120" i="43"/>
  <c r="AG77" i="43"/>
  <c r="AE80" i="43"/>
  <c r="AG81" i="43"/>
  <c r="AQ82" i="43"/>
  <c r="AE84" i="43"/>
  <c r="AG85" i="43"/>
  <c r="AO85" i="43"/>
  <c r="AT86" i="43"/>
  <c r="AQ87" i="43"/>
  <c r="AC90" i="43"/>
  <c r="S101" i="43"/>
  <c r="AO90" i="43"/>
  <c r="AL91" i="43"/>
  <c r="Z92" i="43"/>
  <c r="AO92" i="43"/>
  <c r="AJ92" i="43"/>
  <c r="T92" i="43"/>
  <c r="AE92" i="43"/>
  <c r="AU92" i="43"/>
  <c r="AR93" i="43"/>
  <c r="AH93" i="43"/>
  <c r="AC93" i="43"/>
  <c r="Z96" i="43"/>
  <c r="AA97" i="43"/>
  <c r="AP97" i="43"/>
  <c r="AF97" i="43"/>
  <c r="AK97" i="43"/>
  <c r="AQ99" i="43"/>
  <c r="AR99" i="43"/>
  <c r="AM100" i="43"/>
  <c r="AC100" i="43"/>
  <c r="AR100" i="43"/>
  <c r="T100" i="43"/>
  <c r="AH100" i="43"/>
  <c r="AW100" i="43"/>
  <c r="AM103" i="43"/>
  <c r="AC103" i="43"/>
  <c r="AR103" i="43"/>
  <c r="AH103" i="43"/>
  <c r="AW103" i="43"/>
  <c r="O104" i="43"/>
  <c r="AV107" i="43"/>
  <c r="AL107" i="43"/>
  <c r="AB107" i="43"/>
  <c r="AG107" i="43"/>
  <c r="AB82" i="43"/>
  <c r="AT83" i="43"/>
  <c r="Z85" i="43"/>
  <c r="AE86" i="43"/>
  <c r="AU86" i="43"/>
  <c r="AB87" i="43"/>
  <c r="R88" i="43"/>
  <c r="AB90" i="43"/>
  <c r="AB91" i="43"/>
  <c r="AV92" i="43"/>
  <c r="AV93" i="43"/>
  <c r="O95" i="43"/>
  <c r="AM97" i="43"/>
  <c r="Z99" i="43"/>
  <c r="AO99" i="43"/>
  <c r="AE99" i="43"/>
  <c r="AJ99" i="43"/>
  <c r="T99" i="43"/>
  <c r="AH104" i="43"/>
  <c r="AW104" i="43"/>
  <c r="AM104" i="43"/>
  <c r="AR104" i="43"/>
  <c r="AR105" i="43"/>
  <c r="AH105" i="43"/>
  <c r="AW105" i="43"/>
  <c r="AC105" i="43"/>
  <c r="AP108" i="43"/>
  <c r="AF108" i="43"/>
  <c r="AU108" i="43"/>
  <c r="AA108" i="43"/>
  <c r="AQ77" i="43"/>
  <c r="AO80" i="43"/>
  <c r="AQ81" i="43"/>
  <c r="AO84" i="43"/>
  <c r="AQ85" i="43"/>
  <c r="AE90" i="43"/>
  <c r="AQ90" i="43"/>
  <c r="AQ91" i="43"/>
  <c r="AJ93" i="43"/>
  <c r="T93" i="43"/>
  <c r="Z93" i="43"/>
  <c r="AT93" i="43"/>
  <c r="AE93" i="43"/>
  <c r="AK94" i="43"/>
  <c r="T94" i="43"/>
  <c r="AF94" i="43"/>
  <c r="AU94" i="43"/>
  <c r="AP94" i="43"/>
  <c r="AV95" i="43"/>
  <c r="AL95" i="43"/>
  <c r="AG95" i="43"/>
  <c r="AL96" i="43"/>
  <c r="AO97" i="43"/>
  <c r="AQ103" i="43"/>
  <c r="T108" i="43"/>
  <c r="O108" i="43"/>
  <c r="T85" i="43"/>
  <c r="AG90" i="43"/>
  <c r="AL92" i="43"/>
  <c r="AA93" i="43"/>
  <c r="AF93" i="43"/>
  <c r="AL94" i="43"/>
  <c r="AB94" i="43"/>
  <c r="AV94" i="43"/>
  <c r="AA94" i="43"/>
  <c r="AQ94" i="43"/>
  <c r="AQ95" i="43"/>
  <c r="AM107" i="43"/>
  <c r="AC107" i="43"/>
  <c r="AR107" i="43"/>
  <c r="AH107" i="43"/>
  <c r="AW107" i="43"/>
  <c r="AH108" i="43"/>
  <c r="AW108" i="43"/>
  <c r="AM108" i="43"/>
  <c r="AR108" i="43"/>
  <c r="AA131" i="43"/>
  <c r="AO100" i="43"/>
  <c r="AK105" i="43"/>
  <c r="AM106" i="43"/>
  <c r="AO107" i="43"/>
  <c r="O109" i="43"/>
  <c r="AE110" i="43"/>
  <c r="AW111" i="43"/>
  <c r="AA112" i="43"/>
  <c r="AZ112" i="43"/>
  <c r="AV113" i="43"/>
  <c r="AA120" i="43"/>
  <c r="AW137" i="43"/>
  <c r="Z91" i="43"/>
  <c r="AL93" i="43"/>
  <c r="Z95" i="43"/>
  <c r="T96" i="43"/>
  <c r="AJ96" i="43"/>
  <c r="AL97" i="43"/>
  <c r="AV98" i="43"/>
  <c r="AC99" i="43"/>
  <c r="AK99" i="43"/>
  <c r="Z100" i="43"/>
  <c r="AP100" i="43"/>
  <c r="Z103" i="43"/>
  <c r="T104" i="43"/>
  <c r="AJ104" i="43"/>
  <c r="AL105" i="43"/>
  <c r="AT105" i="43"/>
  <c r="AV106" i="43"/>
  <c r="Z107" i="43"/>
  <c r="AJ108" i="43"/>
  <c r="Z109" i="43"/>
  <c r="AO109" i="43"/>
  <c r="AA109" i="43"/>
  <c r="AK109" i="43"/>
  <c r="AU109" i="43"/>
  <c r="AT111" i="43"/>
  <c r="AJ111" i="43"/>
  <c r="AQ112" i="43"/>
  <c r="AM113" i="43"/>
  <c r="AH113" i="43"/>
  <c r="AB113" i="43"/>
  <c r="AW113" i="43"/>
  <c r="AB117" i="43"/>
  <c r="AA117" i="43"/>
  <c r="Z117" i="43"/>
  <c r="AJ118" i="43"/>
  <c r="AL118" i="43"/>
  <c r="AM118" i="43"/>
  <c r="AG148" i="43"/>
  <c r="AV148" i="43"/>
  <c r="AL148" i="43"/>
  <c r="AB148" i="43"/>
  <c r="R155" i="43"/>
  <c r="AQ148" i="43"/>
  <c r="AF105" i="43"/>
  <c r="AH106" i="43"/>
  <c r="AH110" i="43"/>
  <c r="AT110" i="43"/>
  <c r="AL111" i="43"/>
  <c r="AB111" i="43"/>
  <c r="AY112" i="43"/>
  <c r="AI112" i="43"/>
  <c r="BC112" i="43"/>
  <c r="AJ117" i="43"/>
  <c r="AL117" i="43"/>
  <c r="AC111" i="43"/>
  <c r="AR111" i="43"/>
  <c r="AP122" i="43"/>
  <c r="AU122" i="43"/>
  <c r="AW124" i="43"/>
  <c r="AM124" i="43"/>
  <c r="AH124" i="43"/>
  <c r="AR124" i="43"/>
  <c r="AC124" i="43"/>
  <c r="AT130" i="43"/>
  <c r="AJ130" i="43"/>
  <c r="Z130" i="43"/>
  <c r="AE130" i="43"/>
  <c r="AO130" i="43"/>
  <c r="AL136" i="43"/>
  <c r="AB98" i="43"/>
  <c r="Z105" i="43"/>
  <c r="AP105" i="43"/>
  <c r="AB106" i="43"/>
  <c r="AR106" i="43"/>
  <c r="AJ110" i="43"/>
  <c r="T110" i="43"/>
  <c r="Z110" i="43"/>
  <c r="AQ111" i="43"/>
  <c r="AF112" i="43"/>
  <c r="AG125" i="43"/>
  <c r="AE125" i="43"/>
  <c r="AQ93" i="43"/>
  <c r="AO96" i="43"/>
  <c r="AQ97" i="43"/>
  <c r="AP99" i="43"/>
  <c r="AU100" i="43"/>
  <c r="AO104" i="43"/>
  <c r="AQ105" i="43"/>
  <c r="AO108" i="43"/>
  <c r="AG109" i="43"/>
  <c r="AF109" i="43"/>
  <c r="AA110" i="43"/>
  <c r="AC110" i="43"/>
  <c r="AM110" i="43"/>
  <c r="AW110" i="43"/>
  <c r="AG111" i="43"/>
  <c r="AC117" i="43"/>
  <c r="S119" i="43"/>
  <c r="R119" i="43"/>
  <c r="Q119" i="43"/>
  <c r="P114" i="43"/>
  <c r="T105" i="43"/>
  <c r="AH111" i="43"/>
  <c r="AV111" i="43"/>
  <c r="Z112" i="43"/>
  <c r="AO112" i="43"/>
  <c r="AF113" i="43"/>
  <c r="AU113" i="43"/>
  <c r="AK113" i="43"/>
  <c r="AP113" i="43"/>
  <c r="AB118" i="43"/>
  <c r="AA118" i="43"/>
  <c r="Z118" i="43"/>
  <c r="AT117" i="43"/>
  <c r="AT118" i="43"/>
  <c r="T120" i="43"/>
  <c r="AV122" i="43"/>
  <c r="T124" i="43"/>
  <c r="AW125" i="43"/>
  <c r="AE163" i="43"/>
  <c r="AT163" i="43"/>
  <c r="AJ163" i="43"/>
  <c r="T163" i="43"/>
  <c r="Z163" i="43"/>
  <c r="AO163" i="43"/>
  <c r="AK125" i="43"/>
  <c r="AJ126" i="43"/>
  <c r="AF130" i="43"/>
  <c r="AP130" i="43"/>
  <c r="AA130" i="43"/>
  <c r="AL135" i="43"/>
  <c r="AP137" i="43"/>
  <c r="AF137" i="43"/>
  <c r="AK137" i="43"/>
  <c r="S140" i="43"/>
  <c r="R140" i="43"/>
  <c r="Q140" i="43"/>
  <c r="P140" i="43"/>
  <c r="AF153" i="43"/>
  <c r="AE153" i="43"/>
  <c r="AM154" i="43"/>
  <c r="AH154" i="43"/>
  <c r="AW154" i="43"/>
  <c r="AC154" i="43"/>
  <c r="AH176" i="43"/>
  <c r="AF176" i="43"/>
  <c r="AB121" i="43"/>
  <c r="AF126" i="43"/>
  <c r="AE126" i="43"/>
  <c r="AU126" i="43"/>
  <c r="AB131" i="43"/>
  <c r="AV131" i="43"/>
  <c r="AL131" i="43"/>
  <c r="Q132" i="43"/>
  <c r="AH137" i="43"/>
  <c r="AC137" i="43"/>
  <c r="AR137" i="43"/>
  <c r="AB147" i="43"/>
  <c r="AY147" i="43"/>
  <c r="AA147" i="43"/>
  <c r="Z147" i="43"/>
  <c r="AK152" i="43"/>
  <c r="T152" i="43"/>
  <c r="AF152" i="43"/>
  <c r="AU152" i="43"/>
  <c r="AA152" i="43"/>
  <c r="AG117" i="43"/>
  <c r="AO117" i="43"/>
  <c r="AG118" i="43"/>
  <c r="AO118" i="43"/>
  <c r="P123" i="43"/>
  <c r="AT125" i="43"/>
  <c r="AW126" i="43"/>
  <c r="AU130" i="43"/>
  <c r="AQ131" i="43"/>
  <c r="AW134" i="43"/>
  <c r="AP135" i="43"/>
  <c r="AF135" i="43"/>
  <c r="AK135" i="43"/>
  <c r="AR136" i="43"/>
  <c r="AH136" i="43"/>
  <c r="AW136" i="43"/>
  <c r="AL139" i="43"/>
  <c r="AB139" i="43"/>
  <c r="AQ139" i="43"/>
  <c r="AL113" i="43"/>
  <c r="AH117" i="43"/>
  <c r="AP117" i="43"/>
  <c r="AP118" i="43"/>
  <c r="P121" i="43"/>
  <c r="AL121" i="43"/>
  <c r="AV121" i="43"/>
  <c r="Q123" i="43"/>
  <c r="AO124" i="43"/>
  <c r="AE124" i="43"/>
  <c r="AJ124" i="43"/>
  <c r="AF125" i="43"/>
  <c r="AP125" i="43"/>
  <c r="AH135" i="43"/>
  <c r="AC135" i="43"/>
  <c r="AM137" i="43"/>
  <c r="AR154" i="43"/>
  <c r="AP112" i="43"/>
  <c r="AQ117" i="43"/>
  <c r="AQ118" i="43"/>
  <c r="Q121" i="43"/>
  <c r="AG122" i="43"/>
  <c r="AQ122" i="43"/>
  <c r="S123" i="43"/>
  <c r="AV125" i="43"/>
  <c r="AL125" i="43"/>
  <c r="AK126" i="43"/>
  <c r="AP131" i="43"/>
  <c r="AF131" i="43"/>
  <c r="AU131" i="43"/>
  <c r="AY139" i="43"/>
  <c r="AD139" i="43"/>
  <c r="AI139" i="43"/>
  <c r="AM141" i="43"/>
  <c r="AC141" i="43"/>
  <c r="AR141" i="43"/>
  <c r="AH141" i="43"/>
  <c r="AW141" i="43"/>
  <c r="AL149" i="43"/>
  <c r="AK149" i="43"/>
  <c r="U210" i="43"/>
  <c r="Z210" i="43"/>
  <c r="AL120" i="43"/>
  <c r="Z120" i="43"/>
  <c r="S121" i="43"/>
  <c r="AG124" i="43"/>
  <c r="AQ124" i="43"/>
  <c r="AL124" i="43"/>
  <c r="AH125" i="43"/>
  <c r="AK130" i="43"/>
  <c r="AM135" i="43"/>
  <c r="AM136" i="43"/>
  <c r="Z125" i="43"/>
  <c r="AT131" i="43"/>
  <c r="AF134" i="43"/>
  <c r="Z139" i="43"/>
  <c r="AL147" i="43"/>
  <c r="AT147" i="43"/>
  <c r="AF149" i="43"/>
  <c r="AG150" i="43"/>
  <c r="AL152" i="43"/>
  <c r="AB152" i="43"/>
  <c r="AV152" i="43"/>
  <c r="AQ152" i="43"/>
  <c r="AL153" i="43"/>
  <c r="T154" i="43"/>
  <c r="AH162" i="43"/>
  <c r="AW162" i="43"/>
  <c r="AM162" i="43"/>
  <c r="AC162" i="43"/>
  <c r="AR162" i="43"/>
  <c r="AJ187" i="43"/>
  <c r="AM187" i="43"/>
  <c r="AV197" i="43"/>
  <c r="AT197" i="43"/>
  <c r="AW197" i="43"/>
  <c r="AO138" i="43"/>
  <c r="AE147" i="43"/>
  <c r="AM147" i="43"/>
  <c r="AU147" i="43"/>
  <c r="BC147" i="43"/>
  <c r="T148" i="43"/>
  <c r="AJ148" i="43"/>
  <c r="AR148" i="43"/>
  <c r="AO149" i="43"/>
  <c r="AJ150" i="43"/>
  <c r="AC152" i="43"/>
  <c r="AR152" i="43"/>
  <c r="Z153" i="43"/>
  <c r="AO153" i="43"/>
  <c r="S155" i="43"/>
  <c r="AA164" i="43"/>
  <c r="AH173" i="43"/>
  <c r="AC173" i="43"/>
  <c r="AR173" i="43"/>
  <c r="AW173" i="43"/>
  <c r="AM173" i="43"/>
  <c r="Z134" i="43"/>
  <c r="AP134" i="43"/>
  <c r="Z138" i="43"/>
  <c r="AF147" i="43"/>
  <c r="AV147" i="43"/>
  <c r="AC148" i="43"/>
  <c r="Z149" i="43"/>
  <c r="AH149" i="43"/>
  <c r="AA150" i="43"/>
  <c r="AP150" i="43"/>
  <c r="AK150" i="43"/>
  <c r="AF151" i="43"/>
  <c r="AU151" i="43"/>
  <c r="AA151" i="43"/>
  <c r="AG152" i="43"/>
  <c r="AW152" i="43"/>
  <c r="AY159" i="43"/>
  <c r="AI159" i="43"/>
  <c r="BC159" i="43"/>
  <c r="BA159" i="43"/>
  <c r="AF160" i="43"/>
  <c r="AU160" i="43"/>
  <c r="AK160" i="43"/>
  <c r="T160" i="43"/>
  <c r="AA160" i="43"/>
  <c r="AP160" i="43"/>
  <c r="AB164" i="43"/>
  <c r="AQ166" i="43"/>
  <c r="AG166" i="43"/>
  <c r="AV166" i="43"/>
  <c r="AL166" i="43"/>
  <c r="AB166" i="43"/>
  <c r="T166" i="43"/>
  <c r="AT148" i="43"/>
  <c r="AA149" i="43"/>
  <c r="AQ150" i="43"/>
  <c r="AL150" i="43"/>
  <c r="AZ150" i="43"/>
  <c r="AG151" i="43"/>
  <c r="AV151" i="43"/>
  <c r="AQ151" i="43"/>
  <c r="AG153" i="43"/>
  <c r="T125" i="43"/>
  <c r="Z131" i="43"/>
  <c r="T134" i="43"/>
  <c r="AB134" i="43"/>
  <c r="AJ134" i="43"/>
  <c r="P135" i="43"/>
  <c r="P137" i="43"/>
  <c r="AJ138" i="43"/>
  <c r="AH147" i="43"/>
  <c r="AE148" i="43"/>
  <c r="AM148" i="43"/>
  <c r="T149" i="43"/>
  <c r="AB149" i="43"/>
  <c r="AJ149" i="43"/>
  <c r="AR149" i="43"/>
  <c r="AB150" i="43"/>
  <c r="AB151" i="43"/>
  <c r="AH153" i="43"/>
  <c r="AC175" i="43"/>
  <c r="AY150" i="43"/>
  <c r="BB150" i="43"/>
  <c r="BC150" i="43"/>
  <c r="AF154" i="43"/>
  <c r="AU154" i="43"/>
  <c r="AP154" i="43"/>
  <c r="R179" i="43"/>
  <c r="AG157" i="43"/>
  <c r="AV157" i="43"/>
  <c r="AB157" i="43"/>
  <c r="T157" i="43"/>
  <c r="AQ157" i="43"/>
  <c r="AC158" i="43"/>
  <c r="AR158" i="43"/>
  <c r="AH158" i="43"/>
  <c r="AW158" i="43"/>
  <c r="AV165" i="43"/>
  <c r="AQ165" i="43"/>
  <c r="AG165" i="43"/>
  <c r="AL165" i="43"/>
  <c r="AB165" i="43"/>
  <c r="T165" i="43"/>
  <c r="AO148" i="43"/>
  <c r="AE150" i="43"/>
  <c r="AA154" i="43"/>
  <c r="AM158" i="43"/>
  <c r="AR163" i="43"/>
  <c r="AQ163" i="43"/>
  <c r="AP163" i="43"/>
  <c r="AG168" i="43"/>
  <c r="AQ168" i="43"/>
  <c r="AL168" i="43"/>
  <c r="AB168" i="43"/>
  <c r="T168" i="43"/>
  <c r="AV168" i="43"/>
  <c r="AC153" i="43"/>
  <c r="AK153" i="43"/>
  <c r="Z154" i="43"/>
  <c r="S179" i="43"/>
  <c r="AA157" i="43"/>
  <c r="AF158" i="43"/>
  <c r="AV158" i="43"/>
  <c r="AC159" i="43"/>
  <c r="AK159" i="43"/>
  <c r="Z160" i="43"/>
  <c r="AH160" i="43"/>
  <c r="AE161" i="43"/>
  <c r="AM161" i="43"/>
  <c r="AU161" i="43"/>
  <c r="T162" i="43"/>
  <c r="AB162" i="43"/>
  <c r="AJ162" i="43"/>
  <c r="AG163" i="43"/>
  <c r="AW163" i="43"/>
  <c r="AL164" i="43"/>
  <c r="AT164" i="43"/>
  <c r="AA165" i="43"/>
  <c r="AJ165" i="43"/>
  <c r="AA166" i="43"/>
  <c r="AJ166" i="43"/>
  <c r="AT166" i="43"/>
  <c r="AW168" i="43"/>
  <c r="AM168" i="43"/>
  <c r="AA168" i="43"/>
  <c r="Z169" i="43"/>
  <c r="AM169" i="43"/>
  <c r="AQ170" i="43"/>
  <c r="AG170" i="43"/>
  <c r="Z170" i="43"/>
  <c r="AM170" i="43"/>
  <c r="AB171" i="43"/>
  <c r="AM177" i="43"/>
  <c r="AK178" i="43"/>
  <c r="AA178" i="43"/>
  <c r="AP178" i="43"/>
  <c r="AF178" i="43"/>
  <c r="AU178" i="43"/>
  <c r="AG158" i="43"/>
  <c r="AL159" i="43"/>
  <c r="AT159" i="43"/>
  <c r="AF161" i="43"/>
  <c r="AV161" i="43"/>
  <c r="AK162" i="43"/>
  <c r="AH163" i="43"/>
  <c r="AE164" i="43"/>
  <c r="AU164" i="43"/>
  <c r="AL169" i="43"/>
  <c r="AB169" i="43"/>
  <c r="AV169" i="43"/>
  <c r="AF181" i="43"/>
  <c r="AP158" i="43"/>
  <c r="AE159" i="43"/>
  <c r="AB160" i="43"/>
  <c r="AG161" i="43"/>
  <c r="AO161" i="43"/>
  <c r="AF164" i="43"/>
  <c r="AV164" i="43"/>
  <c r="AC169" i="43"/>
  <c r="AY170" i="43"/>
  <c r="AI170" i="43"/>
  <c r="BA170" i="43"/>
  <c r="BC170" i="43"/>
  <c r="AL173" i="43"/>
  <c r="AJ173" i="43"/>
  <c r="AO176" i="43"/>
  <c r="AE176" i="43"/>
  <c r="AJ176" i="43"/>
  <c r="T176" i="43"/>
  <c r="AP176" i="43"/>
  <c r="AG181" i="43"/>
  <c r="AE166" i="43"/>
  <c r="AJ167" i="43"/>
  <c r="T167" i="43"/>
  <c r="Z167" i="43"/>
  <c r="AU167" i="43"/>
  <c r="AQ169" i="43"/>
  <c r="AE174" i="43"/>
  <c r="Z174" i="43"/>
  <c r="AO174" i="43"/>
  <c r="AQ174" i="43"/>
  <c r="AP174" i="43"/>
  <c r="Z176" i="43"/>
  <c r="AT176" i="43"/>
  <c r="AL177" i="43"/>
  <c r="AE151" i="43"/>
  <c r="AW153" i="43"/>
  <c r="AT154" i="43"/>
  <c r="AU157" i="43"/>
  <c r="T158" i="43"/>
  <c r="AB158" i="43"/>
  <c r="AO159" i="43"/>
  <c r="AT160" i="43"/>
  <c r="AA161" i="43"/>
  <c r="AQ161" i="43"/>
  <c r="AF162" i="43"/>
  <c r="AC163" i="43"/>
  <c r="Z164" i="43"/>
  <c r="AP164" i="43"/>
  <c r="AE165" i="43"/>
  <c r="AF166" i="43"/>
  <c r="AP167" i="43"/>
  <c r="AA167" i="43"/>
  <c r="AF168" i="43"/>
  <c r="AG169" i="43"/>
  <c r="AF170" i="43"/>
  <c r="AT170" i="43"/>
  <c r="AJ171" i="43"/>
  <c r="AK172" i="43"/>
  <c r="AA172" i="43"/>
  <c r="AF172" i="43"/>
  <c r="AU172" i="43"/>
  <c r="AR174" i="43"/>
  <c r="AP175" i="43"/>
  <c r="AF175" i="43"/>
  <c r="AU175" i="43"/>
  <c r="AA175" i="43"/>
  <c r="AW175" i="43"/>
  <c r="AG176" i="43"/>
  <c r="AB176" i="43"/>
  <c r="AQ176" i="43"/>
  <c r="AV176" i="43"/>
  <c r="AR177" i="43"/>
  <c r="AH177" i="43"/>
  <c r="AW177" i="43"/>
  <c r="AZ178" i="43"/>
  <c r="AI178" i="43"/>
  <c r="AG178" i="43"/>
  <c r="AP153" i="43"/>
  <c r="P179" i="43"/>
  <c r="AP159" i="43"/>
  <c r="T161" i="43"/>
  <c r="AR161" i="43"/>
  <c r="AO162" i="43"/>
  <c r="AQ164" i="43"/>
  <c r="AP166" i="43"/>
  <c r="AB167" i="43"/>
  <c r="AC167" i="43"/>
  <c r="AM167" i="43"/>
  <c r="AO168" i="43"/>
  <c r="AE168" i="43"/>
  <c r="AH169" i="43"/>
  <c r="AT171" i="43"/>
  <c r="AQ172" i="43"/>
  <c r="AG172" i="43"/>
  <c r="AV172" i="43"/>
  <c r="AP173" i="43"/>
  <c r="AF173" i="43"/>
  <c r="AK173" i="43"/>
  <c r="T173" i="43"/>
  <c r="AA173" i="43"/>
  <c r="AG174" i="43"/>
  <c r="AT174" i="43"/>
  <c r="Q179" i="43"/>
  <c r="AO157" i="43"/>
  <c r="T164" i="43"/>
  <c r="AF165" i="43"/>
  <c r="AR167" i="43"/>
  <c r="AH167" i="43"/>
  <c r="AW169" i="43"/>
  <c r="AJ170" i="43"/>
  <c r="AF171" i="43"/>
  <c r="AP171" i="43"/>
  <c r="AR175" i="43"/>
  <c r="AH175" i="43"/>
  <c r="AM175" i="43"/>
  <c r="AH181" i="43"/>
  <c r="AE181" i="43"/>
  <c r="AF183" i="43"/>
  <c r="AE172" i="43"/>
  <c r="AW174" i="43"/>
  <c r="AT175" i="43"/>
  <c r="AF177" i="43"/>
  <c r="AV177" i="43"/>
  <c r="AE178" i="43"/>
  <c r="AM178" i="43"/>
  <c r="BC178" i="43"/>
  <c r="AE184" i="43"/>
  <c r="AT184" i="43"/>
  <c r="AO184" i="43"/>
  <c r="AB185" i="43"/>
  <c r="AQ185" i="43"/>
  <c r="AG185" i="43"/>
  <c r="AL185" i="43"/>
  <c r="AG194" i="43"/>
  <c r="AV194" i="43"/>
  <c r="AL194" i="43"/>
  <c r="AB194" i="43"/>
  <c r="AQ194" i="43"/>
  <c r="AK195" i="43"/>
  <c r="AF197" i="43"/>
  <c r="AU197" i="43"/>
  <c r="AK197" i="43"/>
  <c r="T197" i="43"/>
  <c r="AA197" i="43"/>
  <c r="AP197" i="43"/>
  <c r="AH174" i="43"/>
  <c r="AE175" i="43"/>
  <c r="AO177" i="43"/>
  <c r="AO181" i="43"/>
  <c r="AK183" i="43"/>
  <c r="AJ184" i="43"/>
  <c r="AR185" i="43"/>
  <c r="AL195" i="43"/>
  <c r="AC176" i="43"/>
  <c r="Z177" i="43"/>
  <c r="AW178" i="43"/>
  <c r="Q199" i="43"/>
  <c r="AP181" i="43"/>
  <c r="AY181" i="43"/>
  <c r="AJ182" i="43"/>
  <c r="AE182" i="43"/>
  <c r="AH182" i="43"/>
  <c r="Z183" i="43"/>
  <c r="AO183" i="43"/>
  <c r="AJ183" i="43"/>
  <c r="T183" i="43"/>
  <c r="AL184" i="43"/>
  <c r="AG184" i="43"/>
  <c r="Z184" i="43"/>
  <c r="AK187" i="43"/>
  <c r="AH178" i="43"/>
  <c r="AV181" i="43"/>
  <c r="R199" i="43"/>
  <c r="AQ181" i="43"/>
  <c r="AZ181" i="43"/>
  <c r="AK182" i="43"/>
  <c r="AU182" i="43"/>
  <c r="AM183" i="43"/>
  <c r="AM184" i="43"/>
  <c r="AW184" i="43"/>
  <c r="AA184" i="43"/>
  <c r="AL187" i="43"/>
  <c r="AB187" i="43"/>
  <c r="T187" i="43"/>
  <c r="AQ187" i="43"/>
  <c r="AG187" i="43"/>
  <c r="AV187" i="43"/>
  <c r="AY188" i="43"/>
  <c r="BC188" i="43"/>
  <c r="BB188" i="43"/>
  <c r="BA188" i="43"/>
  <c r="T169" i="43"/>
  <c r="AJ169" i="43"/>
  <c r="AL171" i="43"/>
  <c r="AC174" i="43"/>
  <c r="AK174" i="43"/>
  <c r="Z175" i="43"/>
  <c r="AM176" i="43"/>
  <c r="T177" i="43"/>
  <c r="AB177" i="43"/>
  <c r="AJ177" i="43"/>
  <c r="S199" i="43"/>
  <c r="AA181" i="43"/>
  <c r="AR181" i="43"/>
  <c r="BA181" i="43"/>
  <c r="Z182" i="43"/>
  <c r="T184" i="43"/>
  <c r="AB184" i="43"/>
  <c r="AG186" i="43"/>
  <c r="AV186" i="43"/>
  <c r="AL186" i="43"/>
  <c r="AB186" i="43"/>
  <c r="T186" i="43"/>
  <c r="AQ186" i="43"/>
  <c r="AW189" i="43"/>
  <c r="AE192" i="43"/>
  <c r="AT192" i="43"/>
  <c r="AJ192" i="43"/>
  <c r="T192" i="43"/>
  <c r="Z192" i="43"/>
  <c r="AO192" i="43"/>
  <c r="AM195" i="43"/>
  <c r="AR178" i="43"/>
  <c r="AC182" i="43"/>
  <c r="AR182" i="43"/>
  <c r="AM182" i="43"/>
  <c r="AH183" i="43"/>
  <c r="AW183" i="43"/>
  <c r="AR183" i="43"/>
  <c r="AF189" i="43"/>
  <c r="AU189" i="43"/>
  <c r="AK189" i="43"/>
  <c r="T189" i="43"/>
  <c r="AA189" i="43"/>
  <c r="AP189" i="43"/>
  <c r="AH191" i="43"/>
  <c r="AW191" i="43"/>
  <c r="AM191" i="43"/>
  <c r="AC191" i="43"/>
  <c r="AR191" i="43"/>
  <c r="T175" i="43"/>
  <c r="AK181" i="43"/>
  <c r="AT181" i="43"/>
  <c r="T182" i="43"/>
  <c r="AO182" i="43"/>
  <c r="AE183" i="43"/>
  <c r="AR184" i="43"/>
  <c r="AJ185" i="43"/>
  <c r="T185" i="43"/>
  <c r="AO185" i="43"/>
  <c r="AE185" i="43"/>
  <c r="AT185" i="43"/>
  <c r="AV185" i="43"/>
  <c r="AV189" i="43"/>
  <c r="AB193" i="43"/>
  <c r="AA186" i="43"/>
  <c r="AF187" i="43"/>
  <c r="AK188" i="43"/>
  <c r="Z189" i="43"/>
  <c r="AH189" i="43"/>
  <c r="AE190" i="43"/>
  <c r="AM190" i="43"/>
  <c r="AU190" i="43"/>
  <c r="T191" i="43"/>
  <c r="AJ191" i="43"/>
  <c r="AW192" i="43"/>
  <c r="AL193" i="43"/>
  <c r="AT193" i="43"/>
  <c r="AA194" i="43"/>
  <c r="AF195" i="43"/>
  <c r="AV195" i="43"/>
  <c r="AC196" i="43"/>
  <c r="AK196" i="43"/>
  <c r="Z197" i="43"/>
  <c r="AH197" i="43"/>
  <c r="AE198" i="43"/>
  <c r="AM198" i="43"/>
  <c r="AU198" i="43"/>
  <c r="AU185" i="43"/>
  <c r="AJ186" i="43"/>
  <c r="AW187" i="43"/>
  <c r="AL188" i="43"/>
  <c r="AT188" i="43"/>
  <c r="AF190" i="43"/>
  <c r="AV190" i="43"/>
  <c r="AK191" i="43"/>
  <c r="AH192" i="43"/>
  <c r="AP192" i="43"/>
  <c r="AE193" i="43"/>
  <c r="AM193" i="43"/>
  <c r="AU193" i="43"/>
  <c r="T194" i="43"/>
  <c r="AJ194" i="43"/>
  <c r="AR194" i="43"/>
  <c r="AG195" i="43"/>
  <c r="AO195" i="43"/>
  <c r="AW195" i="43"/>
  <c r="AT196" i="43"/>
  <c r="AF198" i="43"/>
  <c r="AV198" i="43"/>
  <c r="AK194" i="43"/>
  <c r="AU196" i="43"/>
  <c r="AW198" i="43"/>
  <c r="AA187" i="43"/>
  <c r="AF188" i="43"/>
  <c r="AV188" i="43"/>
  <c r="AC189" i="43"/>
  <c r="Z190" i="43"/>
  <c r="AH190" i="43"/>
  <c r="AP190" i="43"/>
  <c r="AE191" i="43"/>
  <c r="AU191" i="43"/>
  <c r="AR192" i="43"/>
  <c r="AG193" i="43"/>
  <c r="AO193" i="43"/>
  <c r="AT194" i="43"/>
  <c r="AQ195" i="43"/>
  <c r="AF196" i="43"/>
  <c r="AV196" i="43"/>
  <c r="AC197" i="43"/>
  <c r="Z198" i="43"/>
  <c r="AH198" i="43"/>
  <c r="AP198" i="43"/>
  <c r="AP185" i="43"/>
  <c r="AA190" i="43"/>
  <c r="AF191" i="43"/>
  <c r="AC192" i="43"/>
  <c r="Z193" i="43"/>
  <c r="T195" i="43"/>
  <c r="AB195" i="43"/>
  <c r="AA198" i="43"/>
  <c r="AP188" i="43"/>
  <c r="T190" i="43"/>
  <c r="AR190" i="43"/>
  <c r="AO191" i="43"/>
  <c r="AQ193" i="43"/>
  <c r="AP196" i="43"/>
  <c r="T198" i="43"/>
  <c r="AR198" i="43"/>
  <c r="T193" i="43"/>
  <c r="BA171" i="43" l="1"/>
  <c r="AZ170" i="43"/>
  <c r="AI171" i="43"/>
  <c r="AY171" i="43"/>
  <c r="AZ171" i="43"/>
  <c r="BB171" i="43"/>
  <c r="AO126" i="43"/>
  <c r="Z126" i="43"/>
  <c r="P200" i="43"/>
  <c r="AW77" i="43"/>
  <c r="AR77" i="43"/>
  <c r="AM77" i="43"/>
  <c r="AH81" i="43"/>
  <c r="T81" i="43"/>
  <c r="AC77" i="43"/>
  <c r="AH77" i="43"/>
  <c r="AR84" i="43"/>
  <c r="AR79" i="43"/>
  <c r="AB34" i="43"/>
  <c r="AG35" i="43"/>
  <c r="AB35" i="43"/>
  <c r="S88" i="43"/>
  <c r="AW81" i="43"/>
  <c r="AX81" i="43" s="1"/>
  <c r="AR81" i="43"/>
  <c r="AM81" i="43"/>
  <c r="AC81" i="43"/>
  <c r="AN164" i="43"/>
  <c r="AH122" i="43"/>
  <c r="AU136" i="43"/>
  <c r="AF136" i="43"/>
  <c r="AI174" i="43"/>
  <c r="AC126" i="43"/>
  <c r="BB196" i="43"/>
  <c r="BC172" i="43"/>
  <c r="AT122" i="43"/>
  <c r="AG137" i="43"/>
  <c r="AP136" i="43"/>
  <c r="AO122" i="43"/>
  <c r="AS122" i="43" s="1"/>
  <c r="AJ122" i="43"/>
  <c r="AE122" i="43"/>
  <c r="AI188" i="43"/>
  <c r="AI150" i="43"/>
  <c r="AI172" i="43"/>
  <c r="BC174" i="43"/>
  <c r="BB159" i="43"/>
  <c r="AC122" i="43"/>
  <c r="AV136" i="43"/>
  <c r="T131" i="43"/>
  <c r="T130" i="43"/>
  <c r="T132" i="43" s="1"/>
  <c r="AC131" i="43"/>
  <c r="AC132" i="43" s="1"/>
  <c r="AQ126" i="43"/>
  <c r="AI113" i="43"/>
  <c r="AW131" i="43"/>
  <c r="AM131" i="43"/>
  <c r="AZ153" i="43"/>
  <c r="AL126" i="43"/>
  <c r="T122" i="43"/>
  <c r="AY153" i="43"/>
  <c r="AH131" i="43"/>
  <c r="AL141" i="43"/>
  <c r="AE119" i="43"/>
  <c r="AL130" i="43"/>
  <c r="BB153" i="43"/>
  <c r="T141" i="43"/>
  <c r="BC141" i="43" s="1"/>
  <c r="AF122" i="43"/>
  <c r="AO119" i="43"/>
  <c r="AG126" i="43"/>
  <c r="AV130" i="43"/>
  <c r="BA153" i="43"/>
  <c r="AY172" i="43"/>
  <c r="AL138" i="43"/>
  <c r="AP141" i="43"/>
  <c r="AH130" i="43"/>
  <c r="AV123" i="43"/>
  <c r="AM122" i="43"/>
  <c r="AW122" i="43"/>
  <c r="AX122" i="43" s="1"/>
  <c r="AG136" i="43"/>
  <c r="AK122" i="43"/>
  <c r="Z119" i="43"/>
  <c r="AV126" i="43"/>
  <c r="BB113" i="43"/>
  <c r="BC153" i="43"/>
  <c r="AA136" i="43"/>
  <c r="AI151" i="43"/>
  <c r="Q128" i="43"/>
  <c r="AA122" i="43"/>
  <c r="BA113" i="43"/>
  <c r="AD161" i="43"/>
  <c r="BB172" i="43"/>
  <c r="BA172" i="43"/>
  <c r="E19" i="44"/>
  <c r="E19" i="45"/>
  <c r="BB174" i="43"/>
  <c r="AS151" i="43"/>
  <c r="AZ151" i="43"/>
  <c r="AM126" i="43"/>
  <c r="AN126" i="43" s="1"/>
  <c r="AU141" i="43"/>
  <c r="S132" i="43"/>
  <c r="AR130" i="43"/>
  <c r="AL123" i="43"/>
  <c r="AG123" i="43"/>
  <c r="AB136" i="43"/>
  <c r="AX124" i="43"/>
  <c r="AZ113" i="43"/>
  <c r="BC113" i="43"/>
  <c r="BC181" i="43"/>
  <c r="AS169" i="43"/>
  <c r="AN86" i="43"/>
  <c r="AS194" i="43"/>
  <c r="AN166" i="43"/>
  <c r="AN189" i="43"/>
  <c r="AX48" i="43"/>
  <c r="AX74" i="43"/>
  <c r="AX77" i="43"/>
  <c r="AS113" i="43"/>
  <c r="AX149" i="43"/>
  <c r="AX196" i="43"/>
  <c r="AS177" i="43"/>
  <c r="AX159" i="43"/>
  <c r="AX61" i="43"/>
  <c r="AX24" i="43"/>
  <c r="AN154" i="43"/>
  <c r="AN163" i="43"/>
  <c r="AV69" i="43"/>
  <c r="AD195" i="43"/>
  <c r="AI181" i="43"/>
  <c r="AN174" i="43"/>
  <c r="AX170" i="43"/>
  <c r="AZ196" i="43"/>
  <c r="AZ174" i="43"/>
  <c r="BC151" i="43"/>
  <c r="AY174" i="43"/>
  <c r="AX173" i="43"/>
  <c r="AD125" i="43"/>
  <c r="AA141" i="43"/>
  <c r="AS125" i="43"/>
  <c r="AN139" i="43"/>
  <c r="AH134" i="43"/>
  <c r="AH126" i="43"/>
  <c r="T126" i="43"/>
  <c r="BA126" i="43" s="1"/>
  <c r="AX118" i="43"/>
  <c r="R128" i="43"/>
  <c r="AK93" i="43"/>
  <c r="AN93" i="43" s="1"/>
  <c r="Q101" i="43"/>
  <c r="AX73" i="43"/>
  <c r="AF58" i="43"/>
  <c r="T25" i="43"/>
  <c r="AV33" i="43"/>
  <c r="AS21" i="43"/>
  <c r="AY48" i="43"/>
  <c r="AY151" i="43"/>
  <c r="AI48" i="43"/>
  <c r="AN196" i="43"/>
  <c r="BA196" i="43"/>
  <c r="AD178" i="43"/>
  <c r="AN165" i="43"/>
  <c r="AK141" i="43"/>
  <c r="AR134" i="43"/>
  <c r="AS134" i="43" s="1"/>
  <c r="AB135" i="43"/>
  <c r="AT126" i="43"/>
  <c r="AX117" i="43"/>
  <c r="S128" i="43"/>
  <c r="AN85" i="43"/>
  <c r="AA58" i="43"/>
  <c r="R75" i="43"/>
  <c r="AU90" i="43"/>
  <c r="AX90" i="43" s="1"/>
  <c r="AZ48" i="43"/>
  <c r="AU25" i="43"/>
  <c r="AX25" i="43" s="1"/>
  <c r="AX150" i="43"/>
  <c r="AB122" i="43"/>
  <c r="AS189" i="43"/>
  <c r="AX167" i="43"/>
  <c r="AD193" i="43"/>
  <c r="BA151" i="43"/>
  <c r="AS61" i="43"/>
  <c r="T31" i="43"/>
  <c r="AY31" i="43" s="1"/>
  <c r="AD16" i="43"/>
  <c r="AG33" i="43"/>
  <c r="AD191" i="43"/>
  <c r="AN169" i="43"/>
  <c r="BC196" i="43"/>
  <c r="AN161" i="43"/>
  <c r="AG141" i="43"/>
  <c r="AW138" i="43"/>
  <c r="AV135" i="43"/>
  <c r="T111" i="43"/>
  <c r="BA111" i="43" s="1"/>
  <c r="AP111" i="43"/>
  <c r="AS111" i="43" s="1"/>
  <c r="AU98" i="43"/>
  <c r="AX98" i="43" s="1"/>
  <c r="AK58" i="43"/>
  <c r="AX35" i="43"/>
  <c r="AP90" i="43"/>
  <c r="AS90" i="43" s="1"/>
  <c r="BA48" i="43"/>
  <c r="AA25" i="43"/>
  <c r="AS187" i="43"/>
  <c r="AQ121" i="43"/>
  <c r="AS170" i="43"/>
  <c r="AT119" i="43"/>
  <c r="P128" i="43"/>
  <c r="AF52" i="43"/>
  <c r="R114" i="43"/>
  <c r="AA90" i="43"/>
  <c r="AD90" i="43" s="1"/>
  <c r="BB48" i="43"/>
  <c r="AN190" i="43"/>
  <c r="AX182" i="43"/>
  <c r="AD185" i="43"/>
  <c r="AX171" i="43"/>
  <c r="AX153" i="43"/>
  <c r="AI196" i="43"/>
  <c r="AF138" i="43"/>
  <c r="AG135" i="43"/>
  <c r="AQ141" i="43"/>
  <c r="AH138" i="43"/>
  <c r="AF111" i="43"/>
  <c r="AF98" i="43"/>
  <c r="AL69" i="43"/>
  <c r="T69" i="43"/>
  <c r="BB69" i="43" s="1"/>
  <c r="AD24" i="43"/>
  <c r="AF90" i="43"/>
  <c r="AK25" i="43"/>
  <c r="AN25" i="43" s="1"/>
  <c r="AN94" i="43"/>
  <c r="AS186" i="43"/>
  <c r="AS197" i="43"/>
  <c r="AD172" i="43"/>
  <c r="AN152" i="43"/>
  <c r="AV141" i="43"/>
  <c r="AM138" i="43"/>
  <c r="AR138" i="43"/>
  <c r="AX100" i="43"/>
  <c r="T90" i="43"/>
  <c r="AP98" i="43"/>
  <c r="AS98" i="43" s="1"/>
  <c r="AD126" i="43"/>
  <c r="AS139" i="43"/>
  <c r="AX134" i="43"/>
  <c r="AN125" i="43"/>
  <c r="Q36" i="43"/>
  <c r="AX183" i="43"/>
  <c r="AD171" i="43"/>
  <c r="AS165" i="43"/>
  <c r="AS160" i="43"/>
  <c r="AD106" i="43"/>
  <c r="AS86" i="43"/>
  <c r="Q75" i="43"/>
  <c r="Z75" i="43"/>
  <c r="AS24" i="43"/>
  <c r="AS34" i="43"/>
  <c r="AN197" i="43"/>
  <c r="AS171" i="43"/>
  <c r="AN172" i="43"/>
  <c r="AD170" i="43"/>
  <c r="AD150" i="43"/>
  <c r="AX162" i="43"/>
  <c r="Q88" i="43"/>
  <c r="AX99" i="43"/>
  <c r="AS162" i="43"/>
  <c r="AS148" i="43"/>
  <c r="AD196" i="43"/>
  <c r="AX186" i="43"/>
  <c r="AS183" i="43"/>
  <c r="AX178" i="43"/>
  <c r="AS168" i="43"/>
  <c r="AN160" i="43"/>
  <c r="AS196" i="43"/>
  <c r="AD187" i="43"/>
  <c r="AN192" i="43"/>
  <c r="AD183" i="43"/>
  <c r="AN134" i="43"/>
  <c r="AS120" i="43"/>
  <c r="AN109" i="43"/>
  <c r="AX120" i="43"/>
  <c r="AD21" i="43"/>
  <c r="AS74" i="43"/>
  <c r="AN112" i="43"/>
  <c r="AN177" i="43"/>
  <c r="AN198" i="43"/>
  <c r="AD194" i="43"/>
  <c r="AN175" i="43"/>
  <c r="AS172" i="43"/>
  <c r="AN158" i="43"/>
  <c r="AE114" i="43"/>
  <c r="AS47" i="43"/>
  <c r="AS18" i="43"/>
  <c r="AS12" i="43"/>
  <c r="AO136" i="43"/>
  <c r="AS136" i="43" s="1"/>
  <c r="AT136" i="43"/>
  <c r="AX136" i="43" s="1"/>
  <c r="AJ136" i="43"/>
  <c r="AN136" i="43" s="1"/>
  <c r="Z136" i="43"/>
  <c r="T136" i="43"/>
  <c r="J12" i="4"/>
  <c r="AQ137" i="43"/>
  <c r="AB137" i="43"/>
  <c r="AL137" i="43"/>
  <c r="T138" i="43"/>
  <c r="BA138" i="43" s="1"/>
  <c r="AQ138" i="43"/>
  <c r="AB138" i="43"/>
  <c r="AV138" i="43"/>
  <c r="AD165" i="43"/>
  <c r="AX161" i="43"/>
  <c r="AX113" i="43"/>
  <c r="AP138" i="43"/>
  <c r="AK138" i="43"/>
  <c r="AX189" i="43"/>
  <c r="AX154" i="43"/>
  <c r="P142" i="43"/>
  <c r="P23" i="43"/>
  <c r="P115" i="43" s="1"/>
  <c r="AQ130" i="43"/>
  <c r="AQ132" i="43" s="1"/>
  <c r="AM130" i="43"/>
  <c r="AD61" i="43"/>
  <c r="AN73" i="43"/>
  <c r="AN168" i="43"/>
  <c r="R132" i="43"/>
  <c r="AB105" i="43"/>
  <c r="AD105" i="43" s="1"/>
  <c r="AG105" i="43"/>
  <c r="AD197" i="43"/>
  <c r="AX181" i="43"/>
  <c r="R200" i="43"/>
  <c r="AX166" i="43"/>
  <c r="AX105" i="43"/>
  <c r="AX96" i="43"/>
  <c r="AS147" i="43"/>
  <c r="AW130" i="43"/>
  <c r="AB130" i="43"/>
  <c r="AB132" i="43" s="1"/>
  <c r="AA138" i="43"/>
  <c r="S200" i="43"/>
  <c r="AS175" i="43"/>
  <c r="AN96" i="43"/>
  <c r="AS25" i="43"/>
  <c r="K12" i="4"/>
  <c r="AE141" i="43"/>
  <c r="AT141" i="43"/>
  <c r="AX141" i="43" s="1"/>
  <c r="AO141" i="43"/>
  <c r="AJ141" i="43"/>
  <c r="Z141" i="43"/>
  <c r="AD141" i="43" s="1"/>
  <c r="AQ123" i="43"/>
  <c r="AX169" i="43"/>
  <c r="AX158" i="43"/>
  <c r="AS158" i="43"/>
  <c r="AS154" i="43"/>
  <c r="AN149" i="43"/>
  <c r="AN98" i="43"/>
  <c r="AG23" i="43"/>
  <c r="AN195" i="43"/>
  <c r="AN178" i="43"/>
  <c r="AD169" i="43"/>
  <c r="AX168" i="43"/>
  <c r="AX148" i="43"/>
  <c r="AD120" i="43"/>
  <c r="S142" i="43"/>
  <c r="AS126" i="43"/>
  <c r="AC114" i="43"/>
  <c r="AD94" i="43"/>
  <c r="AS106" i="43"/>
  <c r="AN21" i="43"/>
  <c r="AS193" i="43"/>
  <c r="AN193" i="43"/>
  <c r="AX185" i="43"/>
  <c r="AD168" i="43"/>
  <c r="AS152" i="43"/>
  <c r="AL88" i="43"/>
  <c r="AN151" i="43"/>
  <c r="AD188" i="43"/>
  <c r="Q200" i="43"/>
  <c r="AD154" i="43"/>
  <c r="AN105" i="43"/>
  <c r="AD18" i="43"/>
  <c r="AD186" i="43"/>
  <c r="AJ101" i="43"/>
  <c r="AX187" i="43"/>
  <c r="AD151" i="43"/>
  <c r="AS105" i="43"/>
  <c r="AB88" i="43"/>
  <c r="AN78" i="43"/>
  <c r="AN34" i="43"/>
  <c r="AD60" i="43"/>
  <c r="AC23" i="43"/>
  <c r="AD73" i="43"/>
  <c r="AX16" i="43"/>
  <c r="AS190" i="43"/>
  <c r="AS93" i="43"/>
  <c r="AG88" i="43"/>
  <c r="AN157" i="43"/>
  <c r="AN159" i="43"/>
  <c r="AX165" i="43"/>
  <c r="AS198" i="43"/>
  <c r="AX188" i="43"/>
  <c r="AX157" i="43"/>
  <c r="AD152" i="43"/>
  <c r="AS124" i="43"/>
  <c r="AN113" i="43"/>
  <c r="AD98" i="43"/>
  <c r="AS109" i="43"/>
  <c r="AS92" i="43"/>
  <c r="AD86" i="43"/>
  <c r="AD39" i="43"/>
  <c r="AX19" i="43"/>
  <c r="AN18" i="43"/>
  <c r="AB23" i="43"/>
  <c r="AN15" i="43"/>
  <c r="AD158" i="43"/>
  <c r="AA155" i="43"/>
  <c r="AL23" i="43"/>
  <c r="AF23" i="43"/>
  <c r="AX191" i="43"/>
  <c r="AN186" i="43"/>
  <c r="Z199" i="43"/>
  <c r="AS173" i="43"/>
  <c r="AX177" i="43"/>
  <c r="AS167" i="43"/>
  <c r="AA132" i="43"/>
  <c r="AN122" i="43"/>
  <c r="AN111" i="43"/>
  <c r="AC88" i="43"/>
  <c r="Z62" i="43"/>
  <c r="AA23" i="43"/>
  <c r="AS17" i="43"/>
  <c r="AX21" i="43"/>
  <c r="AN90" i="43"/>
  <c r="AS20" i="43"/>
  <c r="AX112" i="43"/>
  <c r="AN181" i="43"/>
  <c r="AX195" i="43"/>
  <c r="AX190" i="43"/>
  <c r="AD192" i="43"/>
  <c r="AX160" i="43"/>
  <c r="AN150" i="43"/>
  <c r="AS112" i="43"/>
  <c r="AS96" i="43"/>
  <c r="AL101" i="43"/>
  <c r="AE101" i="43"/>
  <c r="AD85" i="43"/>
  <c r="AH101" i="43"/>
  <c r="AX92" i="43"/>
  <c r="AE75" i="43"/>
  <c r="AX85" i="43"/>
  <c r="AS78" i="43"/>
  <c r="AS73" i="43"/>
  <c r="AN20" i="43"/>
  <c r="AD19" i="43"/>
  <c r="AC199" i="43"/>
  <c r="AD175" i="43"/>
  <c r="AD160" i="43"/>
  <c r="AN153" i="43"/>
  <c r="AD112" i="43"/>
  <c r="AX109" i="43"/>
  <c r="AX93" i="43"/>
  <c r="AD111" i="43"/>
  <c r="AX97" i="43"/>
  <c r="AD81" i="43"/>
  <c r="AX34" i="43"/>
  <c r="AS39" i="43"/>
  <c r="AN12" i="43"/>
  <c r="AB199" i="43"/>
  <c r="AE36" i="43"/>
  <c r="AS15" i="43"/>
  <c r="AN188" i="43"/>
  <c r="AS188" i="43"/>
  <c r="AX194" i="43"/>
  <c r="AD190" i="43"/>
  <c r="AX198" i="43"/>
  <c r="AX193" i="43"/>
  <c r="AS182" i="43"/>
  <c r="AX175" i="43"/>
  <c r="AD173" i="43"/>
  <c r="AS166" i="43"/>
  <c r="AS178" i="43"/>
  <c r="AD166" i="43"/>
  <c r="AD162" i="43"/>
  <c r="AD159" i="43"/>
  <c r="AN147" i="43"/>
  <c r="AN120" i="43"/>
  <c r="AX125" i="43"/>
  <c r="AN131" i="43"/>
  <c r="AH114" i="43"/>
  <c r="AS94" i="43"/>
  <c r="AD96" i="43"/>
  <c r="AN106" i="43"/>
  <c r="AH88" i="43"/>
  <c r="AN81" i="43"/>
  <c r="AX47" i="43"/>
  <c r="AX20" i="43"/>
  <c r="AN19" i="43"/>
  <c r="AN39" i="43"/>
  <c r="AS19" i="43"/>
  <c r="AM23" i="43"/>
  <c r="BC194" i="43"/>
  <c r="BB194" i="43"/>
  <c r="BA194" i="43"/>
  <c r="AZ194" i="43"/>
  <c r="AY194" i="43"/>
  <c r="AI194" i="43"/>
  <c r="BC189" i="43"/>
  <c r="BB189" i="43"/>
  <c r="BA189" i="43"/>
  <c r="AZ189" i="43"/>
  <c r="AY189" i="43"/>
  <c r="AI189" i="43"/>
  <c r="AD177" i="43"/>
  <c r="AS181" i="43"/>
  <c r="AS184" i="43"/>
  <c r="BA161" i="43"/>
  <c r="AZ161" i="43"/>
  <c r="AY161" i="43"/>
  <c r="AI161" i="43"/>
  <c r="BC161" i="43"/>
  <c r="BB161" i="43"/>
  <c r="AX172" i="43"/>
  <c r="AX176" i="43"/>
  <c r="AG199" i="43"/>
  <c r="AG200" i="43" s="1"/>
  <c r="AD134" i="43"/>
  <c r="AX147" i="43"/>
  <c r="AR132" i="43"/>
  <c r="AT140" i="43"/>
  <c r="AJ140" i="43"/>
  <c r="Z140" i="43"/>
  <c r="AO140" i="43"/>
  <c r="T140" i="43"/>
  <c r="AE140" i="43"/>
  <c r="AU140" i="43" s="1"/>
  <c r="AK119" i="43"/>
  <c r="AA119" i="43"/>
  <c r="AP119" i="43"/>
  <c r="AU119" i="43"/>
  <c r="AF119" i="43"/>
  <c r="AO132" i="43"/>
  <c r="BB122" i="43"/>
  <c r="BC122" i="43"/>
  <c r="BA122" i="43"/>
  <c r="AZ122" i="43"/>
  <c r="AY122" i="43"/>
  <c r="AI122" i="43"/>
  <c r="BC108" i="43"/>
  <c r="AY108" i="43"/>
  <c r="BA108" i="43"/>
  <c r="AZ108" i="43"/>
  <c r="AI108" i="43"/>
  <c r="BB108" i="43"/>
  <c r="AB101" i="43"/>
  <c r="AF95" i="43"/>
  <c r="AU95" i="43"/>
  <c r="AX95" i="43" s="1"/>
  <c r="AP95" i="43"/>
  <c r="AS95" i="43" s="1"/>
  <c r="AK95" i="43"/>
  <c r="AN95" i="43" s="1"/>
  <c r="AA95" i="43"/>
  <c r="T95" i="43"/>
  <c r="BC100" i="43"/>
  <c r="BB100" i="43"/>
  <c r="BA100" i="43"/>
  <c r="AZ100" i="43"/>
  <c r="AI100" i="43"/>
  <c r="AY100" i="43"/>
  <c r="AN97" i="43"/>
  <c r="AJ75" i="43"/>
  <c r="AN74" i="43"/>
  <c r="AD78" i="43"/>
  <c r="AX106" i="43"/>
  <c r="BB82" i="43"/>
  <c r="BA82" i="43"/>
  <c r="AZ82" i="43"/>
  <c r="AY82" i="43"/>
  <c r="AI82" i="43"/>
  <c r="BC82" i="43"/>
  <c r="AG101" i="43"/>
  <c r="AN61" i="43"/>
  <c r="AJ62" i="43"/>
  <c r="AS87" i="43"/>
  <c r="AJ49" i="43"/>
  <c r="AD35" i="43"/>
  <c r="Z36" i="43"/>
  <c r="BA60" i="43"/>
  <c r="AZ60" i="43"/>
  <c r="AY60" i="43"/>
  <c r="AI60" i="43"/>
  <c r="BC60" i="43"/>
  <c r="BB60" i="43"/>
  <c r="AF59" i="43"/>
  <c r="AU59" i="43"/>
  <c r="AK59" i="43"/>
  <c r="AP59" i="43"/>
  <c r="T59" i="43"/>
  <c r="AA59" i="43"/>
  <c r="AD189" i="43"/>
  <c r="AS192" i="43"/>
  <c r="BC184" i="43"/>
  <c r="BB184" i="43"/>
  <c r="BA184" i="43"/>
  <c r="AZ184" i="43"/>
  <c r="AY184" i="43"/>
  <c r="AI184" i="43"/>
  <c r="BB169" i="43"/>
  <c r="AZ169" i="43"/>
  <c r="AI169" i="43"/>
  <c r="BC169" i="43"/>
  <c r="BA169" i="43"/>
  <c r="AY169" i="43"/>
  <c r="AX184" i="43"/>
  <c r="AD176" i="43"/>
  <c r="AS161" i="43"/>
  <c r="AN162" i="43"/>
  <c r="AD149" i="43"/>
  <c r="AN124" i="43"/>
  <c r="AA140" i="43"/>
  <c r="AF140" i="43"/>
  <c r="AV140" i="43" s="1"/>
  <c r="AK140" i="43"/>
  <c r="Q142" i="43"/>
  <c r="AD118" i="43"/>
  <c r="AB119" i="43"/>
  <c r="AB128" i="43" s="1"/>
  <c r="AQ119" i="43"/>
  <c r="AG119" i="43"/>
  <c r="AV119" i="43"/>
  <c r="AL119" i="43"/>
  <c r="AN117" i="43"/>
  <c r="AX111" i="43"/>
  <c r="AD100" i="43"/>
  <c r="Z101" i="43"/>
  <c r="AF103" i="43"/>
  <c r="Q114" i="43"/>
  <c r="AU103" i="43"/>
  <c r="AX103" i="43" s="1"/>
  <c r="AK103" i="43"/>
  <c r="AN103" i="43" s="1"/>
  <c r="T103" i="43"/>
  <c r="AP103" i="43"/>
  <c r="AS103" i="43" s="1"/>
  <c r="AA103" i="43"/>
  <c r="AD103" i="43" s="1"/>
  <c r="AD93" i="43"/>
  <c r="AY99" i="43"/>
  <c r="AI99" i="43"/>
  <c r="BC99" i="43"/>
  <c r="BA99" i="43"/>
  <c r="AZ99" i="43"/>
  <c r="BB99" i="43"/>
  <c r="AS81" i="43"/>
  <c r="AN82" i="43"/>
  <c r="BC61" i="43"/>
  <c r="AZ61" i="43"/>
  <c r="AY61" i="43"/>
  <c r="AI61" i="43"/>
  <c r="BB61" i="43"/>
  <c r="BA61" i="43"/>
  <c r="AS77" i="43"/>
  <c r="AE88" i="43"/>
  <c r="AS60" i="43"/>
  <c r="AN60" i="43"/>
  <c r="AD34" i="43"/>
  <c r="AU26" i="43"/>
  <c r="AK26" i="43"/>
  <c r="AP26" i="43"/>
  <c r="AA26" i="43"/>
  <c r="AF26" i="43"/>
  <c r="T26" i="43"/>
  <c r="AD15" i="43"/>
  <c r="AX18" i="43"/>
  <c r="AZ193" i="43"/>
  <c r="AY193" i="43"/>
  <c r="AI193" i="43"/>
  <c r="BC193" i="43"/>
  <c r="BB193" i="43"/>
  <c r="BA193" i="43"/>
  <c r="BA198" i="43"/>
  <c r="AZ198" i="43"/>
  <c r="AY198" i="43"/>
  <c r="AI198" i="43"/>
  <c r="BC198" i="43"/>
  <c r="BB198" i="43"/>
  <c r="BA182" i="43"/>
  <c r="AZ182" i="43"/>
  <c r="BC182" i="43"/>
  <c r="BB182" i="43"/>
  <c r="AY182" i="43"/>
  <c r="AI182" i="43"/>
  <c r="AD182" i="43"/>
  <c r="BB177" i="43"/>
  <c r="BA177" i="43"/>
  <c r="AZ177" i="43"/>
  <c r="AI177" i="43"/>
  <c r="BC177" i="43"/>
  <c r="AY177" i="43"/>
  <c r="T199" i="43"/>
  <c r="AD184" i="43"/>
  <c r="AX174" i="43"/>
  <c r="BC176" i="43"/>
  <c r="BA176" i="43"/>
  <c r="AZ176" i="43"/>
  <c r="AY176" i="43"/>
  <c r="AI176" i="43"/>
  <c r="BB176" i="43"/>
  <c r="BB134" i="43"/>
  <c r="AZ134" i="43"/>
  <c r="BC134" i="43"/>
  <c r="BA134" i="43"/>
  <c r="AI134" i="43"/>
  <c r="AY134" i="43"/>
  <c r="AC155" i="43"/>
  <c r="AS149" i="43"/>
  <c r="AN187" i="43"/>
  <c r="AD148" i="43"/>
  <c r="AR121" i="43"/>
  <c r="AH121" i="43"/>
  <c r="AW121" i="43"/>
  <c r="AM121" i="43"/>
  <c r="AC121" i="43"/>
  <c r="AP121" i="43"/>
  <c r="AA121" i="43"/>
  <c r="AU121" i="43"/>
  <c r="AK121" i="43"/>
  <c r="AF121" i="43"/>
  <c r="AS118" i="43"/>
  <c r="AX152" i="43"/>
  <c r="AL140" i="43"/>
  <c r="AB140" i="43"/>
  <c r="AR140" i="43" s="1"/>
  <c r="AG140" i="43"/>
  <c r="AW140" i="43" s="1"/>
  <c r="BB120" i="43"/>
  <c r="BA120" i="43"/>
  <c r="AI120" i="43"/>
  <c r="AZ120" i="43"/>
  <c r="AY120" i="43"/>
  <c r="BC120" i="43"/>
  <c r="AC119" i="43"/>
  <c r="AR119" i="43"/>
  <c r="AH119" i="43"/>
  <c r="AW119" i="43"/>
  <c r="AM119" i="43"/>
  <c r="Z132" i="43"/>
  <c r="AS100" i="43"/>
  <c r="AZ93" i="43"/>
  <c r="AY93" i="43"/>
  <c r="AI93" i="43"/>
  <c r="BB93" i="43"/>
  <c r="BA93" i="43"/>
  <c r="BC93" i="43"/>
  <c r="AN99" i="43"/>
  <c r="AC101" i="43"/>
  <c r="AZ92" i="43"/>
  <c r="AY92" i="43"/>
  <c r="AI92" i="43"/>
  <c r="BB92" i="43"/>
  <c r="BA92" i="43"/>
  <c r="BC92" i="43"/>
  <c r="BB78" i="43"/>
  <c r="BA78" i="43"/>
  <c r="AZ78" i="43"/>
  <c r="AY78" i="43"/>
  <c r="AI78" i="43"/>
  <c r="BC78" i="43"/>
  <c r="AX82" i="43"/>
  <c r="AD77" i="43"/>
  <c r="AD87" i="43"/>
  <c r="Z88" i="43"/>
  <c r="AY34" i="43"/>
  <c r="AI34" i="43"/>
  <c r="BC34" i="43"/>
  <c r="BA34" i="43"/>
  <c r="AZ34" i="43"/>
  <c r="BB34" i="43"/>
  <c r="AK23" i="43"/>
  <c r="AA42" i="43"/>
  <c r="AU42" i="43"/>
  <c r="AK42" i="43"/>
  <c r="T42" i="43"/>
  <c r="AF42" i="43"/>
  <c r="AP42" i="43"/>
  <c r="AD17" i="43"/>
  <c r="AS16" i="43"/>
  <c r="AD12" i="43"/>
  <c r="AN22" i="43"/>
  <c r="BC192" i="43"/>
  <c r="BB192" i="43"/>
  <c r="BA192" i="43"/>
  <c r="AZ192" i="43"/>
  <c r="AY192" i="43"/>
  <c r="AI192" i="43"/>
  <c r="BC186" i="43"/>
  <c r="BB186" i="43"/>
  <c r="AZ186" i="43"/>
  <c r="AY186" i="43"/>
  <c r="AI186" i="43"/>
  <c r="BA186" i="43"/>
  <c r="AN182" i="43"/>
  <c r="AD167" i="43"/>
  <c r="AN176" i="43"/>
  <c r="BC162" i="43"/>
  <c r="BB162" i="43"/>
  <c r="BA162" i="43"/>
  <c r="AZ162" i="43"/>
  <c r="AY162" i="43"/>
  <c r="AI162" i="43"/>
  <c r="AZ131" i="43"/>
  <c r="BC131" i="43"/>
  <c r="BB131" i="43"/>
  <c r="AY131" i="43"/>
  <c r="AI131" i="43"/>
  <c r="BA131" i="43"/>
  <c r="BC157" i="43"/>
  <c r="BA157" i="43"/>
  <c r="AZ157" i="43"/>
  <c r="T179" i="43"/>
  <c r="AY157" i="43"/>
  <c r="AI157" i="43"/>
  <c r="BB157" i="43"/>
  <c r="BC166" i="43"/>
  <c r="BA166" i="43"/>
  <c r="AZ166" i="43"/>
  <c r="AY166" i="43"/>
  <c r="AI166" i="43"/>
  <c r="BB166" i="43"/>
  <c r="AX151" i="43"/>
  <c r="AS153" i="43"/>
  <c r="AS131" i="43"/>
  <c r="BA141" i="43"/>
  <c r="AH140" i="43"/>
  <c r="AX140" i="43" s="1"/>
  <c r="AM140" i="43"/>
  <c r="AC140" i="43"/>
  <c r="AC142" i="43" s="1"/>
  <c r="AP132" i="43"/>
  <c r="AS163" i="43"/>
  <c r="Z155" i="43"/>
  <c r="T119" i="43"/>
  <c r="AX94" i="43"/>
  <c r="AM101" i="43"/>
  <c r="AN92" i="43"/>
  <c r="AZ81" i="43"/>
  <c r="AY81" i="43"/>
  <c r="AI81" i="43"/>
  <c r="BA81" i="43"/>
  <c r="BB81" i="43"/>
  <c r="BC81" i="43"/>
  <c r="BC109" i="43"/>
  <c r="AI109" i="43"/>
  <c r="BB109" i="43"/>
  <c r="BA109" i="43"/>
  <c r="AZ109" i="43"/>
  <c r="AY109" i="43"/>
  <c r="AZ77" i="43"/>
  <c r="AY77" i="43"/>
  <c r="AI77" i="43"/>
  <c r="BA77" i="43"/>
  <c r="BC77" i="43"/>
  <c r="BB77" i="43"/>
  <c r="BB87" i="43"/>
  <c r="BA87" i="43"/>
  <c r="AZ87" i="43"/>
  <c r="AY87" i="43"/>
  <c r="AI87" i="43"/>
  <c r="BC87" i="43"/>
  <c r="AD74" i="43"/>
  <c r="AS82" i="43"/>
  <c r="BA69" i="43"/>
  <c r="AP84" i="43"/>
  <c r="AS84" i="43" s="1"/>
  <c r="AF84" i="43"/>
  <c r="AU84" i="43"/>
  <c r="AX84" i="43" s="1"/>
  <c r="AA84" i="43"/>
  <c r="AD84" i="43" s="1"/>
  <c r="AK84" i="43"/>
  <c r="AN84" i="43" s="1"/>
  <c r="T84" i="43"/>
  <c r="AF55" i="43"/>
  <c r="AU55" i="43"/>
  <c r="AK55" i="43"/>
  <c r="AP55" i="43"/>
  <c r="T55" i="43"/>
  <c r="AA55" i="43"/>
  <c r="AP40" i="43"/>
  <c r="AF40" i="43"/>
  <c r="AU40" i="43"/>
  <c r="T40" i="43"/>
  <c r="AA40" i="43"/>
  <c r="AK40" i="43"/>
  <c r="Z14" i="43"/>
  <c r="AD14" i="43" s="1"/>
  <c r="AO14" i="43"/>
  <c r="AS14" i="43" s="1"/>
  <c r="AT14" i="43"/>
  <c r="AX14" i="43" s="1"/>
  <c r="AJ14" i="43"/>
  <c r="AN14" i="43" s="1"/>
  <c r="AE14" i="43"/>
  <c r="AE23" i="43" s="1"/>
  <c r="T14" i="43"/>
  <c r="T23" i="43" s="1"/>
  <c r="AZ164" i="43"/>
  <c r="AY164" i="43"/>
  <c r="AI164" i="43"/>
  <c r="BC164" i="43"/>
  <c r="BB164" i="43"/>
  <c r="BA164" i="43"/>
  <c r="AN171" i="43"/>
  <c r="AS159" i="43"/>
  <c r="AZ167" i="43"/>
  <c r="AY167" i="43"/>
  <c r="AI167" i="43"/>
  <c r="BC167" i="43"/>
  <c r="BB167" i="43"/>
  <c r="BA167" i="43"/>
  <c r="AB179" i="43"/>
  <c r="Z137" i="43"/>
  <c r="AT137" i="43"/>
  <c r="AX137" i="43" s="1"/>
  <c r="AJ137" i="43"/>
  <c r="AN137" i="43" s="1"/>
  <c r="T137" i="43"/>
  <c r="AO137" i="43"/>
  <c r="AS137" i="43" s="1"/>
  <c r="AE137" i="43"/>
  <c r="AD153" i="43"/>
  <c r="AN148" i="43"/>
  <c r="AP123" i="43"/>
  <c r="AA123" i="43"/>
  <c r="AU123" i="43"/>
  <c r="AK123" i="43"/>
  <c r="AF123" i="43"/>
  <c r="AC179" i="43"/>
  <c r="AS117" i="43"/>
  <c r="BB152" i="43"/>
  <c r="BA152" i="43"/>
  <c r="AZ152" i="43"/>
  <c r="BC152" i="43"/>
  <c r="AY152" i="43"/>
  <c r="AI152" i="43"/>
  <c r="AD163" i="43"/>
  <c r="BC124" i="43"/>
  <c r="AY124" i="43"/>
  <c r="AI124" i="43"/>
  <c r="AZ124" i="43"/>
  <c r="BB124" i="43"/>
  <c r="BA124" i="43"/>
  <c r="AZ110" i="43"/>
  <c r="AY110" i="43"/>
  <c r="AI110" i="43"/>
  <c r="BB110" i="43"/>
  <c r="BA110" i="43"/>
  <c r="BC110" i="43"/>
  <c r="AB155" i="43"/>
  <c r="AN118" i="43"/>
  <c r="AZ85" i="43"/>
  <c r="AY85" i="43"/>
  <c r="AI85" i="43"/>
  <c r="BA85" i="43"/>
  <c r="BC85" i="43"/>
  <c r="BB85" i="43"/>
  <c r="AS97" i="43"/>
  <c r="AS99" i="43"/>
  <c r="AX86" i="43"/>
  <c r="AX78" i="43"/>
  <c r="BC73" i="43"/>
  <c r="BB73" i="43"/>
  <c r="AY73" i="43"/>
  <c r="AI73" i="43"/>
  <c r="BA73" i="43"/>
  <c r="AZ73" i="43"/>
  <c r="AN77" i="43"/>
  <c r="BA47" i="43"/>
  <c r="AZ47" i="43"/>
  <c r="BB47" i="43"/>
  <c r="AY47" i="43"/>
  <c r="AI47" i="43"/>
  <c r="BC47" i="43"/>
  <c r="AJ88" i="43"/>
  <c r="AN87" i="43"/>
  <c r="BB17" i="43"/>
  <c r="BA17" i="43"/>
  <c r="AZ17" i="43"/>
  <c r="AI17" i="43"/>
  <c r="BC17" i="43"/>
  <c r="AY17" i="43"/>
  <c r="AX22" i="43"/>
  <c r="BA16" i="43"/>
  <c r="AZ16" i="43"/>
  <c r="AY16" i="43"/>
  <c r="AI16" i="43"/>
  <c r="BC16" i="43"/>
  <c r="BB16" i="43"/>
  <c r="AX13" i="43"/>
  <c r="Q49" i="43"/>
  <c r="AK46" i="43"/>
  <c r="AA46" i="43"/>
  <c r="AF46" i="43"/>
  <c r="AU46" i="43"/>
  <c r="AP46" i="43"/>
  <c r="T46" i="43"/>
  <c r="AD25" i="43"/>
  <c r="BB195" i="43"/>
  <c r="BA195" i="43"/>
  <c r="AZ195" i="43"/>
  <c r="AY195" i="43"/>
  <c r="AI195" i="43"/>
  <c r="BC195" i="43"/>
  <c r="AN191" i="43"/>
  <c r="AS185" i="43"/>
  <c r="AS191" i="43"/>
  <c r="AZ185" i="43"/>
  <c r="AY185" i="43"/>
  <c r="AI185" i="43"/>
  <c r="BC185" i="43"/>
  <c r="BB185" i="43"/>
  <c r="BA185" i="43"/>
  <c r="AZ175" i="43"/>
  <c r="BC175" i="43"/>
  <c r="BB175" i="43"/>
  <c r="BA175" i="43"/>
  <c r="AY175" i="43"/>
  <c r="AI175" i="43"/>
  <c r="AX192" i="43"/>
  <c r="BB187" i="43"/>
  <c r="BA187" i="43"/>
  <c r="AZ187" i="43"/>
  <c r="AY187" i="43"/>
  <c r="AI187" i="43"/>
  <c r="BC187" i="43"/>
  <c r="AZ183" i="43"/>
  <c r="BC183" i="43"/>
  <c r="BB183" i="43"/>
  <c r="BA183" i="43"/>
  <c r="AY183" i="43"/>
  <c r="AI183" i="43"/>
  <c r="AS157" i="43"/>
  <c r="BB173" i="43"/>
  <c r="BA173" i="43"/>
  <c r="AZ173" i="43"/>
  <c r="AY173" i="43"/>
  <c r="AI173" i="43"/>
  <c r="BC173" i="43"/>
  <c r="AS164" i="43"/>
  <c r="AS174" i="43"/>
  <c r="AN167" i="43"/>
  <c r="AS176" i="43"/>
  <c r="AX164" i="43"/>
  <c r="AA179" i="43"/>
  <c r="AD157" i="43"/>
  <c r="BC168" i="43"/>
  <c r="AY168" i="43"/>
  <c r="AI168" i="43"/>
  <c r="BB168" i="43"/>
  <c r="BA168" i="43"/>
  <c r="AZ168" i="43"/>
  <c r="Z179" i="43"/>
  <c r="BB125" i="43"/>
  <c r="BC125" i="43"/>
  <c r="BA125" i="43"/>
  <c r="AZ125" i="43"/>
  <c r="AY125" i="43"/>
  <c r="AI125" i="43"/>
  <c r="BC160" i="43"/>
  <c r="BB160" i="43"/>
  <c r="BA160" i="43"/>
  <c r="AZ160" i="43"/>
  <c r="AY160" i="43"/>
  <c r="AI160" i="43"/>
  <c r="T155" i="43"/>
  <c r="BC148" i="43"/>
  <c r="BB148" i="43"/>
  <c r="BA148" i="43"/>
  <c r="AZ148" i="43"/>
  <c r="AY148" i="43"/>
  <c r="AI148" i="43"/>
  <c r="BC154" i="43"/>
  <c r="BB154" i="43"/>
  <c r="BA154" i="43"/>
  <c r="AZ154" i="43"/>
  <c r="AY154" i="43"/>
  <c r="AI154" i="43"/>
  <c r="AD124" i="43"/>
  <c r="BC163" i="43"/>
  <c r="BB163" i="43"/>
  <c r="BA163" i="43"/>
  <c r="AZ163" i="43"/>
  <c r="AY163" i="43"/>
  <c r="AI163" i="43"/>
  <c r="AD117" i="43"/>
  <c r="AM114" i="43"/>
  <c r="BB94" i="43"/>
  <c r="BA94" i="43"/>
  <c r="AZ94" i="43"/>
  <c r="BC94" i="43"/>
  <c r="AI94" i="43"/>
  <c r="AY94" i="43"/>
  <c r="AD99" i="43"/>
  <c r="AG104" i="43"/>
  <c r="AV104" i="43"/>
  <c r="AX104" i="43" s="1"/>
  <c r="AL104" i="43"/>
  <c r="AN104" i="43" s="1"/>
  <c r="AB104" i="43"/>
  <c r="AD104" i="43" s="1"/>
  <c r="AQ104" i="43"/>
  <c r="AS104" i="43" s="1"/>
  <c r="AN100" i="43"/>
  <c r="AD92" i="43"/>
  <c r="AS85" i="43"/>
  <c r="AB110" i="43"/>
  <c r="AD110" i="43" s="1"/>
  <c r="AQ110" i="43"/>
  <c r="AS110" i="43" s="1"/>
  <c r="AV110" i="43"/>
  <c r="AX110" i="43" s="1"/>
  <c r="AL110" i="43"/>
  <c r="AN110" i="43" s="1"/>
  <c r="AG110" i="43"/>
  <c r="AX87" i="43"/>
  <c r="BA25" i="43"/>
  <c r="AZ25" i="43"/>
  <c r="AY25" i="43"/>
  <c r="AI25" i="43"/>
  <c r="BC25" i="43"/>
  <c r="BB25" i="43"/>
  <c r="AS48" i="43"/>
  <c r="AN35" i="43"/>
  <c r="AJ36" i="43"/>
  <c r="BC20" i="43"/>
  <c r="AZ20" i="43"/>
  <c r="AY20" i="43"/>
  <c r="AI20" i="43"/>
  <c r="BA20" i="43"/>
  <c r="BB20" i="43"/>
  <c r="AX60" i="43"/>
  <c r="AN47" i="43"/>
  <c r="AN17" i="43"/>
  <c r="AF51" i="43"/>
  <c r="AU51" i="43"/>
  <c r="AK51" i="43"/>
  <c r="AP51" i="43"/>
  <c r="Q62" i="43"/>
  <c r="AA51" i="43"/>
  <c r="T51" i="43"/>
  <c r="AS22" i="43"/>
  <c r="AN16" i="43"/>
  <c r="BC39" i="43"/>
  <c r="BB39" i="43"/>
  <c r="BA39" i="43"/>
  <c r="AZ39" i="43"/>
  <c r="AY39" i="43"/>
  <c r="AI39" i="43"/>
  <c r="BA13" i="43"/>
  <c r="AZ13" i="43"/>
  <c r="AI13" i="43"/>
  <c r="BC13" i="43"/>
  <c r="BB13" i="43"/>
  <c r="AY13" i="43"/>
  <c r="AX12" i="43"/>
  <c r="AD20" i="43"/>
  <c r="AD198" i="43"/>
  <c r="AS195" i="43"/>
  <c r="BC191" i="43"/>
  <c r="BB191" i="43"/>
  <c r="BA191" i="43"/>
  <c r="AZ191" i="43"/>
  <c r="AI191" i="43"/>
  <c r="AY191" i="43"/>
  <c r="AN185" i="43"/>
  <c r="AA199" i="43"/>
  <c r="AD181" i="43"/>
  <c r="AN183" i="43"/>
  <c r="AN184" i="43"/>
  <c r="AE199" i="43"/>
  <c r="AE200" i="43" s="1"/>
  <c r="AN170" i="43"/>
  <c r="AD164" i="43"/>
  <c r="BB158" i="43"/>
  <c r="BA158" i="43"/>
  <c r="AZ158" i="43"/>
  <c r="AY158" i="43"/>
  <c r="AI158" i="43"/>
  <c r="BC158" i="43"/>
  <c r="AD174" i="43"/>
  <c r="BC149" i="43"/>
  <c r="BB149" i="43"/>
  <c r="BA149" i="43"/>
  <c r="AZ149" i="43"/>
  <c r="AI149" i="43"/>
  <c r="AY149" i="43"/>
  <c r="BB136" i="43"/>
  <c r="AZ136" i="43"/>
  <c r="BC136" i="43"/>
  <c r="AI136" i="43"/>
  <c r="BA136" i="43"/>
  <c r="AY136" i="43"/>
  <c r="AS150" i="43"/>
  <c r="AX197" i="43"/>
  <c r="AX131" i="43"/>
  <c r="AD147" i="43"/>
  <c r="R142" i="43"/>
  <c r="AZ126" i="43"/>
  <c r="BC126" i="43"/>
  <c r="AI126" i="43"/>
  <c r="AZ105" i="43"/>
  <c r="AY105" i="43"/>
  <c r="AI105" i="43"/>
  <c r="BB105" i="43"/>
  <c r="BA105" i="43"/>
  <c r="BC105" i="43"/>
  <c r="Z114" i="43"/>
  <c r="AD113" i="43"/>
  <c r="AD109" i="43"/>
  <c r="BC104" i="43"/>
  <c r="BB104" i="43"/>
  <c r="AZ104" i="43"/>
  <c r="AY104" i="43"/>
  <c r="AI104" i="43"/>
  <c r="BA104" i="43"/>
  <c r="AF107" i="43"/>
  <c r="AU107" i="43"/>
  <c r="AX107" i="43" s="1"/>
  <c r="AK107" i="43"/>
  <c r="AN107" i="43" s="1"/>
  <c r="T107" i="43"/>
  <c r="AP107" i="43"/>
  <c r="AS107" i="43" s="1"/>
  <c r="AA107" i="43"/>
  <c r="AD107" i="43" s="1"/>
  <c r="AV108" i="43"/>
  <c r="AX108" i="43" s="1"/>
  <c r="AG108" i="43"/>
  <c r="AL108" i="43"/>
  <c r="AB108" i="43"/>
  <c r="AD108" i="43" s="1"/>
  <c r="AQ108" i="43"/>
  <c r="AS108" i="43" s="1"/>
  <c r="BB106" i="43"/>
  <c r="BA106" i="43"/>
  <c r="AZ106" i="43"/>
  <c r="AY106" i="43"/>
  <c r="AI106" i="43"/>
  <c r="BC106" i="43"/>
  <c r="AD97" i="43"/>
  <c r="BB98" i="43"/>
  <c r="BA98" i="43"/>
  <c r="AZ98" i="43"/>
  <c r="BC98" i="43"/>
  <c r="AI98" i="43"/>
  <c r="AY98" i="43"/>
  <c r="AF83" i="43"/>
  <c r="AU83" i="43"/>
  <c r="AX83" i="43" s="1"/>
  <c r="AK83" i="43"/>
  <c r="AN83" i="43" s="1"/>
  <c r="T83" i="43"/>
  <c r="AP83" i="43"/>
  <c r="AS83" i="43" s="1"/>
  <c r="AA83" i="43"/>
  <c r="AD83" i="43" s="1"/>
  <c r="AM88" i="43"/>
  <c r="AP80" i="43"/>
  <c r="AS80" i="43" s="1"/>
  <c r="AF80" i="43"/>
  <c r="AU80" i="43"/>
  <c r="AX80" i="43" s="1"/>
  <c r="AA80" i="43"/>
  <c r="AD80" i="43" s="1"/>
  <c r="T80" i="43"/>
  <c r="AK80" i="43"/>
  <c r="AN80" i="43" s="1"/>
  <c r="AF71" i="43"/>
  <c r="AU71" i="43"/>
  <c r="AK71" i="43"/>
  <c r="AP71" i="43"/>
  <c r="T71" i="43"/>
  <c r="AA71" i="43"/>
  <c r="Z49" i="43"/>
  <c r="AD48" i="43"/>
  <c r="BC35" i="43"/>
  <c r="BB35" i="43"/>
  <c r="BA35" i="43"/>
  <c r="AZ35" i="43"/>
  <c r="AY35" i="43"/>
  <c r="AI35" i="43"/>
  <c r="AD47" i="43"/>
  <c r="AH23" i="43"/>
  <c r="AX17" i="43"/>
  <c r="AU30" i="43"/>
  <c r="AK30" i="43"/>
  <c r="AP30" i="43"/>
  <c r="AF30" i="43"/>
  <c r="AA30" i="43"/>
  <c r="BC19" i="43"/>
  <c r="BB19" i="43"/>
  <c r="AY19" i="43"/>
  <c r="AI19" i="43"/>
  <c r="BA19" i="43"/>
  <c r="AZ19" i="43"/>
  <c r="AD22" i="43"/>
  <c r="AD13" i="43"/>
  <c r="AN13" i="43"/>
  <c r="BC12" i="43"/>
  <c r="AZ12" i="43"/>
  <c r="AY12" i="43"/>
  <c r="AI12" i="43"/>
  <c r="BB12" i="43"/>
  <c r="BA12" i="43"/>
  <c r="BA190" i="43"/>
  <c r="AZ190" i="43"/>
  <c r="AY190" i="43"/>
  <c r="AI190" i="43"/>
  <c r="BC190" i="43"/>
  <c r="BB190" i="43"/>
  <c r="AN194" i="43"/>
  <c r="BC197" i="43"/>
  <c r="BB197" i="43"/>
  <c r="BA197" i="43"/>
  <c r="AZ197" i="43"/>
  <c r="AY197" i="43"/>
  <c r="AI197" i="43"/>
  <c r="AH199" i="43"/>
  <c r="AH200" i="43" s="1"/>
  <c r="AN173" i="43"/>
  <c r="AF199" i="43"/>
  <c r="AF200" i="43" s="1"/>
  <c r="AZ165" i="43"/>
  <c r="AY165" i="43"/>
  <c r="BC165" i="43"/>
  <c r="BB165" i="43"/>
  <c r="AI165" i="43"/>
  <c r="BA165" i="43"/>
  <c r="Z135" i="43"/>
  <c r="AD135" i="43" s="1"/>
  <c r="AT135" i="43"/>
  <c r="AJ135" i="43"/>
  <c r="AN135" i="43" s="1"/>
  <c r="T135" i="43"/>
  <c r="AE135" i="43"/>
  <c r="AO135" i="43"/>
  <c r="AS135" i="43" s="1"/>
  <c r="AR123" i="43"/>
  <c r="AH123" i="43"/>
  <c r="AW123" i="43"/>
  <c r="AM123" i="43"/>
  <c r="AC123" i="43"/>
  <c r="AJ121" i="43"/>
  <c r="T121" i="43"/>
  <c r="Z121" i="43"/>
  <c r="AT121" i="43"/>
  <c r="AO121" i="43"/>
  <c r="AE121" i="43"/>
  <c r="AJ123" i="43"/>
  <c r="T123" i="43"/>
  <c r="Z123" i="43"/>
  <c r="AO123" i="43"/>
  <c r="AE123" i="43"/>
  <c r="AT123" i="43"/>
  <c r="AX163" i="43"/>
  <c r="AJ114" i="43"/>
  <c r="BB111" i="43"/>
  <c r="AI111" i="43"/>
  <c r="AZ96" i="43"/>
  <c r="AY96" i="43"/>
  <c r="AI96" i="43"/>
  <c r="BC96" i="43"/>
  <c r="BB96" i="43"/>
  <c r="BA96" i="43"/>
  <c r="AF91" i="43"/>
  <c r="AU91" i="43"/>
  <c r="AX91" i="43" s="1"/>
  <c r="AP91" i="43"/>
  <c r="AS91" i="43" s="1"/>
  <c r="T91" i="43"/>
  <c r="AA91" i="43"/>
  <c r="AD91" i="43" s="1"/>
  <c r="AK91" i="43"/>
  <c r="AN91" i="43" s="1"/>
  <c r="AZ97" i="43"/>
  <c r="AY97" i="43"/>
  <c r="AI97" i="43"/>
  <c r="BB97" i="43"/>
  <c r="BA97" i="43"/>
  <c r="BC97" i="43"/>
  <c r="AZ74" i="43"/>
  <c r="AY74" i="43"/>
  <c r="AI74" i="43"/>
  <c r="BA74" i="43"/>
  <c r="BC74" i="43"/>
  <c r="BB74" i="43"/>
  <c r="AD82" i="43"/>
  <c r="AE62" i="43"/>
  <c r="AF67" i="43"/>
  <c r="AU67" i="43"/>
  <c r="AK67" i="43"/>
  <c r="AP67" i="43"/>
  <c r="T67" i="43"/>
  <c r="AA67" i="43"/>
  <c r="AE49" i="43"/>
  <c r="BB21" i="43"/>
  <c r="BA21" i="43"/>
  <c r="AZ21" i="43"/>
  <c r="BC21" i="43"/>
  <c r="AI21" i="43"/>
  <c r="AY21" i="43"/>
  <c r="AS35" i="43"/>
  <c r="AF79" i="43"/>
  <c r="AU79" i="43"/>
  <c r="AX79" i="43" s="1"/>
  <c r="AK79" i="43"/>
  <c r="AN79" i="43" s="1"/>
  <c r="AA79" i="43"/>
  <c r="AD79" i="43" s="1"/>
  <c r="AP79" i="43"/>
  <c r="AS79" i="43" s="1"/>
  <c r="T79" i="43"/>
  <c r="AY15" i="43"/>
  <c r="AI15" i="43"/>
  <c r="BC15" i="43"/>
  <c r="BB15" i="43"/>
  <c r="BA15" i="43"/>
  <c r="AZ15" i="43"/>
  <c r="BC18" i="43"/>
  <c r="BB18" i="43"/>
  <c r="BA18" i="43"/>
  <c r="AI18" i="43"/>
  <c r="AZ18" i="43"/>
  <c r="AY18" i="43"/>
  <c r="AN48" i="43"/>
  <c r="AX15" i="43"/>
  <c r="AX39" i="43"/>
  <c r="AG31" i="43"/>
  <c r="AV31" i="43"/>
  <c r="AB31" i="43"/>
  <c r="AQ31" i="43"/>
  <c r="AL31" i="43"/>
  <c r="AS13" i="43"/>
  <c r="AY22" i="43"/>
  <c r="AI22" i="43"/>
  <c r="BB22" i="43"/>
  <c r="BA22" i="43"/>
  <c r="BC22" i="43"/>
  <c r="AZ22" i="43"/>
  <c r="T88" i="43" l="1"/>
  <c r="T128" i="43"/>
  <c r="T114" i="43"/>
  <c r="AM65" i="43"/>
  <c r="AH65" i="43"/>
  <c r="AR65" i="43"/>
  <c r="AC65" i="43"/>
  <c r="AW65" i="43"/>
  <c r="AH69" i="43"/>
  <c r="AR69" i="43"/>
  <c r="AM69" i="43"/>
  <c r="AC69" i="43"/>
  <c r="AW69" i="43"/>
  <c r="AX69" i="43" s="1"/>
  <c r="AW66" i="43"/>
  <c r="AH66" i="43"/>
  <c r="AC66" i="43"/>
  <c r="AR66" i="43"/>
  <c r="AM66" i="43"/>
  <c r="AW70" i="43"/>
  <c r="AM70" i="43"/>
  <c r="AR70" i="43"/>
  <c r="AC70" i="43"/>
  <c r="AH70" i="43"/>
  <c r="AH64" i="43"/>
  <c r="AM64" i="43"/>
  <c r="AC64" i="43"/>
  <c r="S75" i="43"/>
  <c r="AW64" i="43"/>
  <c r="AR64" i="43"/>
  <c r="AH68" i="43"/>
  <c r="AM68" i="43"/>
  <c r="AC68" i="43"/>
  <c r="AW68" i="43"/>
  <c r="AR68" i="43"/>
  <c r="AM71" i="43"/>
  <c r="AH71" i="43"/>
  <c r="AC71" i="43"/>
  <c r="AW71" i="43"/>
  <c r="AR71" i="43"/>
  <c r="AW72" i="43"/>
  <c r="AR72" i="43"/>
  <c r="AH72" i="43"/>
  <c r="AM72" i="43"/>
  <c r="AC72" i="43"/>
  <c r="AR67" i="43"/>
  <c r="AM67" i="43"/>
  <c r="AH67" i="43"/>
  <c r="AC67" i="43"/>
  <c r="AW67" i="43"/>
  <c r="AL65" i="43"/>
  <c r="AN65" i="43" s="1"/>
  <c r="AG65" i="43"/>
  <c r="AV65" i="43"/>
  <c r="AB65" i="43"/>
  <c r="T65" i="43"/>
  <c r="AQ65" i="43"/>
  <c r="AS65" i="43" s="1"/>
  <c r="AG69" i="43"/>
  <c r="AB69" i="43"/>
  <c r="AQ69" i="43"/>
  <c r="AS69" i="43" s="1"/>
  <c r="T66" i="43"/>
  <c r="AB66" i="43"/>
  <c r="AV66" i="43"/>
  <c r="AL66" i="43"/>
  <c r="AN66" i="43" s="1"/>
  <c r="AQ66" i="43"/>
  <c r="AS66" i="43" s="1"/>
  <c r="AG66" i="43"/>
  <c r="AL70" i="43"/>
  <c r="AQ70" i="43"/>
  <c r="AG70" i="43"/>
  <c r="T70" i="43"/>
  <c r="AB70" i="43"/>
  <c r="AV70" i="43"/>
  <c r="AX70" i="43" s="1"/>
  <c r="AL64" i="43"/>
  <c r="AN64" i="43" s="1"/>
  <c r="AV64" i="43"/>
  <c r="AQ64" i="43"/>
  <c r="T64" i="43"/>
  <c r="AG64" i="43"/>
  <c r="AB64" i="43"/>
  <c r="AD64" i="43" s="1"/>
  <c r="AG68" i="43"/>
  <c r="AB68" i="43"/>
  <c r="AL68" i="43"/>
  <c r="AN68" i="43" s="1"/>
  <c r="AV68" i="43"/>
  <c r="AX68" i="43" s="1"/>
  <c r="AQ68" i="43"/>
  <c r="T68" i="43"/>
  <c r="AL71" i="43"/>
  <c r="AN71" i="43" s="1"/>
  <c r="AQ71" i="43"/>
  <c r="AB71" i="43"/>
  <c r="AD71" i="43" s="1"/>
  <c r="AV71" i="43"/>
  <c r="AX71" i="43" s="1"/>
  <c r="AG71" i="43"/>
  <c r="AL72" i="43"/>
  <c r="AV72" i="43"/>
  <c r="AQ72" i="43"/>
  <c r="AS72" i="43" s="1"/>
  <c r="AG72" i="43"/>
  <c r="AB72" i="43"/>
  <c r="T72" i="43"/>
  <c r="AL67" i="43"/>
  <c r="AN67" i="43" s="1"/>
  <c r="AV67" i="43"/>
  <c r="AX67" i="43" s="1"/>
  <c r="AB67" i="43"/>
  <c r="AQ67" i="43"/>
  <c r="AG67" i="43"/>
  <c r="AW52" i="43"/>
  <c r="AR52" i="43"/>
  <c r="AH52" i="43"/>
  <c r="AM52" i="43"/>
  <c r="AC52" i="43"/>
  <c r="AH54" i="43"/>
  <c r="AR54" i="43"/>
  <c r="AW54" i="43"/>
  <c r="AC54" i="43"/>
  <c r="AM54" i="43"/>
  <c r="AQ59" i="43"/>
  <c r="AV59" i="43"/>
  <c r="AG59" i="43"/>
  <c r="AB59" i="43"/>
  <c r="AL59" i="43"/>
  <c r="AW56" i="43"/>
  <c r="AR56" i="43"/>
  <c r="AH56" i="43"/>
  <c r="AM56" i="43"/>
  <c r="AC56" i="43"/>
  <c r="AB53" i="43"/>
  <c r="T53" i="43"/>
  <c r="AL53" i="43"/>
  <c r="AQ53" i="43"/>
  <c r="AV53" i="43"/>
  <c r="AG53" i="43"/>
  <c r="AR57" i="43"/>
  <c r="AC57" i="43"/>
  <c r="AW57" i="43"/>
  <c r="AM57" i="43"/>
  <c r="AH57" i="43"/>
  <c r="AL58" i="43"/>
  <c r="AQ58" i="43"/>
  <c r="AG58" i="43"/>
  <c r="AB58" i="43"/>
  <c r="AV58" i="43"/>
  <c r="T58" i="43"/>
  <c r="AR55" i="43"/>
  <c r="AM55" i="43"/>
  <c r="AH55" i="43"/>
  <c r="AC55" i="43"/>
  <c r="AW55" i="43"/>
  <c r="AV52" i="43"/>
  <c r="AX52" i="43" s="1"/>
  <c r="AQ52" i="43"/>
  <c r="AS52" i="43" s="1"/>
  <c r="AL52" i="43"/>
  <c r="AN52" i="43" s="1"/>
  <c r="T52" i="43"/>
  <c r="AG52" i="43"/>
  <c r="AB52" i="43"/>
  <c r="AL54" i="43"/>
  <c r="AQ54" i="43"/>
  <c r="AS54" i="43" s="1"/>
  <c r="AG54" i="43"/>
  <c r="T54" i="43"/>
  <c r="AB54" i="43"/>
  <c r="AD54" i="43" s="1"/>
  <c r="AV54" i="43"/>
  <c r="AR59" i="43"/>
  <c r="AM59" i="43"/>
  <c r="AH59" i="43"/>
  <c r="AC59" i="43"/>
  <c r="AW59" i="43"/>
  <c r="AG56" i="43"/>
  <c r="AB56" i="43"/>
  <c r="AD56" i="43" s="1"/>
  <c r="AL56" i="43"/>
  <c r="AV56" i="43"/>
  <c r="AQ56" i="43"/>
  <c r="AS56" i="43" s="1"/>
  <c r="T56" i="43"/>
  <c r="AR53" i="43"/>
  <c r="AC53" i="43"/>
  <c r="AW53" i="43"/>
  <c r="AH53" i="43"/>
  <c r="AM53" i="43"/>
  <c r="AB57" i="43"/>
  <c r="T57" i="43"/>
  <c r="AQ57" i="43"/>
  <c r="AV57" i="43"/>
  <c r="AL57" i="43"/>
  <c r="AG57" i="43"/>
  <c r="AH58" i="43"/>
  <c r="AC58" i="43"/>
  <c r="AW58" i="43"/>
  <c r="AR58" i="43"/>
  <c r="AM58" i="43"/>
  <c r="AL55" i="43"/>
  <c r="AN55" i="43" s="1"/>
  <c r="AQ55" i="43"/>
  <c r="AG55" i="43"/>
  <c r="AB55" i="43"/>
  <c r="AD55" i="43" s="1"/>
  <c r="AV55" i="43"/>
  <c r="AB41" i="43"/>
  <c r="AG41" i="43"/>
  <c r="AV41" i="43"/>
  <c r="AQ41" i="43"/>
  <c r="AL41" i="43"/>
  <c r="T41" i="43"/>
  <c r="AQ46" i="43"/>
  <c r="AB46" i="43"/>
  <c r="AL46" i="43"/>
  <c r="AG46" i="43"/>
  <c r="AV46" i="43"/>
  <c r="AQ42" i="43"/>
  <c r="AS42" i="43" s="1"/>
  <c r="AB42" i="43"/>
  <c r="AG42" i="43"/>
  <c r="AL42" i="43"/>
  <c r="AV42" i="43"/>
  <c r="AL43" i="43"/>
  <c r="AG43" i="43"/>
  <c r="T43" i="43"/>
  <c r="AB43" i="43"/>
  <c r="AQ43" i="43"/>
  <c r="AV43" i="43"/>
  <c r="AQ45" i="43"/>
  <c r="AL45" i="43"/>
  <c r="T45" i="43"/>
  <c r="AG45" i="43"/>
  <c r="AB45" i="43"/>
  <c r="AV45" i="43"/>
  <c r="AG44" i="43"/>
  <c r="AQ44" i="43"/>
  <c r="AL44" i="43"/>
  <c r="AB44" i="43"/>
  <c r="AV44" i="43"/>
  <c r="T44" i="43"/>
  <c r="AM38" i="43"/>
  <c r="AC38" i="43"/>
  <c r="AW38" i="43"/>
  <c r="S49" i="43"/>
  <c r="AR38" i="43"/>
  <c r="AH38" i="43"/>
  <c r="AV40" i="43"/>
  <c r="AB40" i="43"/>
  <c r="AG40" i="43"/>
  <c r="AL40" i="43"/>
  <c r="AQ40" i="43"/>
  <c r="AR41" i="43"/>
  <c r="AW41" i="43"/>
  <c r="AC41" i="43"/>
  <c r="AH41" i="43"/>
  <c r="AM41" i="43"/>
  <c r="AH46" i="43"/>
  <c r="AR46" i="43"/>
  <c r="AC46" i="43"/>
  <c r="AW46" i="43"/>
  <c r="AM46" i="43"/>
  <c r="AW42" i="43"/>
  <c r="AR42" i="43"/>
  <c r="AC42" i="43"/>
  <c r="AD42" i="43" s="1"/>
  <c r="AH42" i="43"/>
  <c r="AM42" i="43"/>
  <c r="AM43" i="43"/>
  <c r="AH43" i="43"/>
  <c r="AR43" i="43"/>
  <c r="AC43" i="43"/>
  <c r="AW43" i="43"/>
  <c r="AH45" i="43"/>
  <c r="AR45" i="43"/>
  <c r="AW45" i="43"/>
  <c r="AM45" i="43"/>
  <c r="AC45" i="43"/>
  <c r="AC44" i="43"/>
  <c r="AH44" i="43"/>
  <c r="AW44" i="43"/>
  <c r="AR44" i="43"/>
  <c r="AM44" i="43"/>
  <c r="AQ38" i="43"/>
  <c r="AV38" i="43"/>
  <c r="AX38" i="43" s="1"/>
  <c r="R49" i="43"/>
  <c r="T38" i="43"/>
  <c r="T49" i="43" s="1"/>
  <c r="AB38" i="43"/>
  <c r="AG38" i="43"/>
  <c r="AL38" i="43"/>
  <c r="AN38" i="43" s="1"/>
  <c r="AC40" i="43"/>
  <c r="AH40" i="43"/>
  <c r="AW40" i="43"/>
  <c r="AR40" i="43"/>
  <c r="AM40" i="43"/>
  <c r="AC32" i="43"/>
  <c r="AM32" i="43"/>
  <c r="AR32" i="43"/>
  <c r="AH32" i="43"/>
  <c r="AW32" i="43"/>
  <c r="AC31" i="43"/>
  <c r="AD31" i="43" s="1"/>
  <c r="AM31" i="43"/>
  <c r="AH31" i="43"/>
  <c r="AW31" i="43"/>
  <c r="AX31" i="43" s="1"/>
  <c r="AR31" i="43"/>
  <c r="AS31" i="43" s="1"/>
  <c r="AR28" i="43"/>
  <c r="AM28" i="43"/>
  <c r="AH28" i="43"/>
  <c r="AC28" i="43"/>
  <c r="AW28" i="43"/>
  <c r="AW27" i="43"/>
  <c r="AR27" i="43"/>
  <c r="AC27" i="43"/>
  <c r="AH27" i="43"/>
  <c r="AM27" i="43"/>
  <c r="AC30" i="43"/>
  <c r="AW30" i="43"/>
  <c r="AR30" i="43"/>
  <c r="AM30" i="43"/>
  <c r="AH30" i="43"/>
  <c r="AQ33" i="43"/>
  <c r="AL33" i="43"/>
  <c r="T33" i="43"/>
  <c r="AB29" i="43"/>
  <c r="AV29" i="43"/>
  <c r="T29" i="43"/>
  <c r="AL29" i="43"/>
  <c r="AQ29" i="43"/>
  <c r="AG29" i="43"/>
  <c r="AG26" i="43"/>
  <c r="AV26" i="43"/>
  <c r="AB26" i="43"/>
  <c r="R36" i="43"/>
  <c r="AL26" i="43"/>
  <c r="AQ26" i="43"/>
  <c r="L12" i="4"/>
  <c r="M12" i="4"/>
  <c r="AB33" i="43"/>
  <c r="AG32" i="43"/>
  <c r="T32" i="43"/>
  <c r="AV32" i="43"/>
  <c r="AX32" i="43" s="1"/>
  <c r="AB32" i="43"/>
  <c r="AQ32" i="43"/>
  <c r="AL32" i="43"/>
  <c r="AN32" i="43" s="1"/>
  <c r="AV28" i="43"/>
  <c r="AX28" i="43" s="1"/>
  <c r="AB28" i="43"/>
  <c r="T28" i="43"/>
  <c r="AG28" i="43"/>
  <c r="AQ28" i="43"/>
  <c r="AS28" i="43" s="1"/>
  <c r="AL28" i="43"/>
  <c r="AN28" i="43" s="1"/>
  <c r="AV27" i="43"/>
  <c r="AQ27" i="43"/>
  <c r="AS27" i="43" s="1"/>
  <c r="T27" i="43"/>
  <c r="AG27" i="43"/>
  <c r="AB27" i="43"/>
  <c r="AL27" i="43"/>
  <c r="AN27" i="43" s="1"/>
  <c r="AV30" i="43"/>
  <c r="AX30" i="43" s="1"/>
  <c r="AB30" i="43"/>
  <c r="AD30" i="43" s="1"/>
  <c r="AL30" i="43"/>
  <c r="AQ30" i="43"/>
  <c r="AS30" i="43" s="1"/>
  <c r="T30" i="43"/>
  <c r="AG30" i="43"/>
  <c r="AC33" i="43"/>
  <c r="AH33" i="43"/>
  <c r="AW33" i="43"/>
  <c r="AX33" i="43" s="1"/>
  <c r="AM33" i="43"/>
  <c r="AR33" i="43"/>
  <c r="AH29" i="43"/>
  <c r="AR29" i="43"/>
  <c r="AW29" i="43"/>
  <c r="AC29" i="43"/>
  <c r="AM29" i="43"/>
  <c r="AM26" i="43"/>
  <c r="AH26" i="43"/>
  <c r="S36" i="43"/>
  <c r="AR26" i="43"/>
  <c r="AS26" i="43" s="1"/>
  <c r="AC26" i="43"/>
  <c r="AW26" i="43"/>
  <c r="AR51" i="43"/>
  <c r="AC51" i="43"/>
  <c r="AW51" i="43"/>
  <c r="S62" i="43"/>
  <c r="AM51" i="43"/>
  <c r="AH51" i="43"/>
  <c r="AH62" i="43" s="1"/>
  <c r="AB51" i="43"/>
  <c r="AL51" i="43"/>
  <c r="AQ51" i="43"/>
  <c r="AS51" i="43" s="1"/>
  <c r="AV51" i="43"/>
  <c r="AG51" i="43"/>
  <c r="AG62" i="43" s="1"/>
  <c r="R62" i="43"/>
  <c r="BB90" i="43"/>
  <c r="T101" i="43"/>
  <c r="AI130" i="43"/>
  <c r="AZ130" i="43"/>
  <c r="AX130" i="43"/>
  <c r="AY130" i="43"/>
  <c r="AY132" i="43" s="1"/>
  <c r="AS130" i="43"/>
  <c r="BC111" i="43"/>
  <c r="AI69" i="43"/>
  <c r="BB130" i="43"/>
  <c r="BB132" i="43" s="1"/>
  <c r="AZ111" i="43"/>
  <c r="E21" i="45"/>
  <c r="I21" i="45" s="1"/>
  <c r="U7" i="45" s="1"/>
  <c r="AY69" i="43"/>
  <c r="BA130" i="43"/>
  <c r="AY138" i="43"/>
  <c r="AS141" i="43"/>
  <c r="AX126" i="43"/>
  <c r="AD122" i="43"/>
  <c r="AY111" i="43"/>
  <c r="AZ69" i="43"/>
  <c r="BC130" i="43"/>
  <c r="BC132" i="43" s="1"/>
  <c r="AZ141" i="43"/>
  <c r="S143" i="43"/>
  <c r="AS138" i="43"/>
  <c r="AD131" i="43"/>
  <c r="AN138" i="43"/>
  <c r="AD136" i="43"/>
  <c r="AN141" i="43"/>
  <c r="AN130" i="43"/>
  <c r="J29" i="45"/>
  <c r="J27" i="45"/>
  <c r="AC8" i="45"/>
  <c r="I19" i="45"/>
  <c r="U8" i="45" s="1"/>
  <c r="BA90" i="43"/>
  <c r="AX135" i="43"/>
  <c r="AY126" i="43"/>
  <c r="BB126" i="43"/>
  <c r="AI141" i="43"/>
  <c r="BB141" i="43"/>
  <c r="AQ128" i="43"/>
  <c r="AF36" i="43"/>
  <c r="R143" i="43"/>
  <c r="AZ31" i="43"/>
  <c r="AY141" i="43"/>
  <c r="E20" i="45"/>
  <c r="AN69" i="43"/>
  <c r="AI90" i="43"/>
  <c r="AY90" i="43"/>
  <c r="AZ90" i="43"/>
  <c r="BC90" i="43"/>
  <c r="BC69" i="43"/>
  <c r="AG36" i="43"/>
  <c r="AF114" i="43"/>
  <c r="BC31" i="43"/>
  <c r="AD138" i="43"/>
  <c r="BB31" i="43"/>
  <c r="AF49" i="43"/>
  <c r="AD137" i="43"/>
  <c r="AI31" i="43"/>
  <c r="BA31" i="43"/>
  <c r="AX138" i="43"/>
  <c r="AS121" i="43"/>
  <c r="Q115" i="43"/>
  <c r="AD130" i="43"/>
  <c r="BC138" i="43"/>
  <c r="E21" i="44"/>
  <c r="AI138" i="43"/>
  <c r="AZ138" i="43"/>
  <c r="BB138" i="43"/>
  <c r="E20" i="44"/>
  <c r="AF88" i="43"/>
  <c r="AD121" i="43"/>
  <c r="AB200" i="43"/>
  <c r="E7" i="28"/>
  <c r="Z200" i="43"/>
  <c r="AQ143" i="43"/>
  <c r="P143" i="43"/>
  <c r="P201" i="43" s="1"/>
  <c r="C12" i="4" s="1"/>
  <c r="AD23" i="43"/>
  <c r="E25" i="28"/>
  <c r="Q143" i="43"/>
  <c r="AN123" i="43"/>
  <c r="AS119" i="43"/>
  <c r="Z23" i="43"/>
  <c r="Z115" i="43" s="1"/>
  <c r="AA200" i="43"/>
  <c r="AC200" i="43"/>
  <c r="AF62" i="43"/>
  <c r="AD119" i="43"/>
  <c r="AN121" i="43"/>
  <c r="AL114" i="43"/>
  <c r="AG114" i="43"/>
  <c r="AF101" i="43"/>
  <c r="AD155" i="43"/>
  <c r="AA114" i="43"/>
  <c r="AX123" i="43"/>
  <c r="AX121" i="43"/>
  <c r="AF75" i="43"/>
  <c r="AY199" i="43"/>
  <c r="BC179" i="43"/>
  <c r="AA36" i="43"/>
  <c r="AA101" i="43"/>
  <c r="AZ155" i="43"/>
  <c r="AS123" i="43"/>
  <c r="AD123" i="43"/>
  <c r="BA132" i="43"/>
  <c r="AZ199" i="43"/>
  <c r="AC128" i="43"/>
  <c r="AC143" i="43" s="1"/>
  <c r="AI199" i="43"/>
  <c r="AI200" i="43" s="1"/>
  <c r="BB199" i="43"/>
  <c r="BA199" i="43"/>
  <c r="AN119" i="43"/>
  <c r="AK101" i="43"/>
  <c r="BB135" i="43"/>
  <c r="BA135" i="43"/>
  <c r="AZ135" i="43"/>
  <c r="AI135" i="43"/>
  <c r="BC135" i="43"/>
  <c r="AY135" i="43"/>
  <c r="AD114" i="43"/>
  <c r="AN108" i="43"/>
  <c r="AN114" i="43" s="1"/>
  <c r="AK114" i="43"/>
  <c r="AZ123" i="43"/>
  <c r="BA123" i="43"/>
  <c r="AY123" i="43"/>
  <c r="AI123" i="43"/>
  <c r="BC123" i="43"/>
  <c r="BB123" i="43"/>
  <c r="AA75" i="43"/>
  <c r="BA155" i="43"/>
  <c r="AK49" i="43"/>
  <c r="AN46" i="43"/>
  <c r="BC55" i="43"/>
  <c r="BB55" i="43"/>
  <c r="BA55" i="43"/>
  <c r="AZ55" i="43"/>
  <c r="AY55" i="43"/>
  <c r="AI55" i="43"/>
  <c r="AB114" i="43"/>
  <c r="AK36" i="43"/>
  <c r="T200" i="43"/>
  <c r="AS132" i="43"/>
  <c r="BC80" i="43"/>
  <c r="AY80" i="43"/>
  <c r="AI80" i="43"/>
  <c r="AZ80" i="43"/>
  <c r="BB80" i="43"/>
  <c r="BA80" i="43"/>
  <c r="BB155" i="43"/>
  <c r="AD179" i="43"/>
  <c r="BB137" i="43"/>
  <c r="BA137" i="43"/>
  <c r="AZ137" i="43"/>
  <c r="AI137" i="43"/>
  <c r="BC137" i="43"/>
  <c r="AY137" i="43"/>
  <c r="AZ179" i="43"/>
  <c r="AN23" i="43"/>
  <c r="BC26" i="43"/>
  <c r="BB26" i="43"/>
  <c r="BA26" i="43"/>
  <c r="AI26" i="43"/>
  <c r="AZ26" i="43"/>
  <c r="AY26" i="43"/>
  <c r="AA62" i="43"/>
  <c r="AB142" i="43"/>
  <c r="AB143" i="43" s="1"/>
  <c r="AK62" i="43"/>
  <c r="AN59" i="43"/>
  <c r="Z142" i="43"/>
  <c r="BC79" i="43"/>
  <c r="BB79" i="43"/>
  <c r="BA79" i="43"/>
  <c r="AY79" i="43"/>
  <c r="AI79" i="43"/>
  <c r="AZ79" i="43"/>
  <c r="BC83" i="43"/>
  <c r="BB83" i="43"/>
  <c r="BA83" i="43"/>
  <c r="AZ83" i="43"/>
  <c r="AY83" i="43"/>
  <c r="AI83" i="43"/>
  <c r="AN31" i="43"/>
  <c r="BA179" i="43"/>
  <c r="BC95" i="43"/>
  <c r="BB95" i="43"/>
  <c r="BA95" i="43"/>
  <c r="AZ95" i="43"/>
  <c r="AY95" i="43"/>
  <c r="AI95" i="43"/>
  <c r="BB140" i="43"/>
  <c r="AZ140" i="43"/>
  <c r="AY140" i="43"/>
  <c r="AI140" i="43"/>
  <c r="AN140" i="43"/>
  <c r="BA140" i="43"/>
  <c r="BC140" i="43"/>
  <c r="BC71" i="43"/>
  <c r="BB71" i="43"/>
  <c r="BA71" i="43"/>
  <c r="AI71" i="43"/>
  <c r="AY71" i="43"/>
  <c r="AZ71" i="43"/>
  <c r="AY42" i="43"/>
  <c r="AI42" i="43"/>
  <c r="BC42" i="43"/>
  <c r="BB42" i="43"/>
  <c r="AZ42" i="43"/>
  <c r="BA42" i="43"/>
  <c r="BC199" i="43"/>
  <c r="AO128" i="43"/>
  <c r="AO143" i="43" s="1"/>
  <c r="AD95" i="43"/>
  <c r="AD101" i="43" s="1"/>
  <c r="BA46" i="43"/>
  <c r="AY46" i="43"/>
  <c r="AI46" i="43"/>
  <c r="BC46" i="43"/>
  <c r="BB46" i="43"/>
  <c r="AZ46" i="43"/>
  <c r="AE115" i="43"/>
  <c r="BC107" i="43"/>
  <c r="BB107" i="43"/>
  <c r="BB114" i="43" s="1"/>
  <c r="BA107" i="43"/>
  <c r="AZ107" i="43"/>
  <c r="AI107" i="43"/>
  <c r="AY107" i="43"/>
  <c r="AJ23" i="43"/>
  <c r="AJ115" i="43" s="1"/>
  <c r="AY40" i="43"/>
  <c r="BC40" i="43"/>
  <c r="BA40" i="43"/>
  <c r="AZ40" i="43"/>
  <c r="AI40" i="43"/>
  <c r="BB40" i="43"/>
  <c r="AD88" i="43"/>
  <c r="AX119" i="43"/>
  <c r="AD140" i="43"/>
  <c r="AP140" i="43"/>
  <c r="BC51" i="43"/>
  <c r="BB51" i="43"/>
  <c r="BA51" i="43"/>
  <c r="AY51" i="43"/>
  <c r="AI51" i="43"/>
  <c r="AZ51" i="43"/>
  <c r="AD199" i="43"/>
  <c r="AK75" i="43"/>
  <c r="AN101" i="43"/>
  <c r="AN88" i="43"/>
  <c r="BB14" i="43"/>
  <c r="BB23" i="43" s="1"/>
  <c r="BA14" i="43"/>
  <c r="BA23" i="43" s="1"/>
  <c r="AZ14" i="43"/>
  <c r="AZ23" i="43" s="1"/>
  <c r="AY14" i="43"/>
  <c r="AY23" i="43" s="1"/>
  <c r="AI14" i="43"/>
  <c r="AI23" i="43" s="1"/>
  <c r="BC14" i="43"/>
  <c r="BC23" i="43" s="1"/>
  <c r="BC84" i="43"/>
  <c r="BB84" i="43"/>
  <c r="AY84" i="43"/>
  <c r="AI84" i="43"/>
  <c r="BA84" i="43"/>
  <c r="AZ84" i="43"/>
  <c r="BB179" i="43"/>
  <c r="AK88" i="43"/>
  <c r="AA88" i="43"/>
  <c r="BC67" i="43"/>
  <c r="BB67" i="43"/>
  <c r="BA67" i="43"/>
  <c r="AI67" i="43"/>
  <c r="AZ67" i="43"/>
  <c r="AY67" i="43"/>
  <c r="BC91" i="43"/>
  <c r="BB91" i="43"/>
  <c r="BA91" i="43"/>
  <c r="AZ91" i="43"/>
  <c r="AI91" i="43"/>
  <c r="AY91" i="43"/>
  <c r="AZ121" i="43"/>
  <c r="AY121" i="43"/>
  <c r="AI121" i="43"/>
  <c r="BC121" i="43"/>
  <c r="BB121" i="43"/>
  <c r="BA121" i="43"/>
  <c r="AY155" i="43"/>
  <c r="BA119" i="43"/>
  <c r="AZ119" i="43"/>
  <c r="AY119" i="43"/>
  <c r="AI119" i="43"/>
  <c r="BC119" i="43"/>
  <c r="BB119" i="43"/>
  <c r="AZ132" i="43"/>
  <c r="Z128" i="43"/>
  <c r="AR128" i="43"/>
  <c r="AR143" i="43" s="1"/>
  <c r="T142" i="43"/>
  <c r="T143" i="43" s="1"/>
  <c r="BC103" i="43"/>
  <c r="BB103" i="43"/>
  <c r="BA103" i="43"/>
  <c r="AZ103" i="43"/>
  <c r="AI103" i="43"/>
  <c r="AY103" i="43"/>
  <c r="AQ140" i="43"/>
  <c r="AA142" i="43"/>
  <c r="AP128" i="43"/>
  <c r="AP143" i="43" s="1"/>
  <c r="AA49" i="43"/>
  <c r="AY179" i="43"/>
  <c r="BC59" i="43"/>
  <c r="BB59" i="43"/>
  <c r="BA59" i="43"/>
  <c r="AI59" i="43"/>
  <c r="AZ59" i="43"/>
  <c r="AY59" i="43"/>
  <c r="AA128" i="43"/>
  <c r="AM62" i="43" l="1"/>
  <c r="AD32" i="43"/>
  <c r="AD68" i="43"/>
  <c r="AD67" i="43"/>
  <c r="AS55" i="43"/>
  <c r="AN57" i="43"/>
  <c r="AC62" i="43"/>
  <c r="AD59" i="43"/>
  <c r="AD66" i="43"/>
  <c r="AX65" i="43"/>
  <c r="AS57" i="43"/>
  <c r="AN54" i="43"/>
  <c r="AL62" i="43"/>
  <c r="AS70" i="43"/>
  <c r="T36" i="43"/>
  <c r="AN58" i="43"/>
  <c r="AX72" i="43"/>
  <c r="AX51" i="43"/>
  <c r="AD70" i="43"/>
  <c r="AX66" i="43"/>
  <c r="AD65" i="43"/>
  <c r="AS38" i="43"/>
  <c r="AN42" i="43"/>
  <c r="AS46" i="43"/>
  <c r="AN40" i="43"/>
  <c r="AX57" i="43"/>
  <c r="AS71" i="43"/>
  <c r="AB62" i="43"/>
  <c r="AD28" i="43"/>
  <c r="AD40" i="43"/>
  <c r="AD52" i="43"/>
  <c r="AH75" i="43"/>
  <c r="AD57" i="43"/>
  <c r="AX56" i="43"/>
  <c r="AS59" i="43"/>
  <c r="AS67" i="43"/>
  <c r="AS68" i="43"/>
  <c r="AS64" i="43"/>
  <c r="AN70" i="43"/>
  <c r="AD69" i="43"/>
  <c r="S115" i="43"/>
  <c r="S201" i="43" s="1"/>
  <c r="F12" i="4" s="1"/>
  <c r="O8" i="46" s="1"/>
  <c r="AS32" i="43"/>
  <c r="AD38" i="43"/>
  <c r="AD46" i="43"/>
  <c r="AX55" i="43"/>
  <c r="AN56" i="43"/>
  <c r="AX54" i="43"/>
  <c r="AN72" i="43"/>
  <c r="AN75" i="43" s="1"/>
  <c r="AX64" i="43"/>
  <c r="AX59" i="43"/>
  <c r="AD58" i="43"/>
  <c r="AX42" i="43"/>
  <c r="AS40" i="43"/>
  <c r="AX40" i="43"/>
  <c r="AX46" i="43"/>
  <c r="AD26" i="43"/>
  <c r="AD33" i="43"/>
  <c r="AX26" i="43"/>
  <c r="AS33" i="43"/>
  <c r="AL36" i="43"/>
  <c r="AN26" i="43"/>
  <c r="AZ72" i="43"/>
  <c r="AI72" i="43"/>
  <c r="BA72" i="43"/>
  <c r="BC72" i="43"/>
  <c r="AY72" i="43"/>
  <c r="BB72" i="43"/>
  <c r="AG75" i="43"/>
  <c r="BA66" i="43"/>
  <c r="AY66" i="43"/>
  <c r="BC66" i="43"/>
  <c r="BB66" i="43"/>
  <c r="AZ66" i="43"/>
  <c r="AI66" i="43"/>
  <c r="AL75" i="43"/>
  <c r="AM75" i="43"/>
  <c r="AD72" i="43"/>
  <c r="AB75" i="43"/>
  <c r="AZ68" i="43"/>
  <c r="AI68" i="43"/>
  <c r="BA68" i="43"/>
  <c r="BC68" i="43"/>
  <c r="AY68" i="43"/>
  <c r="BB68" i="43"/>
  <c r="T75" i="43"/>
  <c r="BC64" i="43"/>
  <c r="AY64" i="43"/>
  <c r="BB64" i="43"/>
  <c r="AZ64" i="43"/>
  <c r="BA64" i="43"/>
  <c r="AI64" i="43"/>
  <c r="BA70" i="43"/>
  <c r="AY70" i="43"/>
  <c r="BC70" i="43"/>
  <c r="BB70" i="43"/>
  <c r="AI70" i="43"/>
  <c r="AZ70" i="43"/>
  <c r="AZ65" i="43"/>
  <c r="AI65" i="43"/>
  <c r="BA65" i="43"/>
  <c r="BC65" i="43"/>
  <c r="AY65" i="43"/>
  <c r="BB65" i="43"/>
  <c r="AC75" i="43"/>
  <c r="BB57" i="43"/>
  <c r="AZ57" i="43"/>
  <c r="AI57" i="43"/>
  <c r="BA57" i="43"/>
  <c r="AY57" i="43"/>
  <c r="BC57" i="43"/>
  <c r="AI54" i="43"/>
  <c r="BA54" i="43"/>
  <c r="AY54" i="43"/>
  <c r="BC54" i="43"/>
  <c r="BB54" i="43"/>
  <c r="AZ54" i="43"/>
  <c r="AZ52" i="43"/>
  <c r="AI52" i="43"/>
  <c r="BA52" i="43"/>
  <c r="BC52" i="43"/>
  <c r="AY52" i="43"/>
  <c r="BB52" i="43"/>
  <c r="AY58" i="43"/>
  <c r="BB58" i="43"/>
  <c r="AZ58" i="43"/>
  <c r="AI58" i="43"/>
  <c r="BA58" i="43"/>
  <c r="BC58" i="43"/>
  <c r="AS58" i="43"/>
  <c r="AX53" i="43"/>
  <c r="AN53" i="43"/>
  <c r="AD53" i="43"/>
  <c r="AY56" i="43"/>
  <c r="AZ56" i="43"/>
  <c r="AI56" i="43"/>
  <c r="BB56" i="43"/>
  <c r="BC56" i="43"/>
  <c r="BA56" i="43"/>
  <c r="AX58" i="43"/>
  <c r="AS53" i="43"/>
  <c r="BB53" i="43"/>
  <c r="AZ53" i="43"/>
  <c r="AI53" i="43"/>
  <c r="BA53" i="43"/>
  <c r="AY53" i="43"/>
  <c r="BC53" i="43"/>
  <c r="T62" i="43"/>
  <c r="T115" i="43" s="1"/>
  <c r="BC44" i="43"/>
  <c r="AY44" i="43"/>
  <c r="BB44" i="43"/>
  <c r="AZ44" i="43"/>
  <c r="AI44" i="43"/>
  <c r="BA44" i="43"/>
  <c r="AD44" i="43"/>
  <c r="AS44" i="43"/>
  <c r="AX45" i="43"/>
  <c r="AN45" i="43"/>
  <c r="AX43" i="43"/>
  <c r="AD43" i="43"/>
  <c r="AG49" i="43"/>
  <c r="AG115" i="43" s="1"/>
  <c r="AG201" i="43" s="1"/>
  <c r="X207" i="43" s="1"/>
  <c r="F22" i="9" s="1"/>
  <c r="AB49" i="43"/>
  <c r="AZ41" i="43"/>
  <c r="BB41" i="43"/>
  <c r="AY41" i="43"/>
  <c r="BC41" i="43"/>
  <c r="BA41" i="43"/>
  <c r="AI41" i="43"/>
  <c r="AS41" i="43"/>
  <c r="AZ38" i="43"/>
  <c r="AI38" i="43"/>
  <c r="BA38" i="43"/>
  <c r="AY38" i="43"/>
  <c r="BB38" i="43"/>
  <c r="BC38" i="43"/>
  <c r="AM49" i="43"/>
  <c r="AC49" i="43"/>
  <c r="AH49" i="43"/>
  <c r="AX44" i="43"/>
  <c r="AN44" i="43"/>
  <c r="AD45" i="43"/>
  <c r="AY45" i="43"/>
  <c r="BB45" i="43"/>
  <c r="AZ45" i="43"/>
  <c r="AI45" i="43"/>
  <c r="BA45" i="43"/>
  <c r="BC45" i="43"/>
  <c r="AS45" i="43"/>
  <c r="AS43" i="43"/>
  <c r="BA43" i="43"/>
  <c r="AY43" i="43"/>
  <c r="BB43" i="43"/>
  <c r="BC43" i="43"/>
  <c r="AZ43" i="43"/>
  <c r="AI43" i="43"/>
  <c r="AN43" i="43"/>
  <c r="AL49" i="43"/>
  <c r="AL115" i="43" s="1"/>
  <c r="AL201" i="43" s="1"/>
  <c r="X208" i="43" s="1"/>
  <c r="F23" i="9" s="1"/>
  <c r="AN41" i="43"/>
  <c r="AX41" i="43"/>
  <c r="AD41" i="43"/>
  <c r="AM36" i="43"/>
  <c r="AH36" i="43"/>
  <c r="AH115" i="43" s="1"/>
  <c r="AH201" i="43" s="1"/>
  <c r="Y207" i="43" s="1"/>
  <c r="G22" i="9" s="1"/>
  <c r="BC32" i="43"/>
  <c r="AI32" i="43"/>
  <c r="BA32" i="43"/>
  <c r="AZ32" i="43"/>
  <c r="BB32" i="43"/>
  <c r="AY32" i="43"/>
  <c r="AN29" i="43"/>
  <c r="AX29" i="43"/>
  <c r="BB33" i="43"/>
  <c r="AZ33" i="43"/>
  <c r="AI33" i="43"/>
  <c r="BA33" i="43"/>
  <c r="AY33" i="43"/>
  <c r="BC33" i="43"/>
  <c r="AB36" i="43"/>
  <c r="R115" i="43"/>
  <c r="R201" i="43" s="1"/>
  <c r="E12" i="4" s="1"/>
  <c r="N8" i="46" s="1"/>
  <c r="AC36" i="43"/>
  <c r="BB30" i="43"/>
  <c r="AI30" i="43"/>
  <c r="AY30" i="43"/>
  <c r="BC30" i="43"/>
  <c r="BA30" i="43"/>
  <c r="AZ30" i="43"/>
  <c r="AD27" i="43"/>
  <c r="AZ27" i="43"/>
  <c r="AI27" i="43"/>
  <c r="BA27" i="43"/>
  <c r="BC27" i="43"/>
  <c r="AY27" i="43"/>
  <c r="BB27" i="43"/>
  <c r="AX27" i="43"/>
  <c r="AY28" i="43"/>
  <c r="BB28" i="43"/>
  <c r="BC28" i="43"/>
  <c r="AI28" i="43"/>
  <c r="BA28" i="43"/>
  <c r="AZ28" i="43"/>
  <c r="AN30" i="43"/>
  <c r="AS29" i="43"/>
  <c r="BA29" i="43"/>
  <c r="AY29" i="43"/>
  <c r="BC29" i="43"/>
  <c r="BC36" i="43" s="1"/>
  <c r="AZ29" i="43"/>
  <c r="AI29" i="43"/>
  <c r="BB29" i="43"/>
  <c r="AD29" i="43"/>
  <c r="AN33" i="43"/>
  <c r="BB101" i="43"/>
  <c r="BC114" i="43"/>
  <c r="AD51" i="43"/>
  <c r="AD62" i="43" s="1"/>
  <c r="AN51" i="43"/>
  <c r="AN62" i="43" s="1"/>
  <c r="L8" i="46"/>
  <c r="AZ101" i="43"/>
  <c r="BA101" i="43"/>
  <c r="AD132" i="43"/>
  <c r="AC7" i="45"/>
  <c r="AY128" i="43"/>
  <c r="AS128" i="43"/>
  <c r="H18" i="45" s="1"/>
  <c r="J26" i="45" s="1"/>
  <c r="J28" i="45"/>
  <c r="I20" i="45"/>
  <c r="U10" i="45" s="1"/>
  <c r="AC10" i="45"/>
  <c r="BB128" i="43"/>
  <c r="BB62" i="43"/>
  <c r="AF115" i="43"/>
  <c r="AF201" i="43" s="1"/>
  <c r="W207" i="43" s="1"/>
  <c r="E22" i="9" s="1"/>
  <c r="AD142" i="43"/>
  <c r="AY101" i="43"/>
  <c r="AY62" i="43"/>
  <c r="BA62" i="43"/>
  <c r="AQ201" i="43"/>
  <c r="X209" i="43" s="1"/>
  <c r="F24" i="9" s="1"/>
  <c r="AP201" i="43"/>
  <c r="W209" i="43" s="1"/>
  <c r="E24" i="9" s="1"/>
  <c r="AA143" i="43"/>
  <c r="AJ201" i="43"/>
  <c r="V208" i="43" s="1"/>
  <c r="D23" i="9" s="1"/>
  <c r="AR201" i="43"/>
  <c r="Y209" i="43" s="1"/>
  <c r="G24" i="9" s="1"/>
  <c r="AZ114" i="43"/>
  <c r="AZ75" i="43"/>
  <c r="AY49" i="43"/>
  <c r="AE201" i="43"/>
  <c r="V207" i="43" s="1"/>
  <c r="AO201" i="43"/>
  <c r="V209" i="43" s="1"/>
  <c r="BB142" i="43"/>
  <c r="Q201" i="43"/>
  <c r="D12" i="4" s="1"/>
  <c r="M8" i="46" s="1"/>
  <c r="AI88" i="43"/>
  <c r="AD128" i="43"/>
  <c r="AY114" i="43"/>
  <c r="AI114" i="43"/>
  <c r="BC142" i="43"/>
  <c r="AS140" i="43"/>
  <c r="AZ142" i="43"/>
  <c r="BA142" i="43"/>
  <c r="BA114" i="43"/>
  <c r="AI75" i="43"/>
  <c r="AB115" i="43"/>
  <c r="AB201" i="43" s="1"/>
  <c r="X206" i="43" s="1"/>
  <c r="AY142" i="43"/>
  <c r="BC62" i="43"/>
  <c r="AI62" i="43"/>
  <c r="BA75" i="43"/>
  <c r="AZ62" i="43"/>
  <c r="BA49" i="43"/>
  <c r="BB75" i="43"/>
  <c r="BC75" i="43"/>
  <c r="AI101" i="43"/>
  <c r="AZ49" i="43"/>
  <c r="AZ88" i="43"/>
  <c r="BA88" i="43"/>
  <c r="AY88" i="43"/>
  <c r="BA128" i="43"/>
  <c r="BB88" i="43"/>
  <c r="AZ128" i="43"/>
  <c r="BC101" i="43"/>
  <c r="BC49" i="43"/>
  <c r="AY75" i="43"/>
  <c r="BC88" i="43"/>
  <c r="AI49" i="43"/>
  <c r="AK115" i="43"/>
  <c r="AA115" i="43"/>
  <c r="BC128" i="43"/>
  <c r="Z143" i="43"/>
  <c r="AD200" i="43"/>
  <c r="T201" i="43"/>
  <c r="AD36" i="43" l="1"/>
  <c r="AZ36" i="43"/>
  <c r="AD49" i="43"/>
  <c r="BB49" i="43"/>
  <c r="AD75" i="43"/>
  <c r="AM115" i="43"/>
  <c r="AM201" i="43" s="1"/>
  <c r="Y208" i="43" s="1"/>
  <c r="G23" i="9" s="1"/>
  <c r="AC115" i="43"/>
  <c r="AC201" i="43" s="1"/>
  <c r="Y206" i="43" s="1"/>
  <c r="G21" i="9" s="1"/>
  <c r="AN49" i="43"/>
  <c r="AN115" i="43" s="1"/>
  <c r="AN36" i="43"/>
  <c r="BB36" i="43"/>
  <c r="BB115" i="43" s="1"/>
  <c r="AI36" i="43"/>
  <c r="AY36" i="43"/>
  <c r="BA36" i="43"/>
  <c r="G12" i="4"/>
  <c r="AS143" i="43"/>
  <c r="AS201" i="43" s="1"/>
  <c r="H22" i="45"/>
  <c r="I18" i="45"/>
  <c r="I23" i="45" s="1"/>
  <c r="H18" i="44"/>
  <c r="AC6" i="45"/>
  <c r="AC14" i="45" s="1"/>
  <c r="AD143" i="43"/>
  <c r="AA201" i="43"/>
  <c r="W206" i="43" s="1"/>
  <c r="E21" i="9" s="1"/>
  <c r="AZ115" i="43"/>
  <c r="D24" i="9"/>
  <c r="Z209" i="43"/>
  <c r="U209" i="43"/>
  <c r="D22" i="9"/>
  <c r="Z207" i="43"/>
  <c r="U207" i="43"/>
  <c r="BA143" i="43"/>
  <c r="AK201" i="43"/>
  <c r="W208" i="43" s="1"/>
  <c r="AI115" i="43"/>
  <c r="BB143" i="43"/>
  <c r="AZ143" i="43"/>
  <c r="BC143" i="43"/>
  <c r="Z201" i="43"/>
  <c r="V206" i="43" s="1"/>
  <c r="AY115" i="43"/>
  <c r="BA115" i="43"/>
  <c r="BC115" i="43"/>
  <c r="AY143" i="43"/>
  <c r="X211" i="43"/>
  <c r="F21" i="9"/>
  <c r="AD115" i="43" l="1"/>
  <c r="E17" i="44" s="1"/>
  <c r="E22" i="44" s="1"/>
  <c r="Y211" i="43"/>
  <c r="AN201" i="43"/>
  <c r="G17" i="44"/>
  <c r="G17" i="45"/>
  <c r="G22" i="45" s="1"/>
  <c r="U206" i="43"/>
  <c r="U6" i="45"/>
  <c r="U14" i="45" s="1"/>
  <c r="AZ201" i="43"/>
  <c r="AI201" i="43"/>
  <c r="F17" i="45"/>
  <c r="F22" i="45" s="1"/>
  <c r="Z208" i="43"/>
  <c r="W211" i="43"/>
  <c r="E23" i="9"/>
  <c r="U208" i="43"/>
  <c r="BA201" i="43"/>
  <c r="BC201" i="43"/>
  <c r="BB201" i="43"/>
  <c r="F17" i="44"/>
  <c r="AY201" i="43"/>
  <c r="D21" i="9"/>
  <c r="Z206" i="43"/>
  <c r="V211" i="43"/>
  <c r="T168" i="24"/>
  <c r="U168" i="24"/>
  <c r="V168" i="24"/>
  <c r="AA168" i="24" s="1"/>
  <c r="W168" i="24"/>
  <c r="X168" i="24"/>
  <c r="AD201" i="43" l="1"/>
  <c r="E17" i="45"/>
  <c r="E22" i="45" s="1"/>
  <c r="J30" i="45" s="1"/>
  <c r="U211" i="43"/>
  <c r="U212" i="43" s="1"/>
  <c r="BC202" i="43"/>
  <c r="Z211" i="43"/>
  <c r="AN382" i="24"/>
  <c r="I22" i="45" l="1"/>
  <c r="J25" i="45"/>
  <c r="J32" i="45" s="1"/>
  <c r="I17" i="45"/>
  <c r="I24" i="45" s="1"/>
  <c r="AN403" i="24"/>
  <c r="AN397" i="24"/>
  <c r="AN391" i="24"/>
  <c r="AN394" i="24"/>
  <c r="AN400" i="24"/>
  <c r="AN399" i="24"/>
  <c r="AN388" i="24"/>
  <c r="AN387" i="24"/>
  <c r="AN384" i="24"/>
  <c r="AN383" i="24"/>
  <c r="I442" i="24" l="1"/>
  <c r="I439" i="24"/>
  <c r="I435" i="24"/>
  <c r="N427" i="24"/>
  <c r="M426" i="24"/>
  <c r="L426" i="24"/>
  <c r="K426" i="24"/>
  <c r="N425" i="24"/>
  <c r="N424" i="24"/>
  <c r="N423" i="24"/>
  <c r="N422" i="24"/>
  <c r="N421" i="24"/>
  <c r="N420" i="24"/>
  <c r="N419" i="24"/>
  <c r="M418" i="24"/>
  <c r="L418" i="24"/>
  <c r="K418" i="24"/>
  <c r="J418" i="24"/>
  <c r="R439" i="24" l="1"/>
  <c r="O439" i="24"/>
  <c r="Q439" i="24"/>
  <c r="P439" i="24"/>
  <c r="R435" i="24"/>
  <c r="Q435" i="24"/>
  <c r="P435" i="24"/>
  <c r="O435" i="24"/>
  <c r="R442" i="24"/>
  <c r="P442" i="24"/>
  <c r="O442" i="24"/>
  <c r="Q442" i="24"/>
  <c r="N418" i="24"/>
  <c r="N426" i="24"/>
  <c r="I62" i="24"/>
  <c r="I61" i="24"/>
  <c r="I60" i="24"/>
  <c r="I59" i="24"/>
  <c r="I58" i="24"/>
  <c r="I57" i="24"/>
  <c r="AH63" i="24"/>
  <c r="AI63" i="24" s="1"/>
  <c r="AH62" i="24"/>
  <c r="AI62" i="24" s="1"/>
  <c r="AH61" i="24"/>
  <c r="AI61" i="24" s="1"/>
  <c r="AH60" i="24"/>
  <c r="AI60" i="24" s="1"/>
  <c r="AH59" i="24"/>
  <c r="AI59" i="24" s="1"/>
  <c r="AH58" i="24"/>
  <c r="AI58" i="24" s="1"/>
  <c r="AH57" i="24"/>
  <c r="AI57" i="24" s="1"/>
  <c r="AH55" i="24"/>
  <c r="AH52" i="24"/>
  <c r="X63" i="24"/>
  <c r="W63" i="24"/>
  <c r="V63" i="24"/>
  <c r="U63" i="24"/>
  <c r="T63" i="24"/>
  <c r="X62" i="24"/>
  <c r="W62" i="24"/>
  <c r="V62" i="24"/>
  <c r="U62" i="24"/>
  <c r="T62" i="24"/>
  <c r="X61" i="24"/>
  <c r="W61" i="24"/>
  <c r="V61" i="24"/>
  <c r="U61" i="24"/>
  <c r="T61" i="24"/>
  <c r="X60" i="24"/>
  <c r="W60" i="24"/>
  <c r="V60" i="24"/>
  <c r="U60" i="24"/>
  <c r="T60" i="24"/>
  <c r="X59" i="24"/>
  <c r="W59" i="24"/>
  <c r="V59" i="24"/>
  <c r="U59" i="24"/>
  <c r="T59" i="24"/>
  <c r="X57" i="24"/>
  <c r="W57" i="24"/>
  <c r="V57" i="24"/>
  <c r="U57" i="24"/>
  <c r="T57" i="24"/>
  <c r="X55" i="24"/>
  <c r="W55" i="24"/>
  <c r="V55" i="24"/>
  <c r="U55" i="24"/>
  <c r="T55" i="24"/>
  <c r="X52" i="24"/>
  <c r="W52" i="24"/>
  <c r="V52" i="24"/>
  <c r="U52" i="24"/>
  <c r="T52" i="24"/>
  <c r="X58" i="24"/>
  <c r="W58" i="24"/>
  <c r="V58" i="24"/>
  <c r="U58" i="24"/>
  <c r="T58" i="24"/>
  <c r="N63" i="24"/>
  <c r="N62" i="24"/>
  <c r="N61" i="24"/>
  <c r="N60" i="24"/>
  <c r="N59" i="24"/>
  <c r="N58" i="24"/>
  <c r="N57" i="24"/>
  <c r="O48" i="24"/>
  <c r="Q57" i="24" l="1"/>
  <c r="R57" i="24"/>
  <c r="P57" i="24"/>
  <c r="O57" i="24"/>
  <c r="Q59" i="24"/>
  <c r="P59" i="24"/>
  <c r="O59" i="24"/>
  <c r="R59" i="24"/>
  <c r="Q61" i="24"/>
  <c r="P61" i="24"/>
  <c r="O61" i="24"/>
  <c r="R61" i="24"/>
  <c r="Q58" i="24"/>
  <c r="R58" i="24"/>
  <c r="P58" i="24"/>
  <c r="O58" i="24"/>
  <c r="Q60" i="24"/>
  <c r="R60" i="24"/>
  <c r="P60" i="24"/>
  <c r="O60" i="24"/>
  <c r="Q62" i="24"/>
  <c r="R62" i="24"/>
  <c r="P62" i="24"/>
  <c r="O62" i="24"/>
  <c r="S63" i="24"/>
  <c r="S59" i="24" l="1"/>
  <c r="AA59" i="24" s="1"/>
  <c r="S62" i="24"/>
  <c r="Z62" i="24" s="1"/>
  <c r="S61" i="24"/>
  <c r="AB61" i="24" s="1"/>
  <c r="S57" i="24"/>
  <c r="Z57" i="24" s="1"/>
  <c r="S58" i="24"/>
  <c r="AA58" i="24" s="1"/>
  <c r="S60" i="24"/>
  <c r="Y60" i="24" s="1"/>
  <c r="Y63" i="24"/>
  <c r="AA63" i="24"/>
  <c r="Z63" i="24"/>
  <c r="AB63" i="24"/>
  <c r="AC63" i="24"/>
  <c r="AB57" i="24" l="1"/>
  <c r="AC57" i="24"/>
  <c r="AA62" i="24"/>
  <c r="AC62" i="24"/>
  <c r="Y62" i="24"/>
  <c r="AB62" i="24"/>
  <c r="AC59" i="24"/>
  <c r="AB59" i="24"/>
  <c r="Z61" i="24"/>
  <c r="Z59" i="24"/>
  <c r="AB60" i="24"/>
  <c r="Z60" i="24"/>
  <c r="Z58" i="24"/>
  <c r="Y57" i="24"/>
  <c r="AA57" i="24"/>
  <c r="AC60" i="24"/>
  <c r="AA61" i="24"/>
  <c r="AB58" i="24"/>
  <c r="Y61" i="24"/>
  <c r="AC61" i="24"/>
  <c r="Y59" i="24"/>
  <c r="Y58" i="24"/>
  <c r="AC58" i="24"/>
  <c r="AA60" i="24"/>
  <c r="AD63" i="24"/>
  <c r="AE63" i="24" s="1"/>
  <c r="N18" i="24"/>
  <c r="AD57" i="24" l="1"/>
  <c r="AE57" i="24" s="1"/>
  <c r="AD59" i="24"/>
  <c r="AE59" i="24" s="1"/>
  <c r="AD62" i="24"/>
  <c r="AE62" i="24" s="1"/>
  <c r="AD60" i="24"/>
  <c r="AE60" i="24" s="1"/>
  <c r="AD58" i="24"/>
  <c r="AE58" i="24" s="1"/>
  <c r="AD61" i="24"/>
  <c r="AE61" i="24" s="1"/>
  <c r="P11" i="44"/>
  <c r="S11" i="44" s="1"/>
  <c r="P12" i="44"/>
  <c r="S12" i="44" s="1"/>
  <c r="P13" i="44"/>
  <c r="S13" i="44" s="1"/>
  <c r="H32" i="44"/>
  <c r="G32" i="44"/>
  <c r="F32" i="44"/>
  <c r="E32" i="44"/>
  <c r="I31" i="44"/>
  <c r="I30" i="44"/>
  <c r="I29" i="44"/>
  <c r="I28" i="44"/>
  <c r="I27" i="44"/>
  <c r="O9" i="44"/>
  <c r="S9" i="44" s="1"/>
  <c r="R12" i="44" l="1"/>
  <c r="R13" i="44"/>
  <c r="R11" i="44"/>
  <c r="I32" i="44"/>
  <c r="R9" i="44"/>
  <c r="E19" i="28" l="1"/>
  <c r="E18" i="28"/>
  <c r="E17" i="28"/>
  <c r="E14" i="28"/>
  <c r="E13" i="28"/>
  <c r="E12" i="28"/>
  <c r="E15" i="28" l="1"/>
  <c r="Y8" i="44"/>
  <c r="J27" i="44" l="1"/>
  <c r="I19" i="44"/>
  <c r="Q8" i="44" l="1"/>
  <c r="Y10" i="44" l="1"/>
  <c r="J29" i="44"/>
  <c r="F22" i="44"/>
  <c r="I21" i="44" l="1"/>
  <c r="Q7" i="44" s="1"/>
  <c r="Y7" i="44"/>
  <c r="G22" i="44"/>
  <c r="I20" i="44"/>
  <c r="Q10" i="44" s="1"/>
  <c r="J28" i="44"/>
  <c r="Y6" i="44"/>
  <c r="Y14" i="44" s="1"/>
  <c r="I17" i="44"/>
  <c r="J25" i="44"/>
  <c r="I18" i="44" l="1"/>
  <c r="I23" i="44" s="1"/>
  <c r="J26" i="44"/>
  <c r="J32" i="44" s="1"/>
  <c r="H22" i="44"/>
  <c r="I22" i="44" s="1"/>
  <c r="I24" i="44" l="1"/>
  <c r="J30" i="44"/>
  <c r="Q6" i="44"/>
  <c r="L84" i="26"/>
  <c r="L82" i="26"/>
  <c r="L81" i="26"/>
  <c r="L80" i="26"/>
  <c r="BC77" i="26"/>
  <c r="BD77" i="26" s="1"/>
  <c r="BC76" i="26"/>
  <c r="BD76" i="26" s="1"/>
  <c r="BC75" i="26"/>
  <c r="BD75" i="26" s="1"/>
  <c r="BC74" i="26"/>
  <c r="BD74" i="26" s="1"/>
  <c r="BC73" i="26"/>
  <c r="BD73" i="26" s="1"/>
  <c r="AB77" i="26"/>
  <c r="AA77" i="26"/>
  <c r="Z77" i="26"/>
  <c r="Y77" i="26"/>
  <c r="X77" i="26"/>
  <c r="AB76" i="26"/>
  <c r="AA76" i="26"/>
  <c r="Z76" i="26"/>
  <c r="Y76" i="26"/>
  <c r="X76" i="26"/>
  <c r="AB75" i="26"/>
  <c r="AA75" i="26"/>
  <c r="Z75" i="26"/>
  <c r="Y75" i="26"/>
  <c r="X75" i="26"/>
  <c r="AB74" i="26"/>
  <c r="AA74" i="26"/>
  <c r="Z74" i="26"/>
  <c r="Y74" i="26"/>
  <c r="X74" i="26"/>
  <c r="AB73" i="26"/>
  <c r="AA73" i="26"/>
  <c r="Z73" i="26"/>
  <c r="Y73" i="26"/>
  <c r="X73" i="26"/>
  <c r="Q77" i="26"/>
  <c r="L77" i="26"/>
  <c r="B77" i="26"/>
  <c r="A77" i="26" s="1"/>
  <c r="Q76" i="26"/>
  <c r="L76" i="26"/>
  <c r="B76" i="26"/>
  <c r="A76" i="26" s="1"/>
  <c r="Q75" i="26"/>
  <c r="B75" i="26"/>
  <c r="A75" i="26" s="1"/>
  <c r="Q74" i="26"/>
  <c r="B74" i="26"/>
  <c r="A74" i="26" s="1"/>
  <c r="Q73" i="26"/>
  <c r="B73" i="26"/>
  <c r="A73" i="26" s="1"/>
  <c r="AB69" i="26"/>
  <c r="AA69" i="26"/>
  <c r="Z69" i="26"/>
  <c r="Y69" i="26"/>
  <c r="X69" i="26"/>
  <c r="AB68" i="26"/>
  <c r="AA68" i="26"/>
  <c r="Z68" i="26"/>
  <c r="Y68" i="26"/>
  <c r="X68" i="26"/>
  <c r="AB67" i="26"/>
  <c r="AA67" i="26"/>
  <c r="Z67" i="26"/>
  <c r="Y67" i="26"/>
  <c r="X67" i="26"/>
  <c r="AB66" i="26"/>
  <c r="AA66" i="26"/>
  <c r="Z66" i="26"/>
  <c r="Y66" i="26"/>
  <c r="X66" i="26"/>
  <c r="AB65" i="26"/>
  <c r="AA65" i="26"/>
  <c r="Z65" i="26"/>
  <c r="Y65" i="26"/>
  <c r="X65" i="26"/>
  <c r="AB64" i="26"/>
  <c r="AA64" i="26"/>
  <c r="Z64" i="26"/>
  <c r="Y64" i="26"/>
  <c r="X64" i="26"/>
  <c r="AB63" i="26"/>
  <c r="AA63" i="26"/>
  <c r="Z63" i="26"/>
  <c r="Y63" i="26"/>
  <c r="X63" i="26"/>
  <c r="AB62" i="26"/>
  <c r="AA62" i="26"/>
  <c r="Z62" i="26"/>
  <c r="Y62" i="26"/>
  <c r="X62" i="26"/>
  <c r="AB61" i="26"/>
  <c r="AA61" i="26"/>
  <c r="Z61" i="26"/>
  <c r="Y61" i="26"/>
  <c r="X61" i="26"/>
  <c r="AB60" i="26"/>
  <c r="AA60" i="26"/>
  <c r="Z60" i="26"/>
  <c r="Y60" i="26"/>
  <c r="X60" i="26"/>
  <c r="BC69" i="26"/>
  <c r="BD69" i="26" s="1"/>
  <c r="Q69" i="26"/>
  <c r="L69" i="26"/>
  <c r="B69" i="26"/>
  <c r="A69" i="26" s="1"/>
  <c r="Q68" i="26"/>
  <c r="L68" i="26"/>
  <c r="B68" i="26"/>
  <c r="A68" i="26" s="1"/>
  <c r="Q67" i="26"/>
  <c r="L67" i="26"/>
  <c r="B67" i="26"/>
  <c r="A67" i="26" s="1"/>
  <c r="Q66" i="26"/>
  <c r="L66" i="26"/>
  <c r="B66" i="26"/>
  <c r="A66" i="26" s="1"/>
  <c r="Q65" i="26"/>
  <c r="L65" i="26"/>
  <c r="B65" i="26"/>
  <c r="A65" i="26" s="1"/>
  <c r="Q64" i="26"/>
  <c r="L64" i="26"/>
  <c r="B64" i="26"/>
  <c r="A64" i="26" s="1"/>
  <c r="Q63" i="26"/>
  <c r="L63" i="26"/>
  <c r="B63" i="26"/>
  <c r="A63" i="26" s="1"/>
  <c r="Q62" i="26"/>
  <c r="L62" i="26"/>
  <c r="B62" i="26"/>
  <c r="A62" i="26" s="1"/>
  <c r="Q61" i="26"/>
  <c r="L61" i="26"/>
  <c r="B61" i="26"/>
  <c r="Q60" i="26"/>
  <c r="L60" i="26"/>
  <c r="B60" i="26"/>
  <c r="A60" i="26" s="1"/>
  <c r="O36" i="26"/>
  <c r="N36" i="26"/>
  <c r="M36" i="26"/>
  <c r="L36" i="26"/>
  <c r="AB34" i="26"/>
  <c r="AA34" i="26"/>
  <c r="AU34" i="26" s="1"/>
  <c r="Z34" i="26"/>
  <c r="Y34" i="26"/>
  <c r="AM34" i="26" s="1"/>
  <c r="X34" i="26"/>
  <c r="AB33" i="26"/>
  <c r="AA33" i="26"/>
  <c r="AU33" i="26" s="1"/>
  <c r="Z33" i="26"/>
  <c r="Y33" i="26"/>
  <c r="X33" i="26"/>
  <c r="AK33" i="26" s="1"/>
  <c r="AB32" i="26"/>
  <c r="AA32" i="26"/>
  <c r="AU32" i="26" s="1"/>
  <c r="Z32" i="26"/>
  <c r="Y32" i="26"/>
  <c r="X32" i="26"/>
  <c r="AI32" i="26" s="1"/>
  <c r="AB31" i="26"/>
  <c r="AA31" i="26"/>
  <c r="AW31" i="26" s="1"/>
  <c r="Z31" i="26"/>
  <c r="Y31" i="26"/>
  <c r="X31" i="26"/>
  <c r="BC34" i="26"/>
  <c r="BD34" i="26" s="1"/>
  <c r="BC33" i="26"/>
  <c r="BD33" i="26" s="1"/>
  <c r="BC32" i="26"/>
  <c r="BD32" i="26" s="1"/>
  <c r="BC31" i="26"/>
  <c r="BD31" i="26" s="1"/>
  <c r="Q34" i="26"/>
  <c r="Q33" i="26"/>
  <c r="Q32" i="26"/>
  <c r="BC28" i="26"/>
  <c r="BD28" i="26" s="1"/>
  <c r="BC27" i="26"/>
  <c r="BD27" i="26" s="1"/>
  <c r="BC26" i="26"/>
  <c r="BD26" i="26" s="1"/>
  <c r="BC25" i="26"/>
  <c r="BD25" i="26" s="1"/>
  <c r="BC24" i="26"/>
  <c r="BD24" i="26" s="1"/>
  <c r="AB28" i="26"/>
  <c r="AB27" i="26"/>
  <c r="AB26" i="26"/>
  <c r="AB25" i="26"/>
  <c r="AB24" i="26"/>
  <c r="AA28" i="26"/>
  <c r="AU28" i="26" s="1"/>
  <c r="Z28" i="26"/>
  <c r="AS28" i="26" s="1"/>
  <c r="Y28" i="26"/>
  <c r="X28" i="26"/>
  <c r="AA27" i="26"/>
  <c r="AU27" i="26" s="1"/>
  <c r="Z27" i="26"/>
  <c r="Y27" i="26"/>
  <c r="X27" i="26"/>
  <c r="AI27" i="26" s="1"/>
  <c r="AA26" i="26"/>
  <c r="AU26" i="26" s="1"/>
  <c r="Z26" i="26"/>
  <c r="Y26" i="26"/>
  <c r="X26" i="26"/>
  <c r="AK26" i="26" s="1"/>
  <c r="AA25" i="26"/>
  <c r="AU25" i="26" s="1"/>
  <c r="Z25" i="26"/>
  <c r="Y25" i="26"/>
  <c r="X25" i="26"/>
  <c r="AA24" i="26"/>
  <c r="AX24" i="26" s="1"/>
  <c r="Z24" i="26"/>
  <c r="Y24" i="26"/>
  <c r="X24" i="26"/>
  <c r="Q28" i="26"/>
  <c r="Q27" i="26"/>
  <c r="Q26" i="26"/>
  <c r="Q25" i="26"/>
  <c r="Q24" i="26"/>
  <c r="AB21" i="26"/>
  <c r="AA21" i="26"/>
  <c r="AU21" i="26" s="1"/>
  <c r="Z21" i="26"/>
  <c r="Y21" i="26"/>
  <c r="X21" i="26"/>
  <c r="AB20" i="26"/>
  <c r="AA20" i="26"/>
  <c r="AU20" i="26" s="1"/>
  <c r="Z20" i="26"/>
  <c r="Y20" i="26"/>
  <c r="AO20" i="26" s="1"/>
  <c r="X20" i="26"/>
  <c r="AB19" i="26"/>
  <c r="AA19" i="26"/>
  <c r="AU19" i="26" s="1"/>
  <c r="Z19" i="26"/>
  <c r="AS19" i="26" s="1"/>
  <c r="Y19" i="26"/>
  <c r="X19" i="26"/>
  <c r="AK19" i="26" s="1"/>
  <c r="AB18" i="26"/>
  <c r="AA18" i="26"/>
  <c r="AU18" i="26" s="1"/>
  <c r="Z18" i="26"/>
  <c r="Y18" i="26"/>
  <c r="AO18" i="26" s="1"/>
  <c r="X18" i="26"/>
  <c r="AB17" i="26"/>
  <c r="AA17" i="26"/>
  <c r="AX17" i="26" s="1"/>
  <c r="Z17" i="26"/>
  <c r="Y17" i="26"/>
  <c r="X17" i="26"/>
  <c r="BC21" i="26"/>
  <c r="BD21" i="26" s="1"/>
  <c r="BC20" i="26"/>
  <c r="BD20" i="26" s="1"/>
  <c r="BC19" i="26"/>
  <c r="BD19" i="26" s="1"/>
  <c r="BC18" i="26"/>
  <c r="BD18" i="26" s="1"/>
  <c r="BC17" i="26"/>
  <c r="BD17" i="26" s="1"/>
  <c r="BC13" i="26"/>
  <c r="BD13" i="26" s="1"/>
  <c r="BC12" i="26"/>
  <c r="BD12" i="26" s="1"/>
  <c r="BC11" i="26"/>
  <c r="BD11" i="26" s="1"/>
  <c r="BC10" i="26"/>
  <c r="BD10" i="26" s="1"/>
  <c r="AB14" i="26"/>
  <c r="AA14" i="26"/>
  <c r="AU14" i="26" s="1"/>
  <c r="Z14" i="26"/>
  <c r="Y14" i="26"/>
  <c r="X14" i="26"/>
  <c r="AB13" i="26"/>
  <c r="AA13" i="26"/>
  <c r="AU13" i="26" s="1"/>
  <c r="Z13" i="26"/>
  <c r="Y13" i="26"/>
  <c r="AM13" i="26" s="1"/>
  <c r="X13" i="26"/>
  <c r="AI13" i="26" s="1"/>
  <c r="AB12" i="26"/>
  <c r="AA12" i="26"/>
  <c r="AU12" i="26" s="1"/>
  <c r="Z12" i="26"/>
  <c r="Y12" i="26"/>
  <c r="X12" i="26"/>
  <c r="AK12" i="26" s="1"/>
  <c r="AB11" i="26"/>
  <c r="AA11" i="26"/>
  <c r="AU11" i="26" s="1"/>
  <c r="Z11" i="26"/>
  <c r="AS11" i="26" s="1"/>
  <c r="Y11" i="26"/>
  <c r="X11" i="26"/>
  <c r="AB10" i="26"/>
  <c r="AH10" i="26" s="1"/>
  <c r="AA10" i="26"/>
  <c r="Z10" i="26"/>
  <c r="AF10" i="26" s="1"/>
  <c r="Y10" i="26"/>
  <c r="AE10" i="26" s="1"/>
  <c r="X10" i="26"/>
  <c r="AD10" i="26" s="1"/>
  <c r="BC14" i="26"/>
  <c r="BD14" i="26" s="1"/>
  <c r="Q14" i="26"/>
  <c r="Q13" i="26"/>
  <c r="Q12" i="26"/>
  <c r="Q11" i="26"/>
  <c r="Q36" i="26" l="1"/>
  <c r="A61" i="26"/>
  <c r="U61" i="26"/>
  <c r="T61" i="26"/>
  <c r="S61" i="26"/>
  <c r="AJ61" i="26" s="1"/>
  <c r="R61" i="26"/>
  <c r="AM61" i="26" s="1"/>
  <c r="U63" i="26"/>
  <c r="AX63" i="26" s="1"/>
  <c r="T63" i="26"/>
  <c r="S63" i="26"/>
  <c r="R63" i="26"/>
  <c r="AU63" i="26" s="1"/>
  <c r="U65" i="26"/>
  <c r="AP65" i="26" s="1"/>
  <c r="T65" i="26"/>
  <c r="S65" i="26"/>
  <c r="AN65" i="26" s="1"/>
  <c r="R65" i="26"/>
  <c r="AM65" i="26" s="1"/>
  <c r="U67" i="26"/>
  <c r="AL67" i="26" s="1"/>
  <c r="T67" i="26"/>
  <c r="AK67" i="26" s="1"/>
  <c r="S67" i="26"/>
  <c r="AN67" i="26" s="1"/>
  <c r="R67" i="26"/>
  <c r="AM67" i="26" s="1"/>
  <c r="U69" i="26"/>
  <c r="AP69" i="26" s="1"/>
  <c r="T69" i="26"/>
  <c r="S69" i="26"/>
  <c r="AR69" i="26" s="1"/>
  <c r="R69" i="26"/>
  <c r="AQ69" i="26" s="1"/>
  <c r="U76" i="26"/>
  <c r="AL76" i="26" s="1"/>
  <c r="R76" i="26"/>
  <c r="T76" i="26"/>
  <c r="AS76" i="26" s="1"/>
  <c r="S76" i="26"/>
  <c r="AV76" i="26" s="1"/>
  <c r="U81" i="26"/>
  <c r="R81" i="26"/>
  <c r="T81" i="26"/>
  <c r="S81" i="26"/>
  <c r="U84" i="26"/>
  <c r="R84" i="26"/>
  <c r="T84" i="26"/>
  <c r="S84" i="26"/>
  <c r="U60" i="26"/>
  <c r="AT60" i="26" s="1"/>
  <c r="S60" i="26"/>
  <c r="AJ60" i="26" s="1"/>
  <c r="R60" i="26"/>
  <c r="AU60" i="26" s="1"/>
  <c r="T60" i="26"/>
  <c r="AW60" i="26" s="1"/>
  <c r="U62" i="26"/>
  <c r="AT62" i="26" s="1"/>
  <c r="S62" i="26"/>
  <c r="AR62" i="26" s="1"/>
  <c r="R62" i="26"/>
  <c r="AM62" i="26" s="1"/>
  <c r="T62" i="26"/>
  <c r="AW62" i="26" s="1"/>
  <c r="U64" i="26"/>
  <c r="AT64" i="26" s="1"/>
  <c r="S64" i="26"/>
  <c r="R64" i="26"/>
  <c r="AU64" i="26" s="1"/>
  <c r="T64" i="26"/>
  <c r="AW64" i="26" s="1"/>
  <c r="U66" i="26"/>
  <c r="AL66" i="26" s="1"/>
  <c r="S66" i="26"/>
  <c r="R66" i="26"/>
  <c r="AI66" i="26" s="1"/>
  <c r="T66" i="26"/>
  <c r="AO66" i="26" s="1"/>
  <c r="U68" i="26"/>
  <c r="AX68" i="26" s="1"/>
  <c r="S68" i="26"/>
  <c r="R68" i="26"/>
  <c r="AQ68" i="26" s="1"/>
  <c r="T68" i="26"/>
  <c r="AK68" i="26" s="1"/>
  <c r="U77" i="26"/>
  <c r="AX77" i="26" s="1"/>
  <c r="S77" i="26"/>
  <c r="AV77" i="26" s="1"/>
  <c r="T77" i="26"/>
  <c r="AK77" i="26" s="1"/>
  <c r="R77" i="26"/>
  <c r="AU77" i="26" s="1"/>
  <c r="U80" i="26"/>
  <c r="R80" i="26"/>
  <c r="T80" i="26"/>
  <c r="S80" i="26"/>
  <c r="U82" i="26"/>
  <c r="S82" i="26"/>
  <c r="T82" i="26"/>
  <c r="R82" i="26"/>
  <c r="AJ10" i="26"/>
  <c r="AI10" i="26"/>
  <c r="AX10" i="26"/>
  <c r="AG10" i="26"/>
  <c r="AQ73" i="26"/>
  <c r="AK17" i="26"/>
  <c r="AS17" i="26"/>
  <c r="AR73" i="26"/>
  <c r="AS12" i="26"/>
  <c r="AR74" i="26"/>
  <c r="AI20" i="26"/>
  <c r="V34" i="26"/>
  <c r="AP18" i="26"/>
  <c r="AP12" i="26"/>
  <c r="AT25" i="26"/>
  <c r="AL33" i="26"/>
  <c r="AJ34" i="26"/>
  <c r="V20" i="26"/>
  <c r="AT75" i="26"/>
  <c r="AL24" i="26"/>
  <c r="AK28" i="26"/>
  <c r="V28" i="26"/>
  <c r="AT18" i="26"/>
  <c r="AK75" i="26"/>
  <c r="AM28" i="26"/>
  <c r="AW75" i="26"/>
  <c r="AN68" i="26"/>
  <c r="AT26" i="26"/>
  <c r="AP61" i="26"/>
  <c r="V13" i="26"/>
  <c r="AL74" i="26"/>
  <c r="AW69" i="26"/>
  <c r="AW67" i="26"/>
  <c r="AK65" i="26"/>
  <c r="AS61" i="26"/>
  <c r="AN27" i="26"/>
  <c r="AP32" i="26"/>
  <c r="V11" i="26"/>
  <c r="V17" i="26"/>
  <c r="V25" i="26"/>
  <c r="AV75" i="26"/>
  <c r="AL18" i="26"/>
  <c r="AT32" i="26"/>
  <c r="AI12" i="26"/>
  <c r="V14" i="26"/>
  <c r="V18" i="26"/>
  <c r="V26" i="26"/>
  <c r="V27" i="26"/>
  <c r="V31" i="26"/>
  <c r="AL13" i="26"/>
  <c r="AL28" i="26"/>
  <c r="AV73" i="26"/>
  <c r="Q14" i="44"/>
  <c r="AR64" i="26"/>
  <c r="AP66" i="26"/>
  <c r="V32" i="26"/>
  <c r="AX73" i="26"/>
  <c r="V75" i="26"/>
  <c r="AS75" i="26"/>
  <c r="AI74" i="26"/>
  <c r="AN11" i="26"/>
  <c r="V19" i="26"/>
  <c r="AU24" i="26"/>
  <c r="AI73" i="26"/>
  <c r="AU74" i="26"/>
  <c r="AP11" i="26"/>
  <c r="V21" i="26"/>
  <c r="V24" i="26"/>
  <c r="V33" i="26"/>
  <c r="AX25" i="26"/>
  <c r="AW73" i="26"/>
  <c r="AO11" i="26"/>
  <c r="AO69" i="26"/>
  <c r="AX75" i="26"/>
  <c r="AL11" i="26"/>
  <c r="AK21" i="26"/>
  <c r="AP31" i="26"/>
  <c r="AS34" i="26"/>
  <c r="AU10" i="26"/>
  <c r="AX33" i="26"/>
  <c r="AU75" i="26"/>
  <c r="AQ31" i="26"/>
  <c r="V12" i="26"/>
  <c r="AX13" i="26"/>
  <c r="AR75" i="26"/>
  <c r="AU73" i="26"/>
  <c r="AX74" i="26"/>
  <c r="AS21" i="26"/>
  <c r="AP25" i="26"/>
  <c r="AP33" i="26"/>
  <c r="AX11" i="26"/>
  <c r="AO75" i="26"/>
  <c r="AW74" i="26"/>
  <c r="AX21" i="26"/>
  <c r="AV74" i="26"/>
  <c r="AT28" i="26"/>
  <c r="AU67" i="26"/>
  <c r="AX19" i="26"/>
  <c r="AP74" i="26"/>
  <c r="AN13" i="26"/>
  <c r="AM26" i="26"/>
  <c r="AX27" i="26"/>
  <c r="AM74" i="26"/>
  <c r="AT74" i="26"/>
  <c r="AS74" i="26"/>
  <c r="AL73" i="26"/>
  <c r="AJ75" i="26"/>
  <c r="AO74" i="26"/>
  <c r="AL75" i="26"/>
  <c r="AK74" i="26"/>
  <c r="AT73" i="26"/>
  <c r="AP73" i="26"/>
  <c r="AJ73" i="26"/>
  <c r="AH75" i="26"/>
  <c r="AP75" i="26"/>
  <c r="AK73" i="26"/>
  <c r="AS73" i="26"/>
  <c r="V74" i="26"/>
  <c r="AN74" i="26"/>
  <c r="AI75" i="26"/>
  <c r="AQ75" i="26"/>
  <c r="AM73" i="26"/>
  <c r="V73" i="26"/>
  <c r="AN73" i="26"/>
  <c r="AQ74" i="26"/>
  <c r="AO73" i="26"/>
  <c r="AJ74" i="26"/>
  <c r="AM75" i="26"/>
  <c r="AN75" i="26"/>
  <c r="AI11" i="26"/>
  <c r="AI34" i="26"/>
  <c r="AL31" i="26"/>
  <c r="AR60" i="26"/>
  <c r="AV10" i="26"/>
  <c r="AW13" i="26"/>
  <c r="AW11" i="26"/>
  <c r="AW21" i="26"/>
  <c r="AW19" i="26"/>
  <c r="AV24" i="26"/>
  <c r="AW27" i="26"/>
  <c r="AW25" i="26"/>
  <c r="AW33" i="26"/>
  <c r="AV60" i="26"/>
  <c r="AN18" i="26"/>
  <c r="AM25" i="26"/>
  <c r="AW10" i="26"/>
  <c r="AV13" i="26"/>
  <c r="AV11" i="26"/>
  <c r="AV21" i="26"/>
  <c r="AV19" i="26"/>
  <c r="AW24" i="26"/>
  <c r="AV27" i="26"/>
  <c r="AV25" i="26"/>
  <c r="AV33" i="26"/>
  <c r="AV64" i="26"/>
  <c r="AM21" i="26"/>
  <c r="AP20" i="26"/>
  <c r="AI24" i="26"/>
  <c r="AS32" i="26"/>
  <c r="AX14" i="26"/>
  <c r="AX12" i="26"/>
  <c r="AU17" i="26"/>
  <c r="AX20" i="26"/>
  <c r="AX18" i="26"/>
  <c r="AX28" i="26"/>
  <c r="AX26" i="26"/>
  <c r="AX34" i="26"/>
  <c r="AX32" i="26"/>
  <c r="AX69" i="26"/>
  <c r="AW14" i="26"/>
  <c r="AW12" i="26"/>
  <c r="AV17" i="26"/>
  <c r="AW20" i="26"/>
  <c r="AW18" i="26"/>
  <c r="AW28" i="26"/>
  <c r="AW26" i="26"/>
  <c r="AW34" i="26"/>
  <c r="AW32" i="26"/>
  <c r="AL62" i="26"/>
  <c r="AV14" i="26"/>
  <c r="AV12" i="26"/>
  <c r="AW17" i="26"/>
  <c r="AV20" i="26"/>
  <c r="AV18" i="26"/>
  <c r="AV28" i="26"/>
  <c r="AV26" i="26"/>
  <c r="AV34" i="26"/>
  <c r="AV32" i="26"/>
  <c r="AT69" i="26"/>
  <c r="AP64" i="26"/>
  <c r="AN60" i="26"/>
  <c r="AP62" i="26"/>
  <c r="AJ64" i="26"/>
  <c r="AR63" i="26"/>
  <c r="AN64" i="26"/>
  <c r="AK69" i="26"/>
  <c r="AL12" i="26"/>
  <c r="AX31" i="26"/>
  <c r="AM11" i="26"/>
  <c r="AJ14" i="26"/>
  <c r="AT24" i="26"/>
  <c r="AM12" i="26"/>
  <c r="AP14" i="26"/>
  <c r="AT10" i="26"/>
  <c r="AP19" i="26"/>
  <c r="AI26" i="26"/>
  <c r="AS24" i="26"/>
  <c r="AO13" i="26"/>
  <c r="AO25" i="26"/>
  <c r="AJ32" i="26"/>
  <c r="AO14" i="26"/>
  <c r="AS10" i="26"/>
  <c r="AM27" i="26"/>
  <c r="AP27" i="26"/>
  <c r="AK11" i="26"/>
  <c r="AT12" i="26"/>
  <c r="AJ17" i="26"/>
  <c r="AM20" i="26"/>
  <c r="AO27" i="26"/>
  <c r="AI14" i="26"/>
  <c r="AP13" i="26"/>
  <c r="AI17" i="26"/>
  <c r="AN20" i="26"/>
  <c r="AI28" i="26"/>
  <c r="AL17" i="26"/>
  <c r="AJ19" i="26"/>
  <c r="AM18" i="26"/>
  <c r="AJ21" i="26"/>
  <c r="AL26" i="26"/>
  <c r="AU31" i="26"/>
  <c r="AM19" i="26"/>
  <c r="AP21" i="26"/>
  <c r="AT17" i="26"/>
  <c r="AN25" i="26"/>
  <c r="AS26" i="26"/>
  <c r="AV31" i="26"/>
  <c r="AK31" i="26"/>
  <c r="AJ12" i="26"/>
  <c r="AO12" i="26"/>
  <c r="T36" i="26"/>
  <c r="T55" i="26" s="1"/>
  <c r="AK24" i="26"/>
  <c r="AP24" i="26"/>
  <c r="AO26" i="26"/>
  <c r="AP28" i="26"/>
  <c r="AQ27" i="26"/>
  <c r="AI25" i="26"/>
  <c r="AK18" i="26"/>
  <c r="AP17" i="26"/>
  <c r="AL19" i="26"/>
  <c r="AL20" i="26"/>
  <c r="AQ20" i="26"/>
  <c r="AI19" i="26"/>
  <c r="AI18" i="26"/>
  <c r="AL10" i="26"/>
  <c r="AL14" i="26"/>
  <c r="AK10" i="26"/>
  <c r="AK14" i="26"/>
  <c r="AP10" i="26"/>
  <c r="AT13" i="26"/>
  <c r="U36" i="26"/>
  <c r="U55" i="26" s="1"/>
  <c r="AT14" i="26"/>
  <c r="AM14" i="26"/>
  <c r="AP34" i="26"/>
  <c r="S36" i="26"/>
  <c r="S55" i="26" s="1"/>
  <c r="AR34" i="26"/>
  <c r="AR32" i="26"/>
  <c r="AQ33" i="26"/>
  <c r="AM32" i="26"/>
  <c r="AI31" i="26"/>
  <c r="AT34" i="26"/>
  <c r="AI33" i="26"/>
  <c r="AJ31" i="26"/>
  <c r="AR31" i="26"/>
  <c r="AN32" i="26"/>
  <c r="AJ33" i="26"/>
  <c r="AR33" i="26"/>
  <c r="AN34" i="26"/>
  <c r="AS31" i="26"/>
  <c r="AO32" i="26"/>
  <c r="AS33" i="26"/>
  <c r="AO34" i="26"/>
  <c r="AT31" i="26"/>
  <c r="AT33" i="26"/>
  <c r="AM31" i="26"/>
  <c r="AQ32" i="26"/>
  <c r="AM33" i="26"/>
  <c r="AQ34" i="26"/>
  <c r="AN31" i="26"/>
  <c r="AN33" i="26"/>
  <c r="AO31" i="26"/>
  <c r="AK32" i="26"/>
  <c r="AO33" i="26"/>
  <c r="AK34" i="26"/>
  <c r="AL32" i="26"/>
  <c r="AL34" i="26"/>
  <c r="AL25" i="26"/>
  <c r="AL27" i="26"/>
  <c r="AR28" i="26"/>
  <c r="AP26" i="26"/>
  <c r="AK27" i="26"/>
  <c r="AR24" i="26"/>
  <c r="AM24" i="26"/>
  <c r="AJ25" i="26"/>
  <c r="AR26" i="26"/>
  <c r="AJ27" i="26"/>
  <c r="AQ25" i="26"/>
  <c r="AN24" i="26"/>
  <c r="AR25" i="26"/>
  <c r="AN26" i="26"/>
  <c r="AR27" i="26"/>
  <c r="AN28" i="26"/>
  <c r="AO24" i="26"/>
  <c r="AK25" i="26"/>
  <c r="AS25" i="26"/>
  <c r="AS27" i="26"/>
  <c r="AO28" i="26"/>
  <c r="AT27" i="26"/>
  <c r="AQ24" i="26"/>
  <c r="AQ26" i="26"/>
  <c r="AQ28" i="26"/>
  <c r="AJ24" i="26"/>
  <c r="AJ26" i="26"/>
  <c r="AJ28" i="26"/>
  <c r="AK20" i="26"/>
  <c r="AT21" i="26"/>
  <c r="AM17" i="26"/>
  <c r="AT19" i="26"/>
  <c r="AI21" i="26"/>
  <c r="AL21" i="26"/>
  <c r="AQ18" i="26"/>
  <c r="AN17" i="26"/>
  <c r="AJ18" i="26"/>
  <c r="AR18" i="26"/>
  <c r="AN19" i="26"/>
  <c r="AJ20" i="26"/>
  <c r="AR20" i="26"/>
  <c r="AN21" i="26"/>
  <c r="AO17" i="26"/>
  <c r="AS18" i="26"/>
  <c r="AO19" i="26"/>
  <c r="AS20" i="26"/>
  <c r="AO21" i="26"/>
  <c r="AT20" i="26"/>
  <c r="AQ17" i="26"/>
  <c r="AQ19" i="26"/>
  <c r="AQ21" i="26"/>
  <c r="AR17" i="26"/>
  <c r="AR19" i="26"/>
  <c r="AR21" i="26"/>
  <c r="AT11" i="26"/>
  <c r="AK13" i="26"/>
  <c r="AS14" i="26"/>
  <c r="AM10" i="26"/>
  <c r="AO10" i="26"/>
  <c r="AS13" i="26"/>
  <c r="AQ11" i="26"/>
  <c r="AQ13" i="26"/>
  <c r="AN10" i="26"/>
  <c r="AJ11" i="26"/>
  <c r="AR11" i="26"/>
  <c r="AN12" i="26"/>
  <c r="AJ13" i="26"/>
  <c r="AR13" i="26"/>
  <c r="AN14" i="26"/>
  <c r="AQ10" i="26"/>
  <c r="AQ12" i="26"/>
  <c r="AQ14" i="26"/>
  <c r="AR10" i="26"/>
  <c r="AR12" i="26"/>
  <c r="AR14" i="26"/>
  <c r="AQ61" i="26" l="1"/>
  <c r="AU61" i="26"/>
  <c r="AS60" i="26"/>
  <c r="AI61" i="26"/>
  <c r="AW68" i="26"/>
  <c r="AS68" i="26"/>
  <c r="AR61" i="26"/>
  <c r="AU65" i="26"/>
  <c r="AP63" i="26"/>
  <c r="AN77" i="26"/>
  <c r="AT63" i="26"/>
  <c r="AJ77" i="26"/>
  <c r="AX66" i="26"/>
  <c r="AR77" i="26"/>
  <c r="AT66" i="26"/>
  <c r="AD73" i="26"/>
  <c r="AF75" i="26"/>
  <c r="AM55" i="26"/>
  <c r="AG75" i="26"/>
  <c r="AI55" i="26"/>
  <c r="AQ55" i="26"/>
  <c r="AF31" i="26"/>
  <c r="AD34" i="26"/>
  <c r="AJ55" i="26"/>
  <c r="AK55" i="26"/>
  <c r="AL55" i="26"/>
  <c r="V36" i="26"/>
  <c r="V55" i="26" s="1"/>
  <c r="AL63" i="26"/>
  <c r="AX62" i="26"/>
  <c r="V67" i="26"/>
  <c r="AG67" i="26" s="1"/>
  <c r="AQ67" i="26"/>
  <c r="AI67" i="26"/>
  <c r="AK76" i="26"/>
  <c r="AU62" i="26"/>
  <c r="AW76" i="26"/>
  <c r="AO76" i="26"/>
  <c r="AE33" i="26"/>
  <c r="AG33" i="26"/>
  <c r="AD33" i="26"/>
  <c r="AF33" i="26"/>
  <c r="AH33" i="26"/>
  <c r="AD32" i="26"/>
  <c r="AF32" i="26"/>
  <c r="AH32" i="26"/>
  <c r="AE32" i="26"/>
  <c r="AG32" i="26"/>
  <c r="AF34" i="26"/>
  <c r="AE34" i="26"/>
  <c r="AH34" i="26"/>
  <c r="AG34" i="26"/>
  <c r="AE31" i="26"/>
  <c r="AG31" i="26"/>
  <c r="AD31" i="26"/>
  <c r="AH31" i="26"/>
  <c r="AE26" i="26"/>
  <c r="AG26" i="26"/>
  <c r="AD26" i="26"/>
  <c r="AF26" i="26"/>
  <c r="AH26" i="26"/>
  <c r="AE28" i="26"/>
  <c r="AG28" i="26"/>
  <c r="AD28" i="26"/>
  <c r="AF28" i="26"/>
  <c r="AH28" i="26"/>
  <c r="AD27" i="26"/>
  <c r="AF27" i="26"/>
  <c r="AH27" i="26"/>
  <c r="AE27" i="26"/>
  <c r="AG27" i="26"/>
  <c r="AD25" i="26"/>
  <c r="AF25" i="26"/>
  <c r="AH25" i="26"/>
  <c r="AE25" i="26"/>
  <c r="AG25" i="26"/>
  <c r="AD24" i="26"/>
  <c r="AF24" i="26"/>
  <c r="AH24" i="26"/>
  <c r="AE24" i="26"/>
  <c r="AG24" i="26"/>
  <c r="AD19" i="26"/>
  <c r="AF19" i="26"/>
  <c r="AH19" i="26"/>
  <c r="AE19" i="26"/>
  <c r="AG19" i="26"/>
  <c r="AD21" i="26"/>
  <c r="AF21" i="26"/>
  <c r="AH21" i="26"/>
  <c r="AE21" i="26"/>
  <c r="AG21" i="26"/>
  <c r="AE18" i="26"/>
  <c r="AG18" i="26"/>
  <c r="AD18" i="26"/>
  <c r="AF18" i="26"/>
  <c r="AH18" i="26"/>
  <c r="AE20" i="26"/>
  <c r="AG20" i="26"/>
  <c r="AD20" i="26"/>
  <c r="AF20" i="26"/>
  <c r="AH20" i="26"/>
  <c r="AD17" i="26"/>
  <c r="AF17" i="26"/>
  <c r="AH17" i="26"/>
  <c r="AE17" i="26"/>
  <c r="AG17" i="26"/>
  <c r="AD12" i="26"/>
  <c r="AF12" i="26"/>
  <c r="AH12" i="26"/>
  <c r="AE12" i="26"/>
  <c r="AG12" i="26"/>
  <c r="AD14" i="26"/>
  <c r="AF14" i="26"/>
  <c r="AH14" i="26"/>
  <c r="AE14" i="26"/>
  <c r="AG14" i="26"/>
  <c r="AE13" i="26"/>
  <c r="AG13" i="26"/>
  <c r="AD13" i="26"/>
  <c r="AF13" i="26"/>
  <c r="AH13" i="26"/>
  <c r="AE11" i="26"/>
  <c r="AG11" i="26"/>
  <c r="AD11" i="26"/>
  <c r="AF11" i="26"/>
  <c r="AH11" i="26"/>
  <c r="AN76" i="26"/>
  <c r="AL69" i="26"/>
  <c r="AW61" i="26"/>
  <c r="AD75" i="26"/>
  <c r="AL61" i="26"/>
  <c r="AO60" i="26"/>
  <c r="AS69" i="26"/>
  <c r="AV61" i="26"/>
  <c r="AX61" i="26"/>
  <c r="AE75" i="26"/>
  <c r="AO64" i="26"/>
  <c r="AK60" i="26"/>
  <c r="AK61" i="26"/>
  <c r="AR76" i="26"/>
  <c r="AJ76" i="26"/>
  <c r="V80" i="26"/>
  <c r="AQ60" i="26"/>
  <c r="AO68" i="26"/>
  <c r="AI60" i="26"/>
  <c r="AM64" i="26"/>
  <c r="AM60" i="26"/>
  <c r="AM66" i="26"/>
  <c r="AO62" i="26"/>
  <c r="AK62" i="26"/>
  <c r="AR68" i="26"/>
  <c r="AJ68" i="26"/>
  <c r="AO67" i="26"/>
  <c r="AN61" i="26"/>
  <c r="AS67" i="26"/>
  <c r="AX67" i="26"/>
  <c r="AV68" i="26"/>
  <c r="AO77" i="26"/>
  <c r="V82" i="26"/>
  <c r="AO61" i="26"/>
  <c r="V61" i="26"/>
  <c r="AD61" i="26" s="1"/>
  <c r="AJ69" i="26"/>
  <c r="AP67" i="26"/>
  <c r="AW77" i="26"/>
  <c r="V81" i="26"/>
  <c r="AV67" i="26"/>
  <c r="AR67" i="26"/>
  <c r="D5" i="28"/>
  <c r="AS62" i="26"/>
  <c r="AN69" i="26"/>
  <c r="AV69" i="26"/>
  <c r="AS77" i="26"/>
  <c r="AX55" i="26"/>
  <c r="AJ67" i="26"/>
  <c r="AT61" i="26"/>
  <c r="AR55" i="26"/>
  <c r="AM68" i="26"/>
  <c r="AX65" i="26"/>
  <c r="AQ77" i="26"/>
  <c r="AP60" i="26"/>
  <c r="AS55" i="26"/>
  <c r="AJ65" i="26"/>
  <c r="AL65" i="26"/>
  <c r="AU68" i="26"/>
  <c r="AL60" i="26"/>
  <c r="AN55" i="26"/>
  <c r="AT55" i="26"/>
  <c r="AI68" i="26"/>
  <c r="AV55" i="26"/>
  <c r="AX60" i="26"/>
  <c r="AU55" i="26"/>
  <c r="AW55" i="26"/>
  <c r="AT65" i="26"/>
  <c r="AP55" i="26"/>
  <c r="AO55" i="26"/>
  <c r="V60" i="26"/>
  <c r="AD60" i="26" s="1"/>
  <c r="T70" i="26"/>
  <c r="S70" i="26"/>
  <c r="AW63" i="26"/>
  <c r="AQ66" i="26"/>
  <c r="AW65" i="26"/>
  <c r="AT76" i="26"/>
  <c r="AV63" i="26"/>
  <c r="V76" i="26"/>
  <c r="AV62" i="26"/>
  <c r="AW66" i="26"/>
  <c r="AU66" i="26"/>
  <c r="AL64" i="26"/>
  <c r="AP77" i="26"/>
  <c r="AU69" i="26"/>
  <c r="AX76" i="26"/>
  <c r="AV66" i="26"/>
  <c r="U70" i="26"/>
  <c r="AI76" i="26"/>
  <c r="AU76" i="26"/>
  <c r="AP76" i="26"/>
  <c r="AT67" i="26"/>
  <c r="AQ65" i="26"/>
  <c r="AS64" i="26"/>
  <c r="AK64" i="26"/>
  <c r="V64" i="26"/>
  <c r="AQ64" i="26"/>
  <c r="R70" i="26"/>
  <c r="AI64" i="26"/>
  <c r="AV65" i="26"/>
  <c r="AM76" i="26"/>
  <c r="AQ76" i="26"/>
  <c r="AX64" i="26"/>
  <c r="AH73" i="26"/>
  <c r="AG73" i="26"/>
  <c r="AF73" i="26"/>
  <c r="AE73" i="26"/>
  <c r="AM77" i="26"/>
  <c r="AD74" i="26"/>
  <c r="AG74" i="26"/>
  <c r="AH74" i="26"/>
  <c r="AF74" i="26"/>
  <c r="AE74" i="26"/>
  <c r="AT77" i="26"/>
  <c r="AL77" i="26"/>
  <c r="V77" i="26"/>
  <c r="AI77" i="26"/>
  <c r="AO65" i="26"/>
  <c r="V62" i="26"/>
  <c r="AI62" i="26"/>
  <c r="AS65" i="26"/>
  <c r="AL68" i="26"/>
  <c r="AT68" i="26"/>
  <c r="AO63" i="26"/>
  <c r="AK63" i="26"/>
  <c r="V66" i="26"/>
  <c r="AI69" i="26"/>
  <c r="AM69" i="26"/>
  <c r="V69" i="26"/>
  <c r="AS66" i="26"/>
  <c r="AP68" i="26"/>
  <c r="AJ62" i="26"/>
  <c r="AN62" i="26"/>
  <c r="V63" i="26"/>
  <c r="AM63" i="26"/>
  <c r="AI63" i="26"/>
  <c r="AQ63" i="26"/>
  <c r="AN66" i="26"/>
  <c r="AR66" i="26"/>
  <c r="AJ66" i="26"/>
  <c r="AQ62" i="26"/>
  <c r="AR65" i="26"/>
  <c r="AS63" i="26"/>
  <c r="V65" i="26"/>
  <c r="AI65" i="26"/>
  <c r="V68" i="26"/>
  <c r="AK66" i="26"/>
  <c r="AN63" i="26"/>
  <c r="AJ63" i="26"/>
  <c r="X216" i="24"/>
  <c r="W216" i="24"/>
  <c r="V216" i="24"/>
  <c r="U216" i="24"/>
  <c r="T216" i="24"/>
  <c r="X213" i="24"/>
  <c r="W213" i="24"/>
  <c r="V213" i="24"/>
  <c r="AA213" i="24" s="1"/>
  <c r="U213" i="24"/>
  <c r="T213" i="24"/>
  <c r="X212" i="24"/>
  <c r="W212" i="24"/>
  <c r="V212" i="24"/>
  <c r="U212" i="24"/>
  <c r="T212" i="24"/>
  <c r="X211" i="24"/>
  <c r="W211" i="24"/>
  <c r="V211" i="24"/>
  <c r="U211" i="24"/>
  <c r="T211" i="24"/>
  <c r="X210" i="24"/>
  <c r="W210" i="24"/>
  <c r="V210" i="24"/>
  <c r="U210" i="24"/>
  <c r="T210" i="24"/>
  <c r="X209" i="24"/>
  <c r="W209" i="24"/>
  <c r="V209" i="24"/>
  <c r="U209" i="24"/>
  <c r="T209" i="24"/>
  <c r="X208" i="24"/>
  <c r="W208" i="24"/>
  <c r="V208" i="24"/>
  <c r="U208" i="24"/>
  <c r="T208" i="24"/>
  <c r="X207" i="24"/>
  <c r="W207" i="24"/>
  <c r="V207" i="24"/>
  <c r="U207" i="24"/>
  <c r="T207" i="24"/>
  <c r="X206" i="24"/>
  <c r="W206" i="24"/>
  <c r="V206" i="24"/>
  <c r="U206" i="24"/>
  <c r="T206" i="24"/>
  <c r="X231" i="24"/>
  <c r="W231" i="24"/>
  <c r="V231" i="24"/>
  <c r="AA231" i="24" s="1"/>
  <c r="U231" i="24"/>
  <c r="T231" i="24"/>
  <c r="X230" i="24"/>
  <c r="W230" i="24"/>
  <c r="V230" i="24"/>
  <c r="U230" i="24"/>
  <c r="T230" i="24"/>
  <c r="X229" i="24"/>
  <c r="W229" i="24"/>
  <c r="V229" i="24"/>
  <c r="U229" i="24"/>
  <c r="T229" i="24"/>
  <c r="X228" i="24"/>
  <c r="W228" i="24"/>
  <c r="V228" i="24"/>
  <c r="U228" i="24"/>
  <c r="T228" i="24"/>
  <c r="X227" i="24"/>
  <c r="W227" i="24"/>
  <c r="V227" i="24"/>
  <c r="U227" i="24"/>
  <c r="T227" i="24"/>
  <c r="X226" i="24"/>
  <c r="W226" i="24"/>
  <c r="V226" i="24"/>
  <c r="U226" i="24"/>
  <c r="T226" i="24"/>
  <c r="X225" i="24"/>
  <c r="W225" i="24"/>
  <c r="V225" i="24"/>
  <c r="U225" i="24"/>
  <c r="T225" i="24"/>
  <c r="X224" i="24"/>
  <c r="W224" i="24"/>
  <c r="V224" i="24"/>
  <c r="U224" i="24"/>
  <c r="T224" i="24"/>
  <c r="X223" i="24"/>
  <c r="W223" i="24"/>
  <c r="V223" i="24"/>
  <c r="U223" i="24"/>
  <c r="T223" i="24"/>
  <c r="X258" i="24"/>
  <c r="W258" i="24"/>
  <c r="V258" i="24"/>
  <c r="AA258" i="24" s="1"/>
  <c r="U258" i="24"/>
  <c r="T258" i="24"/>
  <c r="X257" i="24"/>
  <c r="W257" i="24"/>
  <c r="V257" i="24"/>
  <c r="U257" i="24"/>
  <c r="T257" i="24"/>
  <c r="X256" i="24"/>
  <c r="W256" i="24"/>
  <c r="V256" i="24"/>
  <c r="AA256" i="24" s="1"/>
  <c r="U256" i="24"/>
  <c r="T256" i="24"/>
  <c r="X255" i="24"/>
  <c r="W255" i="24"/>
  <c r="V255" i="24"/>
  <c r="AA255" i="24" s="1"/>
  <c r="U255" i="24"/>
  <c r="T255" i="24"/>
  <c r="X254" i="24"/>
  <c r="W254" i="24"/>
  <c r="V254" i="24"/>
  <c r="AA254" i="24" s="1"/>
  <c r="U254" i="24"/>
  <c r="T254" i="24"/>
  <c r="X253" i="24"/>
  <c r="W253" i="24"/>
  <c r="V253" i="24"/>
  <c r="AA253" i="24" s="1"/>
  <c r="U253" i="24"/>
  <c r="T253" i="24"/>
  <c r="X251" i="24"/>
  <c r="W251" i="24"/>
  <c r="V251" i="24"/>
  <c r="U251" i="24"/>
  <c r="T251" i="24"/>
  <c r="X250" i="24"/>
  <c r="W250" i="24"/>
  <c r="V250" i="24"/>
  <c r="U250" i="24"/>
  <c r="T250" i="24"/>
  <c r="X249" i="24"/>
  <c r="W249" i="24"/>
  <c r="V249" i="24"/>
  <c r="U249" i="24"/>
  <c r="T249" i="24"/>
  <c r="X247" i="24"/>
  <c r="W247" i="24"/>
  <c r="V247" i="24"/>
  <c r="AA247" i="24" s="1"/>
  <c r="U247" i="24"/>
  <c r="T247" i="24"/>
  <c r="X245" i="24"/>
  <c r="W245" i="24"/>
  <c r="V245" i="24"/>
  <c r="U245" i="24"/>
  <c r="T245" i="24"/>
  <c r="X244" i="24"/>
  <c r="W244" i="24"/>
  <c r="V244" i="24"/>
  <c r="U244" i="24"/>
  <c r="T244" i="24"/>
  <c r="X243" i="24"/>
  <c r="W243" i="24"/>
  <c r="V243" i="24"/>
  <c r="U243" i="24"/>
  <c r="T243" i="24"/>
  <c r="X242" i="24"/>
  <c r="W242" i="24"/>
  <c r="V242" i="24"/>
  <c r="U242" i="24"/>
  <c r="T242" i="24"/>
  <c r="X241" i="24"/>
  <c r="W241" i="24"/>
  <c r="V241" i="24"/>
  <c r="U241" i="24"/>
  <c r="T241" i="24"/>
  <c r="X266" i="24"/>
  <c r="W266" i="24"/>
  <c r="V266" i="24"/>
  <c r="U266" i="24"/>
  <c r="T266" i="24"/>
  <c r="X265" i="24"/>
  <c r="W265" i="24"/>
  <c r="V265" i="24"/>
  <c r="U265" i="24"/>
  <c r="T265" i="24"/>
  <c r="X264" i="24"/>
  <c r="W264" i="24"/>
  <c r="V264" i="24"/>
  <c r="U264" i="24"/>
  <c r="T264" i="24"/>
  <c r="X263" i="24"/>
  <c r="W263" i="24"/>
  <c r="V263" i="24"/>
  <c r="U263" i="24"/>
  <c r="T263" i="24"/>
  <c r="X262" i="24"/>
  <c r="W262" i="24"/>
  <c r="V262" i="24"/>
  <c r="AA262" i="24" s="1"/>
  <c r="U262" i="24"/>
  <c r="T262" i="24"/>
  <c r="X279" i="24"/>
  <c r="W279" i="24"/>
  <c r="V279" i="24"/>
  <c r="U279" i="24"/>
  <c r="T279" i="24"/>
  <c r="X278" i="24"/>
  <c r="W278" i="24"/>
  <c r="V278" i="24"/>
  <c r="U278" i="24"/>
  <c r="T278" i="24"/>
  <c r="X277" i="24"/>
  <c r="W277" i="24"/>
  <c r="V277" i="24"/>
  <c r="U277" i="24"/>
  <c r="T277" i="24"/>
  <c r="X276" i="24"/>
  <c r="W276" i="24"/>
  <c r="V276" i="24"/>
  <c r="U276" i="24"/>
  <c r="T276" i="24"/>
  <c r="X275" i="24"/>
  <c r="W275" i="24"/>
  <c r="V275" i="24"/>
  <c r="U275" i="24"/>
  <c r="T275" i="24"/>
  <c r="X274" i="24"/>
  <c r="W274" i="24"/>
  <c r="V274" i="24"/>
  <c r="U274" i="24"/>
  <c r="T274" i="24"/>
  <c r="X273" i="24"/>
  <c r="W273" i="24"/>
  <c r="V273" i="24"/>
  <c r="U273" i="24"/>
  <c r="T273" i="24"/>
  <c r="X285" i="24"/>
  <c r="W285" i="24"/>
  <c r="V285" i="24"/>
  <c r="U285" i="24"/>
  <c r="T285" i="24"/>
  <c r="X284" i="24"/>
  <c r="W284" i="24"/>
  <c r="V284" i="24"/>
  <c r="U284" i="24"/>
  <c r="T284" i="24"/>
  <c r="X283" i="24"/>
  <c r="W283" i="24"/>
  <c r="V283" i="24"/>
  <c r="U283" i="24"/>
  <c r="T283" i="24"/>
  <c r="X292" i="24"/>
  <c r="W292" i="24"/>
  <c r="V292" i="24"/>
  <c r="U292" i="24"/>
  <c r="T292" i="24"/>
  <c r="X291" i="24"/>
  <c r="W291" i="24"/>
  <c r="V291" i="24"/>
  <c r="U291" i="24"/>
  <c r="T291" i="24"/>
  <c r="X290" i="24"/>
  <c r="W290" i="24"/>
  <c r="V290" i="24"/>
  <c r="U290" i="24"/>
  <c r="T290" i="24"/>
  <c r="X289" i="24"/>
  <c r="W289" i="24"/>
  <c r="V289" i="24"/>
  <c r="U289" i="24"/>
  <c r="T289" i="24"/>
  <c r="X298" i="24"/>
  <c r="W298" i="24"/>
  <c r="V298" i="24"/>
  <c r="U298" i="24"/>
  <c r="T298" i="24"/>
  <c r="X297" i="24"/>
  <c r="W297" i="24"/>
  <c r="V297" i="24"/>
  <c r="U297" i="24"/>
  <c r="T297" i="24"/>
  <c r="X296" i="24"/>
  <c r="W296" i="24"/>
  <c r="V296" i="24"/>
  <c r="U296" i="24"/>
  <c r="T296" i="24"/>
  <c r="X307" i="24"/>
  <c r="W307" i="24"/>
  <c r="V307" i="24"/>
  <c r="U307" i="24"/>
  <c r="T307" i="24"/>
  <c r="X306" i="24"/>
  <c r="W306" i="24"/>
  <c r="V306" i="24"/>
  <c r="U306" i="24"/>
  <c r="T306" i="24"/>
  <c r="X305" i="24"/>
  <c r="W305" i="24"/>
  <c r="V305" i="24"/>
  <c r="U305" i="24"/>
  <c r="T305" i="24"/>
  <c r="X304" i="24"/>
  <c r="W304" i="24"/>
  <c r="V304" i="24"/>
  <c r="U304" i="24"/>
  <c r="T304" i="24"/>
  <c r="X303" i="24"/>
  <c r="W303" i="24"/>
  <c r="V303" i="24"/>
  <c r="U303" i="24"/>
  <c r="T303" i="24"/>
  <c r="X302" i="24"/>
  <c r="W302" i="24"/>
  <c r="V302" i="24"/>
  <c r="U302" i="24"/>
  <c r="T302" i="24"/>
  <c r="X314" i="24"/>
  <c r="W314" i="24"/>
  <c r="V314" i="24"/>
  <c r="U314" i="24"/>
  <c r="T314" i="24"/>
  <c r="X313" i="24"/>
  <c r="W313" i="24"/>
  <c r="V313" i="24"/>
  <c r="U313" i="24"/>
  <c r="T313" i="24"/>
  <c r="X312" i="24"/>
  <c r="W312" i="24"/>
  <c r="V312" i="24"/>
  <c r="U312" i="24"/>
  <c r="T312" i="24"/>
  <c r="X311" i="24"/>
  <c r="W311" i="24"/>
  <c r="V311" i="24"/>
  <c r="U311" i="24"/>
  <c r="T311" i="24"/>
  <c r="X324" i="24"/>
  <c r="W324" i="24"/>
  <c r="V324" i="24"/>
  <c r="U324" i="24"/>
  <c r="T324" i="24"/>
  <c r="X323" i="24"/>
  <c r="W323" i="24"/>
  <c r="V323" i="24"/>
  <c r="U323" i="24"/>
  <c r="T323" i="24"/>
  <c r="X322" i="24"/>
  <c r="W322" i="24"/>
  <c r="V322" i="24"/>
  <c r="U322" i="24"/>
  <c r="T322" i="24"/>
  <c r="X321" i="24"/>
  <c r="W321" i="24"/>
  <c r="V321" i="24"/>
  <c r="U321" i="24"/>
  <c r="T321" i="24"/>
  <c r="X339" i="24"/>
  <c r="W339" i="24"/>
  <c r="V339" i="24"/>
  <c r="U339" i="24"/>
  <c r="T339" i="24"/>
  <c r="X338" i="24"/>
  <c r="W338" i="24"/>
  <c r="V338" i="24"/>
  <c r="U338" i="24"/>
  <c r="T338" i="24"/>
  <c r="X337" i="24"/>
  <c r="W337" i="24"/>
  <c r="V337" i="24"/>
  <c r="U337" i="24"/>
  <c r="T337" i="24"/>
  <c r="X336" i="24"/>
  <c r="W336" i="24"/>
  <c r="V336" i="24"/>
  <c r="U336" i="24"/>
  <c r="T336" i="24"/>
  <c r="X335" i="24"/>
  <c r="W335" i="24"/>
  <c r="V335" i="24"/>
  <c r="U335" i="24"/>
  <c r="T335" i="24"/>
  <c r="X334" i="24"/>
  <c r="W334" i="24"/>
  <c r="V334" i="24"/>
  <c r="U334" i="24"/>
  <c r="T334" i="24"/>
  <c r="X333" i="24"/>
  <c r="W333" i="24"/>
  <c r="V333" i="24"/>
  <c r="U333" i="24"/>
  <c r="T333" i="24"/>
  <c r="X332" i="24"/>
  <c r="W332" i="24"/>
  <c r="V332" i="24"/>
  <c r="U332" i="24"/>
  <c r="T332" i="24"/>
  <c r="X331" i="24"/>
  <c r="W331" i="24"/>
  <c r="V331" i="24"/>
  <c r="U331" i="24"/>
  <c r="T331" i="24"/>
  <c r="X330" i="24"/>
  <c r="W330" i="24"/>
  <c r="V330" i="24"/>
  <c r="U330" i="24"/>
  <c r="T330" i="24"/>
  <c r="X329" i="24"/>
  <c r="W329" i="24"/>
  <c r="V329" i="24"/>
  <c r="U329" i="24"/>
  <c r="T329" i="24"/>
  <c r="X328" i="24"/>
  <c r="W328" i="24"/>
  <c r="V328" i="24"/>
  <c r="U328" i="24"/>
  <c r="T328" i="24"/>
  <c r="X78" i="24"/>
  <c r="W78" i="24"/>
  <c r="V78" i="24"/>
  <c r="U78" i="24"/>
  <c r="T78" i="24"/>
  <c r="X77" i="24"/>
  <c r="W77" i="24"/>
  <c r="V77" i="24"/>
  <c r="U77" i="24"/>
  <c r="T77" i="24"/>
  <c r="X76" i="24"/>
  <c r="W76" i="24"/>
  <c r="V76" i="24"/>
  <c r="U76" i="24"/>
  <c r="T76" i="24"/>
  <c r="X75" i="24"/>
  <c r="W75" i="24"/>
  <c r="V75" i="24"/>
  <c r="U75" i="24"/>
  <c r="T75" i="24"/>
  <c r="X74" i="24"/>
  <c r="W74" i="24"/>
  <c r="V74" i="24"/>
  <c r="U74" i="24"/>
  <c r="T74" i="24"/>
  <c r="X73" i="24"/>
  <c r="W73" i="24"/>
  <c r="V73" i="24"/>
  <c r="U73" i="24"/>
  <c r="T73" i="24"/>
  <c r="X72" i="24"/>
  <c r="W72" i="24"/>
  <c r="V72" i="24"/>
  <c r="U72" i="24"/>
  <c r="T72" i="24"/>
  <c r="X71" i="24"/>
  <c r="W71" i="24"/>
  <c r="V71" i="24"/>
  <c r="U71" i="24"/>
  <c r="T71" i="24"/>
  <c r="AI78" i="24"/>
  <c r="AI77" i="24"/>
  <c r="AI76" i="24"/>
  <c r="AI75" i="24"/>
  <c r="AI74" i="24"/>
  <c r="AI71" i="24"/>
  <c r="S216" i="24"/>
  <c r="AA216" i="24" s="1"/>
  <c r="AF67" i="26" l="1"/>
  <c r="AG77" i="26"/>
  <c r="AD68" i="26"/>
  <c r="AH68" i="26"/>
  <c r="AF76" i="26"/>
  <c r="AG76" i="26"/>
  <c r="AD67" i="26"/>
  <c r="AH67" i="26"/>
  <c r="AE67" i="26"/>
  <c r="AH60" i="26"/>
  <c r="AY33" i="26"/>
  <c r="AZ33" i="26" s="1"/>
  <c r="AY26" i="26"/>
  <c r="AZ26" i="26" s="1"/>
  <c r="AY75" i="26"/>
  <c r="AZ75" i="26" s="1"/>
  <c r="AY27" i="26"/>
  <c r="AZ27" i="26" s="1"/>
  <c r="AY34" i="26"/>
  <c r="AZ34" i="26" s="1"/>
  <c r="AD36" i="26"/>
  <c r="AF36" i="26"/>
  <c r="AF55" i="26" s="1"/>
  <c r="G5" i="44" s="1"/>
  <c r="AH36" i="26"/>
  <c r="AH55" i="26" s="1"/>
  <c r="AE36" i="26"/>
  <c r="AE55" i="26" s="1"/>
  <c r="AG36" i="26"/>
  <c r="AG55" i="26" s="1"/>
  <c r="AE60" i="26"/>
  <c r="AE76" i="26"/>
  <c r="AE61" i="26"/>
  <c r="E9" i="44"/>
  <c r="I9" i="44" s="1"/>
  <c r="P10" i="44" s="1"/>
  <c r="E9" i="45"/>
  <c r="I9" i="45" s="1"/>
  <c r="I6" i="44"/>
  <c r="G6" i="45"/>
  <c r="I6" i="45" s="1"/>
  <c r="AH61" i="26"/>
  <c r="AY31" i="26"/>
  <c r="AZ31" i="26" s="1"/>
  <c r="AF61" i="26"/>
  <c r="AF60" i="26"/>
  <c r="AG61" i="26"/>
  <c r="AG60" i="26"/>
  <c r="AD76" i="26"/>
  <c r="AH76" i="26"/>
  <c r="V70" i="26"/>
  <c r="AF64" i="26"/>
  <c r="AH64" i="26"/>
  <c r="AE64" i="26"/>
  <c r="AD64" i="26"/>
  <c r="AG64" i="26"/>
  <c r="AY74" i="26"/>
  <c r="AZ74" i="26" s="1"/>
  <c r="AF77" i="26"/>
  <c r="AH77" i="26"/>
  <c r="AE77" i="26"/>
  <c r="AD77" i="26"/>
  <c r="AY73" i="26"/>
  <c r="AZ73" i="26" s="1"/>
  <c r="AD69" i="26"/>
  <c r="AH69" i="26"/>
  <c r="AE69" i="26"/>
  <c r="AG69" i="26"/>
  <c r="AF69" i="26"/>
  <c r="AF63" i="26"/>
  <c r="AE63" i="26"/>
  <c r="AD63" i="26"/>
  <c r="AG63" i="26"/>
  <c r="AH63" i="26"/>
  <c r="AH66" i="26"/>
  <c r="AG66" i="26"/>
  <c r="AF66" i="26"/>
  <c r="AE66" i="26"/>
  <c r="AD66" i="26"/>
  <c r="AE62" i="26"/>
  <c r="AD62" i="26"/>
  <c r="AF62" i="26"/>
  <c r="AH62" i="26"/>
  <c r="AG62" i="26"/>
  <c r="AG68" i="26"/>
  <c r="AF68" i="26"/>
  <c r="AE68" i="26"/>
  <c r="AH65" i="26"/>
  <c r="AG65" i="26"/>
  <c r="AF65" i="26"/>
  <c r="AE65" i="26"/>
  <c r="AD65" i="26"/>
  <c r="AY17" i="26"/>
  <c r="AZ17" i="26" s="1"/>
  <c r="AY25" i="26"/>
  <c r="AZ25" i="26" s="1"/>
  <c r="AY21" i="26"/>
  <c r="AZ21" i="26" s="1"/>
  <c r="AY14" i="26"/>
  <c r="AZ14" i="26" s="1"/>
  <c r="AY32" i="26"/>
  <c r="AZ32" i="26" s="1"/>
  <c r="AY28" i="26"/>
  <c r="AZ28" i="26" s="1"/>
  <c r="AY24" i="26"/>
  <c r="AZ24" i="26" s="1"/>
  <c r="AY18" i="26"/>
  <c r="AZ18" i="26" s="1"/>
  <c r="AY19" i="26"/>
  <c r="AZ19" i="26" s="1"/>
  <c r="AY20" i="26"/>
  <c r="AZ20" i="26" s="1"/>
  <c r="AY12" i="26"/>
  <c r="AZ12" i="26" s="1"/>
  <c r="AY13" i="26"/>
  <c r="AZ13" i="26" s="1"/>
  <c r="AY10" i="26"/>
  <c r="AY11" i="26"/>
  <c r="AG78" i="26" l="1"/>
  <c r="AZ11" i="26"/>
  <c r="AY36" i="26"/>
  <c r="AY55" i="26" s="1"/>
  <c r="AZ55" i="26" s="1"/>
  <c r="AD55" i="26"/>
  <c r="E5" i="44" s="1"/>
  <c r="AY67" i="26"/>
  <c r="AZ67" i="26" s="1"/>
  <c r="AY61" i="26"/>
  <c r="AZ61" i="26" s="1"/>
  <c r="AY60" i="26"/>
  <c r="AZ60" i="26" s="1"/>
  <c r="H10" i="44"/>
  <c r="H10" i="45"/>
  <c r="T10" i="45"/>
  <c r="AY76" i="26"/>
  <c r="AZ76" i="26" s="1"/>
  <c r="AZ10" i="26"/>
  <c r="AY64" i="26"/>
  <c r="AZ64" i="26" s="1"/>
  <c r="AY77" i="26"/>
  <c r="AZ77" i="26" s="1"/>
  <c r="AY69" i="26"/>
  <c r="AZ69" i="26" s="1"/>
  <c r="AY62" i="26"/>
  <c r="AZ62" i="26" s="1"/>
  <c r="AY65" i="26"/>
  <c r="AZ65" i="26" s="1"/>
  <c r="AY68" i="26"/>
  <c r="AZ68" i="26" s="1"/>
  <c r="AY66" i="26"/>
  <c r="AZ66" i="26" s="1"/>
  <c r="AY63" i="26"/>
  <c r="AZ63" i="26" s="1"/>
  <c r="AH328" i="24"/>
  <c r="AI328" i="24" s="1"/>
  <c r="AH339" i="24"/>
  <c r="AI339" i="24" s="1"/>
  <c r="N339" i="24"/>
  <c r="AH338" i="24"/>
  <c r="AI338" i="24" s="1"/>
  <c r="N338" i="24"/>
  <c r="AH337" i="24"/>
  <c r="AI337" i="24" s="1"/>
  <c r="N337" i="24"/>
  <c r="AH336" i="24"/>
  <c r="AI336" i="24" s="1"/>
  <c r="N336" i="24"/>
  <c r="AH335" i="24"/>
  <c r="AI335" i="24" s="1"/>
  <c r="N335" i="24"/>
  <c r="AH334" i="24"/>
  <c r="AI334" i="24" s="1"/>
  <c r="N334" i="24"/>
  <c r="AH333" i="24"/>
  <c r="AI333" i="24" s="1"/>
  <c r="N333" i="24"/>
  <c r="AH332" i="24"/>
  <c r="AI332" i="24" s="1"/>
  <c r="N332" i="24"/>
  <c r="AH331" i="24"/>
  <c r="AI331" i="24" s="1"/>
  <c r="N331" i="24"/>
  <c r="AH330" i="24"/>
  <c r="AI330" i="24" s="1"/>
  <c r="N330" i="24"/>
  <c r="AH329" i="24"/>
  <c r="AI329" i="24" s="1"/>
  <c r="N329" i="24"/>
  <c r="P340" i="24"/>
  <c r="N328" i="24"/>
  <c r="AH324" i="24"/>
  <c r="AI324" i="24" s="1"/>
  <c r="N324" i="24"/>
  <c r="I324" i="24"/>
  <c r="AH323" i="24"/>
  <c r="AI323" i="24" s="1"/>
  <c r="N323" i="24"/>
  <c r="I323" i="24"/>
  <c r="AH322" i="24"/>
  <c r="AI322" i="24" s="1"/>
  <c r="N322" i="24"/>
  <c r="AH321" i="24"/>
  <c r="AI321" i="24" s="1"/>
  <c r="N321" i="24"/>
  <c r="X315" i="24"/>
  <c r="W315" i="24"/>
  <c r="V315" i="24"/>
  <c r="U315" i="24"/>
  <c r="T315" i="24"/>
  <c r="N314" i="24"/>
  <c r="N313" i="24"/>
  <c r="N312" i="24"/>
  <c r="Q315" i="24"/>
  <c r="N311" i="24"/>
  <c r="AH308" i="24"/>
  <c r="AI308" i="24" s="1"/>
  <c r="X308" i="24"/>
  <c r="W308" i="24"/>
  <c r="V308" i="24"/>
  <c r="U308" i="24"/>
  <c r="T308" i="24"/>
  <c r="AH307" i="24"/>
  <c r="AI307" i="24" s="1"/>
  <c r="N307" i="24"/>
  <c r="I307" i="24"/>
  <c r="AH306" i="24"/>
  <c r="AI306" i="24" s="1"/>
  <c r="N306" i="24"/>
  <c r="AH305" i="24"/>
  <c r="AI305" i="24" s="1"/>
  <c r="N305" i="24"/>
  <c r="AH304" i="24"/>
  <c r="AI304" i="24" s="1"/>
  <c r="N304" i="24"/>
  <c r="AH303" i="24"/>
  <c r="AI303" i="24" s="1"/>
  <c r="N303" i="24"/>
  <c r="AH302" i="24"/>
  <c r="AI302" i="24" s="1"/>
  <c r="N302" i="24"/>
  <c r="AH301" i="24"/>
  <c r="AI301" i="24" s="1"/>
  <c r="X301" i="24"/>
  <c r="AC301" i="24" s="1"/>
  <c r="W301" i="24"/>
  <c r="AB301" i="24" s="1"/>
  <c r="V301" i="24"/>
  <c r="AA301" i="24" s="1"/>
  <c r="U301" i="24"/>
  <c r="Z301" i="24" s="1"/>
  <c r="T301" i="24"/>
  <c r="Y301" i="24" s="1"/>
  <c r="N298" i="24"/>
  <c r="N297" i="24"/>
  <c r="N296" i="24"/>
  <c r="X295" i="24"/>
  <c r="AC295" i="24" s="1"/>
  <c r="W295" i="24"/>
  <c r="AB295" i="24" s="1"/>
  <c r="V295" i="24"/>
  <c r="AA295" i="24" s="1"/>
  <c r="U295" i="24"/>
  <c r="Z295" i="24" s="1"/>
  <c r="T295" i="24"/>
  <c r="Y295" i="24" s="1"/>
  <c r="N292" i="24"/>
  <c r="N291" i="24"/>
  <c r="N290" i="24"/>
  <c r="N289" i="24"/>
  <c r="N285" i="24"/>
  <c r="N284" i="24"/>
  <c r="N283" i="24"/>
  <c r="AH279" i="24"/>
  <c r="AI279" i="24" s="1"/>
  <c r="N279" i="24"/>
  <c r="AH278" i="24"/>
  <c r="AI278" i="24" s="1"/>
  <c r="N278" i="24"/>
  <c r="AH277" i="24"/>
  <c r="AI277" i="24" s="1"/>
  <c r="N277" i="24"/>
  <c r="AH276" i="24"/>
  <c r="AI276" i="24" s="1"/>
  <c r="N276" i="24"/>
  <c r="AH275" i="24"/>
  <c r="AI275" i="24" s="1"/>
  <c r="N275" i="24"/>
  <c r="AH274" i="24"/>
  <c r="AI274" i="24" s="1"/>
  <c r="N274" i="24"/>
  <c r="AH273" i="24"/>
  <c r="AI273" i="24" s="1"/>
  <c r="N273" i="24"/>
  <c r="AH266" i="24"/>
  <c r="AI266" i="24" s="1"/>
  <c r="N266" i="24"/>
  <c r="AH265" i="24"/>
  <c r="AI265" i="24" s="1"/>
  <c r="N265" i="24"/>
  <c r="AH264" i="24"/>
  <c r="AI264" i="24" s="1"/>
  <c r="N264" i="24"/>
  <c r="AH263" i="24"/>
  <c r="AI263" i="24" s="1"/>
  <c r="N263" i="24"/>
  <c r="AH262" i="24"/>
  <c r="AI262" i="24" s="1"/>
  <c r="N262" i="24"/>
  <c r="AH258" i="24"/>
  <c r="AI258" i="24" s="1"/>
  <c r="N258" i="24"/>
  <c r="AH257" i="24"/>
  <c r="AI257" i="24" s="1"/>
  <c r="N257" i="24"/>
  <c r="AH256" i="24"/>
  <c r="AI256" i="24" s="1"/>
  <c r="N256" i="24"/>
  <c r="AH254" i="24"/>
  <c r="AI254" i="24" s="1"/>
  <c r="N254" i="24"/>
  <c r="AH253" i="24"/>
  <c r="AI253" i="24" s="1"/>
  <c r="N253" i="24"/>
  <c r="AH251" i="24"/>
  <c r="AI251" i="24" s="1"/>
  <c r="N251" i="24"/>
  <c r="AH250" i="24"/>
  <c r="AI250" i="24" s="1"/>
  <c r="N250" i="24"/>
  <c r="AH249" i="24"/>
  <c r="AI249" i="24" s="1"/>
  <c r="N249" i="24"/>
  <c r="AH247" i="24"/>
  <c r="AI247" i="24" s="1"/>
  <c r="AH245" i="24"/>
  <c r="AI245" i="24" s="1"/>
  <c r="N245" i="24"/>
  <c r="AH244" i="24"/>
  <c r="AI244" i="24" s="1"/>
  <c r="N244" i="24"/>
  <c r="AH243" i="24"/>
  <c r="AI243" i="24" s="1"/>
  <c r="N243" i="24"/>
  <c r="AH242" i="24"/>
  <c r="AI242" i="24" s="1"/>
  <c r="N242" i="24"/>
  <c r="AH241" i="24"/>
  <c r="AI241" i="24" s="1"/>
  <c r="N241" i="24"/>
  <c r="AI231" i="24"/>
  <c r="N231" i="24"/>
  <c r="AI230" i="24"/>
  <c r="N230" i="24"/>
  <c r="AI229" i="24"/>
  <c r="I229" i="24"/>
  <c r="AI228" i="24"/>
  <c r="AI227" i="24"/>
  <c r="N227" i="24"/>
  <c r="AI226" i="24"/>
  <c r="N226" i="24"/>
  <c r="AI225" i="24"/>
  <c r="N225" i="24"/>
  <c r="AI224" i="24"/>
  <c r="N224" i="24"/>
  <c r="AI223" i="24"/>
  <c r="N223" i="24"/>
  <c r="AH213" i="24"/>
  <c r="AI213" i="24" s="1"/>
  <c r="N213" i="24"/>
  <c r="AH212" i="24"/>
  <c r="AI212" i="24" s="1"/>
  <c r="O214" i="24"/>
  <c r="N212" i="24"/>
  <c r="AH211" i="24"/>
  <c r="AI211" i="24" s="1"/>
  <c r="N211" i="24"/>
  <c r="AH210" i="24"/>
  <c r="AI210" i="24" s="1"/>
  <c r="N210" i="24"/>
  <c r="AH209" i="24"/>
  <c r="AI209" i="24" s="1"/>
  <c r="N209" i="24"/>
  <c r="AH208" i="24"/>
  <c r="AI208" i="24" s="1"/>
  <c r="N208" i="24"/>
  <c r="AH207" i="24"/>
  <c r="AI207" i="24" s="1"/>
  <c r="N207" i="24"/>
  <c r="AH206" i="24"/>
  <c r="AI206" i="24" s="1"/>
  <c r="P214" i="24"/>
  <c r="N206" i="24"/>
  <c r="N132" i="24"/>
  <c r="N131" i="24"/>
  <c r="N130" i="24"/>
  <c r="N129" i="24"/>
  <c r="N128" i="24"/>
  <c r="N127" i="24"/>
  <c r="N126" i="24"/>
  <c r="N125" i="24"/>
  <c r="N124" i="24"/>
  <c r="N123" i="24"/>
  <c r="N122" i="24"/>
  <c r="N121" i="24"/>
  <c r="N120" i="24"/>
  <c r="N119" i="24"/>
  <c r="N118" i="24"/>
  <c r="N117" i="24"/>
  <c r="N116" i="24"/>
  <c r="N115" i="24"/>
  <c r="N114" i="24"/>
  <c r="N113" i="24"/>
  <c r="N112" i="24"/>
  <c r="AI105" i="24"/>
  <c r="X105" i="24"/>
  <c r="AC105" i="24" s="1"/>
  <c r="W105" i="24"/>
  <c r="AB105" i="24" s="1"/>
  <c r="V105" i="24"/>
  <c r="AA105" i="24" s="1"/>
  <c r="U105" i="24"/>
  <c r="Z105" i="24" s="1"/>
  <c r="T105" i="24"/>
  <c r="Y105" i="24" s="1"/>
  <c r="AI104" i="24"/>
  <c r="X104" i="24"/>
  <c r="AC104" i="24" s="1"/>
  <c r="W104" i="24"/>
  <c r="AB104" i="24" s="1"/>
  <c r="V104" i="24"/>
  <c r="AA104" i="24" s="1"/>
  <c r="U104" i="24"/>
  <c r="Z104" i="24" s="1"/>
  <c r="T104" i="24"/>
  <c r="Y104" i="24" s="1"/>
  <c r="X103" i="24"/>
  <c r="W103" i="24"/>
  <c r="V103" i="24"/>
  <c r="U103" i="24"/>
  <c r="T103" i="24"/>
  <c r="N103" i="24"/>
  <c r="AI102" i="24"/>
  <c r="X102" i="24"/>
  <c r="W102" i="24"/>
  <c r="V102" i="24"/>
  <c r="U102" i="24"/>
  <c r="T102" i="24"/>
  <c r="N102" i="24"/>
  <c r="AI101" i="24"/>
  <c r="X101" i="24"/>
  <c r="W101" i="24"/>
  <c r="V101" i="24"/>
  <c r="U101" i="24"/>
  <c r="T101" i="24"/>
  <c r="N101" i="24"/>
  <c r="AI100" i="24"/>
  <c r="X100" i="24"/>
  <c r="W100" i="24"/>
  <c r="V100" i="24"/>
  <c r="U100" i="24"/>
  <c r="T100" i="24"/>
  <c r="N100" i="24"/>
  <c r="AI99" i="24"/>
  <c r="X99" i="24"/>
  <c r="W99" i="24"/>
  <c r="V99" i="24"/>
  <c r="U99" i="24"/>
  <c r="T99" i="24"/>
  <c r="N99" i="24"/>
  <c r="AI98" i="24"/>
  <c r="X98" i="24"/>
  <c r="W98" i="24"/>
  <c r="V98" i="24"/>
  <c r="U98" i="24"/>
  <c r="T98" i="24"/>
  <c r="N98" i="24"/>
  <c r="AI97" i="24"/>
  <c r="X97" i="24"/>
  <c r="W97" i="24"/>
  <c r="V97" i="24"/>
  <c r="U97" i="24"/>
  <c r="T97" i="24"/>
  <c r="N97" i="24"/>
  <c r="AI96" i="24"/>
  <c r="X96" i="24"/>
  <c r="W96" i="24"/>
  <c r="V96" i="24"/>
  <c r="U96" i="24"/>
  <c r="T96" i="24"/>
  <c r="N96" i="24"/>
  <c r="AI95" i="24"/>
  <c r="X95" i="24"/>
  <c r="W95" i="24"/>
  <c r="V95" i="24"/>
  <c r="U95" i="24"/>
  <c r="T95" i="24"/>
  <c r="N95" i="24"/>
  <c r="AI94" i="24"/>
  <c r="X94" i="24"/>
  <c r="W94" i="24"/>
  <c r="V94" i="24"/>
  <c r="U94" i="24"/>
  <c r="T94" i="24"/>
  <c r="N94" i="24"/>
  <c r="AI93" i="24"/>
  <c r="X93" i="24"/>
  <c r="W93" i="24"/>
  <c r="V93" i="24"/>
  <c r="U93" i="24"/>
  <c r="T93" i="24"/>
  <c r="N93" i="24"/>
  <c r="AI92" i="24"/>
  <c r="X92" i="24"/>
  <c r="W92" i="24"/>
  <c r="V92" i="24"/>
  <c r="U92" i="24"/>
  <c r="T92" i="24"/>
  <c r="N92" i="24"/>
  <c r="AI91" i="24"/>
  <c r="X91" i="24"/>
  <c r="W91" i="24"/>
  <c r="V91" i="24"/>
  <c r="U91" i="24"/>
  <c r="T91" i="24"/>
  <c r="N91" i="24"/>
  <c r="AI90" i="24"/>
  <c r="X90" i="24"/>
  <c r="W90" i="24"/>
  <c r="V90" i="24"/>
  <c r="U90" i="24"/>
  <c r="T90" i="24"/>
  <c r="N90" i="24"/>
  <c r="AI89" i="24"/>
  <c r="X89" i="24"/>
  <c r="W89" i="24"/>
  <c r="V89" i="24"/>
  <c r="U89" i="24"/>
  <c r="T89" i="24"/>
  <c r="N89" i="24"/>
  <c r="AI88" i="24"/>
  <c r="X88" i="24"/>
  <c r="W88" i="24"/>
  <c r="V88" i="24"/>
  <c r="U88" i="24"/>
  <c r="T88" i="24"/>
  <c r="N88" i="24"/>
  <c r="AI87" i="24"/>
  <c r="X87" i="24"/>
  <c r="W87" i="24"/>
  <c r="V87" i="24"/>
  <c r="U87" i="24"/>
  <c r="T87" i="24"/>
  <c r="N87" i="24"/>
  <c r="AI86" i="24"/>
  <c r="X86" i="24"/>
  <c r="W86" i="24"/>
  <c r="V86" i="24"/>
  <c r="U86" i="24"/>
  <c r="T86" i="24"/>
  <c r="N86" i="24"/>
  <c r="AI85" i="24"/>
  <c r="X85" i="24"/>
  <c r="W85" i="24"/>
  <c r="V85" i="24"/>
  <c r="U85" i="24"/>
  <c r="T85" i="24"/>
  <c r="N85" i="24"/>
  <c r="AI84" i="24"/>
  <c r="X84" i="24"/>
  <c r="W84" i="24"/>
  <c r="V84" i="24"/>
  <c r="U84" i="24"/>
  <c r="T84" i="24"/>
  <c r="N84" i="24"/>
  <c r="AI83" i="24"/>
  <c r="X83" i="24"/>
  <c r="W83" i="24"/>
  <c r="V83" i="24"/>
  <c r="U83" i="24"/>
  <c r="T83" i="24"/>
  <c r="N83" i="24"/>
  <c r="T82" i="24"/>
  <c r="Y82" i="24" s="1"/>
  <c r="U82" i="24"/>
  <c r="Z82" i="24" s="1"/>
  <c r="V82" i="24"/>
  <c r="AA82" i="24" s="1"/>
  <c r="W82" i="24"/>
  <c r="AB82" i="24" s="1"/>
  <c r="X82" i="24"/>
  <c r="AC82" i="24" s="1"/>
  <c r="AH82" i="24"/>
  <c r="AI82" i="24" s="1"/>
  <c r="AH67" i="24"/>
  <c r="AI67" i="24" s="1"/>
  <c r="X67" i="24"/>
  <c r="W67" i="24"/>
  <c r="V67" i="24"/>
  <c r="U67" i="24"/>
  <c r="T67" i="24"/>
  <c r="AI66" i="24"/>
  <c r="X66" i="24"/>
  <c r="W66" i="24"/>
  <c r="V66" i="24"/>
  <c r="U66" i="24"/>
  <c r="T66" i="24"/>
  <c r="N66" i="24"/>
  <c r="I66" i="24"/>
  <c r="AH65" i="24"/>
  <c r="AI65" i="24" s="1"/>
  <c r="X65" i="24"/>
  <c r="AC65" i="24" s="1"/>
  <c r="W65" i="24"/>
  <c r="AB65" i="24" s="1"/>
  <c r="V65" i="24"/>
  <c r="AA65" i="24" s="1"/>
  <c r="U65" i="24"/>
  <c r="Z65" i="24" s="1"/>
  <c r="T65" i="24"/>
  <c r="Y65" i="24" s="1"/>
  <c r="AI55" i="24"/>
  <c r="N55" i="24"/>
  <c r="I55" i="24"/>
  <c r="AH54" i="24"/>
  <c r="AI54" i="24" s="1"/>
  <c r="X54" i="24"/>
  <c r="AC54" i="24" s="1"/>
  <c r="W54" i="24"/>
  <c r="AB54" i="24" s="1"/>
  <c r="V54" i="24"/>
  <c r="AA54" i="24" s="1"/>
  <c r="U54" i="24"/>
  <c r="Z54" i="24" s="1"/>
  <c r="T54" i="24"/>
  <c r="Y54" i="24" s="1"/>
  <c r="AI52" i="24"/>
  <c r="N52" i="24"/>
  <c r="AH50" i="24"/>
  <c r="AI50" i="24" s="1"/>
  <c r="X50" i="24"/>
  <c r="W50" i="24"/>
  <c r="V50" i="24"/>
  <c r="AA50" i="24" s="1"/>
  <c r="U50" i="24"/>
  <c r="T50" i="24"/>
  <c r="AH49" i="24"/>
  <c r="AI49" i="24" s="1"/>
  <c r="X49" i="24"/>
  <c r="W49" i="24"/>
  <c r="V49" i="24"/>
  <c r="U49" i="24"/>
  <c r="T49" i="24"/>
  <c r="AH47" i="24"/>
  <c r="AI47" i="24" s="1"/>
  <c r="X47" i="24"/>
  <c r="W47" i="24"/>
  <c r="V47" i="24"/>
  <c r="U47" i="24"/>
  <c r="T47" i="24"/>
  <c r="N47" i="24"/>
  <c r="R48" i="24"/>
  <c r="AH46" i="24"/>
  <c r="AI46" i="24" s="1"/>
  <c r="X46" i="24"/>
  <c r="AC46" i="24" s="1"/>
  <c r="W46" i="24"/>
  <c r="AB46" i="24" s="1"/>
  <c r="V46" i="24"/>
  <c r="AA46" i="24" s="1"/>
  <c r="U46" i="24"/>
  <c r="Z46" i="24" s="1"/>
  <c r="T46" i="24"/>
  <c r="Y46" i="24" s="1"/>
  <c r="AH44" i="24"/>
  <c r="AI44" i="24" s="1"/>
  <c r="X44" i="24"/>
  <c r="W44" i="24"/>
  <c r="V44" i="24"/>
  <c r="U44" i="24"/>
  <c r="T44" i="24"/>
  <c r="N44" i="24"/>
  <c r="AH43" i="24"/>
  <c r="AI43" i="24" s="1"/>
  <c r="X43" i="24"/>
  <c r="W43" i="24"/>
  <c r="V43" i="24"/>
  <c r="U43" i="24"/>
  <c r="T43" i="24"/>
  <c r="N43" i="24"/>
  <c r="I43" i="24"/>
  <c r="X40" i="24"/>
  <c r="W40" i="24"/>
  <c r="V40" i="24"/>
  <c r="U40" i="24"/>
  <c r="T40" i="24"/>
  <c r="R41" i="24"/>
  <c r="Q41" i="24"/>
  <c r="P41" i="24"/>
  <c r="O41" i="24"/>
  <c r="N40" i="24"/>
  <c r="AH39" i="24"/>
  <c r="AI39" i="24" s="1"/>
  <c r="X39" i="24"/>
  <c r="AC39" i="24" s="1"/>
  <c r="W39" i="24"/>
  <c r="AB39" i="24" s="1"/>
  <c r="V39" i="24"/>
  <c r="AA39" i="24" s="1"/>
  <c r="U39" i="24"/>
  <c r="Z39" i="24" s="1"/>
  <c r="T39" i="24"/>
  <c r="Y39" i="24" s="1"/>
  <c r="AH38" i="24"/>
  <c r="AI38" i="24" s="1"/>
  <c r="X38" i="24"/>
  <c r="W38" i="24"/>
  <c r="V38" i="24"/>
  <c r="AA38" i="24" s="1"/>
  <c r="U38" i="24"/>
  <c r="T38" i="24"/>
  <c r="E5" i="45" l="1"/>
  <c r="AZ36" i="26"/>
  <c r="Q43" i="24"/>
  <c r="AC572" i="24" s="1"/>
  <c r="R43" i="24"/>
  <c r="AD572" i="24" s="1"/>
  <c r="P43" i="24"/>
  <c r="AB572" i="24" s="1"/>
  <c r="O43" i="24"/>
  <c r="AA572" i="24" s="1"/>
  <c r="Q55" i="24"/>
  <c r="P55" i="24"/>
  <c r="O55" i="24"/>
  <c r="R55" i="24"/>
  <c r="R64" i="24" s="1"/>
  <c r="R323" i="24"/>
  <c r="P323" i="24"/>
  <c r="Q323" i="24"/>
  <c r="O323" i="24"/>
  <c r="R52" i="24"/>
  <c r="O52" i="24"/>
  <c r="AA574" i="24" s="1"/>
  <c r="Q52" i="24"/>
  <c r="P52" i="24"/>
  <c r="AB574" i="24" s="1"/>
  <c r="Q66" i="24"/>
  <c r="AC579" i="24" s="1"/>
  <c r="O66" i="24"/>
  <c r="AA579" i="24" s="1"/>
  <c r="R66" i="24"/>
  <c r="AD579" i="24" s="1"/>
  <c r="P66" i="24"/>
  <c r="AB579" i="24" s="1"/>
  <c r="Q229" i="24"/>
  <c r="AC563" i="24" s="1"/>
  <c r="O229" i="24"/>
  <c r="R229" i="24"/>
  <c r="AD563" i="24" s="1"/>
  <c r="P229" i="24"/>
  <c r="AB563" i="24" s="1"/>
  <c r="R307" i="24"/>
  <c r="Q307" i="24"/>
  <c r="Q308" i="24" s="1"/>
  <c r="P307" i="24"/>
  <c r="P308" i="24" s="1"/>
  <c r="O307" i="24"/>
  <c r="O308" i="24" s="1"/>
  <c r="R324" i="24"/>
  <c r="Q324" i="24"/>
  <c r="P324" i="24"/>
  <c r="O324" i="24"/>
  <c r="P299" i="24"/>
  <c r="Q340" i="24"/>
  <c r="O340" i="24"/>
  <c r="R45" i="24"/>
  <c r="R49" i="24" s="1"/>
  <c r="R53" i="24"/>
  <c r="O53" i="24"/>
  <c r="S44" i="24"/>
  <c r="S86" i="24"/>
  <c r="S332" i="24"/>
  <c r="AB332" i="24" s="1"/>
  <c r="S335" i="24"/>
  <c r="S90" i="24"/>
  <c r="S98" i="24"/>
  <c r="S125" i="24"/>
  <c r="S94" i="24"/>
  <c r="S102" i="24"/>
  <c r="S112" i="24"/>
  <c r="S120" i="24"/>
  <c r="S128" i="24"/>
  <c r="S338" i="24"/>
  <c r="S115" i="24"/>
  <c r="S123" i="24"/>
  <c r="S131" i="24"/>
  <c r="S95" i="24"/>
  <c r="S103" i="24"/>
  <c r="S113" i="24"/>
  <c r="S121" i="24"/>
  <c r="S129" i="24"/>
  <c r="S85" i="24"/>
  <c r="S93" i="24"/>
  <c r="S101" i="24"/>
  <c r="S119" i="24"/>
  <c r="S127" i="24"/>
  <c r="P286" i="24"/>
  <c r="O293" i="24"/>
  <c r="Q299" i="24"/>
  <c r="S336" i="24"/>
  <c r="S330" i="24"/>
  <c r="S334" i="24"/>
  <c r="S40" i="24"/>
  <c r="AA40" i="24" s="1"/>
  <c r="S87" i="24"/>
  <c r="R286" i="24"/>
  <c r="Q293" i="24"/>
  <c r="S314" i="24"/>
  <c r="S339" i="24"/>
  <c r="S88" i="24"/>
  <c r="S96" i="24"/>
  <c r="S114" i="24"/>
  <c r="S122" i="24"/>
  <c r="R308" i="24"/>
  <c r="S312" i="24"/>
  <c r="S333" i="24"/>
  <c r="S89" i="24"/>
  <c r="S97" i="24"/>
  <c r="Q214" i="24"/>
  <c r="S321" i="24"/>
  <c r="S116" i="24"/>
  <c r="S124" i="24"/>
  <c r="R214" i="24"/>
  <c r="S313" i="24"/>
  <c r="R340" i="24"/>
  <c r="S337" i="24"/>
  <c r="S83" i="24"/>
  <c r="S91" i="24"/>
  <c r="S99" i="24"/>
  <c r="S117" i="24"/>
  <c r="P280" i="24"/>
  <c r="O299" i="24"/>
  <c r="S328" i="24"/>
  <c r="AA328" i="24" s="1"/>
  <c r="S331" i="24"/>
  <c r="S84" i="24"/>
  <c r="S92" i="24"/>
  <c r="AA92" i="24" s="1"/>
  <c r="S100" i="24"/>
  <c r="S118" i="24"/>
  <c r="S126" i="24"/>
  <c r="Q280" i="24"/>
  <c r="O286" i="24"/>
  <c r="P315" i="24"/>
  <c r="Q286" i="24"/>
  <c r="P293" i="24"/>
  <c r="R299" i="24"/>
  <c r="S329" i="24"/>
  <c r="S306" i="24"/>
  <c r="O315" i="24"/>
  <c r="S274" i="24"/>
  <c r="S304" i="24"/>
  <c r="S290" i="24"/>
  <c r="S291" i="24"/>
  <c r="R315" i="24"/>
  <c r="S305" i="24"/>
  <c r="S296" i="24"/>
  <c r="S311" i="24"/>
  <c r="AA311" i="24" s="1"/>
  <c r="AD301" i="24"/>
  <c r="AE301" i="24" s="1"/>
  <c r="S303" i="24"/>
  <c r="AA303" i="24" s="1"/>
  <c r="S302" i="24"/>
  <c r="AA302" i="24" s="1"/>
  <c r="S273" i="24"/>
  <c r="S278" i="24"/>
  <c r="S292" i="24"/>
  <c r="S276" i="24"/>
  <c r="S279" i="24"/>
  <c r="S284" i="24"/>
  <c r="AA284" i="24" s="1"/>
  <c r="S264" i="24"/>
  <c r="S277" i="24"/>
  <c r="S285" i="24"/>
  <c r="AA285" i="24" s="1"/>
  <c r="S297" i="24"/>
  <c r="S283" i="24"/>
  <c r="AA283" i="24" s="1"/>
  <c r="S275" i="24"/>
  <c r="S298" i="24"/>
  <c r="AD295" i="24"/>
  <c r="AE295" i="24" s="1"/>
  <c r="S289" i="24"/>
  <c r="AA289" i="24" s="1"/>
  <c r="S265" i="24"/>
  <c r="S263" i="24"/>
  <c r="AA263" i="24" s="1"/>
  <c r="S266" i="24"/>
  <c r="P267" i="24"/>
  <c r="P268" i="24" s="1"/>
  <c r="Z256" i="24"/>
  <c r="S249" i="24"/>
  <c r="AA249" i="24" s="1"/>
  <c r="S257" i="24"/>
  <c r="S250" i="24"/>
  <c r="Y254" i="24"/>
  <c r="Y258" i="24"/>
  <c r="S251" i="24"/>
  <c r="P48" i="24"/>
  <c r="S241" i="24"/>
  <c r="AA241" i="24" s="1"/>
  <c r="S244" i="24"/>
  <c r="S230" i="24"/>
  <c r="S242" i="24"/>
  <c r="S206" i="24"/>
  <c r="AA206" i="24" s="1"/>
  <c r="AC253" i="24"/>
  <c r="S245" i="24"/>
  <c r="S243" i="24"/>
  <c r="S208" i="24"/>
  <c r="S212" i="24"/>
  <c r="S226" i="24"/>
  <c r="Q45" i="24"/>
  <c r="S224" i="24"/>
  <c r="P53" i="24"/>
  <c r="S211" i="24"/>
  <c r="AB213" i="24"/>
  <c r="S227" i="24"/>
  <c r="Q53" i="24"/>
  <c r="S209" i="24"/>
  <c r="S225" i="24"/>
  <c r="S223" i="24"/>
  <c r="AA223" i="24" s="1"/>
  <c r="AC231" i="24"/>
  <c r="S207" i="24"/>
  <c r="S210" i="24"/>
  <c r="AD105" i="24"/>
  <c r="AE105" i="24" s="1"/>
  <c r="AD82" i="24"/>
  <c r="AE82" i="24" s="1"/>
  <c r="AD104" i="24"/>
  <c r="AE104" i="24" s="1"/>
  <c r="AD39" i="24"/>
  <c r="AE39" i="24" s="1"/>
  <c r="AD46" i="24"/>
  <c r="AE46" i="24" s="1"/>
  <c r="Q48" i="24"/>
  <c r="O64" i="24"/>
  <c r="P45" i="24"/>
  <c r="S74" i="24"/>
  <c r="AA74" i="24" s="1"/>
  <c r="N78" i="24"/>
  <c r="N77" i="24"/>
  <c r="N76" i="24"/>
  <c r="N75" i="24"/>
  <c r="N74" i="24"/>
  <c r="AI73" i="24"/>
  <c r="N73" i="24"/>
  <c r="AI72" i="24"/>
  <c r="N72" i="24"/>
  <c r="N71" i="24"/>
  <c r="O45" i="24" l="1"/>
  <c r="O49" i="24" s="1"/>
  <c r="AC574" i="24"/>
  <c r="Z126" i="24"/>
  <c r="AC126" i="24"/>
  <c r="AB126" i="24"/>
  <c r="AA126" i="24"/>
  <c r="Y126" i="24"/>
  <c r="AA121" i="24"/>
  <c r="Z121" i="24"/>
  <c r="AB121" i="24"/>
  <c r="AC121" i="24"/>
  <c r="Y121" i="24"/>
  <c r="Z128" i="24"/>
  <c r="Y128" i="24"/>
  <c r="AA128" i="24"/>
  <c r="AB128" i="24"/>
  <c r="AC128" i="24"/>
  <c r="AB117" i="24"/>
  <c r="AA117" i="24"/>
  <c r="Z117" i="24"/>
  <c r="AC117" i="24"/>
  <c r="Y117" i="24"/>
  <c r="AB113" i="24"/>
  <c r="AA113" i="24"/>
  <c r="Z113" i="24"/>
  <c r="Y113" i="24"/>
  <c r="AC113" i="24"/>
  <c r="AB116" i="24"/>
  <c r="Z116" i="24"/>
  <c r="Y116" i="24"/>
  <c r="AA116" i="24"/>
  <c r="AC116" i="24"/>
  <c r="Y112" i="24"/>
  <c r="Z112" i="24"/>
  <c r="AB112" i="24"/>
  <c r="S138" i="24"/>
  <c r="AC112" i="24"/>
  <c r="AA112" i="24"/>
  <c r="AC114" i="24"/>
  <c r="AB114" i="24"/>
  <c r="Z114" i="24"/>
  <c r="Y114" i="24"/>
  <c r="AA114" i="24"/>
  <c r="AC131" i="24"/>
  <c r="AB131" i="24"/>
  <c r="Z131" i="24"/>
  <c r="Y131" i="24"/>
  <c r="AA131" i="24"/>
  <c r="AB115" i="24"/>
  <c r="Z115" i="24"/>
  <c r="AA115" i="24"/>
  <c r="AC115" i="24"/>
  <c r="Y115" i="24"/>
  <c r="AC118" i="24"/>
  <c r="AB118" i="24"/>
  <c r="Z118" i="24"/>
  <c r="Y118" i="24"/>
  <c r="AA118" i="24"/>
  <c r="Y124" i="24"/>
  <c r="Z124" i="24"/>
  <c r="AA124" i="24"/>
  <c r="AC124" i="24"/>
  <c r="AB124" i="24"/>
  <c r="AB120" i="24"/>
  <c r="Z120" i="24"/>
  <c r="Y120" i="24"/>
  <c r="AC120" i="24"/>
  <c r="AA120" i="24"/>
  <c r="Z122" i="24"/>
  <c r="AB122" i="24"/>
  <c r="AC122" i="24"/>
  <c r="Y122" i="24"/>
  <c r="AA122" i="24"/>
  <c r="AB127" i="24"/>
  <c r="Y127" i="24"/>
  <c r="Z127" i="24"/>
  <c r="AA127" i="24"/>
  <c r="AC127" i="24"/>
  <c r="AB119" i="24"/>
  <c r="Z119" i="24"/>
  <c r="Y119" i="24"/>
  <c r="AA119" i="24"/>
  <c r="AC119" i="24"/>
  <c r="AB123" i="24"/>
  <c r="Z123" i="24"/>
  <c r="AC123" i="24"/>
  <c r="Y123" i="24"/>
  <c r="AA123" i="24"/>
  <c r="Z125" i="24"/>
  <c r="AA125" i="24"/>
  <c r="AB125" i="24"/>
  <c r="AC125" i="24"/>
  <c r="Y125" i="24"/>
  <c r="Z129" i="24"/>
  <c r="AB129" i="24"/>
  <c r="AA129" i="24"/>
  <c r="Y129" i="24"/>
  <c r="AC129" i="24"/>
  <c r="S109" i="24"/>
  <c r="S229" i="24"/>
  <c r="Q232" i="24"/>
  <c r="R232" i="24"/>
  <c r="P232" i="24"/>
  <c r="AD574" i="24"/>
  <c r="AA563" i="24"/>
  <c r="Z210" i="24"/>
  <c r="AA210" i="24"/>
  <c r="AB225" i="24"/>
  <c r="AA225" i="24"/>
  <c r="AC226" i="24"/>
  <c r="AA226" i="24"/>
  <c r="Y208" i="24"/>
  <c r="AA208" i="24"/>
  <c r="AC245" i="24"/>
  <c r="AA245" i="24"/>
  <c r="Y242" i="24"/>
  <c r="AA242" i="24"/>
  <c r="Z228" i="24"/>
  <c r="AA228" i="24"/>
  <c r="AB244" i="24"/>
  <c r="AA244" i="24"/>
  <c r="Y257" i="24"/>
  <c r="AA257" i="24"/>
  <c r="AB266" i="24"/>
  <c r="AA266" i="24"/>
  <c r="Y298" i="24"/>
  <c r="AA298" i="24"/>
  <c r="AC264" i="24"/>
  <c r="AA264" i="24"/>
  <c r="Y279" i="24"/>
  <c r="AA279" i="24"/>
  <c r="AC292" i="24"/>
  <c r="AA292" i="24"/>
  <c r="Y273" i="24"/>
  <c r="AA273" i="24"/>
  <c r="AB296" i="24"/>
  <c r="AA296" i="24"/>
  <c r="AB305" i="24"/>
  <c r="AA305" i="24"/>
  <c r="AB290" i="24"/>
  <c r="AA290" i="24"/>
  <c r="AC274" i="24"/>
  <c r="AA274" i="24"/>
  <c r="AC306" i="24"/>
  <c r="AA306" i="24"/>
  <c r="AC329" i="24"/>
  <c r="AA329" i="24"/>
  <c r="Y100" i="24"/>
  <c r="AA100" i="24"/>
  <c r="AC84" i="24"/>
  <c r="AA84" i="24"/>
  <c r="Y99" i="24"/>
  <c r="AA99" i="24"/>
  <c r="Z83" i="24"/>
  <c r="AA83" i="24"/>
  <c r="AC89" i="24"/>
  <c r="AA89" i="24"/>
  <c r="AB312" i="24"/>
  <c r="AA312" i="24"/>
  <c r="AC88" i="24"/>
  <c r="AA88" i="24"/>
  <c r="AC314" i="24"/>
  <c r="AA314" i="24"/>
  <c r="AC330" i="24"/>
  <c r="AA330" i="24"/>
  <c r="Z93" i="24"/>
  <c r="AA93" i="24"/>
  <c r="AC95" i="24"/>
  <c r="AA95" i="24"/>
  <c r="AB338" i="24"/>
  <c r="AA338" i="24"/>
  <c r="AB102" i="24"/>
  <c r="AA102" i="24"/>
  <c r="AC90" i="24"/>
  <c r="AA90" i="24"/>
  <c r="AC332" i="24"/>
  <c r="AA332" i="24"/>
  <c r="O232" i="24"/>
  <c r="AA555" i="24"/>
  <c r="AC207" i="24"/>
  <c r="AA207" i="24"/>
  <c r="AB209" i="24"/>
  <c r="AA209" i="24"/>
  <c r="Y227" i="24"/>
  <c r="AA227" i="24"/>
  <c r="Y211" i="24"/>
  <c r="AA211" i="24"/>
  <c r="Y224" i="24"/>
  <c r="AA224" i="24"/>
  <c r="AB212" i="24"/>
  <c r="AA212" i="24"/>
  <c r="AB243" i="24"/>
  <c r="AA243" i="24"/>
  <c r="AC230" i="24"/>
  <c r="AA230" i="24"/>
  <c r="Y251" i="24"/>
  <c r="AA251" i="24"/>
  <c r="AC250" i="24"/>
  <c r="AA250" i="24"/>
  <c r="AC265" i="24"/>
  <c r="AA265" i="24"/>
  <c r="Y275" i="24"/>
  <c r="AA275" i="24"/>
  <c r="Y297" i="24"/>
  <c r="AA297" i="24"/>
  <c r="Y277" i="24"/>
  <c r="AA277" i="24"/>
  <c r="AC276" i="24"/>
  <c r="AA276" i="24"/>
  <c r="AC278" i="24"/>
  <c r="AA278" i="24"/>
  <c r="AC291" i="24"/>
  <c r="AA291" i="24"/>
  <c r="Z304" i="24"/>
  <c r="AA304" i="24"/>
  <c r="AC331" i="24"/>
  <c r="AA331" i="24"/>
  <c r="Y91" i="24"/>
  <c r="AA91" i="24"/>
  <c r="Y337" i="24"/>
  <c r="AA337" i="24"/>
  <c r="Z313" i="24"/>
  <c r="AA313" i="24"/>
  <c r="Z321" i="24"/>
  <c r="AA321" i="24"/>
  <c r="Y97" i="24"/>
  <c r="AA97" i="24"/>
  <c r="Y333" i="24"/>
  <c r="AA333" i="24"/>
  <c r="AC96" i="24"/>
  <c r="AA96" i="24"/>
  <c r="Y339" i="24"/>
  <c r="AA339" i="24"/>
  <c r="AC87" i="24"/>
  <c r="AA87" i="24"/>
  <c r="AC334" i="24"/>
  <c r="AA334" i="24"/>
  <c r="AC336" i="24"/>
  <c r="AA336" i="24"/>
  <c r="AB101" i="24"/>
  <c r="AA101" i="24"/>
  <c r="AC85" i="24"/>
  <c r="AA85" i="24"/>
  <c r="AC103" i="24"/>
  <c r="AA103" i="24"/>
  <c r="Y94" i="24"/>
  <c r="AA94" i="24"/>
  <c r="AC98" i="24"/>
  <c r="AA98" i="24"/>
  <c r="AC335" i="24"/>
  <c r="AA335" i="24"/>
  <c r="Y86" i="24"/>
  <c r="AA86" i="24"/>
  <c r="AB44" i="24"/>
  <c r="AA44" i="24"/>
  <c r="AD555" i="24"/>
  <c r="S66" i="24"/>
  <c r="AA66" i="24" s="1"/>
  <c r="O80" i="24"/>
  <c r="P80" i="24"/>
  <c r="Q80" i="24"/>
  <c r="R80" i="24"/>
  <c r="S340" i="24"/>
  <c r="AA340" i="24" s="1"/>
  <c r="O316" i="24"/>
  <c r="Q325" i="24"/>
  <c r="AB336" i="24"/>
  <c r="Y312" i="24"/>
  <c r="AB321" i="24"/>
  <c r="P49" i="24"/>
  <c r="O67" i="24"/>
  <c r="Q64" i="24"/>
  <c r="Q67" i="24" s="1"/>
  <c r="Q49" i="24"/>
  <c r="S41" i="24"/>
  <c r="AA41" i="24" s="1"/>
  <c r="P64" i="24"/>
  <c r="P67" i="24" s="1"/>
  <c r="AC44" i="24"/>
  <c r="Z312" i="24"/>
  <c r="R67" i="24"/>
  <c r="Y321" i="24"/>
  <c r="AC321" i="24"/>
  <c r="AC312" i="24"/>
  <c r="Y313" i="24"/>
  <c r="S76" i="24"/>
  <c r="AB94" i="24"/>
  <c r="AC338" i="24"/>
  <c r="Z338" i="24"/>
  <c r="Y338" i="24"/>
  <c r="Z336" i="24"/>
  <c r="Y336" i="24"/>
  <c r="AC91" i="24"/>
  <c r="Z331" i="24"/>
  <c r="AB333" i="24"/>
  <c r="Y331" i="24"/>
  <c r="Z333" i="24"/>
  <c r="Z337" i="24"/>
  <c r="AB337" i="24"/>
  <c r="AC333" i="24"/>
  <c r="Z94" i="24"/>
  <c r="AC94" i="24"/>
  <c r="AC337" i="24"/>
  <c r="Y329" i="24"/>
  <c r="Z329" i="24"/>
  <c r="AB329" i="24"/>
  <c r="S75" i="24"/>
  <c r="AA75" i="24" s="1"/>
  <c r="S73" i="24"/>
  <c r="Y89" i="24"/>
  <c r="Z314" i="24"/>
  <c r="AB314" i="24"/>
  <c r="O325" i="24"/>
  <c r="AB331" i="24"/>
  <c r="AC290" i="24"/>
  <c r="Y290" i="24"/>
  <c r="Z339" i="24"/>
  <c r="Z290" i="24"/>
  <c r="AC273" i="24"/>
  <c r="Y314" i="24"/>
  <c r="S78" i="24"/>
  <c r="AA78" i="24" s="1"/>
  <c r="S77" i="24"/>
  <c r="AK340" i="24"/>
  <c r="R325" i="24"/>
  <c r="Y304" i="24"/>
  <c r="AC279" i="24"/>
  <c r="AB273" i="24"/>
  <c r="AK280" i="24"/>
  <c r="AB277" i="24"/>
  <c r="S259" i="24"/>
  <c r="AB99" i="24"/>
  <c r="Y230" i="24"/>
  <c r="AB304" i="24"/>
  <c r="R267" i="24"/>
  <c r="R268" i="24" s="1"/>
  <c r="Y265" i="24"/>
  <c r="Z100" i="24"/>
  <c r="AC277" i="24"/>
  <c r="AC304" i="24"/>
  <c r="Z273" i="24"/>
  <c r="Z277" i="24"/>
  <c r="Z275" i="24"/>
  <c r="S71" i="24"/>
  <c r="AA71" i="24" s="1"/>
  <c r="Z99" i="24"/>
  <c r="Y335" i="24"/>
  <c r="AC99" i="24"/>
  <c r="Y84" i="24"/>
  <c r="Z241" i="24"/>
  <c r="Z332" i="24"/>
  <c r="AB339" i="24"/>
  <c r="Y283" i="24"/>
  <c r="Y103" i="24"/>
  <c r="Z103" i="24"/>
  <c r="Z335" i="24"/>
  <c r="AC339" i="24"/>
  <c r="AC305" i="24"/>
  <c r="Y305" i="24"/>
  <c r="Y332" i="24"/>
  <c r="AB335" i="24"/>
  <c r="S324" i="24"/>
  <c r="S322" i="24"/>
  <c r="Z283" i="24"/>
  <c r="Y274" i="24"/>
  <c r="AC283" i="24"/>
  <c r="Q267" i="24"/>
  <c r="Q268" i="24" s="1"/>
  <c r="Z274" i="24"/>
  <c r="AB274" i="24"/>
  <c r="Z330" i="24"/>
  <c r="AB330" i="24"/>
  <c r="AB247" i="24"/>
  <c r="Y330" i="24"/>
  <c r="Z230" i="24"/>
  <c r="AB279" i="24"/>
  <c r="Y334" i="24"/>
  <c r="AB230" i="24"/>
  <c r="AB275" i="24"/>
  <c r="AB284" i="24"/>
  <c r="S293" i="24"/>
  <c r="AA293" i="24" s="1"/>
  <c r="AC313" i="24"/>
  <c r="Z334" i="24"/>
  <c r="AC284" i="24"/>
  <c r="AC275" i="24"/>
  <c r="Y284" i="24"/>
  <c r="Y296" i="24"/>
  <c r="S307" i="24"/>
  <c r="Z284" i="24"/>
  <c r="AB291" i="24"/>
  <c r="Z296" i="24"/>
  <c r="AB313" i="24"/>
  <c r="AB334" i="24"/>
  <c r="Q316" i="24"/>
  <c r="Z279" i="24"/>
  <c r="Z291" i="24"/>
  <c r="Y306" i="24"/>
  <c r="Y291" i="24"/>
  <c r="AB306" i="24"/>
  <c r="S43" i="24"/>
  <c r="Z278" i="24"/>
  <c r="AC298" i="24"/>
  <c r="AB283" i="24"/>
  <c r="S286" i="24"/>
  <c r="Z328" i="24"/>
  <c r="AB328" i="24"/>
  <c r="AC328" i="24"/>
  <c r="Y328" i="24"/>
  <c r="Z298" i="24"/>
  <c r="S52" i="24"/>
  <c r="AC241" i="24"/>
  <c r="Z264" i="24"/>
  <c r="Z285" i="24"/>
  <c r="S299" i="24"/>
  <c r="O267" i="24"/>
  <c r="O268" i="24" s="1"/>
  <c r="R316" i="24"/>
  <c r="S47" i="24"/>
  <c r="Y264" i="24"/>
  <c r="S280" i="24"/>
  <c r="AA280" i="24" s="1"/>
  <c r="S323" i="24"/>
  <c r="Y223" i="24"/>
  <c r="Z253" i="24"/>
  <c r="Z206" i="24"/>
  <c r="S214" i="24"/>
  <c r="AB264" i="24"/>
  <c r="P316" i="24"/>
  <c r="P325" i="24"/>
  <c r="S72" i="24"/>
  <c r="AA72" i="24" s="1"/>
  <c r="S55" i="24"/>
  <c r="AA55" i="24" s="1"/>
  <c r="AC228" i="24"/>
  <c r="AB298" i="24"/>
  <c r="Z44" i="24"/>
  <c r="AB90" i="24"/>
  <c r="AC86" i="24"/>
  <c r="Y250" i="24"/>
  <c r="AC263" i="24"/>
  <c r="Z306" i="24"/>
  <c r="AB263" i="24"/>
  <c r="Z97" i="24"/>
  <c r="Y206" i="24"/>
  <c r="Y263" i="24"/>
  <c r="Y278" i="24"/>
  <c r="Z263" i="24"/>
  <c r="Y292" i="24"/>
  <c r="Z90" i="24"/>
  <c r="AC101" i="24"/>
  <c r="AB285" i="24"/>
  <c r="Z292" i="24"/>
  <c r="AC296" i="24"/>
  <c r="Z86" i="24"/>
  <c r="AB228" i="24"/>
  <c r="AC285" i="24"/>
  <c r="Z305" i="24"/>
  <c r="AB100" i="24"/>
  <c r="AC311" i="24"/>
  <c r="S315" i="24"/>
  <c r="AA315" i="24" s="1"/>
  <c r="AB311" i="24"/>
  <c r="Y311" i="24"/>
  <c r="Z311" i="24"/>
  <c r="AC302" i="24"/>
  <c r="AB302" i="24"/>
  <c r="Z302" i="24"/>
  <c r="Y302" i="24"/>
  <c r="Y303" i="24"/>
  <c r="AC303" i="24"/>
  <c r="AB303" i="24"/>
  <c r="Z303" i="24"/>
  <c r="Z91" i="24"/>
  <c r="AC242" i="24"/>
  <c r="AB254" i="24"/>
  <c r="AB265" i="24"/>
  <c r="AC266" i="24"/>
  <c r="Y276" i="24"/>
  <c r="AB278" i="24"/>
  <c r="Y285" i="24"/>
  <c r="AB292" i="24"/>
  <c r="Z254" i="24"/>
  <c r="AB40" i="24"/>
  <c r="AC100" i="24"/>
  <c r="AC244" i="24"/>
  <c r="Y266" i="24"/>
  <c r="Z276" i="24"/>
  <c r="AB297" i="24"/>
  <c r="AB241" i="24"/>
  <c r="AB276" i="24"/>
  <c r="Z297" i="24"/>
  <c r="Y85" i="24"/>
  <c r="AC243" i="24"/>
  <c r="Z265" i="24"/>
  <c r="AC297" i="24"/>
  <c r="AC289" i="24"/>
  <c r="AB289" i="24"/>
  <c r="Z289" i="24"/>
  <c r="Y289" i="24"/>
  <c r="AB210" i="24"/>
  <c r="AB249" i="24"/>
  <c r="AB103" i="24"/>
  <c r="AC83" i="24"/>
  <c r="AB93" i="24"/>
  <c r="AB84" i="24"/>
  <c r="Y243" i="24"/>
  <c r="AC249" i="24"/>
  <c r="Z84" i="24"/>
  <c r="Y83" i="24"/>
  <c r="Z249" i="24"/>
  <c r="AB256" i="24"/>
  <c r="Z89" i="24"/>
  <c r="Y213" i="24"/>
  <c r="AB242" i="24"/>
  <c r="Y249" i="24"/>
  <c r="AC254" i="24"/>
  <c r="G14" i="35" s="1"/>
  <c r="AC256" i="24"/>
  <c r="AC93" i="24"/>
  <c r="AC213" i="24"/>
  <c r="Z243" i="24"/>
  <c r="Y96" i="24"/>
  <c r="Y226" i="24"/>
  <c r="Z242" i="24"/>
  <c r="Y253" i="24"/>
  <c r="C14" i="35" s="1"/>
  <c r="AB253" i="24"/>
  <c r="AB98" i="24"/>
  <c r="AB86" i="24"/>
  <c r="AC92" i="24"/>
  <c r="Y256" i="24"/>
  <c r="C15" i="35" s="1"/>
  <c r="Z266" i="24"/>
  <c r="Y98" i="24"/>
  <c r="Z98" i="24"/>
  <c r="AB92" i="24"/>
  <c r="AB258" i="24"/>
  <c r="Z257" i="24"/>
  <c r="Z92" i="24"/>
  <c r="Y92" i="24"/>
  <c r="Z223" i="24"/>
  <c r="Y241" i="24"/>
  <c r="Z250" i="24"/>
  <c r="Z40" i="24"/>
  <c r="Z88" i="24"/>
  <c r="AB95" i="24"/>
  <c r="AB96" i="24"/>
  <c r="AB88" i="24"/>
  <c r="AC212" i="24"/>
  <c r="Z225" i="24"/>
  <c r="AC247" i="24"/>
  <c r="Y244" i="24"/>
  <c r="Z258" i="24"/>
  <c r="AB257" i="24"/>
  <c r="Z212" i="24"/>
  <c r="AC225" i="24"/>
  <c r="AC209" i="24"/>
  <c r="Y225" i="24"/>
  <c r="Y247" i="24"/>
  <c r="Z251" i="24"/>
  <c r="AB250" i="24"/>
  <c r="AC257" i="24"/>
  <c r="Y102" i="24"/>
  <c r="AC210" i="24"/>
  <c r="Z224" i="24"/>
  <c r="AC102" i="24"/>
  <c r="AB251" i="24"/>
  <c r="AC258" i="24"/>
  <c r="Z102" i="24"/>
  <c r="Z231" i="24"/>
  <c r="Y207" i="24"/>
  <c r="AB231" i="24"/>
  <c r="AC251" i="24"/>
  <c r="Y95" i="24"/>
  <c r="Z85" i="24"/>
  <c r="Z207" i="24"/>
  <c r="Y231" i="24"/>
  <c r="Y90" i="24"/>
  <c r="AB89" i="24"/>
  <c r="Y93" i="24"/>
  <c r="Z211" i="24"/>
  <c r="AB207" i="24"/>
  <c r="Y245" i="24"/>
  <c r="Y44" i="24"/>
  <c r="Y88" i="24"/>
  <c r="AB97" i="24"/>
  <c r="Y87" i="24"/>
  <c r="Y212" i="24"/>
  <c r="AB206" i="24"/>
  <c r="Z245" i="24"/>
  <c r="AC97" i="24"/>
  <c r="AB87" i="24"/>
  <c r="AB211" i="24"/>
  <c r="Z213" i="24"/>
  <c r="AC206" i="24"/>
  <c r="Z96" i="24"/>
  <c r="Z95" i="24"/>
  <c r="AB85" i="24"/>
  <c r="Z87" i="24"/>
  <c r="AC211" i="24"/>
  <c r="Y228" i="24"/>
  <c r="Z247" i="24"/>
  <c r="AB245" i="24"/>
  <c r="Z244" i="24"/>
  <c r="AB91" i="24"/>
  <c r="AC40" i="24"/>
  <c r="Y101" i="24"/>
  <c r="Y209" i="24"/>
  <c r="AB224" i="24"/>
  <c r="Z226" i="24"/>
  <c r="Y40" i="24"/>
  <c r="Z101" i="24"/>
  <c r="Z209" i="24"/>
  <c r="AB227" i="24"/>
  <c r="AC224" i="24"/>
  <c r="Y210" i="24"/>
  <c r="Z208" i="24"/>
  <c r="AB223" i="24"/>
  <c r="Z227" i="24"/>
  <c r="AB226" i="24"/>
  <c r="AB83" i="24"/>
  <c r="AB208" i="24"/>
  <c r="AC223" i="24"/>
  <c r="AC227" i="24"/>
  <c r="AC208" i="24"/>
  <c r="Z74" i="24"/>
  <c r="AD120" i="24" l="1"/>
  <c r="AE120" i="24" s="1"/>
  <c r="Z574" i="24"/>
  <c r="AD114" i="24"/>
  <c r="AE114" i="24" s="1"/>
  <c r="AD123" i="24"/>
  <c r="AE123" i="24" s="1"/>
  <c r="AD131" i="24"/>
  <c r="AE131" i="24" s="1"/>
  <c r="AD126" i="24"/>
  <c r="AE126" i="24" s="1"/>
  <c r="AD113" i="24"/>
  <c r="AE113" i="24" s="1"/>
  <c r="AD129" i="24"/>
  <c r="AE129" i="24" s="1"/>
  <c r="AD119" i="24"/>
  <c r="AE119" i="24" s="1"/>
  <c r="AD118" i="24"/>
  <c r="AE118" i="24" s="1"/>
  <c r="AD122" i="24"/>
  <c r="AE122" i="24" s="1"/>
  <c r="AD112" i="24"/>
  <c r="AE112" i="24" s="1"/>
  <c r="AD116" i="24"/>
  <c r="AE116" i="24" s="1"/>
  <c r="AD117" i="24"/>
  <c r="AE117" i="24" s="1"/>
  <c r="AD128" i="24"/>
  <c r="AE128" i="24" s="1"/>
  <c r="AD125" i="24"/>
  <c r="AE125" i="24" s="1"/>
  <c r="AD124" i="24"/>
  <c r="AE124" i="24" s="1"/>
  <c r="AD115" i="24"/>
  <c r="AE115" i="24" s="1"/>
  <c r="AD121" i="24"/>
  <c r="AE121" i="24" s="1"/>
  <c r="AD127" i="24"/>
  <c r="AE127" i="24" s="1"/>
  <c r="S48" i="24"/>
  <c r="AA48" i="24" s="1"/>
  <c r="AA47" i="24"/>
  <c r="AC324" i="24"/>
  <c r="AA324" i="24"/>
  <c r="Z73" i="24"/>
  <c r="AA73" i="24"/>
  <c r="AC76" i="24"/>
  <c r="AA76" i="24"/>
  <c r="AB229" i="24"/>
  <c r="AA229" i="24"/>
  <c r="E39" i="35" s="1"/>
  <c r="Y323" i="24"/>
  <c r="AA323" i="24"/>
  <c r="S53" i="24"/>
  <c r="AA53" i="24" s="1"/>
  <c r="AA52" i="24"/>
  <c r="S45" i="24"/>
  <c r="AA45" i="24" s="1"/>
  <c r="AA43" i="24"/>
  <c r="AC307" i="24"/>
  <c r="AA307" i="24"/>
  <c r="E26" i="35" s="1"/>
  <c r="AB322" i="24"/>
  <c r="AA322" i="24"/>
  <c r="Z77" i="24"/>
  <c r="AA77" i="24"/>
  <c r="S80" i="24"/>
  <c r="AA80" i="24" s="1"/>
  <c r="S64" i="24"/>
  <c r="AA64" i="24" s="1"/>
  <c r="AD64" i="24" s="1"/>
  <c r="AD321" i="24"/>
  <c r="AE321" i="24" s="1"/>
  <c r="AD312" i="24"/>
  <c r="AE312" i="24" s="1"/>
  <c r="Y73" i="24"/>
  <c r="AD336" i="24"/>
  <c r="AE336" i="24" s="1"/>
  <c r="AB78" i="24"/>
  <c r="Y324" i="24"/>
  <c r="AD338" i="24"/>
  <c r="AE338" i="24" s="1"/>
  <c r="F27" i="35"/>
  <c r="AB324" i="24"/>
  <c r="AD94" i="24"/>
  <c r="AE94" i="24" s="1"/>
  <c r="Z324" i="24"/>
  <c r="AD337" i="24"/>
  <c r="AE337" i="24" s="1"/>
  <c r="AD333" i="24"/>
  <c r="AE333" i="24" s="1"/>
  <c r="AD331" i="24"/>
  <c r="AE331" i="24" s="1"/>
  <c r="AC78" i="24"/>
  <c r="AB73" i="24"/>
  <c r="AC73" i="24"/>
  <c r="AD273" i="24"/>
  <c r="AE273" i="24" s="1"/>
  <c r="AD290" i="24"/>
  <c r="AE290" i="24" s="1"/>
  <c r="Y78" i="24"/>
  <c r="Z78" i="24"/>
  <c r="AD329" i="24"/>
  <c r="AE329" i="24" s="1"/>
  <c r="G24" i="35"/>
  <c r="AD339" i="24"/>
  <c r="AE339" i="24" s="1"/>
  <c r="C27" i="35"/>
  <c r="AD103" i="24"/>
  <c r="AE103" i="24" s="1"/>
  <c r="AD335" i="24"/>
  <c r="AE335" i="24" s="1"/>
  <c r="AD330" i="24"/>
  <c r="AE330" i="24" s="1"/>
  <c r="Z307" i="24"/>
  <c r="D26" i="35" s="1"/>
  <c r="AD275" i="24"/>
  <c r="AE275" i="24" s="1"/>
  <c r="AD314" i="24"/>
  <c r="AE314" i="24" s="1"/>
  <c r="AD304" i="24"/>
  <c r="AE304" i="24" s="1"/>
  <c r="G22" i="35"/>
  <c r="AD277" i="24"/>
  <c r="AE277" i="24" s="1"/>
  <c r="AD332" i="24"/>
  <c r="AE332" i="24" s="1"/>
  <c r="AK325" i="24"/>
  <c r="AK314" i="24"/>
  <c r="S267" i="24"/>
  <c r="AK267" i="24"/>
  <c r="AK232" i="24"/>
  <c r="AK49" i="24"/>
  <c r="AD274" i="24"/>
  <c r="AE274" i="24" s="1"/>
  <c r="AD99" i="24"/>
  <c r="AE99" i="24" s="1"/>
  <c r="AD279" i="24"/>
  <c r="AE279" i="24" s="1"/>
  <c r="AD296" i="24"/>
  <c r="AE296" i="24" s="1"/>
  <c r="Y72" i="24"/>
  <c r="Y322" i="24"/>
  <c r="F29" i="35"/>
  <c r="G27" i="35"/>
  <c r="E29" i="35"/>
  <c r="Z322" i="24"/>
  <c r="AD313" i="24"/>
  <c r="AE313" i="24" s="1"/>
  <c r="C29" i="35"/>
  <c r="C25" i="35"/>
  <c r="G29" i="35"/>
  <c r="Y229" i="24"/>
  <c r="AC229" i="24"/>
  <c r="Y66" i="24"/>
  <c r="AC66" i="24"/>
  <c r="Z66" i="24"/>
  <c r="AB66" i="24"/>
  <c r="AC322" i="24"/>
  <c r="Z229" i="24"/>
  <c r="AC72" i="24"/>
  <c r="E24" i="35"/>
  <c r="AD291" i="24"/>
  <c r="AE291" i="24" s="1"/>
  <c r="AD284" i="24"/>
  <c r="AE284" i="24" s="1"/>
  <c r="AD283" i="24"/>
  <c r="AE283" i="24" s="1"/>
  <c r="AD298" i="24"/>
  <c r="AE298" i="24" s="1"/>
  <c r="AD334" i="24"/>
  <c r="AE334" i="24" s="1"/>
  <c r="AD230" i="24"/>
  <c r="AE230" i="24" s="1"/>
  <c r="AB72" i="24"/>
  <c r="Z323" i="24"/>
  <c r="F22" i="35"/>
  <c r="Y307" i="24"/>
  <c r="C26" i="35" s="1"/>
  <c r="AD264" i="24"/>
  <c r="AE264" i="24" s="1"/>
  <c r="D29" i="35"/>
  <c r="E12" i="35"/>
  <c r="E13" i="35"/>
  <c r="F25" i="35"/>
  <c r="S308" i="24"/>
  <c r="AB307" i="24"/>
  <c r="F26" i="35" s="1"/>
  <c r="C13" i="35"/>
  <c r="D22" i="35"/>
  <c r="AC50" i="24"/>
  <c r="G25" i="35"/>
  <c r="D12" i="35"/>
  <c r="D13" i="35"/>
  <c r="E22" i="35"/>
  <c r="C23" i="35"/>
  <c r="D23" i="35"/>
  <c r="D14" i="35"/>
  <c r="D15" i="35"/>
  <c r="E14" i="35"/>
  <c r="C22" i="35"/>
  <c r="E25" i="35"/>
  <c r="G23" i="35"/>
  <c r="F15" i="35"/>
  <c r="F14" i="35"/>
  <c r="C24" i="35"/>
  <c r="E23" i="35"/>
  <c r="D25" i="35"/>
  <c r="F23" i="35"/>
  <c r="D24" i="35"/>
  <c r="F12" i="35"/>
  <c r="D27" i="35"/>
  <c r="E15" i="35"/>
  <c r="C12" i="35"/>
  <c r="G15" i="35"/>
  <c r="G13" i="35"/>
  <c r="F13" i="35"/>
  <c r="F24" i="35"/>
  <c r="G26" i="35"/>
  <c r="E27" i="35"/>
  <c r="G12" i="35"/>
  <c r="AB50" i="24"/>
  <c r="AB323" i="24"/>
  <c r="S325" i="24"/>
  <c r="AC323" i="24"/>
  <c r="Y262" i="24"/>
  <c r="Z72" i="24"/>
  <c r="S232" i="24"/>
  <c r="AA232" i="24" s="1"/>
  <c r="AD328" i="24"/>
  <c r="AE328" i="24" s="1"/>
  <c r="AD206" i="24"/>
  <c r="AE206" i="24" s="1"/>
  <c r="AD89" i="24"/>
  <c r="AE89" i="24" s="1"/>
  <c r="AD100" i="24"/>
  <c r="AE100" i="24" s="1"/>
  <c r="AD305" i="24"/>
  <c r="AE305" i="24" s="1"/>
  <c r="AD306" i="24"/>
  <c r="AE306" i="24" s="1"/>
  <c r="AD263" i="24"/>
  <c r="AE263" i="24" s="1"/>
  <c r="Z262" i="24"/>
  <c r="AB262" i="24"/>
  <c r="AC262" i="24"/>
  <c r="AD278" i="24"/>
  <c r="AE278" i="24" s="1"/>
  <c r="AD292" i="24"/>
  <c r="AE292" i="24" s="1"/>
  <c r="AD285" i="24"/>
  <c r="AE285" i="24" s="1"/>
  <c r="AB55" i="24"/>
  <c r="AD311" i="24"/>
  <c r="AC315" i="24"/>
  <c r="AB315" i="24"/>
  <c r="Z315" i="24"/>
  <c r="Y315" i="24"/>
  <c r="AD84" i="24"/>
  <c r="AE84" i="24" s="1"/>
  <c r="AD297" i="24"/>
  <c r="AE297" i="24" s="1"/>
  <c r="AD276" i="24"/>
  <c r="AE276" i="24" s="1"/>
  <c r="AD243" i="24"/>
  <c r="AE243" i="24" s="1"/>
  <c r="AD265" i="24"/>
  <c r="AE265" i="24" s="1"/>
  <c r="AD303" i="24"/>
  <c r="AE303" i="24" s="1"/>
  <c r="AD302" i="24"/>
  <c r="AE302" i="24" s="1"/>
  <c r="Z75" i="24"/>
  <c r="AD242" i="24"/>
  <c r="AE242" i="24" s="1"/>
  <c r="Y75" i="24"/>
  <c r="AD266" i="24"/>
  <c r="AE266" i="24" s="1"/>
  <c r="AD86" i="24"/>
  <c r="AE86" i="24" s="1"/>
  <c r="AD289" i="24"/>
  <c r="AE289" i="24" s="1"/>
  <c r="AD228" i="24"/>
  <c r="AE228" i="24" s="1"/>
  <c r="AD90" i="24"/>
  <c r="AE90" i="24" s="1"/>
  <c r="AD256" i="24"/>
  <c r="AE256" i="24" s="1"/>
  <c r="AD92" i="24"/>
  <c r="AE92" i="24" s="1"/>
  <c r="AD98" i="24"/>
  <c r="AE98" i="24" s="1"/>
  <c r="AD254" i="24"/>
  <c r="AE254" i="24" s="1"/>
  <c r="AD91" i="24"/>
  <c r="AE91" i="24" s="1"/>
  <c r="AD85" i="24"/>
  <c r="AE85" i="24" s="1"/>
  <c r="AD231" i="24"/>
  <c r="AE231" i="24" s="1"/>
  <c r="AD249" i="24"/>
  <c r="AE249" i="24" s="1"/>
  <c r="AD253" i="24"/>
  <c r="AE253" i="24" s="1"/>
  <c r="AD88" i="24"/>
  <c r="AE88" i="24" s="1"/>
  <c r="AD207" i="24"/>
  <c r="AE207" i="24" s="1"/>
  <c r="AD83" i="24"/>
  <c r="AE83" i="24" s="1"/>
  <c r="AD93" i="24"/>
  <c r="AE93" i="24" s="1"/>
  <c r="AD244" i="24"/>
  <c r="AE244" i="24" s="1"/>
  <c r="AD96" i="24"/>
  <c r="AE96" i="24" s="1"/>
  <c r="AD224" i="24"/>
  <c r="AE224" i="24" s="1"/>
  <c r="AB75" i="24"/>
  <c r="AD211" i="24"/>
  <c r="AE211" i="24" s="1"/>
  <c r="AD87" i="24"/>
  <c r="AE87" i="24" s="1"/>
  <c r="AC75" i="24"/>
  <c r="AD250" i="24"/>
  <c r="AE250" i="24" s="1"/>
  <c r="AC55" i="24"/>
  <c r="AD257" i="24"/>
  <c r="AE257" i="24" s="1"/>
  <c r="AD213" i="24"/>
  <c r="AE213" i="24" s="1"/>
  <c r="AD97" i="24"/>
  <c r="AE97" i="24" s="1"/>
  <c r="AD102" i="24"/>
  <c r="AE102" i="24" s="1"/>
  <c r="AD247" i="24"/>
  <c r="AE247" i="24" s="1"/>
  <c r="Y55" i="24"/>
  <c r="Z55" i="24"/>
  <c r="AD258" i="24"/>
  <c r="AE258" i="24" s="1"/>
  <c r="AD95" i="24"/>
  <c r="AE95" i="24" s="1"/>
  <c r="AD241" i="24"/>
  <c r="AE241" i="24" s="1"/>
  <c r="AD251" i="24"/>
  <c r="AE251" i="24" s="1"/>
  <c r="AD225" i="24"/>
  <c r="AE225" i="24" s="1"/>
  <c r="AD212" i="24"/>
  <c r="AE212" i="24" s="1"/>
  <c r="AD227" i="24"/>
  <c r="AE227" i="24" s="1"/>
  <c r="AD226" i="24"/>
  <c r="AE226" i="24" s="1"/>
  <c r="AD40" i="24"/>
  <c r="AD44" i="24"/>
  <c r="AE44" i="24" s="1"/>
  <c r="AD245" i="24"/>
  <c r="AE245" i="24" s="1"/>
  <c r="AD223" i="24"/>
  <c r="AD210" i="24"/>
  <c r="AE210" i="24" s="1"/>
  <c r="AD101" i="24"/>
  <c r="AE101" i="24" s="1"/>
  <c r="AC77" i="24"/>
  <c r="AD208" i="24"/>
  <c r="AE208" i="24" s="1"/>
  <c r="Y52" i="24"/>
  <c r="AB52" i="24"/>
  <c r="Z52" i="24"/>
  <c r="AC52" i="24"/>
  <c r="Z76" i="24"/>
  <c r="Y76" i="24"/>
  <c r="AB77" i="24"/>
  <c r="AB76" i="24"/>
  <c r="AD209" i="24"/>
  <c r="AE209" i="24" s="1"/>
  <c r="Y77" i="24"/>
  <c r="AB43" i="24"/>
  <c r="Z43" i="24"/>
  <c r="Y43" i="24"/>
  <c r="AC43" i="24"/>
  <c r="AC47" i="24"/>
  <c r="AB47" i="24"/>
  <c r="Z47" i="24"/>
  <c r="Y47" i="24"/>
  <c r="AB74" i="24"/>
  <c r="Y74" i="24"/>
  <c r="AC74" i="24"/>
  <c r="Z71" i="24"/>
  <c r="AC71" i="24"/>
  <c r="AB71" i="24"/>
  <c r="Y71" i="24"/>
  <c r="S49" i="24" l="1"/>
  <c r="AA49" i="24" s="1"/>
  <c r="AE45" i="24"/>
  <c r="S67" i="24"/>
  <c r="AA67" i="24" s="1"/>
  <c r="AK66" i="24"/>
  <c r="S268" i="24"/>
  <c r="S316" i="24"/>
  <c r="AA308" i="24"/>
  <c r="C28" i="35"/>
  <c r="AD324" i="24"/>
  <c r="AE324" i="24" s="1"/>
  <c r="F28" i="35"/>
  <c r="AB21" i="44"/>
  <c r="AF21" i="45"/>
  <c r="AD73" i="24"/>
  <c r="AE73" i="24" s="1"/>
  <c r="AD78" i="24"/>
  <c r="AE78" i="24" s="1"/>
  <c r="D28" i="35"/>
  <c r="E28" i="35"/>
  <c r="AD72" i="24"/>
  <c r="AE72" i="24" s="1"/>
  <c r="G28" i="35"/>
  <c r="Z50" i="24"/>
  <c r="AD229" i="24"/>
  <c r="AE229" i="24" s="1"/>
  <c r="Y50" i="24"/>
  <c r="AD322" i="24"/>
  <c r="AE322" i="24" s="1"/>
  <c r="H29" i="35"/>
  <c r="H25" i="35"/>
  <c r="H22" i="35"/>
  <c r="AE64" i="24"/>
  <c r="H13" i="35"/>
  <c r="E16" i="35"/>
  <c r="AD307" i="24"/>
  <c r="AE307" i="24" s="1"/>
  <c r="H15" i="35"/>
  <c r="H26" i="35"/>
  <c r="D19" i="35"/>
  <c r="AD66" i="24"/>
  <c r="AE66" i="24" s="1"/>
  <c r="AD323" i="24"/>
  <c r="AE323" i="24" s="1"/>
  <c r="H12" i="35"/>
  <c r="H23" i="35"/>
  <c r="H14" i="35"/>
  <c r="C16" i="35"/>
  <c r="D16" i="35"/>
  <c r="G16" i="35"/>
  <c r="F16" i="35"/>
  <c r="H24" i="35"/>
  <c r="F19" i="35"/>
  <c r="G19" i="35"/>
  <c r="D20" i="35"/>
  <c r="C19" i="35"/>
  <c r="E20" i="35"/>
  <c r="F20" i="35"/>
  <c r="C20" i="35"/>
  <c r="E19" i="35"/>
  <c r="G20" i="35"/>
  <c r="AE40" i="24"/>
  <c r="AE223" i="24"/>
  <c r="AE311" i="24"/>
  <c r="AD262" i="24"/>
  <c r="AE262" i="24" s="1"/>
  <c r="AD315" i="24"/>
  <c r="AE315" i="24" s="1"/>
  <c r="AD75" i="24"/>
  <c r="AE75" i="24" s="1"/>
  <c r="AD55" i="24"/>
  <c r="AE55" i="24" s="1"/>
  <c r="AD52" i="24"/>
  <c r="AE52" i="24" s="1"/>
  <c r="AD76" i="24"/>
  <c r="AE76" i="24" s="1"/>
  <c r="AD77" i="24"/>
  <c r="AE77" i="24" s="1"/>
  <c r="AD47" i="24"/>
  <c r="AE47" i="24" s="1"/>
  <c r="AD43" i="24"/>
  <c r="AE43" i="24" s="1"/>
  <c r="AD74" i="24"/>
  <c r="AE74" i="24" s="1"/>
  <c r="AD71" i="24"/>
  <c r="AE71" i="24" s="1"/>
  <c r="AD50" i="24" l="1"/>
  <c r="H16" i="35"/>
  <c r="AE50" i="24"/>
  <c r="AC49" i="24"/>
  <c r="AB49" i="24"/>
  <c r="Z49" i="24"/>
  <c r="AC67" i="24"/>
  <c r="AB67" i="24"/>
  <c r="Z67" i="24"/>
  <c r="AD67" i="24" l="1"/>
  <c r="AE67" i="24" s="1"/>
  <c r="AD49" i="24"/>
  <c r="AE49" i="24" s="1"/>
  <c r="T439" i="24" l="1"/>
  <c r="U439" i="24"/>
  <c r="V439" i="24"/>
  <c r="W439" i="24"/>
  <c r="X439" i="24"/>
  <c r="AH439" i="24"/>
  <c r="AI439" i="24" s="1"/>
  <c r="N439" i="24"/>
  <c r="AH448" i="24"/>
  <c r="AI448" i="24" s="1"/>
  <c r="X448" i="24"/>
  <c r="W448" i="24"/>
  <c r="V448" i="24"/>
  <c r="U448" i="24"/>
  <c r="T448" i="24"/>
  <c r="AH447" i="24"/>
  <c r="AI447" i="24" s="1"/>
  <c r="X447" i="24"/>
  <c r="W447" i="24"/>
  <c r="V447" i="24"/>
  <c r="U447" i="24"/>
  <c r="T447" i="24"/>
  <c r="AH446" i="24"/>
  <c r="AI446" i="24" s="1"/>
  <c r="X446" i="24"/>
  <c r="W446" i="24"/>
  <c r="V446" i="24"/>
  <c r="U446" i="24"/>
  <c r="T446" i="24"/>
  <c r="AH445" i="24"/>
  <c r="AI445" i="24" s="1"/>
  <c r="X445" i="24"/>
  <c r="W445" i="24"/>
  <c r="V445" i="24"/>
  <c r="U445" i="24"/>
  <c r="T445" i="24"/>
  <c r="N448" i="24"/>
  <c r="I448" i="24"/>
  <c r="N447" i="24"/>
  <c r="I447" i="24"/>
  <c r="N446" i="24"/>
  <c r="I446" i="24"/>
  <c r="N445" i="24"/>
  <c r="I438" i="24"/>
  <c r="I437" i="24"/>
  <c r="I436" i="24"/>
  <c r="Q432" i="24" l="1"/>
  <c r="P432" i="24"/>
  <c r="R432" i="24"/>
  <c r="O432" i="24"/>
  <c r="R437" i="24"/>
  <c r="O437" i="24"/>
  <c r="Q437" i="24"/>
  <c r="P437" i="24"/>
  <c r="R436" i="24"/>
  <c r="P436" i="24"/>
  <c r="Q436" i="24"/>
  <c r="O436" i="24"/>
  <c r="R438" i="24"/>
  <c r="P438" i="24"/>
  <c r="Q438" i="24"/>
  <c r="O438" i="24"/>
  <c r="Q446" i="24"/>
  <c r="R446" i="24"/>
  <c r="P446" i="24"/>
  <c r="O446" i="24"/>
  <c r="Q447" i="24"/>
  <c r="P447" i="24"/>
  <c r="O447" i="24"/>
  <c r="R447" i="24"/>
  <c r="Q448" i="24"/>
  <c r="R448" i="24"/>
  <c r="P448" i="24"/>
  <c r="O448" i="24"/>
  <c r="S445" i="24"/>
  <c r="AA445" i="24" s="1"/>
  <c r="R449" i="24" l="1"/>
  <c r="O449" i="24"/>
  <c r="P449" i="24"/>
  <c r="R443" i="24"/>
  <c r="Q449" i="24"/>
  <c r="AB445" i="24"/>
  <c r="Y445" i="24"/>
  <c r="S439" i="24"/>
  <c r="Z445" i="24"/>
  <c r="AC445" i="24"/>
  <c r="S446" i="24"/>
  <c r="AA446" i="24" s="1"/>
  <c r="S447" i="24"/>
  <c r="AA447" i="24" s="1"/>
  <c r="S448" i="24"/>
  <c r="AA448" i="24" s="1"/>
  <c r="Y439" i="24" l="1"/>
  <c r="AA439" i="24"/>
  <c r="S449" i="24"/>
  <c r="AA449" i="24" s="1"/>
  <c r="AB439" i="24"/>
  <c r="Z439" i="24"/>
  <c r="AD445" i="24"/>
  <c r="AE445" i="24" s="1"/>
  <c r="AC439" i="24"/>
  <c r="Y448" i="24"/>
  <c r="Z448" i="24"/>
  <c r="AC448" i="24"/>
  <c r="AB448" i="24"/>
  <c r="AC447" i="24"/>
  <c r="AB447" i="24"/>
  <c r="Y447" i="24"/>
  <c r="Z447" i="24"/>
  <c r="AC446" i="24"/>
  <c r="AB446" i="24"/>
  <c r="Y446" i="24"/>
  <c r="Z446" i="24"/>
  <c r="R20" i="44" l="1"/>
  <c r="R27" i="44" s="1"/>
  <c r="V20" i="45"/>
  <c r="V26" i="45" s="1"/>
  <c r="AL448" i="24"/>
  <c r="AD439" i="24"/>
  <c r="AE439" i="24" s="1"/>
  <c r="AD446" i="24"/>
  <c r="AE446" i="24" s="1"/>
  <c r="AD447" i="24"/>
  <c r="AE447" i="24" s="1"/>
  <c r="AD448" i="24"/>
  <c r="AE448" i="24" s="1"/>
  <c r="R26" i="44" l="1"/>
  <c r="AA19" i="44"/>
  <c r="AA25" i="44" s="1"/>
  <c r="AE19" i="45"/>
  <c r="AE25" i="45" s="1"/>
  <c r="I394" i="24"/>
  <c r="P391" i="24"/>
  <c r="O391" i="24"/>
  <c r="R394" i="24" l="1"/>
  <c r="P394" i="24"/>
  <c r="Q394" i="24"/>
  <c r="O394" i="24"/>
  <c r="T187" i="24"/>
  <c r="U187" i="24"/>
  <c r="V187" i="24"/>
  <c r="W187" i="24"/>
  <c r="X187" i="24"/>
  <c r="AH182" i="24"/>
  <c r="AI182" i="24" s="1"/>
  <c r="X182" i="24"/>
  <c r="W182" i="24"/>
  <c r="V182" i="24"/>
  <c r="AA182" i="24" s="1"/>
  <c r="U182" i="24"/>
  <c r="T182" i="24"/>
  <c r="S392" i="24" l="1"/>
  <c r="X192" i="24"/>
  <c r="W192" i="24"/>
  <c r="V192" i="24"/>
  <c r="AA192" i="24" s="1"/>
  <c r="U192" i="24"/>
  <c r="T192" i="24"/>
  <c r="AH201" i="24" l="1"/>
  <c r="AI201" i="24" s="1"/>
  <c r="X201" i="24"/>
  <c r="W201" i="24"/>
  <c r="V201" i="24"/>
  <c r="U201" i="24"/>
  <c r="T201" i="24"/>
  <c r="N201" i="24"/>
  <c r="S201" i="24" l="1"/>
  <c r="AC201" i="24" l="1"/>
  <c r="AA201" i="24"/>
  <c r="Z201" i="24"/>
  <c r="AB201" i="24"/>
  <c r="Y201" i="24"/>
  <c r="AH160" i="24"/>
  <c r="AI160" i="24" s="1"/>
  <c r="AH161" i="24"/>
  <c r="AI161" i="24" s="1"/>
  <c r="AH162" i="24"/>
  <c r="AI162" i="24" s="1"/>
  <c r="AH154" i="24"/>
  <c r="AI154" i="24" s="1"/>
  <c r="AH155" i="24"/>
  <c r="AI155" i="24" s="1"/>
  <c r="AH156" i="24"/>
  <c r="AI156" i="24" s="1"/>
  <c r="T154" i="24"/>
  <c r="U154" i="24"/>
  <c r="V154" i="24"/>
  <c r="AA154" i="24" s="1"/>
  <c r="W154" i="24"/>
  <c r="X154" i="24"/>
  <c r="T155" i="24"/>
  <c r="U155" i="24"/>
  <c r="V155" i="24"/>
  <c r="W155" i="24"/>
  <c r="X155" i="24"/>
  <c r="T156" i="24"/>
  <c r="U156" i="24"/>
  <c r="V156" i="24"/>
  <c r="W156" i="24"/>
  <c r="X156" i="24"/>
  <c r="T160" i="24"/>
  <c r="U160" i="24"/>
  <c r="V160" i="24"/>
  <c r="AA160" i="24" s="1"/>
  <c r="W160" i="24"/>
  <c r="X160" i="24"/>
  <c r="T161" i="24"/>
  <c r="U161" i="24"/>
  <c r="V161" i="24"/>
  <c r="W161" i="24"/>
  <c r="X161" i="24"/>
  <c r="T162" i="24"/>
  <c r="U162" i="24"/>
  <c r="V162" i="24"/>
  <c r="W162" i="24"/>
  <c r="X162" i="24"/>
  <c r="M163" i="24"/>
  <c r="L163" i="24"/>
  <c r="K163" i="24"/>
  <c r="J163" i="24"/>
  <c r="N161" i="24"/>
  <c r="N162" i="24"/>
  <c r="N160" i="24"/>
  <c r="M157" i="24"/>
  <c r="L157" i="24"/>
  <c r="K157" i="24"/>
  <c r="J157" i="24"/>
  <c r="N156" i="24"/>
  <c r="N155" i="24"/>
  <c r="N154" i="24"/>
  <c r="AH150" i="24"/>
  <c r="AI150" i="24" s="1"/>
  <c r="AH148" i="24"/>
  <c r="AI148" i="24" s="1"/>
  <c r="AH149" i="24"/>
  <c r="AI149" i="24" s="1"/>
  <c r="T148" i="24"/>
  <c r="U148" i="24"/>
  <c r="V148" i="24"/>
  <c r="W148" i="24"/>
  <c r="X148" i="24"/>
  <c r="T149" i="24"/>
  <c r="U149" i="24"/>
  <c r="V149" i="24"/>
  <c r="AA149" i="24" s="1"/>
  <c r="W149" i="24"/>
  <c r="X149" i="24"/>
  <c r="T150" i="24"/>
  <c r="U150" i="24"/>
  <c r="V150" i="24"/>
  <c r="W150" i="24"/>
  <c r="X150" i="24"/>
  <c r="M151" i="24"/>
  <c r="L151" i="24"/>
  <c r="K151" i="24"/>
  <c r="N150" i="24"/>
  <c r="N141" i="24"/>
  <c r="T286" i="24"/>
  <c r="U286" i="24"/>
  <c r="V286" i="24"/>
  <c r="AA286" i="24" s="1"/>
  <c r="W286" i="24"/>
  <c r="X286" i="24"/>
  <c r="T287" i="24"/>
  <c r="Y287" i="24" s="1"/>
  <c r="U287" i="24"/>
  <c r="Z287" i="24" s="1"/>
  <c r="V287" i="24"/>
  <c r="AA287" i="24" s="1"/>
  <c r="W287" i="24"/>
  <c r="AB287" i="24" s="1"/>
  <c r="X287" i="24"/>
  <c r="AC287" i="24" s="1"/>
  <c r="Z281" i="24"/>
  <c r="AB281" i="24"/>
  <c r="AC281" i="24"/>
  <c r="Z282" i="24"/>
  <c r="AB282" i="24"/>
  <c r="AC282" i="24"/>
  <c r="T280" i="24"/>
  <c r="T281" i="24"/>
  <c r="Y281" i="24" s="1"/>
  <c r="T282" i="24"/>
  <c r="Y282" i="24" s="1"/>
  <c r="P157" i="24" l="1"/>
  <c r="S148" i="24"/>
  <c r="AA148" i="24" s="1"/>
  <c r="AD201" i="24"/>
  <c r="AE201" i="24" s="1"/>
  <c r="R163" i="24"/>
  <c r="Q157" i="24"/>
  <c r="Q163" i="24"/>
  <c r="O163" i="24"/>
  <c r="S156" i="24"/>
  <c r="R151" i="24"/>
  <c r="S155" i="24"/>
  <c r="AA155" i="24" s="1"/>
  <c r="P151" i="24"/>
  <c r="Q151" i="24"/>
  <c r="N157" i="24"/>
  <c r="R157" i="24"/>
  <c r="N163" i="24"/>
  <c r="O157" i="24"/>
  <c r="S162" i="24"/>
  <c r="AA162" i="24" s="1"/>
  <c r="S161" i="24"/>
  <c r="S150" i="24"/>
  <c r="AA150" i="24" s="1"/>
  <c r="O151" i="24"/>
  <c r="Z149" i="24"/>
  <c r="N149" i="24"/>
  <c r="N151" i="24" s="1"/>
  <c r="AD282" i="24"/>
  <c r="AE282" i="24" s="1"/>
  <c r="AD281" i="24"/>
  <c r="AE281" i="24" s="1"/>
  <c r="AD287" i="24"/>
  <c r="AE287" i="24" s="1"/>
  <c r="Y161" i="24" l="1"/>
  <c r="AA161" i="24"/>
  <c r="Z156" i="24"/>
  <c r="AA156" i="24"/>
  <c r="S151" i="24"/>
  <c r="S163" i="24"/>
  <c r="S157" i="24"/>
  <c r="AB148" i="24"/>
  <c r="Z154" i="24"/>
  <c r="Y154" i="24"/>
  <c r="AC154" i="24"/>
  <c r="Z160" i="24"/>
  <c r="Y160" i="24"/>
  <c r="AC162" i="24"/>
  <c r="Y162" i="24"/>
  <c r="AB156" i="24"/>
  <c r="Y156" i="24"/>
  <c r="AC156" i="24"/>
  <c r="AB154" i="24"/>
  <c r="AB150" i="24"/>
  <c r="Y150" i="24"/>
  <c r="Z155" i="24"/>
  <c r="AB155" i="24"/>
  <c r="Y155" i="24"/>
  <c r="AC150" i="24"/>
  <c r="AC155" i="24"/>
  <c r="Z150" i="24"/>
  <c r="AC160" i="24"/>
  <c r="AB160" i="24"/>
  <c r="AC161" i="24"/>
  <c r="AB162" i="24"/>
  <c r="AB161" i="24"/>
  <c r="Z162" i="24"/>
  <c r="Z161" i="24"/>
  <c r="Z148" i="24"/>
  <c r="Y149" i="24"/>
  <c r="AB149" i="24"/>
  <c r="Y148" i="24"/>
  <c r="AC149" i="24"/>
  <c r="AC148" i="24"/>
  <c r="AH187" i="24"/>
  <c r="AI187" i="24" s="1"/>
  <c r="N187" i="24"/>
  <c r="N182" i="24"/>
  <c r="X327" i="24"/>
  <c r="AC327" i="24" s="1"/>
  <c r="W327" i="24"/>
  <c r="AB327" i="24" s="1"/>
  <c r="V327" i="24"/>
  <c r="AA327" i="24" s="1"/>
  <c r="U327" i="24"/>
  <c r="Z327" i="24" s="1"/>
  <c r="T327" i="24"/>
  <c r="Y327" i="24" s="1"/>
  <c r="AH192" i="24"/>
  <c r="AI192" i="24" s="1"/>
  <c r="N192" i="24"/>
  <c r="AD154" i="24" l="1"/>
  <c r="AE154" i="24" s="1"/>
  <c r="AD156" i="24"/>
  <c r="AE156" i="24" s="1"/>
  <c r="AD150" i="24"/>
  <c r="AE150" i="24" s="1"/>
  <c r="AD160" i="24"/>
  <c r="AD155" i="24"/>
  <c r="AE155" i="24" s="1"/>
  <c r="AD161" i="24"/>
  <c r="AE161" i="24" s="1"/>
  <c r="AD162" i="24"/>
  <c r="AE162" i="24" s="1"/>
  <c r="AD149" i="24"/>
  <c r="AE149" i="24" s="1"/>
  <c r="AD148" i="24"/>
  <c r="AE148" i="24" s="1"/>
  <c r="Y286" i="24"/>
  <c r="Z286" i="24"/>
  <c r="AB286" i="24"/>
  <c r="AC286" i="24"/>
  <c r="S187" i="24"/>
  <c r="AA187" i="24" s="1"/>
  <c r="AD327" i="24"/>
  <c r="AE327" i="24" l="1"/>
  <c r="Y182" i="24"/>
  <c r="Z182" i="24"/>
  <c r="AB182" i="24"/>
  <c r="AC182" i="24"/>
  <c r="AC192" i="24"/>
  <c r="AB192" i="24"/>
  <c r="Y192" i="24"/>
  <c r="Z192" i="24"/>
  <c r="AB187" i="24"/>
  <c r="AC187" i="24"/>
  <c r="Y187" i="24"/>
  <c r="Z187" i="24"/>
  <c r="AE160" i="24"/>
  <c r="AD286" i="24"/>
  <c r="AE286" i="24" s="1"/>
  <c r="AD110" i="24"/>
  <c r="AE110" i="24" s="1"/>
  <c r="AD111" i="24"/>
  <c r="AE111" i="24" s="1"/>
  <c r="AD139" i="24"/>
  <c r="AD140" i="24"/>
  <c r="AE140" i="24" s="1"/>
  <c r="AD166" i="24"/>
  <c r="AE166" i="24" s="1"/>
  <c r="AD171" i="24"/>
  <c r="AE171" i="24" s="1"/>
  <c r="AD173" i="24"/>
  <c r="AE173" i="24" s="1"/>
  <c r="AD175" i="24"/>
  <c r="AE175" i="24" s="1"/>
  <c r="AD184" i="24"/>
  <c r="AE184" i="24" s="1"/>
  <c r="AD194" i="24"/>
  <c r="AE194" i="24" s="1"/>
  <c r="AD204" i="24"/>
  <c r="AE204" i="24" s="1"/>
  <c r="AD215" i="24"/>
  <c r="AE215" i="24" s="1"/>
  <c r="AD217" i="24"/>
  <c r="AE217" i="24" s="1"/>
  <c r="AD219" i="24"/>
  <c r="AD221" i="24"/>
  <c r="AE221" i="24" s="1"/>
  <c r="AD222" i="24"/>
  <c r="AE222" i="24" s="1"/>
  <c r="AD232" i="24"/>
  <c r="AD233" i="24"/>
  <c r="AE233" i="24" s="1"/>
  <c r="AD239" i="24"/>
  <c r="AE239" i="24" s="1"/>
  <c r="AD252" i="24"/>
  <c r="AE252" i="24" s="1"/>
  <c r="AD269" i="24"/>
  <c r="AD271" i="24"/>
  <c r="AE271" i="24" s="1"/>
  <c r="AD319" i="24"/>
  <c r="AE319" i="24" s="1"/>
  <c r="AD405" i="24"/>
  <c r="AD451" i="24"/>
  <c r="AE451" i="24" s="1"/>
  <c r="AD452" i="24"/>
  <c r="AE452" i="24" s="1"/>
  <c r="AD455" i="24"/>
  <c r="AE455" i="24" s="1"/>
  <c r="I386" i="24"/>
  <c r="R386" i="24" l="1"/>
  <c r="O386" i="24"/>
  <c r="Q386" i="24"/>
  <c r="P386" i="24"/>
  <c r="AD187" i="24"/>
  <c r="AE187" i="24" s="1"/>
  <c r="AD182" i="24"/>
  <c r="AE182" i="24" s="1"/>
  <c r="AD192" i="24"/>
  <c r="AE192" i="24" s="1"/>
  <c r="AE139" i="24"/>
  <c r="Y248" i="24"/>
  <c r="Z248" i="24"/>
  <c r="AB248" i="24"/>
  <c r="AC248" i="24"/>
  <c r="X159" i="24"/>
  <c r="W159" i="24"/>
  <c r="V159" i="24"/>
  <c r="AA159" i="24" s="1"/>
  <c r="U159" i="24"/>
  <c r="T159" i="24"/>
  <c r="X153" i="24"/>
  <c r="W153" i="24"/>
  <c r="V153" i="24"/>
  <c r="AA153" i="24" s="1"/>
  <c r="U153" i="24"/>
  <c r="T153" i="24"/>
  <c r="X147" i="24"/>
  <c r="W147" i="24"/>
  <c r="V147" i="24"/>
  <c r="AA147" i="24" s="1"/>
  <c r="U147" i="24"/>
  <c r="T147" i="24"/>
  <c r="AH109" i="24"/>
  <c r="R164" i="24"/>
  <c r="O164" i="24"/>
  <c r="O170" i="24" l="1"/>
  <c r="Q170" i="24"/>
  <c r="P170" i="24"/>
  <c r="AB570" i="24" s="1"/>
  <c r="R170" i="24"/>
  <c r="AD570" i="24" s="1"/>
  <c r="AD248" i="24"/>
  <c r="X138" i="24"/>
  <c r="W138" i="24"/>
  <c r="V138" i="24"/>
  <c r="AA138" i="24" s="1"/>
  <c r="U138" i="24"/>
  <c r="T138" i="24"/>
  <c r="AI109" i="24"/>
  <c r="X109" i="24"/>
  <c r="W109" i="24"/>
  <c r="V109" i="24"/>
  <c r="AA109" i="24" s="1"/>
  <c r="U109" i="24"/>
  <c r="T109" i="24"/>
  <c r="AE248" i="24" l="1"/>
  <c r="Z577" i="24"/>
  <c r="Z109" i="24" l="1"/>
  <c r="AB109" i="24"/>
  <c r="AC109" i="24"/>
  <c r="Y109" i="24"/>
  <c r="AD109" i="24" l="1"/>
  <c r="AE109" i="24" s="1"/>
  <c r="R174" i="24" l="1"/>
  <c r="Q183" i="24"/>
  <c r="P183" i="24" l="1"/>
  <c r="R183" i="24"/>
  <c r="O183" i="24"/>
  <c r="S179" i="24"/>
  <c r="Q172" i="24"/>
  <c r="AC570" i="24" s="1"/>
  <c r="S169" i="24"/>
  <c r="S177" i="24"/>
  <c r="P174" i="24"/>
  <c r="S181" i="24"/>
  <c r="S191" i="24"/>
  <c r="S190" i="24"/>
  <c r="S178" i="24"/>
  <c r="O172" i="24"/>
  <c r="AA570" i="24" s="1"/>
  <c r="S141" i="24"/>
  <c r="S145" i="24" s="1"/>
  <c r="S186" i="24"/>
  <c r="S188" i="24"/>
  <c r="S180" i="24"/>
  <c r="O174" i="24" l="1"/>
  <c r="Q174" i="24"/>
  <c r="S170" i="24"/>
  <c r="Z168" i="24"/>
  <c r="AC168" i="24"/>
  <c r="Y168" i="24"/>
  <c r="AB168" i="24"/>
  <c r="S183" i="24"/>
  <c r="AC147" i="24"/>
  <c r="AB147" i="24"/>
  <c r="Z147" i="24"/>
  <c r="Y147" i="24"/>
  <c r="Z159" i="24"/>
  <c r="AB159" i="24"/>
  <c r="Y159" i="24"/>
  <c r="AC159" i="24"/>
  <c r="AC153" i="24"/>
  <c r="Z153" i="24"/>
  <c r="Y153" i="24"/>
  <c r="AB153" i="24"/>
  <c r="S172" i="24"/>
  <c r="S174" i="24" l="1"/>
  <c r="AD153" i="24"/>
  <c r="AE153" i="24" s="1"/>
  <c r="AD159" i="24"/>
  <c r="AE159" i="24" s="1"/>
  <c r="AD147" i="24"/>
  <c r="I199" i="24"/>
  <c r="R199" i="24" l="1"/>
  <c r="AD560" i="24" s="1"/>
  <c r="O199" i="24"/>
  <c r="Q199" i="24"/>
  <c r="AC560" i="24" s="1"/>
  <c r="P199" i="24"/>
  <c r="AB560" i="24" s="1"/>
  <c r="AE147" i="24"/>
  <c r="AB553" i="24" l="1"/>
  <c r="AC553" i="24"/>
  <c r="AD553" i="24"/>
  <c r="AA553" i="24"/>
  <c r="AA560" i="24"/>
  <c r="S199" i="24"/>
  <c r="Z560" i="24" l="1"/>
  <c r="X560" i="24" s="1"/>
  <c r="S427" i="24"/>
  <c r="S356" i="24" l="1"/>
  <c r="S368" i="24"/>
  <c r="H27" i="35" l="1"/>
  <c r="AC255" i="24" l="1"/>
  <c r="AB255" i="24"/>
  <c r="Z255" i="24"/>
  <c r="Y255" i="24"/>
  <c r="AD255" i="24" l="1"/>
  <c r="AE255" i="24" l="1"/>
  <c r="Y240" i="24"/>
  <c r="U240" i="24"/>
  <c r="Z240" i="24" s="1"/>
  <c r="V240" i="24"/>
  <c r="AA240" i="24" s="1"/>
  <c r="W240" i="24"/>
  <c r="AB240" i="24" s="1"/>
  <c r="X240" i="24"/>
  <c r="AC240" i="24" s="1"/>
  <c r="AH240" i="24"/>
  <c r="AI240" i="24" s="1"/>
  <c r="AD240" i="24" l="1"/>
  <c r="AE240" i="24" s="1"/>
  <c r="N177" i="24" l="1"/>
  <c r="T177" i="24"/>
  <c r="U177" i="24"/>
  <c r="V177" i="24"/>
  <c r="AA177" i="24" s="1"/>
  <c r="W177" i="24"/>
  <c r="X177" i="24"/>
  <c r="AH177" i="24"/>
  <c r="AI177" i="24" s="1"/>
  <c r="N178" i="24"/>
  <c r="T178" i="24"/>
  <c r="U178" i="24"/>
  <c r="V178" i="24"/>
  <c r="AA178" i="24" s="1"/>
  <c r="W178" i="24"/>
  <c r="X178" i="24"/>
  <c r="AH178" i="24"/>
  <c r="AI178" i="24" s="1"/>
  <c r="N179" i="24"/>
  <c r="T179" i="24"/>
  <c r="U179" i="24"/>
  <c r="V179" i="24"/>
  <c r="AA179" i="24" s="1"/>
  <c r="W179" i="24"/>
  <c r="X179" i="24"/>
  <c r="AH179" i="24"/>
  <c r="AI179" i="24" s="1"/>
  <c r="N181" i="24"/>
  <c r="T181" i="24"/>
  <c r="U181" i="24"/>
  <c r="V181" i="24"/>
  <c r="AA181" i="24" s="1"/>
  <c r="W181" i="24"/>
  <c r="X181" i="24"/>
  <c r="AH181" i="24"/>
  <c r="AI181" i="24" s="1"/>
  <c r="N199" i="24"/>
  <c r="T199" i="24"/>
  <c r="U199" i="24"/>
  <c r="V199" i="24"/>
  <c r="AA199" i="24" s="1"/>
  <c r="W199" i="24"/>
  <c r="X199" i="24"/>
  <c r="AH199" i="24"/>
  <c r="AI199" i="24" s="1"/>
  <c r="Z177" i="24" l="1"/>
  <c r="Y181" i="24"/>
  <c r="Y177" i="24" l="1"/>
  <c r="AB177" i="24"/>
  <c r="AC177" i="24"/>
  <c r="AB181" i="24"/>
  <c r="AC181" i="24"/>
  <c r="Z181" i="24"/>
  <c r="Y179" i="24"/>
  <c r="AD181" i="24" l="1"/>
  <c r="AE181" i="24" s="1"/>
  <c r="AD177" i="24"/>
  <c r="AE177" i="24" s="1"/>
  <c r="AC199" i="24"/>
  <c r="Y199" i="24"/>
  <c r="Z199" i="24"/>
  <c r="AB199" i="24"/>
  <c r="AB179" i="24"/>
  <c r="Z179" i="24"/>
  <c r="AC179" i="24"/>
  <c r="Y178" i="24"/>
  <c r="AC178" i="24"/>
  <c r="Z178" i="24"/>
  <c r="AB178" i="24"/>
  <c r="AD179" i="24" l="1"/>
  <c r="AE179" i="24" s="1"/>
  <c r="AD178" i="24"/>
  <c r="AE178" i="24" s="1"/>
  <c r="AD199" i="24"/>
  <c r="AE199" i="24" s="1"/>
  <c r="I426" i="24" l="1"/>
  <c r="I419" i="24"/>
  <c r="I420" i="24"/>
  <c r="I418" i="24"/>
  <c r="R419" i="24" l="1"/>
  <c r="Q419" i="24"/>
  <c r="P419" i="24"/>
  <c r="O419" i="24"/>
  <c r="R418" i="24"/>
  <c r="P418" i="24"/>
  <c r="O418" i="24"/>
  <c r="Q418" i="24"/>
  <c r="R420" i="24"/>
  <c r="P420" i="24"/>
  <c r="O420" i="24"/>
  <c r="Q420" i="24"/>
  <c r="R426" i="24"/>
  <c r="P426" i="24"/>
  <c r="O426" i="24"/>
  <c r="Q426" i="24"/>
  <c r="R391" i="24"/>
  <c r="Q391" i="24"/>
  <c r="I393" i="24"/>
  <c r="R393" i="24" l="1"/>
  <c r="O393" i="24"/>
  <c r="Q393" i="24"/>
  <c r="P393" i="24"/>
  <c r="S391" i="24"/>
  <c r="S395" i="24" l="1"/>
  <c r="S393" i="24"/>
  <c r="S394" i="24"/>
  <c r="AO383" i="24"/>
  <c r="AO388" i="24" l="1"/>
  <c r="AO387" i="24"/>
  <c r="AO391" i="24"/>
  <c r="AK401" i="24" s="1"/>
  <c r="C34" i="35"/>
  <c r="H34" i="35" s="1"/>
  <c r="I189" i="24"/>
  <c r="AO389" i="24" l="1"/>
  <c r="AK399" i="24" s="1"/>
  <c r="W10" i="44" s="1"/>
  <c r="Q189" i="24"/>
  <c r="AC587" i="24" s="1"/>
  <c r="P189" i="24"/>
  <c r="AB587" i="24" s="1"/>
  <c r="R189" i="24"/>
  <c r="AD587" i="24" s="1"/>
  <c r="O189" i="24"/>
  <c r="AA587" i="24" s="1"/>
  <c r="W7" i="44"/>
  <c r="AA7" i="45"/>
  <c r="O10" i="44"/>
  <c r="S10" i="44" s="1"/>
  <c r="S10" i="45"/>
  <c r="V10" i="45" s="1"/>
  <c r="R193" i="24"/>
  <c r="Q193" i="24"/>
  <c r="I374" i="24"/>
  <c r="I373" i="24"/>
  <c r="I372" i="24"/>
  <c r="I371" i="24"/>
  <c r="I367" i="24"/>
  <c r="I366" i="24"/>
  <c r="I365" i="24"/>
  <c r="I362" i="24"/>
  <c r="I361" i="24"/>
  <c r="I358" i="24"/>
  <c r="I357" i="24"/>
  <c r="I353" i="24"/>
  <c r="I352" i="24"/>
  <c r="I351" i="24"/>
  <c r="I348" i="24"/>
  <c r="I347" i="24"/>
  <c r="I346" i="24"/>
  <c r="I345" i="24"/>
  <c r="I344" i="24"/>
  <c r="I529" i="24"/>
  <c r="I528" i="24"/>
  <c r="I526" i="24"/>
  <c r="I499" i="24"/>
  <c r="I498" i="24"/>
  <c r="I497" i="24"/>
  <c r="I496" i="24"/>
  <c r="I494" i="24"/>
  <c r="I453" i="24"/>
  <c r="I415" i="24"/>
  <c r="I414" i="24"/>
  <c r="I413" i="24"/>
  <c r="I412" i="24"/>
  <c r="I411" i="24"/>
  <c r="I410" i="24"/>
  <c r="I409" i="24"/>
  <c r="I402" i="24"/>
  <c r="I400" i="24"/>
  <c r="I399" i="24"/>
  <c r="I388" i="24"/>
  <c r="I387" i="24"/>
  <c r="I235" i="24"/>
  <c r="I234" i="24"/>
  <c r="I216" i="24"/>
  <c r="I35" i="24"/>
  <c r="I21" i="24"/>
  <c r="I14" i="24"/>
  <c r="O14" i="24" s="1"/>
  <c r="AA10" i="45" l="1"/>
  <c r="O193" i="24"/>
  <c r="AA554" i="24"/>
  <c r="P193" i="24"/>
  <c r="AB554" i="24"/>
  <c r="AD554" i="24"/>
  <c r="AC554" i="24"/>
  <c r="Q14" i="24"/>
  <c r="P14" i="24"/>
  <c r="R14" i="24"/>
  <c r="O15" i="24"/>
  <c r="Q24" i="24"/>
  <c r="O24" i="24"/>
  <c r="R24" i="24"/>
  <c r="P24" i="24"/>
  <c r="Q26" i="24"/>
  <c r="P26" i="24"/>
  <c r="O26" i="24"/>
  <c r="R26" i="24"/>
  <c r="Q28" i="24"/>
  <c r="P28" i="24"/>
  <c r="O28" i="24"/>
  <c r="R28" i="24"/>
  <c r="Q35" i="24"/>
  <c r="P35" i="24"/>
  <c r="R35" i="24"/>
  <c r="O35" i="24"/>
  <c r="R234" i="24"/>
  <c r="P234" i="24"/>
  <c r="O234" i="24"/>
  <c r="Q234" i="24"/>
  <c r="R387" i="24"/>
  <c r="O387" i="24"/>
  <c r="Q387" i="24"/>
  <c r="P387" i="24"/>
  <c r="R397" i="24"/>
  <c r="O397" i="24"/>
  <c r="Q397" i="24"/>
  <c r="P397" i="24"/>
  <c r="R399" i="24"/>
  <c r="O399" i="24"/>
  <c r="Q399" i="24"/>
  <c r="P399" i="24"/>
  <c r="R401" i="24"/>
  <c r="P401" i="24"/>
  <c r="O401" i="24"/>
  <c r="Q401" i="24"/>
  <c r="R409" i="24"/>
  <c r="O409" i="24"/>
  <c r="Q409" i="24"/>
  <c r="P409" i="24"/>
  <c r="R411" i="24"/>
  <c r="P411" i="24"/>
  <c r="Q411" i="24"/>
  <c r="O411" i="24"/>
  <c r="R413" i="24"/>
  <c r="P413" i="24"/>
  <c r="Q413" i="24"/>
  <c r="O413" i="24"/>
  <c r="R415" i="24"/>
  <c r="P415" i="24"/>
  <c r="Q415" i="24"/>
  <c r="O415" i="24"/>
  <c r="Q494" i="24"/>
  <c r="P494" i="24"/>
  <c r="R494" i="24"/>
  <c r="O494" i="24"/>
  <c r="Q497" i="24"/>
  <c r="O497" i="24"/>
  <c r="P497" i="24"/>
  <c r="R497" i="24"/>
  <c r="Q499" i="24"/>
  <c r="O499" i="24"/>
  <c r="P499" i="24"/>
  <c r="R499" i="24"/>
  <c r="Q528" i="24"/>
  <c r="O528" i="24"/>
  <c r="P528" i="24"/>
  <c r="R528" i="24"/>
  <c r="R345" i="24"/>
  <c r="P345" i="24"/>
  <c r="Q345" i="24"/>
  <c r="R347" i="24"/>
  <c r="Q347" i="24"/>
  <c r="P347" i="24"/>
  <c r="R351" i="24"/>
  <c r="O351" i="24"/>
  <c r="Q351" i="24"/>
  <c r="P351" i="24"/>
  <c r="R353" i="24"/>
  <c r="P353" i="24"/>
  <c r="O353" i="24"/>
  <c r="Q353" i="24"/>
  <c r="Q358" i="24"/>
  <c r="O358" i="24"/>
  <c r="R358" i="24"/>
  <c r="P358" i="24"/>
  <c r="R366" i="24"/>
  <c r="O366" i="24"/>
  <c r="Q366" i="24"/>
  <c r="P366" i="24"/>
  <c r="R371" i="24"/>
  <c r="P371" i="24"/>
  <c r="O371" i="24"/>
  <c r="Q371" i="24"/>
  <c r="R373" i="24"/>
  <c r="P373" i="24"/>
  <c r="O373" i="24"/>
  <c r="Q373" i="24"/>
  <c r="P11" i="24"/>
  <c r="P12" i="24" s="1"/>
  <c r="R11" i="24"/>
  <c r="R12" i="24" s="1"/>
  <c r="Q11" i="24"/>
  <c r="Q12" i="24" s="1"/>
  <c r="O11" i="24"/>
  <c r="R21" i="24"/>
  <c r="O21" i="24"/>
  <c r="O22" i="24" s="1"/>
  <c r="Q21" i="24"/>
  <c r="P21" i="24"/>
  <c r="Q25" i="24"/>
  <c r="R25" i="24"/>
  <c r="P25" i="24"/>
  <c r="O25" i="24"/>
  <c r="Q27" i="24"/>
  <c r="R27" i="24"/>
  <c r="P27" i="24"/>
  <c r="O27" i="24"/>
  <c r="Q32" i="24"/>
  <c r="Q33" i="24" s="1"/>
  <c r="P32" i="24"/>
  <c r="P33" i="24" s="1"/>
  <c r="R32" i="24"/>
  <c r="R33" i="24" s="1"/>
  <c r="O32" i="24"/>
  <c r="O33" i="24" s="1"/>
  <c r="R235" i="24"/>
  <c r="Q235" i="24"/>
  <c r="P235" i="24"/>
  <c r="O235" i="24"/>
  <c r="R388" i="24"/>
  <c r="P388" i="24"/>
  <c r="Q388" i="24"/>
  <c r="O388" i="24"/>
  <c r="R398" i="24"/>
  <c r="P398" i="24"/>
  <c r="Q398" i="24"/>
  <c r="O398" i="24"/>
  <c r="R400" i="24"/>
  <c r="Q400" i="24"/>
  <c r="P400" i="24"/>
  <c r="O400" i="24"/>
  <c r="AO403" i="24"/>
  <c r="AK402" i="24" s="1"/>
  <c r="AA9" i="45" s="1"/>
  <c r="R402" i="24"/>
  <c r="Q402" i="24"/>
  <c r="P402" i="24"/>
  <c r="O402" i="24"/>
  <c r="R410" i="24"/>
  <c r="O410" i="24"/>
  <c r="Q410" i="24"/>
  <c r="P410" i="24"/>
  <c r="R412" i="24"/>
  <c r="O412" i="24"/>
  <c r="Q412" i="24"/>
  <c r="P412" i="24"/>
  <c r="R414" i="24"/>
  <c r="O414" i="24"/>
  <c r="Q414" i="24"/>
  <c r="P414" i="24"/>
  <c r="R453" i="24"/>
  <c r="AD566" i="24" s="1"/>
  <c r="O453" i="24"/>
  <c r="AA566" i="24" s="1"/>
  <c r="Q453" i="24"/>
  <c r="AC566" i="24" s="1"/>
  <c r="P453" i="24"/>
  <c r="AB566" i="24" s="1"/>
  <c r="P496" i="24"/>
  <c r="R496" i="24"/>
  <c r="Q496" i="24"/>
  <c r="O496" i="24"/>
  <c r="P498" i="24"/>
  <c r="R498" i="24"/>
  <c r="Q498" i="24"/>
  <c r="O498" i="24"/>
  <c r="R526" i="24"/>
  <c r="O526" i="24"/>
  <c r="Q526" i="24"/>
  <c r="P526" i="24"/>
  <c r="P529" i="24"/>
  <c r="R529" i="24"/>
  <c r="O529" i="24"/>
  <c r="Q529" i="24"/>
  <c r="Q344" i="24"/>
  <c r="O345" i="24"/>
  <c r="O347" i="24"/>
  <c r="O344" i="24"/>
  <c r="R344" i="24"/>
  <c r="P344" i="24"/>
  <c r="O346" i="24"/>
  <c r="O348" i="24"/>
  <c r="Q346" i="24"/>
  <c r="R346" i="24"/>
  <c r="P346" i="24"/>
  <c r="Q348" i="24"/>
  <c r="P348" i="24"/>
  <c r="R348" i="24"/>
  <c r="R352" i="24"/>
  <c r="Q352" i="24"/>
  <c r="P352" i="24"/>
  <c r="O352" i="24"/>
  <c r="Q357" i="24"/>
  <c r="P357" i="24"/>
  <c r="R357" i="24"/>
  <c r="O357" i="24"/>
  <c r="R365" i="24"/>
  <c r="P365" i="24"/>
  <c r="Q365" i="24"/>
  <c r="O365" i="24"/>
  <c r="R367" i="24"/>
  <c r="P367" i="24"/>
  <c r="Q367" i="24"/>
  <c r="O367" i="24"/>
  <c r="R372" i="24"/>
  <c r="Q372" i="24"/>
  <c r="P372" i="24"/>
  <c r="O372" i="24"/>
  <c r="R374" i="24"/>
  <c r="Q374" i="24"/>
  <c r="P374" i="24"/>
  <c r="O374" i="24"/>
  <c r="R10" i="44"/>
  <c r="W9" i="44"/>
  <c r="O12" i="24"/>
  <c r="R362" i="24"/>
  <c r="O362" i="24"/>
  <c r="Q362" i="24"/>
  <c r="P362" i="24"/>
  <c r="O36" i="24"/>
  <c r="S189" i="24"/>
  <c r="R203" i="24"/>
  <c r="R218" i="24" s="1"/>
  <c r="Q203" i="24"/>
  <c r="Q218" i="24" s="1"/>
  <c r="P203" i="24"/>
  <c r="O203" i="24"/>
  <c r="O218" i="24" s="1"/>
  <c r="S200" i="24"/>
  <c r="Q19" i="24"/>
  <c r="O19" i="24"/>
  <c r="P19" i="24"/>
  <c r="P361" i="24"/>
  <c r="R361" i="24"/>
  <c r="O361" i="24"/>
  <c r="Q361" i="24"/>
  <c r="P433" i="24"/>
  <c r="R433" i="24"/>
  <c r="Q433" i="24"/>
  <c r="O433" i="24"/>
  <c r="R19" i="24"/>
  <c r="R389" i="24" l="1"/>
  <c r="P218" i="24"/>
  <c r="P530" i="24"/>
  <c r="AD571" i="24"/>
  <c r="P454" i="24"/>
  <c r="O530" i="24"/>
  <c r="Q454" i="24"/>
  <c r="R454" i="24"/>
  <c r="O29" i="24"/>
  <c r="O30" i="24" s="1"/>
  <c r="AD564" i="24"/>
  <c r="R29" i="24"/>
  <c r="AA571" i="24"/>
  <c r="AB586" i="24"/>
  <c r="AA586" i="24"/>
  <c r="AB585" i="24"/>
  <c r="AA585" i="24"/>
  <c r="AC569" i="24"/>
  <c r="AB569" i="24"/>
  <c r="AB568" i="24"/>
  <c r="AA568" i="24"/>
  <c r="AC564" i="24"/>
  <c r="AB564" i="24"/>
  <c r="AA564" i="24"/>
  <c r="AC571" i="24"/>
  <c r="AB571" i="24"/>
  <c r="AC586" i="24"/>
  <c r="AD586" i="24"/>
  <c r="AC585" i="24"/>
  <c r="AD585" i="24"/>
  <c r="AA569" i="24"/>
  <c r="AD569" i="24"/>
  <c r="AD568" i="24"/>
  <c r="AC568" i="24"/>
  <c r="AC550" i="24"/>
  <c r="AB550" i="24"/>
  <c r="AC552" i="24"/>
  <c r="AD552" i="24"/>
  <c r="AC551" i="24"/>
  <c r="AD551" i="24"/>
  <c r="AA550" i="24"/>
  <c r="AD550" i="24"/>
  <c r="AB552" i="24"/>
  <c r="AA552" i="24"/>
  <c r="AB551" i="24"/>
  <c r="AA551" i="24"/>
  <c r="S374" i="24"/>
  <c r="O16" i="24"/>
  <c r="S453" i="24"/>
  <c r="R375" i="24"/>
  <c r="R416" i="24"/>
  <c r="O37" i="24"/>
  <c r="Q375" i="24"/>
  <c r="P375" i="24"/>
  <c r="S415" i="24"/>
  <c r="P236" i="24"/>
  <c r="P237" i="24" s="1"/>
  <c r="O416" i="24"/>
  <c r="Q416" i="24"/>
  <c r="O403" i="24"/>
  <c r="P416" i="24"/>
  <c r="O500" i="24"/>
  <c r="O375" i="24"/>
  <c r="O236" i="24"/>
  <c r="O237" i="24" s="1"/>
  <c r="S14" i="24"/>
  <c r="O389" i="24"/>
  <c r="Q363" i="24"/>
  <c r="Q443" i="24"/>
  <c r="P443" i="24"/>
  <c r="O443" i="24"/>
  <c r="R403" i="24"/>
  <c r="P403" i="24"/>
  <c r="O363" i="24"/>
  <c r="Q403" i="24"/>
  <c r="P500" i="24"/>
  <c r="Q530" i="24"/>
  <c r="R530" i="24"/>
  <c r="Q500" i="24"/>
  <c r="R500" i="24"/>
  <c r="S193" i="24"/>
  <c r="R363" i="24"/>
  <c r="S32" i="24"/>
  <c r="O369" i="24"/>
  <c r="Q369" i="24"/>
  <c r="P363" i="24"/>
  <c r="O354" i="24"/>
  <c r="S28" i="24"/>
  <c r="R369" i="24"/>
  <c r="S11" i="24"/>
  <c r="S26" i="24"/>
  <c r="Q354" i="24"/>
  <c r="P369" i="24"/>
  <c r="R236" i="24"/>
  <c r="R237" i="24" s="1"/>
  <c r="S24" i="24"/>
  <c r="S19" i="24"/>
  <c r="AA19" i="24" s="1"/>
  <c r="P359" i="24"/>
  <c r="O349" i="24"/>
  <c r="R354" i="24"/>
  <c r="Q359" i="24"/>
  <c r="R349" i="24"/>
  <c r="S35" i="24"/>
  <c r="Q236" i="24"/>
  <c r="Q237" i="24" s="1"/>
  <c r="P389" i="24"/>
  <c r="P354" i="24"/>
  <c r="O359" i="24"/>
  <c r="P349" i="24"/>
  <c r="S21" i="24"/>
  <c r="S27" i="24"/>
  <c r="S25" i="24"/>
  <c r="Q389" i="24"/>
  <c r="R359" i="24"/>
  <c r="Q349" i="24"/>
  <c r="S410" i="24"/>
  <c r="S413" i="24"/>
  <c r="S411" i="24"/>
  <c r="S414" i="24"/>
  <c r="S409" i="24"/>
  <c r="S412" i="24"/>
  <c r="S372" i="24"/>
  <c r="S373" i="24"/>
  <c r="S371" i="24"/>
  <c r="S526" i="24"/>
  <c r="S529" i="24"/>
  <c r="S498" i="24"/>
  <c r="P22" i="24"/>
  <c r="S235" i="24"/>
  <c r="S494" i="24"/>
  <c r="S234" i="24"/>
  <c r="P36" i="24"/>
  <c r="P37" i="24" s="1"/>
  <c r="P15" i="24"/>
  <c r="P16" i="24" s="1"/>
  <c r="S528" i="24"/>
  <c r="S497" i="24"/>
  <c r="S196" i="24"/>
  <c r="S496" i="24"/>
  <c r="S499" i="24"/>
  <c r="S438" i="24"/>
  <c r="S442" i="24"/>
  <c r="S441" i="24"/>
  <c r="S440" i="24"/>
  <c r="S437" i="24"/>
  <c r="S435" i="24"/>
  <c r="R22" i="24"/>
  <c r="R30" i="24" s="1"/>
  <c r="Q22" i="24"/>
  <c r="P29" i="24"/>
  <c r="Q15" i="24"/>
  <c r="Q16" i="24" s="1"/>
  <c r="Q29" i="24"/>
  <c r="S352" i="24"/>
  <c r="S345" i="24"/>
  <c r="S362" i="24"/>
  <c r="S399" i="24"/>
  <c r="S361" i="24"/>
  <c r="S346" i="24"/>
  <c r="S366" i="24"/>
  <c r="S358" i="24"/>
  <c r="S401" i="24"/>
  <c r="S386" i="24"/>
  <c r="S357" i="24"/>
  <c r="S400" i="24"/>
  <c r="S353" i="24"/>
  <c r="S398" i="24"/>
  <c r="S367" i="24"/>
  <c r="S432" i="24"/>
  <c r="S402" i="24"/>
  <c r="S387" i="24"/>
  <c r="S397" i="24"/>
  <c r="S365" i="24"/>
  <c r="S348" i="24"/>
  <c r="S344" i="24"/>
  <c r="S347" i="24"/>
  <c r="S388" i="24"/>
  <c r="S351" i="24"/>
  <c r="R15" i="24"/>
  <c r="R16" i="24" s="1"/>
  <c r="O454" i="24"/>
  <c r="S436" i="24"/>
  <c r="AO397" i="24" l="1"/>
  <c r="AK392" i="24" s="1"/>
  <c r="AA12" i="45" s="1"/>
  <c r="S12" i="24"/>
  <c r="AA12" i="24" s="1"/>
  <c r="AO400" i="24"/>
  <c r="T24" i="45"/>
  <c r="S33" i="24"/>
  <c r="AA33" i="24" s="1"/>
  <c r="Z568" i="24"/>
  <c r="AO399" i="24"/>
  <c r="S29" i="24"/>
  <c r="P376" i="24"/>
  <c r="AK218" i="24"/>
  <c r="S203" i="24"/>
  <c r="S218" i="24" s="1"/>
  <c r="S375" i="24"/>
  <c r="Q376" i="24"/>
  <c r="S416" i="24"/>
  <c r="R376" i="24"/>
  <c r="O376" i="24"/>
  <c r="S236" i="24"/>
  <c r="R404" i="24"/>
  <c r="O404" i="24"/>
  <c r="Q30" i="24"/>
  <c r="P30" i="24"/>
  <c r="S443" i="24"/>
  <c r="P21" i="44"/>
  <c r="T21" i="45"/>
  <c r="C35" i="35"/>
  <c r="H35" i="35" s="1"/>
  <c r="S7" i="45" s="1"/>
  <c r="S403" i="24"/>
  <c r="S530" i="24"/>
  <c r="S500" i="24"/>
  <c r="S433" i="24"/>
  <c r="AK375" i="24"/>
  <c r="AK354" i="24"/>
  <c r="AK236" i="24"/>
  <c r="AK389" i="24"/>
  <c r="AO384" i="24"/>
  <c r="P24" i="44"/>
  <c r="AO382" i="24"/>
  <c r="S454" i="24"/>
  <c r="AK454" i="24"/>
  <c r="P404" i="24"/>
  <c r="S359" i="24"/>
  <c r="F32" i="35"/>
  <c r="S349" i="24"/>
  <c r="S363" i="24"/>
  <c r="Q404" i="24"/>
  <c r="S354" i="24"/>
  <c r="S36" i="24"/>
  <c r="S22" i="24"/>
  <c r="S369" i="24"/>
  <c r="Q36" i="24"/>
  <c r="Q37" i="24" s="1"/>
  <c r="S389" i="24"/>
  <c r="R36" i="24"/>
  <c r="R37" i="24" s="1"/>
  <c r="AE232" i="24"/>
  <c r="C14" i="28"/>
  <c r="C12" i="28"/>
  <c r="T499" i="24"/>
  <c r="U499" i="24"/>
  <c r="V499" i="24"/>
  <c r="AA499" i="24" s="1"/>
  <c r="W499" i="24"/>
  <c r="X499" i="24"/>
  <c r="AH499" i="24"/>
  <c r="AI499" i="24" s="1"/>
  <c r="W12" i="44" l="1"/>
  <c r="S37" i="24"/>
  <c r="U24" i="45"/>
  <c r="AE530" i="24"/>
  <c r="AA530" i="24"/>
  <c r="S237" i="24"/>
  <c r="U21" i="45"/>
  <c r="AA500" i="24"/>
  <c r="U20" i="45"/>
  <c r="H32" i="35"/>
  <c r="O6" i="44" s="1"/>
  <c r="S30" i="24"/>
  <c r="Q21" i="44"/>
  <c r="Q20" i="44"/>
  <c r="AB24" i="44"/>
  <c r="AF24" i="45"/>
  <c r="W6" i="44"/>
  <c r="AA6" i="45"/>
  <c r="P20" i="44"/>
  <c r="P26" i="44" s="1"/>
  <c r="T20" i="45"/>
  <c r="T26" i="45" s="1"/>
  <c r="AB22" i="44"/>
  <c r="AF22" i="45"/>
  <c r="O7" i="44"/>
  <c r="S376" i="24"/>
  <c r="AO385" i="24"/>
  <c r="AK395" i="24" s="1"/>
  <c r="S404" i="24"/>
  <c r="AK37" i="24"/>
  <c r="S15" i="24"/>
  <c r="Q24" i="44"/>
  <c r="AB38" i="24"/>
  <c r="Z308" i="24"/>
  <c r="Y308" i="24"/>
  <c r="AC308" i="24"/>
  <c r="AB308" i="24"/>
  <c r="Y280" i="24"/>
  <c r="Z280" i="24"/>
  <c r="AB280" i="24"/>
  <c r="AC280" i="24"/>
  <c r="N499" i="24"/>
  <c r="U26" i="45" l="1"/>
  <c r="S16" i="24"/>
  <c r="S6" i="45"/>
  <c r="Q26" i="44"/>
  <c r="W8" i="44"/>
  <c r="AA8" i="45"/>
  <c r="Y38" i="24"/>
  <c r="Z38" i="24"/>
  <c r="AC38" i="24"/>
  <c r="AD308" i="24"/>
  <c r="AE308" i="24" s="1"/>
  <c r="AD280" i="24"/>
  <c r="AE280" i="24" s="1"/>
  <c r="Y499" i="24"/>
  <c r="Z499" i="24"/>
  <c r="AC499" i="24"/>
  <c r="AB499" i="24"/>
  <c r="AH500" i="24"/>
  <c r="AI500" i="24" s="1"/>
  <c r="AH498" i="24"/>
  <c r="AI498" i="24" s="1"/>
  <c r="X498" i="24"/>
  <c r="W498" i="24"/>
  <c r="V498" i="24"/>
  <c r="AA498" i="24" s="1"/>
  <c r="U498" i="24"/>
  <c r="T498" i="24"/>
  <c r="N498" i="24"/>
  <c r="AH497" i="24"/>
  <c r="AI497" i="24" s="1"/>
  <c r="X497" i="24"/>
  <c r="W497" i="24"/>
  <c r="V497" i="24"/>
  <c r="AA497" i="24" s="1"/>
  <c r="U497" i="24"/>
  <c r="T497" i="24"/>
  <c r="N497" i="24"/>
  <c r="AH496" i="24"/>
  <c r="AI496" i="24" s="1"/>
  <c r="X496" i="24"/>
  <c r="W496" i="24"/>
  <c r="V496" i="24"/>
  <c r="AA496" i="24" s="1"/>
  <c r="U496" i="24"/>
  <c r="T496" i="24"/>
  <c r="N496" i="24"/>
  <c r="AH495" i="24"/>
  <c r="AI495" i="24" s="1"/>
  <c r="X495" i="24"/>
  <c r="AC495" i="24" s="1"/>
  <c r="W495" i="24"/>
  <c r="AB495" i="24" s="1"/>
  <c r="V495" i="24"/>
  <c r="AA495" i="24" s="1"/>
  <c r="U495" i="24"/>
  <c r="Z495" i="24" s="1"/>
  <c r="T495" i="24"/>
  <c r="Y495" i="24" s="1"/>
  <c r="AH494" i="24"/>
  <c r="AI494" i="24" s="1"/>
  <c r="X494" i="24"/>
  <c r="W494" i="24"/>
  <c r="V494" i="24"/>
  <c r="AA494" i="24" s="1"/>
  <c r="U494" i="24"/>
  <c r="T494" i="24"/>
  <c r="N494" i="24"/>
  <c r="AH493" i="24"/>
  <c r="AI493" i="24" s="1"/>
  <c r="X493" i="24"/>
  <c r="AC493" i="24" s="1"/>
  <c r="W493" i="24"/>
  <c r="AB493" i="24" s="1"/>
  <c r="V493" i="24"/>
  <c r="AA493" i="24" s="1"/>
  <c r="U493" i="24"/>
  <c r="Z493" i="24" s="1"/>
  <c r="T493" i="24"/>
  <c r="Y493" i="24" s="1"/>
  <c r="AD38" i="24" l="1"/>
  <c r="AD493" i="24"/>
  <c r="AE493" i="24" s="1"/>
  <c r="AD495" i="24"/>
  <c r="AE495" i="24" s="1"/>
  <c r="AD499" i="24"/>
  <c r="AE499" i="24" s="1"/>
  <c r="AB494" i="24"/>
  <c r="Y498" i="24"/>
  <c r="AC497" i="24" l="1"/>
  <c r="AB498" i="24"/>
  <c r="AC498" i="24"/>
  <c r="Y494" i="24"/>
  <c r="AL494" i="24" s="1"/>
  <c r="AC494" i="24"/>
  <c r="Z498" i="24"/>
  <c r="Z494" i="24"/>
  <c r="AB497" i="24"/>
  <c r="Z497" i="24"/>
  <c r="Y497" i="24"/>
  <c r="Z496" i="24"/>
  <c r="AC496" i="24"/>
  <c r="AB496" i="24"/>
  <c r="Y496" i="24"/>
  <c r="Y20" i="44" l="1"/>
  <c r="AC20" i="45"/>
  <c r="AL501" i="24"/>
  <c r="AD498" i="24"/>
  <c r="AE498" i="24" s="1"/>
  <c r="AD497" i="24"/>
  <c r="AE497" i="24" s="1"/>
  <c r="AD496" i="24"/>
  <c r="AE496" i="24" s="1"/>
  <c r="AD494" i="24"/>
  <c r="AE494" i="24" s="1"/>
  <c r="Z500" i="24"/>
  <c r="AC500" i="24"/>
  <c r="AB500" i="24"/>
  <c r="Y500" i="24"/>
  <c r="Z20" i="44" l="1"/>
  <c r="AD20" i="45"/>
  <c r="AD500" i="24"/>
  <c r="AE500" i="24" s="1"/>
  <c r="Q84" i="26" l="1"/>
  <c r="Q85" i="26"/>
  <c r="Q86" i="26"/>
  <c r="L86" i="26" l="1"/>
  <c r="U86" i="26" l="1"/>
  <c r="S86" i="26"/>
  <c r="T86" i="26"/>
  <c r="R86" i="26"/>
  <c r="C5" i="28"/>
  <c r="F5" i="28" s="1"/>
  <c r="C26" i="28" l="1"/>
  <c r="D19" i="9"/>
  <c r="H96" i="26" l="1"/>
  <c r="G19" i="9" s="1"/>
  <c r="G96" i="26"/>
  <c r="F19" i="9" s="1"/>
  <c r="F96" i="26"/>
  <c r="C24" i="28"/>
  <c r="D6" i="28"/>
  <c r="D7" i="28"/>
  <c r="D8" i="28"/>
  <c r="D9" i="28"/>
  <c r="D12" i="28"/>
  <c r="D13" i="28"/>
  <c r="D14" i="28"/>
  <c r="D17" i="28"/>
  <c r="D18" i="28"/>
  <c r="D19" i="28"/>
  <c r="D23" i="28"/>
  <c r="D25" i="28"/>
  <c r="D26" i="28"/>
  <c r="C7" i="28"/>
  <c r="C25" i="28"/>
  <c r="E19" i="9" l="1"/>
  <c r="D96" i="26"/>
  <c r="D15" i="28"/>
  <c r="D20" i="28" s="1"/>
  <c r="E20" i="28"/>
  <c r="F26" i="28"/>
  <c r="B55" i="26"/>
  <c r="B56" i="26"/>
  <c r="A56" i="26" s="1"/>
  <c r="B57" i="26"/>
  <c r="A57" i="26" s="1"/>
  <c r="B58" i="26"/>
  <c r="A58" i="26" s="1"/>
  <c r="B59" i="26"/>
  <c r="A59" i="26" s="1"/>
  <c r="B70" i="26"/>
  <c r="A70" i="26" s="1"/>
  <c r="B71" i="26"/>
  <c r="A71" i="26" s="1"/>
  <c r="B72" i="26"/>
  <c r="A72" i="26" s="1"/>
  <c r="B78" i="26"/>
  <c r="A78" i="26" s="1"/>
  <c r="B79" i="26"/>
  <c r="A79" i="26" s="1"/>
  <c r="B80" i="26"/>
  <c r="A80" i="26" s="1"/>
  <c r="B81" i="26"/>
  <c r="A81" i="26" s="1"/>
  <c r="B82" i="26"/>
  <c r="A82" i="26" s="1"/>
  <c r="B83" i="26"/>
  <c r="A83" i="26" s="1"/>
  <c r="B84" i="26"/>
  <c r="A84" i="26" s="1"/>
  <c r="B85" i="26"/>
  <c r="A85" i="26" s="1"/>
  <c r="B86" i="26"/>
  <c r="D110" i="26" l="1"/>
  <c r="D112" i="26"/>
  <c r="D109" i="26"/>
  <c r="D111" i="26"/>
  <c r="F113" i="26"/>
  <c r="A86" i="26"/>
  <c r="D108" i="26"/>
  <c r="A55" i="26"/>
  <c r="E108" i="26"/>
  <c r="A16" i="26"/>
  <c r="A30" i="26"/>
  <c r="G108" i="26"/>
  <c r="F108" i="26"/>
  <c r="G116" i="26"/>
  <c r="G103" i="26" s="1"/>
  <c r="G114" i="26"/>
  <c r="G101" i="26" s="1"/>
  <c r="F116" i="26"/>
  <c r="F103" i="26" s="1"/>
  <c r="F114" i="26"/>
  <c r="F101" i="26" s="1"/>
  <c r="E116" i="26"/>
  <c r="E103" i="26" s="1"/>
  <c r="E114" i="26"/>
  <c r="E101" i="26" s="1"/>
  <c r="D116" i="26"/>
  <c r="D103" i="26" s="1"/>
  <c r="D114" i="26"/>
  <c r="D101" i="26" s="1"/>
  <c r="G109" i="26"/>
  <c r="F109" i="26"/>
  <c r="E109" i="26"/>
  <c r="T409" i="24"/>
  <c r="H108" i="26" l="1"/>
  <c r="X16" i="26"/>
  <c r="Y16" i="26"/>
  <c r="Z16" i="26"/>
  <c r="AA16" i="26"/>
  <c r="AB16" i="26"/>
  <c r="X23" i="26"/>
  <c r="Y23" i="26"/>
  <c r="Z23" i="26"/>
  <c r="AA23" i="26"/>
  <c r="AB23" i="26"/>
  <c r="X30" i="26"/>
  <c r="Y30" i="26"/>
  <c r="Z30" i="26"/>
  <c r="AA30" i="26"/>
  <c r="AB30" i="26"/>
  <c r="X70" i="26"/>
  <c r="Y70" i="26"/>
  <c r="Z70" i="26"/>
  <c r="AA70" i="26"/>
  <c r="AB70" i="26"/>
  <c r="X71" i="26"/>
  <c r="Y71" i="26"/>
  <c r="Z71" i="26"/>
  <c r="AA71" i="26"/>
  <c r="AB71" i="26"/>
  <c r="X72" i="26"/>
  <c r="Y72" i="26"/>
  <c r="Z72" i="26"/>
  <c r="AA72" i="26"/>
  <c r="AB72" i="26"/>
  <c r="X78" i="26"/>
  <c r="Y78" i="26"/>
  <c r="Z78" i="26"/>
  <c r="AA78" i="26"/>
  <c r="AB78" i="26"/>
  <c r="X79" i="26"/>
  <c r="Y79" i="26"/>
  <c r="Z79" i="26"/>
  <c r="AA79" i="26"/>
  <c r="AB79" i="26"/>
  <c r="X80" i="26"/>
  <c r="Y80" i="26"/>
  <c r="Z80" i="26"/>
  <c r="AA80" i="26"/>
  <c r="AB80" i="26"/>
  <c r="X81" i="26"/>
  <c r="Y81" i="26"/>
  <c r="Z81" i="26"/>
  <c r="AA81" i="26"/>
  <c r="AB81" i="26"/>
  <c r="X82" i="26"/>
  <c r="Y82" i="26"/>
  <c r="Z82" i="26"/>
  <c r="AA82" i="26"/>
  <c r="AB82" i="26"/>
  <c r="X83" i="26"/>
  <c r="Y83" i="26"/>
  <c r="Z83" i="26"/>
  <c r="AA83" i="26"/>
  <c r="AB83" i="26"/>
  <c r="X84" i="26"/>
  <c r="Y84" i="26"/>
  <c r="Z84" i="26"/>
  <c r="AA84" i="26"/>
  <c r="AB84" i="26"/>
  <c r="X85" i="26"/>
  <c r="Y85" i="26"/>
  <c r="Z85" i="26"/>
  <c r="AA85" i="26"/>
  <c r="AB85" i="26"/>
  <c r="X86" i="26"/>
  <c r="AL86" i="26" s="1"/>
  <c r="Y86" i="26"/>
  <c r="Z86" i="26"/>
  <c r="AA86" i="26"/>
  <c r="AB86" i="26"/>
  <c r="BC16" i="26"/>
  <c r="BD16" i="26" s="1"/>
  <c r="BC23" i="26"/>
  <c r="BD23" i="26" s="1"/>
  <c r="BC30" i="26"/>
  <c r="BD30" i="26" s="1"/>
  <c r="BC56" i="26"/>
  <c r="BD56" i="26" s="1"/>
  <c r="BC57" i="26"/>
  <c r="BD57" i="26" s="1"/>
  <c r="BC58" i="26"/>
  <c r="BD58" i="26" s="1"/>
  <c r="BC59" i="26"/>
  <c r="BD59" i="26" s="1"/>
  <c r="BC70" i="26"/>
  <c r="BD70" i="26" s="1"/>
  <c r="BC71" i="26"/>
  <c r="BD71" i="26" s="1"/>
  <c r="BC72" i="26"/>
  <c r="BD72" i="26" s="1"/>
  <c r="BC78" i="26"/>
  <c r="BD78" i="26" s="1"/>
  <c r="BC79" i="26"/>
  <c r="BD79" i="26" s="1"/>
  <c r="BC80" i="26"/>
  <c r="BD80" i="26" s="1"/>
  <c r="BC81" i="26"/>
  <c r="BD81" i="26" s="1"/>
  <c r="BC82" i="26"/>
  <c r="BD82" i="26" s="1"/>
  <c r="BC83" i="26"/>
  <c r="BD83" i="26" s="1"/>
  <c r="BC84" i="26"/>
  <c r="BD84" i="26" s="1"/>
  <c r="BC85" i="26"/>
  <c r="BD85" i="26" s="1"/>
  <c r="BC86" i="26"/>
  <c r="BD86" i="26" s="1"/>
  <c r="BD87" i="26"/>
  <c r="BD88" i="26"/>
  <c r="BC9" i="26"/>
  <c r="BC8" i="26"/>
  <c r="AL80" i="26" l="1"/>
  <c r="AJ80" i="26"/>
  <c r="AI80" i="26"/>
  <c r="AV80" i="26"/>
  <c r="AW80" i="26"/>
  <c r="AU80" i="26"/>
  <c r="AX80" i="26"/>
  <c r="AI533" i="24" l="1"/>
  <c r="U11" i="24"/>
  <c r="V11" i="24"/>
  <c r="AA11" i="24" s="1"/>
  <c r="W11" i="24"/>
  <c r="X11" i="24"/>
  <c r="U13" i="24"/>
  <c r="Z13" i="24" s="1"/>
  <c r="V13" i="24"/>
  <c r="AA13" i="24" s="1"/>
  <c r="W13" i="24"/>
  <c r="AB13" i="24" s="1"/>
  <c r="X13" i="24"/>
  <c r="AC13" i="24" s="1"/>
  <c r="U14" i="24"/>
  <c r="V14" i="24"/>
  <c r="AA14" i="24" s="1"/>
  <c r="W14" i="24"/>
  <c r="X14" i="24"/>
  <c r="U15" i="24"/>
  <c r="V15" i="24"/>
  <c r="AA15" i="24" s="1"/>
  <c r="W15" i="24"/>
  <c r="X15" i="24"/>
  <c r="U16" i="24"/>
  <c r="V16" i="24"/>
  <c r="AA16" i="24" s="1"/>
  <c r="W16" i="24"/>
  <c r="X16" i="24"/>
  <c r="U17" i="24"/>
  <c r="Z17" i="24" s="1"/>
  <c r="V17" i="24"/>
  <c r="AA17" i="24" s="1"/>
  <c r="W17" i="24"/>
  <c r="AB17" i="24" s="1"/>
  <c r="X17" i="24"/>
  <c r="AC17" i="24" s="1"/>
  <c r="U18" i="24"/>
  <c r="V18" i="24"/>
  <c r="AA18" i="24" s="1"/>
  <c r="W18" i="24"/>
  <c r="X18" i="24"/>
  <c r="U20" i="24"/>
  <c r="Z20" i="24" s="1"/>
  <c r="V20" i="24"/>
  <c r="AA20" i="24" s="1"/>
  <c r="W20" i="24"/>
  <c r="AB20" i="24" s="1"/>
  <c r="X20" i="24"/>
  <c r="AC20" i="24" s="1"/>
  <c r="U21" i="24"/>
  <c r="V21" i="24"/>
  <c r="AA21" i="24" s="1"/>
  <c r="W21" i="24"/>
  <c r="X21" i="24"/>
  <c r="U22" i="24"/>
  <c r="V22" i="24"/>
  <c r="AA22" i="24" s="1"/>
  <c r="W22" i="24"/>
  <c r="X22" i="24"/>
  <c r="U23" i="24"/>
  <c r="Z23" i="24" s="1"/>
  <c r="V23" i="24"/>
  <c r="AA23" i="24" s="1"/>
  <c r="W23" i="24"/>
  <c r="AB23" i="24" s="1"/>
  <c r="X23" i="24"/>
  <c r="AC23" i="24" s="1"/>
  <c r="U24" i="24"/>
  <c r="V24" i="24"/>
  <c r="AA24" i="24" s="1"/>
  <c r="W24" i="24"/>
  <c r="X24" i="24"/>
  <c r="U25" i="24"/>
  <c r="V25" i="24"/>
  <c r="AA25" i="24" s="1"/>
  <c r="W25" i="24"/>
  <c r="X25" i="24"/>
  <c r="U26" i="24"/>
  <c r="V26" i="24"/>
  <c r="AA26" i="24" s="1"/>
  <c r="W26" i="24"/>
  <c r="X26" i="24"/>
  <c r="U27" i="24"/>
  <c r="V27" i="24"/>
  <c r="AA27" i="24" s="1"/>
  <c r="W27" i="24"/>
  <c r="X27" i="24"/>
  <c r="U28" i="24"/>
  <c r="V28" i="24"/>
  <c r="AA28" i="24" s="1"/>
  <c r="W28" i="24"/>
  <c r="X28" i="24"/>
  <c r="U29" i="24"/>
  <c r="Z29" i="24" s="1"/>
  <c r="V29" i="24"/>
  <c r="AA29" i="24" s="1"/>
  <c r="W29" i="24"/>
  <c r="AB29" i="24" s="1"/>
  <c r="X29" i="24"/>
  <c r="AC29" i="24" s="1"/>
  <c r="U30" i="24"/>
  <c r="V30" i="24"/>
  <c r="AA30" i="24" s="1"/>
  <c r="W30" i="24"/>
  <c r="X30" i="24"/>
  <c r="U31" i="24"/>
  <c r="Z31" i="24" s="1"/>
  <c r="V31" i="24"/>
  <c r="AA31" i="24" s="1"/>
  <c r="W31" i="24"/>
  <c r="AB31" i="24" s="1"/>
  <c r="X31" i="24"/>
  <c r="AC31" i="24" s="1"/>
  <c r="U32" i="24"/>
  <c r="V32" i="24"/>
  <c r="AA32" i="24" s="1"/>
  <c r="W32" i="24"/>
  <c r="X32" i="24"/>
  <c r="U34" i="24"/>
  <c r="Z34" i="24" s="1"/>
  <c r="V34" i="24"/>
  <c r="AA34" i="24" s="1"/>
  <c r="W34" i="24"/>
  <c r="AB34" i="24" s="1"/>
  <c r="X34" i="24"/>
  <c r="AC34" i="24" s="1"/>
  <c r="U35" i="24"/>
  <c r="V35" i="24"/>
  <c r="AA35" i="24" s="1"/>
  <c r="W35" i="24"/>
  <c r="X35" i="24"/>
  <c r="U36" i="24"/>
  <c r="V36" i="24"/>
  <c r="AA36" i="24" s="1"/>
  <c r="W36" i="24"/>
  <c r="X36" i="24"/>
  <c r="U37" i="24"/>
  <c r="V37" i="24"/>
  <c r="AA37" i="24" s="1"/>
  <c r="W37" i="24"/>
  <c r="X37" i="24"/>
  <c r="U68" i="24"/>
  <c r="V68" i="24"/>
  <c r="AA68" i="24" s="1"/>
  <c r="W68" i="24"/>
  <c r="X68" i="24"/>
  <c r="U70" i="24"/>
  <c r="Z70" i="24" s="1"/>
  <c r="V70" i="24"/>
  <c r="AA70" i="24" s="1"/>
  <c r="W70" i="24"/>
  <c r="AB70" i="24" s="1"/>
  <c r="X70" i="24"/>
  <c r="AC70" i="24" s="1"/>
  <c r="U141" i="24"/>
  <c r="V141" i="24"/>
  <c r="AA141" i="24" s="1"/>
  <c r="W141" i="24"/>
  <c r="X141" i="24"/>
  <c r="U164" i="24"/>
  <c r="V164" i="24"/>
  <c r="W164" i="24"/>
  <c r="X164" i="24"/>
  <c r="U165" i="24"/>
  <c r="Z165" i="24" s="1"/>
  <c r="V165" i="24"/>
  <c r="AA165" i="24" s="1"/>
  <c r="W165" i="24"/>
  <c r="AB165" i="24" s="1"/>
  <c r="X165" i="24"/>
  <c r="AC165" i="24" s="1"/>
  <c r="U167" i="24"/>
  <c r="Z167" i="24" s="1"/>
  <c r="V167" i="24"/>
  <c r="AA167" i="24" s="1"/>
  <c r="W167" i="24"/>
  <c r="AB167" i="24" s="1"/>
  <c r="X167" i="24"/>
  <c r="AC167" i="24" s="1"/>
  <c r="U169" i="24"/>
  <c r="V169" i="24"/>
  <c r="AA169" i="24" s="1"/>
  <c r="W169" i="24"/>
  <c r="X169" i="24"/>
  <c r="U170" i="24"/>
  <c r="V170" i="24"/>
  <c r="AA170" i="24" s="1"/>
  <c r="W170" i="24"/>
  <c r="X170" i="24"/>
  <c r="U172" i="24"/>
  <c r="V172" i="24"/>
  <c r="AA172" i="24" s="1"/>
  <c r="W172" i="24"/>
  <c r="X172" i="24"/>
  <c r="U174" i="24"/>
  <c r="V174" i="24"/>
  <c r="AA174" i="24" s="1"/>
  <c r="W174" i="24"/>
  <c r="X174" i="24"/>
  <c r="U176" i="24"/>
  <c r="Z176" i="24" s="1"/>
  <c r="V176" i="24"/>
  <c r="AA176" i="24" s="1"/>
  <c r="W176" i="24"/>
  <c r="AB176" i="24" s="1"/>
  <c r="X176" i="24"/>
  <c r="AC176" i="24" s="1"/>
  <c r="U183" i="24"/>
  <c r="V183" i="24"/>
  <c r="AA183" i="24" s="1"/>
  <c r="W183" i="24"/>
  <c r="X183" i="24"/>
  <c r="U185" i="24"/>
  <c r="Z185" i="24" s="1"/>
  <c r="V185" i="24"/>
  <c r="AA185" i="24" s="1"/>
  <c r="W185" i="24"/>
  <c r="AB185" i="24" s="1"/>
  <c r="X185" i="24"/>
  <c r="AC185" i="24" s="1"/>
  <c r="U186" i="24"/>
  <c r="V186" i="24"/>
  <c r="AA186" i="24" s="1"/>
  <c r="W186" i="24"/>
  <c r="X186" i="24"/>
  <c r="U188" i="24"/>
  <c r="V188" i="24"/>
  <c r="AA188" i="24" s="1"/>
  <c r="W188" i="24"/>
  <c r="X188" i="24"/>
  <c r="U189" i="24"/>
  <c r="V189" i="24"/>
  <c r="AA189" i="24" s="1"/>
  <c r="W189" i="24"/>
  <c r="X189" i="24"/>
  <c r="U190" i="24"/>
  <c r="V190" i="24"/>
  <c r="AA190" i="24" s="1"/>
  <c r="W190" i="24"/>
  <c r="X190" i="24"/>
  <c r="U191" i="24"/>
  <c r="V191" i="24"/>
  <c r="AA191" i="24" s="1"/>
  <c r="W191" i="24"/>
  <c r="X191" i="24"/>
  <c r="U193" i="24"/>
  <c r="V193" i="24"/>
  <c r="AA193" i="24" s="1"/>
  <c r="W193" i="24"/>
  <c r="X193" i="24"/>
  <c r="U195" i="24"/>
  <c r="Z195" i="24" s="1"/>
  <c r="V195" i="24"/>
  <c r="AA195" i="24" s="1"/>
  <c r="W195" i="24"/>
  <c r="AB195" i="24" s="1"/>
  <c r="X195" i="24"/>
  <c r="AC195" i="24" s="1"/>
  <c r="U196" i="24"/>
  <c r="V196" i="24"/>
  <c r="AA196" i="24" s="1"/>
  <c r="W196" i="24"/>
  <c r="X196" i="24"/>
  <c r="U197" i="24"/>
  <c r="V197" i="24"/>
  <c r="AA197" i="24" s="1"/>
  <c r="W197" i="24"/>
  <c r="X197" i="24"/>
  <c r="U198" i="24"/>
  <c r="V198" i="24"/>
  <c r="AA198" i="24" s="1"/>
  <c r="W198" i="24"/>
  <c r="X198" i="24"/>
  <c r="U200" i="24"/>
  <c r="V200" i="24"/>
  <c r="AA200" i="24" s="1"/>
  <c r="W200" i="24"/>
  <c r="X200" i="24"/>
  <c r="U202" i="24"/>
  <c r="V202" i="24"/>
  <c r="AA202" i="24" s="1"/>
  <c r="W202" i="24"/>
  <c r="X202" i="24"/>
  <c r="U203" i="24"/>
  <c r="V203" i="24"/>
  <c r="AA203" i="24" s="1"/>
  <c r="W203" i="24"/>
  <c r="X203" i="24"/>
  <c r="U205" i="24"/>
  <c r="Z205" i="24" s="1"/>
  <c r="V205" i="24"/>
  <c r="AA205" i="24" s="1"/>
  <c r="W205" i="24"/>
  <c r="AB205" i="24" s="1"/>
  <c r="X205" i="24"/>
  <c r="AC205" i="24" s="1"/>
  <c r="U180" i="24"/>
  <c r="V180" i="24"/>
  <c r="AA180" i="24" s="1"/>
  <c r="W180" i="24"/>
  <c r="X180" i="24"/>
  <c r="U214" i="24"/>
  <c r="V214" i="24"/>
  <c r="AA214" i="24" s="1"/>
  <c r="W214" i="24"/>
  <c r="X214" i="24"/>
  <c r="U218" i="24"/>
  <c r="V218" i="24"/>
  <c r="AA218" i="24" s="1"/>
  <c r="W218" i="24"/>
  <c r="X218" i="24"/>
  <c r="U220" i="24"/>
  <c r="Z220" i="24" s="1"/>
  <c r="V220" i="24"/>
  <c r="AA220" i="24" s="1"/>
  <c r="W220" i="24"/>
  <c r="AB220" i="24" s="1"/>
  <c r="X220" i="24"/>
  <c r="AC220" i="24" s="1"/>
  <c r="U234" i="24"/>
  <c r="V234" i="24"/>
  <c r="AA234" i="24" s="1"/>
  <c r="W234" i="24"/>
  <c r="X234" i="24"/>
  <c r="U235" i="24"/>
  <c r="V235" i="24"/>
  <c r="AA235" i="24" s="1"/>
  <c r="W235" i="24"/>
  <c r="X235" i="24"/>
  <c r="U236" i="24"/>
  <c r="V236" i="24"/>
  <c r="AA236" i="24" s="1"/>
  <c r="W236" i="24"/>
  <c r="X236" i="24"/>
  <c r="U237" i="24"/>
  <c r="V237" i="24"/>
  <c r="AA237" i="24" s="1"/>
  <c r="W237" i="24"/>
  <c r="X237" i="24"/>
  <c r="U238" i="24"/>
  <c r="Z238" i="24" s="1"/>
  <c r="V238" i="24"/>
  <c r="AA238" i="24" s="1"/>
  <c r="W238" i="24"/>
  <c r="AB238" i="24" s="1"/>
  <c r="X238" i="24"/>
  <c r="AC238" i="24" s="1"/>
  <c r="U259" i="24"/>
  <c r="V259" i="24"/>
  <c r="AA259" i="24" s="1"/>
  <c r="W259" i="24"/>
  <c r="X259" i="24"/>
  <c r="U260" i="24"/>
  <c r="Z260" i="24" s="1"/>
  <c r="V260" i="24"/>
  <c r="AA260" i="24" s="1"/>
  <c r="W260" i="24"/>
  <c r="AB260" i="24" s="1"/>
  <c r="X260" i="24"/>
  <c r="AC260" i="24" s="1"/>
  <c r="U261" i="24"/>
  <c r="Z261" i="24" s="1"/>
  <c r="V261" i="24"/>
  <c r="AA261" i="24" s="1"/>
  <c r="W261" i="24"/>
  <c r="AB261" i="24" s="1"/>
  <c r="X261" i="24"/>
  <c r="AC261" i="24" s="1"/>
  <c r="U267" i="24"/>
  <c r="V267" i="24"/>
  <c r="AA267" i="24" s="1"/>
  <c r="W267" i="24"/>
  <c r="X267" i="24"/>
  <c r="U268" i="24"/>
  <c r="V268" i="24"/>
  <c r="AA268" i="24" s="1"/>
  <c r="W268" i="24"/>
  <c r="X268" i="24"/>
  <c r="U270" i="24"/>
  <c r="Z270" i="24" s="1"/>
  <c r="V270" i="24"/>
  <c r="AA270" i="24" s="1"/>
  <c r="W270" i="24"/>
  <c r="AB270" i="24" s="1"/>
  <c r="X270" i="24"/>
  <c r="AC270" i="24" s="1"/>
  <c r="U272" i="24"/>
  <c r="Z272" i="24" s="1"/>
  <c r="V272" i="24"/>
  <c r="AA272" i="24" s="1"/>
  <c r="W272" i="24"/>
  <c r="AB272" i="24" s="1"/>
  <c r="X272" i="24"/>
  <c r="AC272" i="24" s="1"/>
  <c r="U299" i="24"/>
  <c r="V299" i="24"/>
  <c r="AA299" i="24" s="1"/>
  <c r="W299" i="24"/>
  <c r="X299" i="24"/>
  <c r="U316" i="24"/>
  <c r="V316" i="24"/>
  <c r="AA316" i="24" s="1"/>
  <c r="W316" i="24"/>
  <c r="X316" i="24"/>
  <c r="U318" i="24"/>
  <c r="Z318" i="24" s="1"/>
  <c r="V318" i="24"/>
  <c r="AA318" i="24" s="1"/>
  <c r="W318" i="24"/>
  <c r="AB318" i="24" s="1"/>
  <c r="X318" i="24"/>
  <c r="AC318" i="24" s="1"/>
  <c r="U320" i="24"/>
  <c r="Z320" i="24" s="1"/>
  <c r="V320" i="24"/>
  <c r="AA320" i="24" s="1"/>
  <c r="W320" i="24"/>
  <c r="AB320" i="24" s="1"/>
  <c r="X320" i="24"/>
  <c r="AC320" i="24" s="1"/>
  <c r="U325" i="24"/>
  <c r="V325" i="24"/>
  <c r="AA325" i="24" s="1"/>
  <c r="W325" i="24"/>
  <c r="X325" i="24"/>
  <c r="U343" i="24"/>
  <c r="Z343" i="24" s="1"/>
  <c r="V343" i="24"/>
  <c r="AA343" i="24" s="1"/>
  <c r="W343" i="24"/>
  <c r="AB343" i="24" s="1"/>
  <c r="X343" i="24"/>
  <c r="AC343" i="24" s="1"/>
  <c r="U344" i="24"/>
  <c r="V344" i="24"/>
  <c r="AA344" i="24" s="1"/>
  <c r="W344" i="24"/>
  <c r="X344" i="24"/>
  <c r="U345" i="24"/>
  <c r="V345" i="24"/>
  <c r="AA345" i="24" s="1"/>
  <c r="W345" i="24"/>
  <c r="X345" i="24"/>
  <c r="U346" i="24"/>
  <c r="V346" i="24"/>
  <c r="AA346" i="24" s="1"/>
  <c r="W346" i="24"/>
  <c r="X346" i="24"/>
  <c r="U347" i="24"/>
  <c r="V347" i="24"/>
  <c r="AA347" i="24" s="1"/>
  <c r="W347" i="24"/>
  <c r="X347" i="24"/>
  <c r="U348" i="24"/>
  <c r="V348" i="24"/>
  <c r="AA348" i="24" s="1"/>
  <c r="W348" i="24"/>
  <c r="X348" i="24"/>
  <c r="U349" i="24"/>
  <c r="V349" i="24"/>
  <c r="AA349" i="24" s="1"/>
  <c r="W349" i="24"/>
  <c r="X349" i="24"/>
  <c r="U350" i="24"/>
  <c r="Z350" i="24" s="1"/>
  <c r="V350" i="24"/>
  <c r="AA350" i="24" s="1"/>
  <c r="W350" i="24"/>
  <c r="AB350" i="24" s="1"/>
  <c r="X350" i="24"/>
  <c r="AC350" i="24" s="1"/>
  <c r="U351" i="24"/>
  <c r="V351" i="24"/>
  <c r="AA351" i="24" s="1"/>
  <c r="W351" i="24"/>
  <c r="X351" i="24"/>
  <c r="U352" i="24"/>
  <c r="V352" i="24"/>
  <c r="AA352" i="24" s="1"/>
  <c r="W352" i="24"/>
  <c r="X352" i="24"/>
  <c r="U353" i="24"/>
  <c r="V353" i="24"/>
  <c r="AA353" i="24" s="1"/>
  <c r="W353" i="24"/>
  <c r="X353" i="24"/>
  <c r="U354" i="24"/>
  <c r="V354" i="24"/>
  <c r="AA354" i="24" s="1"/>
  <c r="W354" i="24"/>
  <c r="X354" i="24"/>
  <c r="U355" i="24"/>
  <c r="Z355" i="24" s="1"/>
  <c r="V355" i="24"/>
  <c r="AA355" i="24" s="1"/>
  <c r="W355" i="24"/>
  <c r="AB355" i="24" s="1"/>
  <c r="X355" i="24"/>
  <c r="AC355" i="24" s="1"/>
  <c r="U356" i="24"/>
  <c r="V356" i="24"/>
  <c r="AA356" i="24" s="1"/>
  <c r="W356" i="24"/>
  <c r="X356" i="24"/>
  <c r="U357" i="24"/>
  <c r="V357" i="24"/>
  <c r="AA357" i="24" s="1"/>
  <c r="W357" i="24"/>
  <c r="X357" i="24"/>
  <c r="U358" i="24"/>
  <c r="V358" i="24"/>
  <c r="AA358" i="24" s="1"/>
  <c r="W358" i="24"/>
  <c r="X358" i="24"/>
  <c r="U359" i="24"/>
  <c r="V359" i="24"/>
  <c r="AA359" i="24" s="1"/>
  <c r="W359" i="24"/>
  <c r="X359" i="24"/>
  <c r="U360" i="24"/>
  <c r="Z360" i="24" s="1"/>
  <c r="V360" i="24"/>
  <c r="AA360" i="24" s="1"/>
  <c r="W360" i="24"/>
  <c r="AB360" i="24" s="1"/>
  <c r="X360" i="24"/>
  <c r="AC360" i="24" s="1"/>
  <c r="U361" i="24"/>
  <c r="V361" i="24"/>
  <c r="AA361" i="24" s="1"/>
  <c r="W361" i="24"/>
  <c r="X361" i="24"/>
  <c r="U362" i="24"/>
  <c r="V362" i="24"/>
  <c r="AA362" i="24" s="1"/>
  <c r="W362" i="24"/>
  <c r="X362" i="24"/>
  <c r="U363" i="24"/>
  <c r="V363" i="24"/>
  <c r="AA363" i="24" s="1"/>
  <c r="W363" i="24"/>
  <c r="X363" i="24"/>
  <c r="U364" i="24"/>
  <c r="Z364" i="24" s="1"/>
  <c r="V364" i="24"/>
  <c r="AA364" i="24" s="1"/>
  <c r="W364" i="24"/>
  <c r="AB364" i="24" s="1"/>
  <c r="X364" i="24"/>
  <c r="AC364" i="24" s="1"/>
  <c r="U365" i="24"/>
  <c r="V365" i="24"/>
  <c r="AA365" i="24" s="1"/>
  <c r="W365" i="24"/>
  <c r="X365" i="24"/>
  <c r="U366" i="24"/>
  <c r="V366" i="24"/>
  <c r="AA366" i="24" s="1"/>
  <c r="W366" i="24"/>
  <c r="X366" i="24"/>
  <c r="U367" i="24"/>
  <c r="V367" i="24"/>
  <c r="AA367" i="24" s="1"/>
  <c r="W367" i="24"/>
  <c r="X367" i="24"/>
  <c r="U368" i="24"/>
  <c r="V368" i="24"/>
  <c r="AA368" i="24" s="1"/>
  <c r="W368" i="24"/>
  <c r="X368" i="24"/>
  <c r="U369" i="24"/>
  <c r="V369" i="24"/>
  <c r="AA369" i="24" s="1"/>
  <c r="W369" i="24"/>
  <c r="X369" i="24"/>
  <c r="U370" i="24"/>
  <c r="Z370" i="24" s="1"/>
  <c r="V370" i="24"/>
  <c r="AA370" i="24" s="1"/>
  <c r="W370" i="24"/>
  <c r="AB370" i="24" s="1"/>
  <c r="X370" i="24"/>
  <c r="AC370" i="24" s="1"/>
  <c r="U371" i="24"/>
  <c r="V371" i="24"/>
  <c r="AA371" i="24" s="1"/>
  <c r="W371" i="24"/>
  <c r="X371" i="24"/>
  <c r="U372" i="24"/>
  <c r="V372" i="24"/>
  <c r="AA372" i="24" s="1"/>
  <c r="W372" i="24"/>
  <c r="X372" i="24"/>
  <c r="U373" i="24"/>
  <c r="V373" i="24"/>
  <c r="AA373" i="24" s="1"/>
  <c r="W373" i="24"/>
  <c r="X373" i="24"/>
  <c r="U374" i="24"/>
  <c r="V374" i="24"/>
  <c r="AA374" i="24" s="1"/>
  <c r="W374" i="24"/>
  <c r="X374" i="24"/>
  <c r="U375" i="24"/>
  <c r="V375" i="24"/>
  <c r="AA375" i="24" s="1"/>
  <c r="W375" i="24"/>
  <c r="X375" i="24"/>
  <c r="U376" i="24"/>
  <c r="V376" i="24"/>
  <c r="AA376" i="24" s="1"/>
  <c r="W376" i="24"/>
  <c r="X376" i="24"/>
  <c r="U383" i="24"/>
  <c r="Z383" i="24" s="1"/>
  <c r="V383" i="24"/>
  <c r="AA383" i="24" s="1"/>
  <c r="W383" i="24"/>
  <c r="AB383" i="24" s="1"/>
  <c r="X383" i="24"/>
  <c r="AC383" i="24" s="1"/>
  <c r="U384" i="24"/>
  <c r="Z384" i="24" s="1"/>
  <c r="V384" i="24"/>
  <c r="AA384" i="24" s="1"/>
  <c r="W384" i="24"/>
  <c r="AB384" i="24" s="1"/>
  <c r="X384" i="24"/>
  <c r="AC384" i="24" s="1"/>
  <c r="U385" i="24"/>
  <c r="Z385" i="24" s="1"/>
  <c r="V385" i="24"/>
  <c r="AA385" i="24" s="1"/>
  <c r="W385" i="24"/>
  <c r="AB385" i="24" s="1"/>
  <c r="X385" i="24"/>
  <c r="AC385" i="24" s="1"/>
  <c r="U386" i="24"/>
  <c r="V386" i="24"/>
  <c r="AA386" i="24" s="1"/>
  <c r="W386" i="24"/>
  <c r="X386" i="24"/>
  <c r="U387" i="24"/>
  <c r="V387" i="24"/>
  <c r="AA387" i="24" s="1"/>
  <c r="W387" i="24"/>
  <c r="X387" i="24"/>
  <c r="U388" i="24"/>
  <c r="V388" i="24"/>
  <c r="AA388" i="24" s="1"/>
  <c r="W388" i="24"/>
  <c r="X388" i="24"/>
  <c r="U389" i="24"/>
  <c r="V389" i="24"/>
  <c r="AA389" i="24" s="1"/>
  <c r="W389" i="24"/>
  <c r="X389" i="24"/>
  <c r="U390" i="24"/>
  <c r="Z390" i="24" s="1"/>
  <c r="V390" i="24"/>
  <c r="AA390" i="24" s="1"/>
  <c r="W390" i="24"/>
  <c r="AB390" i="24" s="1"/>
  <c r="X390" i="24"/>
  <c r="AC390" i="24" s="1"/>
  <c r="U391" i="24"/>
  <c r="V391" i="24"/>
  <c r="AA391" i="24" s="1"/>
  <c r="W391" i="24"/>
  <c r="X391" i="24"/>
  <c r="U392" i="24"/>
  <c r="V392" i="24"/>
  <c r="AA392" i="24" s="1"/>
  <c r="W392" i="24"/>
  <c r="X392" i="24"/>
  <c r="U393" i="24"/>
  <c r="V393" i="24"/>
  <c r="AA393" i="24" s="1"/>
  <c r="W393" i="24"/>
  <c r="X393" i="24"/>
  <c r="U394" i="24"/>
  <c r="V394" i="24"/>
  <c r="AA394" i="24" s="1"/>
  <c r="W394" i="24"/>
  <c r="X394" i="24"/>
  <c r="U395" i="24"/>
  <c r="V395" i="24"/>
  <c r="AA395" i="24" s="1"/>
  <c r="W395" i="24"/>
  <c r="X395" i="24"/>
  <c r="U397" i="24"/>
  <c r="V397" i="24"/>
  <c r="AA397" i="24" s="1"/>
  <c r="W397" i="24"/>
  <c r="X397" i="24"/>
  <c r="U398" i="24"/>
  <c r="V398" i="24"/>
  <c r="AA398" i="24" s="1"/>
  <c r="W398" i="24"/>
  <c r="X398" i="24"/>
  <c r="U399" i="24"/>
  <c r="V399" i="24"/>
  <c r="AA399" i="24" s="1"/>
  <c r="W399" i="24"/>
  <c r="X399" i="24"/>
  <c r="U400" i="24"/>
  <c r="V400" i="24"/>
  <c r="AA400" i="24" s="1"/>
  <c r="W400" i="24"/>
  <c r="X400" i="24"/>
  <c r="U401" i="24"/>
  <c r="V401" i="24"/>
  <c r="AA401" i="24" s="1"/>
  <c r="W401" i="24"/>
  <c r="X401" i="24"/>
  <c r="U402" i="24"/>
  <c r="V402" i="24"/>
  <c r="AA402" i="24" s="1"/>
  <c r="W402" i="24"/>
  <c r="X402" i="24"/>
  <c r="U403" i="24"/>
  <c r="V403" i="24"/>
  <c r="AA403" i="24" s="1"/>
  <c r="W403" i="24"/>
  <c r="X403" i="24"/>
  <c r="U404" i="24"/>
  <c r="V404" i="24"/>
  <c r="AA404" i="24" s="1"/>
  <c r="W404" i="24"/>
  <c r="X404" i="24"/>
  <c r="U406" i="24"/>
  <c r="V406" i="24"/>
  <c r="AA406" i="24" s="1"/>
  <c r="W406" i="24"/>
  <c r="X406" i="24"/>
  <c r="U407" i="24"/>
  <c r="Z407" i="24" s="1"/>
  <c r="V407" i="24"/>
  <c r="AA407" i="24" s="1"/>
  <c r="W407" i="24"/>
  <c r="AB407" i="24" s="1"/>
  <c r="X407" i="24"/>
  <c r="AC407" i="24" s="1"/>
  <c r="U408" i="24"/>
  <c r="Z408" i="24" s="1"/>
  <c r="V408" i="24"/>
  <c r="AA408" i="24" s="1"/>
  <c r="W408" i="24"/>
  <c r="AB408" i="24" s="1"/>
  <c r="X408" i="24"/>
  <c r="AC408" i="24" s="1"/>
  <c r="U409" i="24"/>
  <c r="V409" i="24"/>
  <c r="AA409" i="24" s="1"/>
  <c r="W409" i="24"/>
  <c r="X409" i="24"/>
  <c r="U410" i="24"/>
  <c r="V410" i="24"/>
  <c r="AA410" i="24" s="1"/>
  <c r="W410" i="24"/>
  <c r="X410" i="24"/>
  <c r="U411" i="24"/>
  <c r="V411" i="24"/>
  <c r="AA411" i="24" s="1"/>
  <c r="W411" i="24"/>
  <c r="X411" i="24"/>
  <c r="U412" i="24"/>
  <c r="V412" i="24"/>
  <c r="AA412" i="24" s="1"/>
  <c r="W412" i="24"/>
  <c r="X412" i="24"/>
  <c r="U413" i="24"/>
  <c r="V413" i="24"/>
  <c r="AA413" i="24" s="1"/>
  <c r="W413" i="24"/>
  <c r="X413" i="24"/>
  <c r="U414" i="24"/>
  <c r="V414" i="24"/>
  <c r="AA414" i="24" s="1"/>
  <c r="W414" i="24"/>
  <c r="X414" i="24"/>
  <c r="U415" i="24"/>
  <c r="V415" i="24"/>
  <c r="AA415" i="24" s="1"/>
  <c r="W415" i="24"/>
  <c r="X415" i="24"/>
  <c r="U416" i="24"/>
  <c r="V416" i="24"/>
  <c r="AA416" i="24" s="1"/>
  <c r="W416" i="24"/>
  <c r="X416" i="24"/>
  <c r="U417" i="24"/>
  <c r="Z417" i="24" s="1"/>
  <c r="V417" i="24"/>
  <c r="AA417" i="24" s="1"/>
  <c r="W417" i="24"/>
  <c r="AB417" i="24" s="1"/>
  <c r="X417" i="24"/>
  <c r="AC417" i="24" s="1"/>
  <c r="U418" i="24"/>
  <c r="V418" i="24"/>
  <c r="W418" i="24"/>
  <c r="X418" i="24"/>
  <c r="U419" i="24"/>
  <c r="V419" i="24"/>
  <c r="W419" i="24"/>
  <c r="X419" i="24"/>
  <c r="U420" i="24"/>
  <c r="V420" i="24"/>
  <c r="W420" i="24"/>
  <c r="X420" i="24"/>
  <c r="U421" i="24"/>
  <c r="V421" i="24"/>
  <c r="W421" i="24"/>
  <c r="X421" i="24"/>
  <c r="U422" i="24"/>
  <c r="V422" i="24"/>
  <c r="W422" i="24"/>
  <c r="X422" i="24"/>
  <c r="U423" i="24"/>
  <c r="V423" i="24"/>
  <c r="W423" i="24"/>
  <c r="X423" i="24"/>
  <c r="U424" i="24"/>
  <c r="V424" i="24"/>
  <c r="W424" i="24"/>
  <c r="X424" i="24"/>
  <c r="U425" i="24"/>
  <c r="V425" i="24"/>
  <c r="W425" i="24"/>
  <c r="X425" i="24"/>
  <c r="U426" i="24"/>
  <c r="V426" i="24"/>
  <c r="W426" i="24"/>
  <c r="X426" i="24"/>
  <c r="U427" i="24"/>
  <c r="V427" i="24"/>
  <c r="AA427" i="24" s="1"/>
  <c r="W427" i="24"/>
  <c r="X427" i="24"/>
  <c r="U429" i="24"/>
  <c r="V429" i="24"/>
  <c r="W429" i="24"/>
  <c r="X429" i="24"/>
  <c r="U430" i="24"/>
  <c r="V430" i="24"/>
  <c r="W430" i="24"/>
  <c r="X430" i="24"/>
  <c r="U431" i="24"/>
  <c r="Z431" i="24" s="1"/>
  <c r="V431" i="24"/>
  <c r="AA431" i="24" s="1"/>
  <c r="W431" i="24"/>
  <c r="AB431" i="24" s="1"/>
  <c r="X431" i="24"/>
  <c r="AC431" i="24" s="1"/>
  <c r="U432" i="24"/>
  <c r="V432" i="24"/>
  <c r="AA432" i="24" s="1"/>
  <c r="W432" i="24"/>
  <c r="X432" i="24"/>
  <c r="U433" i="24"/>
  <c r="V433" i="24"/>
  <c r="AA433" i="24" s="1"/>
  <c r="W433" i="24"/>
  <c r="X433" i="24"/>
  <c r="U434" i="24"/>
  <c r="Z434" i="24" s="1"/>
  <c r="V434" i="24"/>
  <c r="AA434" i="24" s="1"/>
  <c r="W434" i="24"/>
  <c r="AB434" i="24" s="1"/>
  <c r="X434" i="24"/>
  <c r="AC434" i="24" s="1"/>
  <c r="U435" i="24"/>
  <c r="V435" i="24"/>
  <c r="AA435" i="24" s="1"/>
  <c r="W435" i="24"/>
  <c r="X435" i="24"/>
  <c r="U436" i="24"/>
  <c r="V436" i="24"/>
  <c r="AA436" i="24" s="1"/>
  <c r="W436" i="24"/>
  <c r="X436" i="24"/>
  <c r="U437" i="24"/>
  <c r="V437" i="24"/>
  <c r="AA437" i="24" s="1"/>
  <c r="W437" i="24"/>
  <c r="X437" i="24"/>
  <c r="U438" i="24"/>
  <c r="V438" i="24"/>
  <c r="AA438" i="24" s="1"/>
  <c r="W438" i="24"/>
  <c r="X438" i="24"/>
  <c r="U440" i="24"/>
  <c r="V440" i="24"/>
  <c r="AA440" i="24" s="1"/>
  <c r="W440" i="24"/>
  <c r="X440" i="24"/>
  <c r="U441" i="24"/>
  <c r="V441" i="24"/>
  <c r="AA441" i="24" s="1"/>
  <c r="W441" i="24"/>
  <c r="X441" i="24"/>
  <c r="U442" i="24"/>
  <c r="V442" i="24"/>
  <c r="AA442" i="24" s="1"/>
  <c r="W442" i="24"/>
  <c r="X442" i="24"/>
  <c r="U443" i="24"/>
  <c r="V443" i="24"/>
  <c r="AA443" i="24" s="1"/>
  <c r="W443" i="24"/>
  <c r="X443" i="24"/>
  <c r="U450" i="24"/>
  <c r="V450" i="24"/>
  <c r="W450" i="24"/>
  <c r="X450" i="24"/>
  <c r="U453" i="24"/>
  <c r="V453" i="24"/>
  <c r="AA453" i="24" s="1"/>
  <c r="W453" i="24"/>
  <c r="X453" i="24"/>
  <c r="U454" i="24"/>
  <c r="V454" i="24"/>
  <c r="AA454" i="24" s="1"/>
  <c r="W454" i="24"/>
  <c r="X454" i="24"/>
  <c r="U456" i="24"/>
  <c r="Z456" i="24" s="1"/>
  <c r="V456" i="24"/>
  <c r="AA456" i="24" s="1"/>
  <c r="W456" i="24"/>
  <c r="AB456" i="24" s="1"/>
  <c r="X456" i="24"/>
  <c r="AC456" i="24" s="1"/>
  <c r="U458" i="24"/>
  <c r="V458" i="24"/>
  <c r="W458" i="24"/>
  <c r="X458" i="24"/>
  <c r="U459" i="24"/>
  <c r="V459" i="24"/>
  <c r="W459" i="24"/>
  <c r="X459" i="24"/>
  <c r="U460" i="24"/>
  <c r="V460" i="24"/>
  <c r="W460" i="24"/>
  <c r="X460" i="24"/>
  <c r="U461" i="24"/>
  <c r="V461" i="24"/>
  <c r="W461" i="24"/>
  <c r="X461" i="24"/>
  <c r="U462" i="24"/>
  <c r="V462" i="24"/>
  <c r="W462" i="24"/>
  <c r="X462" i="24"/>
  <c r="U463" i="24"/>
  <c r="V463" i="24"/>
  <c r="W463" i="24"/>
  <c r="X463" i="24"/>
  <c r="U465" i="24"/>
  <c r="Z465" i="24" s="1"/>
  <c r="V465" i="24"/>
  <c r="AA465" i="24" s="1"/>
  <c r="W465" i="24"/>
  <c r="AB465" i="24" s="1"/>
  <c r="X465" i="24"/>
  <c r="AC465" i="24" s="1"/>
  <c r="U466" i="24"/>
  <c r="V466" i="24"/>
  <c r="W466" i="24"/>
  <c r="X466" i="24"/>
  <c r="U467" i="24"/>
  <c r="V467" i="24"/>
  <c r="W467" i="24"/>
  <c r="X467" i="24"/>
  <c r="U468" i="24"/>
  <c r="V468" i="24"/>
  <c r="W468" i="24"/>
  <c r="X468" i="24"/>
  <c r="U469" i="24"/>
  <c r="Z469" i="24" s="1"/>
  <c r="V469" i="24"/>
  <c r="AA469" i="24" s="1"/>
  <c r="W469" i="24"/>
  <c r="AB469" i="24" s="1"/>
  <c r="X469" i="24"/>
  <c r="AC469" i="24" s="1"/>
  <c r="U470" i="24"/>
  <c r="V470" i="24"/>
  <c r="W470" i="24"/>
  <c r="X470" i="24"/>
  <c r="U471" i="24"/>
  <c r="V471" i="24"/>
  <c r="W471" i="24"/>
  <c r="X471" i="24"/>
  <c r="U473" i="24"/>
  <c r="Z473" i="24" s="1"/>
  <c r="V473" i="24"/>
  <c r="AA473" i="24" s="1"/>
  <c r="W473" i="24"/>
  <c r="AB473" i="24" s="1"/>
  <c r="X473" i="24"/>
  <c r="AC473" i="24" s="1"/>
  <c r="U474" i="24"/>
  <c r="V474" i="24"/>
  <c r="W474" i="24"/>
  <c r="X474" i="24"/>
  <c r="U475" i="24"/>
  <c r="V475" i="24"/>
  <c r="W475" i="24"/>
  <c r="X475" i="24"/>
  <c r="U476" i="24"/>
  <c r="Z476" i="24" s="1"/>
  <c r="V476" i="24"/>
  <c r="AA476" i="24" s="1"/>
  <c r="W476" i="24"/>
  <c r="AB476" i="24" s="1"/>
  <c r="X476" i="24"/>
  <c r="AC476" i="24" s="1"/>
  <c r="U477" i="24"/>
  <c r="V477" i="24"/>
  <c r="W477" i="24"/>
  <c r="X477" i="24"/>
  <c r="U478" i="24"/>
  <c r="V478" i="24"/>
  <c r="W478" i="24"/>
  <c r="X478" i="24"/>
  <c r="U479" i="24"/>
  <c r="V479" i="24"/>
  <c r="W479" i="24"/>
  <c r="X479" i="24"/>
  <c r="U480" i="24"/>
  <c r="V480" i="24"/>
  <c r="W480" i="24"/>
  <c r="X480" i="24"/>
  <c r="U481" i="24"/>
  <c r="V481" i="24"/>
  <c r="W481" i="24"/>
  <c r="X481" i="24"/>
  <c r="U482" i="24"/>
  <c r="V482" i="24"/>
  <c r="W482" i="24"/>
  <c r="X482" i="24"/>
  <c r="U483" i="24"/>
  <c r="Z483" i="24" s="1"/>
  <c r="V483" i="24"/>
  <c r="AA483" i="24" s="1"/>
  <c r="W483" i="24"/>
  <c r="AB483" i="24" s="1"/>
  <c r="X483" i="24"/>
  <c r="AC483" i="24" s="1"/>
  <c r="U484" i="24"/>
  <c r="Z484" i="24" s="1"/>
  <c r="V484" i="24"/>
  <c r="AA484" i="24" s="1"/>
  <c r="W484" i="24"/>
  <c r="AB484" i="24" s="1"/>
  <c r="X484" i="24"/>
  <c r="AC484" i="24" s="1"/>
  <c r="U485" i="24"/>
  <c r="V485" i="24"/>
  <c r="W485" i="24"/>
  <c r="X485" i="24"/>
  <c r="U486" i="24"/>
  <c r="V486" i="24"/>
  <c r="W486" i="24"/>
  <c r="X486" i="24"/>
  <c r="U487" i="24"/>
  <c r="Z487" i="24" s="1"/>
  <c r="V487" i="24"/>
  <c r="AA487" i="24" s="1"/>
  <c r="W487" i="24"/>
  <c r="AB487" i="24" s="1"/>
  <c r="X487" i="24"/>
  <c r="AC487" i="24" s="1"/>
  <c r="U488" i="24"/>
  <c r="V488" i="24"/>
  <c r="W488" i="24"/>
  <c r="X488" i="24"/>
  <c r="U489" i="24"/>
  <c r="Z489" i="24" s="1"/>
  <c r="V489" i="24"/>
  <c r="AA489" i="24" s="1"/>
  <c r="W489" i="24"/>
  <c r="AB489" i="24" s="1"/>
  <c r="X489" i="24"/>
  <c r="AC489" i="24" s="1"/>
  <c r="U490" i="24"/>
  <c r="V490" i="24"/>
  <c r="W490" i="24"/>
  <c r="X490" i="24"/>
  <c r="U491" i="24"/>
  <c r="V491" i="24"/>
  <c r="W491" i="24"/>
  <c r="X491" i="24"/>
  <c r="U492" i="24"/>
  <c r="V492" i="24"/>
  <c r="W492" i="24"/>
  <c r="X492" i="24"/>
  <c r="U503" i="24"/>
  <c r="Z503" i="24" s="1"/>
  <c r="V503" i="24"/>
  <c r="AA503" i="24" s="1"/>
  <c r="W503" i="24"/>
  <c r="AB503" i="24" s="1"/>
  <c r="X503" i="24"/>
  <c r="AC503" i="24" s="1"/>
  <c r="U504" i="24"/>
  <c r="Z504" i="24" s="1"/>
  <c r="V504" i="24"/>
  <c r="AA504" i="24" s="1"/>
  <c r="W504" i="24"/>
  <c r="AB504" i="24" s="1"/>
  <c r="X504" i="24"/>
  <c r="AC504" i="24" s="1"/>
  <c r="U505" i="24"/>
  <c r="Z505" i="24" s="1"/>
  <c r="V505" i="24"/>
  <c r="AA505" i="24" s="1"/>
  <c r="W505" i="24"/>
  <c r="AB505" i="24" s="1"/>
  <c r="X505" i="24"/>
  <c r="AC505" i="24" s="1"/>
  <c r="U506" i="24"/>
  <c r="V506" i="24"/>
  <c r="W506" i="24"/>
  <c r="X506" i="24"/>
  <c r="U507" i="24"/>
  <c r="V507" i="24"/>
  <c r="W507" i="24"/>
  <c r="X507" i="24"/>
  <c r="U508" i="24"/>
  <c r="Z508" i="24" s="1"/>
  <c r="V508" i="24"/>
  <c r="AA508" i="24" s="1"/>
  <c r="W508" i="24"/>
  <c r="AB508" i="24" s="1"/>
  <c r="X508" i="24"/>
  <c r="AC508" i="24" s="1"/>
  <c r="U509" i="24"/>
  <c r="V509" i="24"/>
  <c r="W509" i="24"/>
  <c r="X509" i="24"/>
  <c r="U510" i="24"/>
  <c r="V510" i="24"/>
  <c r="W510" i="24"/>
  <c r="X510" i="24"/>
  <c r="U511" i="24"/>
  <c r="V511" i="24"/>
  <c r="W511" i="24"/>
  <c r="X511" i="24"/>
  <c r="U512" i="24"/>
  <c r="Z512" i="24" s="1"/>
  <c r="V512" i="24"/>
  <c r="AA512" i="24" s="1"/>
  <c r="W512" i="24"/>
  <c r="AB512" i="24" s="1"/>
  <c r="X512" i="24"/>
  <c r="AC512" i="24" s="1"/>
  <c r="U513" i="24"/>
  <c r="V513" i="24"/>
  <c r="W513" i="24"/>
  <c r="X513" i="24"/>
  <c r="U514" i="24"/>
  <c r="V514" i="24"/>
  <c r="W514" i="24"/>
  <c r="X514" i="24"/>
  <c r="U515" i="24"/>
  <c r="V515" i="24"/>
  <c r="W515" i="24"/>
  <c r="X515" i="24"/>
  <c r="U516" i="24"/>
  <c r="V516" i="24"/>
  <c r="W516" i="24"/>
  <c r="X516" i="24"/>
  <c r="U517" i="24"/>
  <c r="V517" i="24"/>
  <c r="W517" i="24"/>
  <c r="X517" i="24"/>
  <c r="U518" i="24"/>
  <c r="Z518" i="24" s="1"/>
  <c r="V518" i="24"/>
  <c r="AA518" i="24" s="1"/>
  <c r="W518" i="24"/>
  <c r="AB518" i="24" s="1"/>
  <c r="X518" i="24"/>
  <c r="AC518" i="24" s="1"/>
  <c r="U519" i="24"/>
  <c r="V519" i="24"/>
  <c r="W519" i="24"/>
  <c r="X519" i="24"/>
  <c r="U520" i="24"/>
  <c r="V520" i="24"/>
  <c r="W520" i="24"/>
  <c r="X520" i="24"/>
  <c r="U521" i="24"/>
  <c r="V521" i="24"/>
  <c r="W521" i="24"/>
  <c r="X521" i="24"/>
  <c r="U522" i="24"/>
  <c r="V522" i="24"/>
  <c r="W522" i="24"/>
  <c r="X522" i="24"/>
  <c r="U523" i="24"/>
  <c r="V523" i="24"/>
  <c r="W523" i="24"/>
  <c r="X523" i="24"/>
  <c r="U524" i="24"/>
  <c r="V524" i="24"/>
  <c r="W524" i="24"/>
  <c r="X524" i="24"/>
  <c r="U525" i="24"/>
  <c r="Z525" i="24" s="1"/>
  <c r="V525" i="24"/>
  <c r="AA525" i="24" s="1"/>
  <c r="W525" i="24"/>
  <c r="AB525" i="24" s="1"/>
  <c r="X525" i="24"/>
  <c r="AC525" i="24" s="1"/>
  <c r="U526" i="24"/>
  <c r="V526" i="24"/>
  <c r="AA526" i="24" s="1"/>
  <c r="W526" i="24"/>
  <c r="X526" i="24"/>
  <c r="U527" i="24"/>
  <c r="Z527" i="24" s="1"/>
  <c r="V527" i="24"/>
  <c r="AA527" i="24" s="1"/>
  <c r="W527" i="24"/>
  <c r="AB527" i="24" s="1"/>
  <c r="X527" i="24"/>
  <c r="AC527" i="24" s="1"/>
  <c r="U528" i="24"/>
  <c r="V528" i="24"/>
  <c r="AA528" i="24" s="1"/>
  <c r="W528" i="24"/>
  <c r="X528" i="24"/>
  <c r="U529" i="24"/>
  <c r="V529" i="24"/>
  <c r="AA529" i="24" s="1"/>
  <c r="W529" i="24"/>
  <c r="X529" i="24"/>
  <c r="T11" i="24"/>
  <c r="T13" i="24"/>
  <c r="Y13" i="24" s="1"/>
  <c r="T14" i="24"/>
  <c r="T15" i="24"/>
  <c r="T16" i="24"/>
  <c r="T17" i="24"/>
  <c r="Y17" i="24" s="1"/>
  <c r="T18" i="24"/>
  <c r="T20" i="24"/>
  <c r="Y20" i="24" s="1"/>
  <c r="T21" i="24"/>
  <c r="T22" i="24"/>
  <c r="T23" i="24"/>
  <c r="Y23" i="24" s="1"/>
  <c r="T24" i="24"/>
  <c r="T25" i="24"/>
  <c r="T26" i="24"/>
  <c r="T27" i="24"/>
  <c r="T28" i="24"/>
  <c r="T29" i="24"/>
  <c r="Y29" i="24" s="1"/>
  <c r="T30" i="24"/>
  <c r="T31" i="24"/>
  <c r="Y31" i="24" s="1"/>
  <c r="T32" i="24"/>
  <c r="T34" i="24"/>
  <c r="Y34" i="24" s="1"/>
  <c r="T35" i="24"/>
  <c r="T36" i="24"/>
  <c r="T37" i="24"/>
  <c r="T68" i="24"/>
  <c r="T70" i="24"/>
  <c r="Y70" i="24" s="1"/>
  <c r="T141" i="24"/>
  <c r="Y141" i="24" s="1"/>
  <c r="T164" i="24"/>
  <c r="T165" i="24"/>
  <c r="Y165" i="24" s="1"/>
  <c r="T167" i="24"/>
  <c r="Y167" i="24" s="1"/>
  <c r="T169" i="24"/>
  <c r="T170" i="24"/>
  <c r="T172" i="24"/>
  <c r="T174" i="24"/>
  <c r="T176" i="24"/>
  <c r="Y176" i="24" s="1"/>
  <c r="T183" i="24"/>
  <c r="T185" i="24"/>
  <c r="Y185" i="24" s="1"/>
  <c r="T186" i="24"/>
  <c r="T188" i="24"/>
  <c r="T189" i="24"/>
  <c r="T190" i="24"/>
  <c r="T191" i="24"/>
  <c r="T193" i="24"/>
  <c r="T195" i="24"/>
  <c r="Y195" i="24" s="1"/>
  <c r="T196" i="24"/>
  <c r="T197" i="24"/>
  <c r="T198" i="24"/>
  <c r="T200" i="24"/>
  <c r="T202" i="24"/>
  <c r="T203" i="24"/>
  <c r="T205" i="24"/>
  <c r="Y205" i="24" s="1"/>
  <c r="T180" i="24"/>
  <c r="T214" i="24"/>
  <c r="T218" i="24"/>
  <c r="T220" i="24"/>
  <c r="Y220" i="24" s="1"/>
  <c r="T234" i="24"/>
  <c r="T235" i="24"/>
  <c r="T236" i="24"/>
  <c r="T237" i="24"/>
  <c r="T238" i="24"/>
  <c r="Y238" i="24" s="1"/>
  <c r="T259" i="24"/>
  <c r="T260" i="24"/>
  <c r="Y260" i="24" s="1"/>
  <c r="T261" i="24"/>
  <c r="Y261" i="24" s="1"/>
  <c r="T267" i="24"/>
  <c r="T268" i="24"/>
  <c r="T270" i="24"/>
  <c r="T272" i="24"/>
  <c r="Y272" i="24" s="1"/>
  <c r="T299" i="24"/>
  <c r="T316" i="24"/>
  <c r="T318" i="24"/>
  <c r="Y318" i="24" s="1"/>
  <c r="T320" i="24"/>
  <c r="Y320" i="24" s="1"/>
  <c r="T325" i="24"/>
  <c r="T343" i="24"/>
  <c r="Y343" i="24" s="1"/>
  <c r="T344" i="24"/>
  <c r="T345" i="24"/>
  <c r="T346" i="24"/>
  <c r="T347" i="24"/>
  <c r="T348" i="24"/>
  <c r="T349" i="24"/>
  <c r="T350" i="24"/>
  <c r="Y350" i="24" s="1"/>
  <c r="T351" i="24"/>
  <c r="T352" i="24"/>
  <c r="T353" i="24"/>
  <c r="T354" i="24"/>
  <c r="T355" i="24"/>
  <c r="Y355" i="24" s="1"/>
  <c r="T356" i="24"/>
  <c r="T357" i="24"/>
  <c r="T358" i="24"/>
  <c r="T359" i="24"/>
  <c r="T360" i="24"/>
  <c r="Y360" i="24" s="1"/>
  <c r="T361" i="24"/>
  <c r="T362" i="24"/>
  <c r="T363" i="24"/>
  <c r="T364" i="24"/>
  <c r="Y364" i="24" s="1"/>
  <c r="T365" i="24"/>
  <c r="T366" i="24"/>
  <c r="T367" i="24"/>
  <c r="T368" i="24"/>
  <c r="T369" i="24"/>
  <c r="T370" i="24"/>
  <c r="Y370" i="24" s="1"/>
  <c r="T371" i="24"/>
  <c r="T372" i="24"/>
  <c r="T373" i="24"/>
  <c r="T374" i="24"/>
  <c r="T375" i="24"/>
  <c r="T376" i="24"/>
  <c r="T383" i="24"/>
  <c r="Y383" i="24" s="1"/>
  <c r="T384" i="24"/>
  <c r="Y384" i="24" s="1"/>
  <c r="T385" i="24"/>
  <c r="Y385" i="24" s="1"/>
  <c r="T386" i="24"/>
  <c r="T387" i="24"/>
  <c r="T388" i="24"/>
  <c r="T389" i="24"/>
  <c r="T390" i="24"/>
  <c r="Y390" i="24" s="1"/>
  <c r="T391" i="24"/>
  <c r="T392" i="24"/>
  <c r="T393" i="24"/>
  <c r="T394" i="24"/>
  <c r="T395" i="24"/>
  <c r="T397" i="24"/>
  <c r="T398" i="24"/>
  <c r="T399" i="24"/>
  <c r="T400" i="24"/>
  <c r="T401" i="24"/>
  <c r="T402" i="24"/>
  <c r="T403" i="24"/>
  <c r="T404" i="24"/>
  <c r="T406" i="24"/>
  <c r="T407" i="24"/>
  <c r="Y407" i="24" s="1"/>
  <c r="T408" i="24"/>
  <c r="Y408" i="24" s="1"/>
  <c r="T410" i="24"/>
  <c r="T411" i="24"/>
  <c r="T412" i="24"/>
  <c r="T413" i="24"/>
  <c r="T414" i="24"/>
  <c r="T415" i="24"/>
  <c r="T416" i="24"/>
  <c r="T417" i="24"/>
  <c r="Y417" i="24" s="1"/>
  <c r="T418" i="24"/>
  <c r="T419" i="24"/>
  <c r="T420" i="24"/>
  <c r="T421" i="24"/>
  <c r="T422" i="24"/>
  <c r="T423" i="24"/>
  <c r="T424" i="24"/>
  <c r="T425" i="24"/>
  <c r="T426" i="24"/>
  <c r="T427" i="24"/>
  <c r="T429" i="24"/>
  <c r="T430" i="24"/>
  <c r="T431" i="24"/>
  <c r="Y431" i="24" s="1"/>
  <c r="T432" i="24"/>
  <c r="T433" i="24"/>
  <c r="T434" i="24"/>
  <c r="Y434" i="24" s="1"/>
  <c r="T435" i="24"/>
  <c r="T436" i="24"/>
  <c r="T437" i="24"/>
  <c r="T438" i="24"/>
  <c r="T440" i="24"/>
  <c r="T441" i="24"/>
  <c r="T442" i="24"/>
  <c r="T443" i="24"/>
  <c r="T450" i="24"/>
  <c r="T453" i="24"/>
  <c r="T454" i="24"/>
  <c r="T456" i="24"/>
  <c r="Y456" i="24" s="1"/>
  <c r="T458" i="24"/>
  <c r="T459" i="24"/>
  <c r="T460" i="24"/>
  <c r="T461" i="24"/>
  <c r="T462" i="24"/>
  <c r="T463" i="24"/>
  <c r="T465" i="24"/>
  <c r="Y465" i="24" s="1"/>
  <c r="T466" i="24"/>
  <c r="T467" i="24"/>
  <c r="T468" i="24"/>
  <c r="T469" i="24"/>
  <c r="Y469" i="24" s="1"/>
  <c r="T470" i="24"/>
  <c r="T471" i="24"/>
  <c r="T473" i="24"/>
  <c r="Y473" i="24" s="1"/>
  <c r="T474" i="24"/>
  <c r="T475" i="24"/>
  <c r="T476" i="24"/>
  <c r="Y476" i="24" s="1"/>
  <c r="T477" i="24"/>
  <c r="T478" i="24"/>
  <c r="T479" i="24"/>
  <c r="T480" i="24"/>
  <c r="T481" i="24"/>
  <c r="T482" i="24"/>
  <c r="T483" i="24"/>
  <c r="Y483" i="24" s="1"/>
  <c r="T484" i="24"/>
  <c r="Y484" i="24" s="1"/>
  <c r="T485" i="24"/>
  <c r="T486" i="24"/>
  <c r="T487" i="24"/>
  <c r="Y487" i="24" s="1"/>
  <c r="T488" i="24"/>
  <c r="T489" i="24"/>
  <c r="Y489" i="24" s="1"/>
  <c r="T490" i="24"/>
  <c r="T491" i="24"/>
  <c r="T492" i="24"/>
  <c r="T503" i="24"/>
  <c r="Y503" i="24" s="1"/>
  <c r="T504" i="24"/>
  <c r="Y504" i="24" s="1"/>
  <c r="T505" i="24"/>
  <c r="Y505" i="24" s="1"/>
  <c r="T506" i="24"/>
  <c r="T507" i="24"/>
  <c r="T508" i="24"/>
  <c r="Y508" i="24" s="1"/>
  <c r="T509" i="24"/>
  <c r="T510" i="24"/>
  <c r="T511" i="24"/>
  <c r="T512" i="24"/>
  <c r="Y512" i="24" s="1"/>
  <c r="T513" i="24"/>
  <c r="T514" i="24"/>
  <c r="T515" i="24"/>
  <c r="T516" i="24"/>
  <c r="T517" i="24"/>
  <c r="T518" i="24"/>
  <c r="Y518" i="24" s="1"/>
  <c r="T519" i="24"/>
  <c r="T520" i="24"/>
  <c r="T521" i="24"/>
  <c r="T522" i="24"/>
  <c r="T523" i="24"/>
  <c r="T524" i="24"/>
  <c r="T525" i="24"/>
  <c r="Y525" i="24" s="1"/>
  <c r="T526" i="24"/>
  <c r="T527" i="24"/>
  <c r="Y527" i="24" s="1"/>
  <c r="T528" i="24"/>
  <c r="T529" i="24"/>
  <c r="AH387" i="24"/>
  <c r="AI387" i="24" s="1"/>
  <c r="AH388" i="24"/>
  <c r="AI388" i="24" s="1"/>
  <c r="AH389" i="24"/>
  <c r="AI389" i="24" s="1"/>
  <c r="AH390" i="24"/>
  <c r="AI390" i="24" s="1"/>
  <c r="AH391" i="24"/>
  <c r="AI391" i="24" s="1"/>
  <c r="AH392" i="24"/>
  <c r="AI392" i="24" s="1"/>
  <c r="AH393" i="24"/>
  <c r="AI393" i="24" s="1"/>
  <c r="AH394" i="24"/>
  <c r="AI394" i="24" s="1"/>
  <c r="AH395" i="24"/>
  <c r="AI395" i="24" s="1"/>
  <c r="AH397" i="24"/>
  <c r="AI397" i="24" s="1"/>
  <c r="AH398" i="24"/>
  <c r="AI398" i="24" s="1"/>
  <c r="AH399" i="24"/>
  <c r="AI399" i="24" s="1"/>
  <c r="AH400" i="24"/>
  <c r="AI400" i="24" s="1"/>
  <c r="AH401" i="24"/>
  <c r="AI401" i="24" s="1"/>
  <c r="AH402" i="24"/>
  <c r="AI402" i="24" s="1"/>
  <c r="AH406" i="24"/>
  <c r="AI406" i="24" s="1"/>
  <c r="AH407" i="24"/>
  <c r="AI407" i="24" s="1"/>
  <c r="AH408" i="24"/>
  <c r="AI408" i="24" s="1"/>
  <c r="AH409" i="24"/>
  <c r="AI409" i="24" s="1"/>
  <c r="AH410" i="24"/>
  <c r="AI410" i="24" s="1"/>
  <c r="AH411" i="24"/>
  <c r="AI411" i="24" s="1"/>
  <c r="AH412" i="24"/>
  <c r="AI412" i="24" s="1"/>
  <c r="AH413" i="24"/>
  <c r="AI413" i="24" s="1"/>
  <c r="AH414" i="24"/>
  <c r="AI414" i="24" s="1"/>
  <c r="AH415" i="24"/>
  <c r="AI415" i="24" s="1"/>
  <c r="AH416" i="24"/>
  <c r="AI416" i="24" s="1"/>
  <c r="AH417" i="24"/>
  <c r="AI417" i="24" s="1"/>
  <c r="AH418" i="24"/>
  <c r="AI418" i="24" s="1"/>
  <c r="AH419" i="24"/>
  <c r="AI419" i="24" s="1"/>
  <c r="AH420" i="24"/>
  <c r="AI420" i="24" s="1"/>
  <c r="AH421" i="24"/>
  <c r="AI421" i="24" s="1"/>
  <c r="AH422" i="24"/>
  <c r="AI422" i="24" s="1"/>
  <c r="AH423" i="24"/>
  <c r="AI423" i="24" s="1"/>
  <c r="AH424" i="24"/>
  <c r="AI424" i="24" s="1"/>
  <c r="AH425" i="24"/>
  <c r="AI425" i="24" s="1"/>
  <c r="AH426" i="24"/>
  <c r="AI426" i="24" s="1"/>
  <c r="AH427" i="24"/>
  <c r="AI427" i="24" s="1"/>
  <c r="AH429" i="24"/>
  <c r="AI429" i="24" s="1"/>
  <c r="AH430" i="24"/>
  <c r="AI430" i="24" s="1"/>
  <c r="AH431" i="24"/>
  <c r="AI431" i="24" s="1"/>
  <c r="AH432" i="24"/>
  <c r="AI432" i="24" s="1"/>
  <c r="AH433" i="24"/>
  <c r="AI433" i="24" s="1"/>
  <c r="AH434" i="24"/>
  <c r="AI434" i="24" s="1"/>
  <c r="AH435" i="24"/>
  <c r="AI435" i="24" s="1"/>
  <c r="AH436" i="24"/>
  <c r="AI436" i="24" s="1"/>
  <c r="AH437" i="24"/>
  <c r="AI437" i="24" s="1"/>
  <c r="AH438" i="24"/>
  <c r="AI438" i="24" s="1"/>
  <c r="AH440" i="24"/>
  <c r="AI440" i="24" s="1"/>
  <c r="AH441" i="24"/>
  <c r="AI441" i="24" s="1"/>
  <c r="AH442" i="24"/>
  <c r="AI442" i="24" s="1"/>
  <c r="AH443" i="24"/>
  <c r="AI443" i="24" s="1"/>
  <c r="AH450" i="24"/>
  <c r="AI450" i="24" s="1"/>
  <c r="AH453" i="24"/>
  <c r="AI453" i="24" s="1"/>
  <c r="AH454" i="24"/>
  <c r="AI454" i="24" s="1"/>
  <c r="AH456" i="24"/>
  <c r="AI456" i="24" s="1"/>
  <c r="AH458" i="24"/>
  <c r="AI458" i="24" s="1"/>
  <c r="AH459" i="24"/>
  <c r="AI459" i="24" s="1"/>
  <c r="AH460" i="24"/>
  <c r="AI460" i="24" s="1"/>
  <c r="AH461" i="24"/>
  <c r="AI461" i="24" s="1"/>
  <c r="AH462" i="24"/>
  <c r="AI462" i="24" s="1"/>
  <c r="AH463" i="24"/>
  <c r="AI463" i="24" s="1"/>
  <c r="AH465" i="24"/>
  <c r="AI465" i="24" s="1"/>
  <c r="AH466" i="24"/>
  <c r="AI466" i="24" s="1"/>
  <c r="AH467" i="24"/>
  <c r="AI467" i="24" s="1"/>
  <c r="AH468" i="24"/>
  <c r="AI468" i="24" s="1"/>
  <c r="AH469" i="24"/>
  <c r="AI469" i="24" s="1"/>
  <c r="AH470" i="24"/>
  <c r="AI470" i="24" s="1"/>
  <c r="AH471" i="24"/>
  <c r="AI471" i="24" s="1"/>
  <c r="AH473" i="24"/>
  <c r="AI473" i="24" s="1"/>
  <c r="AH474" i="24"/>
  <c r="AI474" i="24" s="1"/>
  <c r="AH475" i="24"/>
  <c r="AI475" i="24" s="1"/>
  <c r="AH476" i="24"/>
  <c r="AI476" i="24" s="1"/>
  <c r="AH477" i="24"/>
  <c r="AI477" i="24" s="1"/>
  <c r="AH478" i="24"/>
  <c r="AI478" i="24" s="1"/>
  <c r="AH479" i="24"/>
  <c r="AI479" i="24" s="1"/>
  <c r="AH480" i="24"/>
  <c r="AI480" i="24" s="1"/>
  <c r="AH481" i="24"/>
  <c r="AI481" i="24" s="1"/>
  <c r="AH482" i="24"/>
  <c r="AI482" i="24" s="1"/>
  <c r="AH483" i="24"/>
  <c r="AI483" i="24" s="1"/>
  <c r="AH484" i="24"/>
  <c r="AI484" i="24" s="1"/>
  <c r="AH485" i="24"/>
  <c r="AI485" i="24" s="1"/>
  <c r="AH486" i="24"/>
  <c r="AI486" i="24" s="1"/>
  <c r="AH487" i="24"/>
  <c r="AI487" i="24" s="1"/>
  <c r="AH488" i="24"/>
  <c r="AI488" i="24" s="1"/>
  <c r="AH489" i="24"/>
  <c r="AI489" i="24" s="1"/>
  <c r="AH490" i="24"/>
  <c r="AI490" i="24" s="1"/>
  <c r="AH491" i="24"/>
  <c r="AI491" i="24" s="1"/>
  <c r="AH492" i="24"/>
  <c r="AI492" i="24" s="1"/>
  <c r="AH503" i="24"/>
  <c r="AI503" i="24" s="1"/>
  <c r="AH504" i="24"/>
  <c r="AI504" i="24" s="1"/>
  <c r="AH505" i="24"/>
  <c r="AI505" i="24" s="1"/>
  <c r="AH506" i="24"/>
  <c r="AI506" i="24" s="1"/>
  <c r="AH507" i="24"/>
  <c r="AI507" i="24" s="1"/>
  <c r="AH508" i="24"/>
  <c r="AI508" i="24" s="1"/>
  <c r="AH509" i="24"/>
  <c r="AI509" i="24" s="1"/>
  <c r="AH510" i="24"/>
  <c r="AI510" i="24" s="1"/>
  <c r="AH511" i="24"/>
  <c r="AI511" i="24" s="1"/>
  <c r="AH512" i="24"/>
  <c r="AI512" i="24" s="1"/>
  <c r="AH513" i="24"/>
  <c r="AI513" i="24" s="1"/>
  <c r="AH514" i="24"/>
  <c r="AI514" i="24" s="1"/>
  <c r="AH515" i="24"/>
  <c r="AI515" i="24" s="1"/>
  <c r="AH516" i="24"/>
  <c r="AI516" i="24" s="1"/>
  <c r="AH517" i="24"/>
  <c r="AI517" i="24" s="1"/>
  <c r="AH518" i="24"/>
  <c r="AI518" i="24" s="1"/>
  <c r="AH519" i="24"/>
  <c r="AI519" i="24" s="1"/>
  <c r="AH520" i="24"/>
  <c r="AI520" i="24" s="1"/>
  <c r="AH521" i="24"/>
  <c r="AI521" i="24" s="1"/>
  <c r="AH522" i="24"/>
  <c r="AI522" i="24" s="1"/>
  <c r="AH523" i="24"/>
  <c r="AI523" i="24" s="1"/>
  <c r="AH524" i="24"/>
  <c r="AI524" i="24" s="1"/>
  <c r="AH525" i="24"/>
  <c r="AI525" i="24" s="1"/>
  <c r="AH526" i="24"/>
  <c r="AI526" i="24" s="1"/>
  <c r="AH527" i="24"/>
  <c r="AI527" i="24" s="1"/>
  <c r="AH528" i="24"/>
  <c r="AI528" i="24" s="1"/>
  <c r="AH529" i="24"/>
  <c r="AI529" i="24" s="1"/>
  <c r="AH530" i="24"/>
  <c r="AI530" i="24" s="1"/>
  <c r="AH531" i="24"/>
  <c r="AI531" i="24" s="1"/>
  <c r="AH532" i="24"/>
  <c r="AI532" i="24" s="1"/>
  <c r="AH386" i="24"/>
  <c r="AI386" i="24" s="1"/>
  <c r="AH376" i="24"/>
  <c r="AI376" i="24" s="1"/>
  <c r="AH383" i="24"/>
  <c r="AI383" i="24" s="1"/>
  <c r="AH384" i="24"/>
  <c r="AI384" i="24" s="1"/>
  <c r="AH385" i="24"/>
  <c r="AI385" i="24" s="1"/>
  <c r="AH534" i="24"/>
  <c r="AI534" i="24" s="1"/>
  <c r="AH14" i="24"/>
  <c r="AH21" i="24"/>
  <c r="AH22" i="24"/>
  <c r="AH23" i="24"/>
  <c r="AH24" i="24"/>
  <c r="AH25" i="24"/>
  <c r="AH26" i="24"/>
  <c r="AH27" i="24"/>
  <c r="AH28" i="24"/>
  <c r="AH29" i="24"/>
  <c r="AH30" i="24"/>
  <c r="AH31" i="24"/>
  <c r="AH32" i="24"/>
  <c r="AH34" i="24"/>
  <c r="AH35" i="24"/>
  <c r="AH36" i="24"/>
  <c r="AH37" i="24"/>
  <c r="AH68" i="24"/>
  <c r="AH70" i="24"/>
  <c r="AH141" i="24"/>
  <c r="AH164" i="24"/>
  <c r="AH165" i="24"/>
  <c r="AH167" i="24"/>
  <c r="AH168" i="24"/>
  <c r="AH169" i="24"/>
  <c r="AH170" i="24"/>
  <c r="AH172" i="24"/>
  <c r="AH174" i="24"/>
  <c r="AH176" i="24"/>
  <c r="AH183" i="24"/>
  <c r="AH185" i="24"/>
  <c r="AH186" i="24"/>
  <c r="AH188" i="24"/>
  <c r="AH189" i="24"/>
  <c r="AH190" i="24"/>
  <c r="AH191" i="24"/>
  <c r="AH193" i="24"/>
  <c r="AI193" i="24" s="1"/>
  <c r="AH195" i="24"/>
  <c r="AI195" i="24" s="1"/>
  <c r="AH196" i="24"/>
  <c r="AI196" i="24" s="1"/>
  <c r="AH197" i="24"/>
  <c r="AI197" i="24" s="1"/>
  <c r="AH198" i="24"/>
  <c r="AI198" i="24" s="1"/>
  <c r="AH200" i="24"/>
  <c r="AI200" i="24" s="1"/>
  <c r="AH202" i="24"/>
  <c r="AI202" i="24" s="1"/>
  <c r="AH203" i="24"/>
  <c r="AI203" i="24" s="1"/>
  <c r="AH205" i="24"/>
  <c r="AI205" i="24" s="1"/>
  <c r="AH180" i="24"/>
  <c r="AI180" i="24" s="1"/>
  <c r="AH214" i="24"/>
  <c r="AI214" i="24" s="1"/>
  <c r="AH216" i="24"/>
  <c r="AI216" i="24" s="1"/>
  <c r="AH218" i="24"/>
  <c r="AI218" i="24" s="1"/>
  <c r="AH220" i="24"/>
  <c r="AI220" i="24" s="1"/>
  <c r="AI234" i="24"/>
  <c r="AI235" i="24"/>
  <c r="AH236" i="24"/>
  <c r="AI236" i="24" s="1"/>
  <c r="AH237" i="24"/>
  <c r="AI237" i="24" s="1"/>
  <c r="AH238" i="24"/>
  <c r="AI238" i="24" s="1"/>
  <c r="AH259" i="24"/>
  <c r="AI259" i="24" s="1"/>
  <c r="AH260" i="24"/>
  <c r="AI260" i="24" s="1"/>
  <c r="AH261" i="24"/>
  <c r="AI261" i="24" s="1"/>
  <c r="AH267" i="24"/>
  <c r="AI267" i="24" s="1"/>
  <c r="AH268" i="24"/>
  <c r="AI268" i="24" s="1"/>
  <c r="AH270" i="24"/>
  <c r="AI270" i="24" s="1"/>
  <c r="AH272" i="24"/>
  <c r="AI272" i="24" s="1"/>
  <c r="AH299" i="24"/>
  <c r="AI299" i="24" s="1"/>
  <c r="AH316" i="24"/>
  <c r="AI316" i="24" s="1"/>
  <c r="AH318" i="24"/>
  <c r="AI318" i="24" s="1"/>
  <c r="AH320" i="24"/>
  <c r="AI320" i="24" s="1"/>
  <c r="AH325" i="24"/>
  <c r="AI325" i="24" s="1"/>
  <c r="AH343" i="24"/>
  <c r="AI343" i="24" s="1"/>
  <c r="AH344" i="24"/>
  <c r="AI344" i="24" s="1"/>
  <c r="AH345" i="24"/>
  <c r="AI345" i="24" s="1"/>
  <c r="AH346" i="24"/>
  <c r="AI346" i="24" s="1"/>
  <c r="AH347" i="24"/>
  <c r="AI347" i="24" s="1"/>
  <c r="AH348" i="24"/>
  <c r="AI348" i="24" s="1"/>
  <c r="AH349" i="24"/>
  <c r="AI349" i="24" s="1"/>
  <c r="AH350" i="24"/>
  <c r="AI350" i="24" s="1"/>
  <c r="AH351" i="24"/>
  <c r="AI351" i="24" s="1"/>
  <c r="AH352" i="24"/>
  <c r="AI352" i="24" s="1"/>
  <c r="AH353" i="24"/>
  <c r="AI353" i="24" s="1"/>
  <c r="AH354" i="24"/>
  <c r="AI354" i="24" s="1"/>
  <c r="AH355" i="24"/>
  <c r="AI355" i="24" s="1"/>
  <c r="AH359" i="24"/>
  <c r="AI359" i="24" s="1"/>
  <c r="AH360" i="24"/>
  <c r="AI360" i="24" s="1"/>
  <c r="AH363" i="24"/>
  <c r="AI363" i="24" s="1"/>
  <c r="AH364" i="24"/>
  <c r="AI364" i="24" s="1"/>
  <c r="AH369" i="24"/>
  <c r="AI369" i="24" s="1"/>
  <c r="AH370" i="24"/>
  <c r="AI370" i="24" s="1"/>
  <c r="AH375" i="24"/>
  <c r="AI375" i="24" s="1"/>
  <c r="AH535" i="24"/>
  <c r="AH536" i="24"/>
  <c r="AH537" i="24"/>
  <c r="AH538" i="24"/>
  <c r="AH539" i="24"/>
  <c r="AH540" i="24"/>
  <c r="AH541" i="24"/>
  <c r="AH542" i="24"/>
  <c r="AH543" i="24"/>
  <c r="AH544" i="24"/>
  <c r="AH545" i="24"/>
  <c r="AH546" i="24"/>
  <c r="AH547" i="24"/>
  <c r="AH548" i="24"/>
  <c r="AH549" i="24"/>
  <c r="AH550" i="24"/>
  <c r="AH551" i="24"/>
  <c r="AH552" i="24"/>
  <c r="AH553" i="24"/>
  <c r="AH554" i="24"/>
  <c r="AH555" i="24"/>
  <c r="AH556" i="24"/>
  <c r="AH557" i="24"/>
  <c r="AH558" i="24"/>
  <c r="AH559" i="24"/>
  <c r="AH560" i="24"/>
  <c r="AH561" i="24"/>
  <c r="AH562" i="24"/>
  <c r="AH563" i="24"/>
  <c r="AH564" i="24"/>
  <c r="AH565" i="24"/>
  <c r="AH566" i="24"/>
  <c r="AH567" i="24"/>
  <c r="AH568" i="24"/>
  <c r="AH569" i="24"/>
  <c r="AH570" i="24"/>
  <c r="AH571" i="24"/>
  <c r="AH572" i="24"/>
  <c r="AH574" i="24"/>
  <c r="AH578" i="24"/>
  <c r="AH579" i="24"/>
  <c r="AH580" i="24"/>
  <c r="AH581" i="24"/>
  <c r="AH582" i="24"/>
  <c r="AH583" i="24"/>
  <c r="AH584" i="24"/>
  <c r="AH585" i="24"/>
  <c r="AH586" i="24"/>
  <c r="AH587" i="24"/>
  <c r="AH588" i="24"/>
  <c r="AH589" i="24"/>
  <c r="AH590" i="24"/>
  <c r="AH591" i="24"/>
  <c r="AH592" i="24"/>
  <c r="AH593" i="24"/>
  <c r="AH594" i="24"/>
  <c r="AH595" i="24"/>
  <c r="AH596" i="24"/>
  <c r="AH597" i="24"/>
  <c r="AH598" i="24"/>
  <c r="AH599" i="24"/>
  <c r="AH600" i="24"/>
  <c r="AH601" i="24"/>
  <c r="AH602" i="24"/>
  <c r="AH603" i="24"/>
  <c r="AH604" i="24"/>
  <c r="AH605" i="24"/>
  <c r="AH606" i="24"/>
  <c r="AH607" i="24"/>
  <c r="AH608" i="24"/>
  <c r="AH609" i="24"/>
  <c r="AH610" i="24"/>
  <c r="AH611" i="24"/>
  <c r="AH612" i="24"/>
  <c r="AH613" i="24"/>
  <c r="AH614" i="24"/>
  <c r="AH615" i="24"/>
  <c r="AH616" i="24"/>
  <c r="AH617" i="24"/>
  <c r="AH618" i="24"/>
  <c r="AH619" i="24"/>
  <c r="AH620" i="24"/>
  <c r="AH621" i="24"/>
  <c r="AH622" i="24"/>
  <c r="AH623" i="24"/>
  <c r="AH624" i="24"/>
  <c r="AH625" i="24"/>
  <c r="AH626" i="24"/>
  <c r="AH627" i="24"/>
  <c r="AH628" i="24"/>
  <c r="AH629" i="24"/>
  <c r="AH630" i="24"/>
  <c r="AH631" i="24"/>
  <c r="AH632" i="24"/>
  <c r="AH633" i="24"/>
  <c r="AH634" i="24"/>
  <c r="AH635" i="24"/>
  <c r="AH636" i="24"/>
  <c r="AH637" i="24"/>
  <c r="AH638" i="24"/>
  <c r="AH639" i="24"/>
  <c r="AH640" i="24"/>
  <c r="AH641" i="24"/>
  <c r="AH642" i="24"/>
  <c r="AH643" i="24"/>
  <c r="AH644" i="24"/>
  <c r="AH645" i="24"/>
  <c r="AH646" i="24"/>
  <c r="AH647" i="24"/>
  <c r="AH648" i="24"/>
  <c r="AH649" i="24"/>
  <c r="AH650" i="24"/>
  <c r="AH651" i="24"/>
  <c r="AH652" i="24"/>
  <c r="AH653" i="24"/>
  <c r="AH654" i="24"/>
  <c r="AH655" i="24"/>
  <c r="AH656" i="24"/>
  <c r="AH657" i="24"/>
  <c r="AH658" i="24"/>
  <c r="AH659" i="24"/>
  <c r="AH660" i="24"/>
  <c r="AH661" i="24"/>
  <c r="AH662" i="24"/>
  <c r="AH663" i="24"/>
  <c r="AH664" i="24"/>
  <c r="AH665" i="24"/>
  <c r="AH666" i="24"/>
  <c r="AH667" i="24"/>
  <c r="AH668" i="24"/>
  <c r="AH669" i="24"/>
  <c r="AH670" i="24"/>
  <c r="AH671" i="24"/>
  <c r="AH672" i="24"/>
  <c r="AH673" i="24"/>
  <c r="AH674" i="24"/>
  <c r="AH675" i="24"/>
  <c r="AH676" i="24"/>
  <c r="AH677" i="24"/>
  <c r="AH678" i="24"/>
  <c r="AH679" i="24"/>
  <c r="AH680" i="24"/>
  <c r="AH681" i="24"/>
  <c r="AH682" i="24"/>
  <c r="AH683" i="24"/>
  <c r="AH684" i="24"/>
  <c r="AH685" i="24"/>
  <c r="AH686" i="24"/>
  <c r="AH687" i="24"/>
  <c r="AH688" i="24"/>
  <c r="AH689" i="24"/>
  <c r="AH690" i="24"/>
  <c r="AH691" i="24"/>
  <c r="AH692" i="24"/>
  <c r="AH693" i="24"/>
  <c r="AH694" i="24"/>
  <c r="AH695" i="24"/>
  <c r="AH696" i="24"/>
  <c r="AH697" i="24"/>
  <c r="AH698" i="24"/>
  <c r="AH699" i="24"/>
  <c r="AH700" i="24"/>
  <c r="AH701" i="24"/>
  <c r="AH702" i="24"/>
  <c r="AH703" i="24"/>
  <c r="AH704" i="24"/>
  <c r="AH705" i="24"/>
  <c r="AH706" i="24"/>
  <c r="AH707" i="24"/>
  <c r="AH708" i="24"/>
  <c r="AH709" i="24"/>
  <c r="AH710" i="24"/>
  <c r="AH711" i="24"/>
  <c r="AH712" i="24"/>
  <c r="AH713" i="24"/>
  <c r="AH714" i="24"/>
  <c r="AH715" i="24"/>
  <c r="AH716" i="24"/>
  <c r="AH717" i="24"/>
  <c r="AH718" i="24"/>
  <c r="AH719" i="24"/>
  <c r="AH720" i="24"/>
  <c r="AH721" i="24"/>
  <c r="AH722" i="24"/>
  <c r="AH723" i="24"/>
  <c r="AH724" i="24"/>
  <c r="AH725" i="24"/>
  <c r="AH726" i="24"/>
  <c r="AH727" i="24"/>
  <c r="AH728" i="24"/>
  <c r="AH729" i="24"/>
  <c r="AH730" i="24"/>
  <c r="AH731" i="24"/>
  <c r="AH732" i="24"/>
  <c r="AH733" i="24"/>
  <c r="AH734" i="24"/>
  <c r="AH735" i="24"/>
  <c r="AH736" i="24"/>
  <c r="AH737" i="24"/>
  <c r="AH738" i="24"/>
  <c r="AH739" i="24"/>
  <c r="AH740" i="24"/>
  <c r="AH741" i="24"/>
  <c r="AH742" i="24"/>
  <c r="AH743" i="24"/>
  <c r="AH744" i="24"/>
  <c r="AH745" i="24"/>
  <c r="AH746" i="24"/>
  <c r="AH747" i="24"/>
  <c r="AH748" i="24"/>
  <c r="AH749" i="24"/>
  <c r="AH750" i="24"/>
  <c r="AH751" i="24"/>
  <c r="AH752" i="24"/>
  <c r="AH753" i="24"/>
  <c r="AH754" i="24"/>
  <c r="AH755" i="24"/>
  <c r="AH756" i="24"/>
  <c r="AH757" i="24"/>
  <c r="AH758" i="24"/>
  <c r="AH759" i="24"/>
  <c r="AH760" i="24"/>
  <c r="AH761" i="24"/>
  <c r="AH762" i="24"/>
  <c r="AH763" i="24"/>
  <c r="AH764" i="24"/>
  <c r="AH765" i="24"/>
  <c r="AH766" i="24"/>
  <c r="AH767" i="24"/>
  <c r="AH768" i="24"/>
  <c r="AH769" i="24"/>
  <c r="AH770" i="24"/>
  <c r="AH771" i="24"/>
  <c r="AH772" i="24"/>
  <c r="AH773" i="24"/>
  <c r="AH774" i="24"/>
  <c r="AH775" i="24"/>
  <c r="AH776" i="24"/>
  <c r="AH777" i="24"/>
  <c r="AH778" i="24"/>
  <c r="AH779" i="24"/>
  <c r="AH780" i="24"/>
  <c r="AH781" i="24"/>
  <c r="AH782" i="24"/>
  <c r="AH783" i="24"/>
  <c r="AH784" i="24"/>
  <c r="AH785" i="24"/>
  <c r="AH786" i="24"/>
  <c r="AH787" i="24"/>
  <c r="AH788" i="24"/>
  <c r="AH789" i="24"/>
  <c r="AH790" i="24"/>
  <c r="AH791" i="24"/>
  <c r="AH792" i="24"/>
  <c r="AH793" i="24"/>
  <c r="AH794" i="24"/>
  <c r="AH795" i="24"/>
  <c r="AH796" i="24"/>
  <c r="AH797" i="24"/>
  <c r="AH798" i="24"/>
  <c r="AH799" i="24"/>
  <c r="AH800" i="24"/>
  <c r="AH801" i="24"/>
  <c r="AH802" i="24"/>
  <c r="AH803" i="24"/>
  <c r="AH804" i="24"/>
  <c r="AH805" i="24"/>
  <c r="AH806" i="24"/>
  <c r="AH807" i="24"/>
  <c r="AH808" i="24"/>
  <c r="AH809" i="24"/>
  <c r="AH810" i="24"/>
  <c r="AH811" i="24"/>
  <c r="AH812" i="24"/>
  <c r="AH813" i="24"/>
  <c r="AH814" i="24"/>
  <c r="AH815" i="24"/>
  <c r="AH816" i="24"/>
  <c r="AH817" i="24"/>
  <c r="AH818" i="24"/>
  <c r="AH819" i="24"/>
  <c r="AH820" i="24"/>
  <c r="AH821" i="24"/>
  <c r="AH822" i="24"/>
  <c r="AH823" i="24"/>
  <c r="AH824" i="24"/>
  <c r="AH825" i="24"/>
  <c r="AH826" i="24"/>
  <c r="AH827" i="24"/>
  <c r="AH828" i="24"/>
  <c r="AH829" i="24"/>
  <c r="AH830" i="24"/>
  <c r="AH831" i="24"/>
  <c r="AH832" i="24"/>
  <c r="AH833" i="24"/>
  <c r="AH834" i="24"/>
  <c r="AH835" i="24"/>
  <c r="AH836" i="24"/>
  <c r="AH837" i="24"/>
  <c r="AH838" i="24"/>
  <c r="AH839" i="24"/>
  <c r="AH840" i="24"/>
  <c r="AH841" i="24"/>
  <c r="AH842" i="24"/>
  <c r="AH843" i="24"/>
  <c r="AH844" i="24"/>
  <c r="AH845" i="24"/>
  <c r="AH846" i="24"/>
  <c r="AH847" i="24"/>
  <c r="AH848" i="24"/>
  <c r="AH849" i="24"/>
  <c r="AH850" i="24"/>
  <c r="AH851" i="24"/>
  <c r="AH852" i="24"/>
  <c r="AH853" i="24"/>
  <c r="AH854" i="24"/>
  <c r="AH855" i="24"/>
  <c r="AH856" i="24"/>
  <c r="AH857" i="24"/>
  <c r="AH858" i="24"/>
  <c r="AH859" i="24"/>
  <c r="AH860" i="24"/>
  <c r="AH861" i="24"/>
  <c r="AH862" i="24"/>
  <c r="AH863" i="24"/>
  <c r="AH864" i="24"/>
  <c r="AH865" i="24"/>
  <c r="AH866" i="24"/>
  <c r="AH867" i="24"/>
  <c r="AH868" i="24"/>
  <c r="AH869" i="24"/>
  <c r="AH870" i="24"/>
  <c r="AH871" i="24"/>
  <c r="AH872" i="24"/>
  <c r="AH873" i="24"/>
  <c r="AH874" i="24"/>
  <c r="AH875" i="24"/>
  <c r="AH876" i="24"/>
  <c r="AH877" i="24"/>
  <c r="AH878" i="24"/>
  <c r="AH879" i="24"/>
  <c r="AH880" i="24"/>
  <c r="AH881" i="24"/>
  <c r="AH882" i="24"/>
  <c r="AH883" i="24"/>
  <c r="AH884" i="24"/>
  <c r="AH885" i="24"/>
  <c r="AH886" i="24"/>
  <c r="AH887" i="24"/>
  <c r="AH888" i="24"/>
  <c r="AH889" i="24"/>
  <c r="AH890" i="24"/>
  <c r="AH891" i="24"/>
  <c r="AH892" i="24"/>
  <c r="AH893" i="24"/>
  <c r="AH894" i="24"/>
  <c r="AH895" i="24"/>
  <c r="AH896" i="24"/>
  <c r="AH897" i="24"/>
  <c r="AH898" i="24"/>
  <c r="AH899" i="24"/>
  <c r="AH900" i="24"/>
  <c r="AH901" i="24"/>
  <c r="AH902" i="24"/>
  <c r="AH903" i="24"/>
  <c r="AH904" i="24"/>
  <c r="AH905" i="24"/>
  <c r="AH906" i="24"/>
  <c r="AH907" i="24"/>
  <c r="AH908" i="24"/>
  <c r="AH909" i="24"/>
  <c r="AH910" i="24"/>
  <c r="AH911" i="24"/>
  <c r="AH912" i="24"/>
  <c r="AH913" i="24"/>
  <c r="AH914" i="24"/>
  <c r="AH915" i="24"/>
  <c r="AH916" i="24"/>
  <c r="AH917" i="24"/>
  <c r="AH918" i="24"/>
  <c r="AH919" i="24"/>
  <c r="AH920" i="24"/>
  <c r="AH921" i="24"/>
  <c r="AH922" i="24"/>
  <c r="AH923" i="24"/>
  <c r="AH924" i="24"/>
  <c r="AH925" i="24"/>
  <c r="AH926" i="24"/>
  <c r="AH927" i="24"/>
  <c r="AH928" i="24"/>
  <c r="AH929" i="24"/>
  <c r="AH930" i="24"/>
  <c r="AH931" i="24"/>
  <c r="AH932" i="24"/>
  <c r="AH933" i="24"/>
  <c r="AH934" i="24"/>
  <c r="AH935" i="24"/>
  <c r="AH936" i="24"/>
  <c r="AH937" i="24"/>
  <c r="AH938" i="24"/>
  <c r="AH939" i="24"/>
  <c r="AH940" i="24"/>
  <c r="AH941" i="24"/>
  <c r="AH942" i="24"/>
  <c r="AH943" i="24"/>
  <c r="AH944" i="24"/>
  <c r="AH945" i="24"/>
  <c r="AH946" i="24"/>
  <c r="AH947" i="24"/>
  <c r="AH948" i="24"/>
  <c r="AH949" i="24"/>
  <c r="AH950" i="24"/>
  <c r="AH951" i="24"/>
  <c r="AH952" i="24"/>
  <c r="AH953" i="24"/>
  <c r="AH954" i="24"/>
  <c r="AH955" i="24"/>
  <c r="AH956" i="24"/>
  <c r="AH957" i="24"/>
  <c r="AH958" i="24"/>
  <c r="AH959" i="24"/>
  <c r="AH960" i="24"/>
  <c r="AH961" i="24"/>
  <c r="AH962" i="24"/>
  <c r="AH963" i="24"/>
  <c r="AH964" i="24"/>
  <c r="AH965" i="24"/>
  <c r="AH966" i="24"/>
  <c r="AH967" i="24"/>
  <c r="AH968" i="24"/>
  <c r="AH969" i="24"/>
  <c r="AH970" i="24"/>
  <c r="AH971" i="24"/>
  <c r="AH972" i="24"/>
  <c r="AH973" i="24"/>
  <c r="AH974" i="24"/>
  <c r="AH975" i="24"/>
  <c r="AH976" i="24"/>
  <c r="AH977" i="24"/>
  <c r="AH978" i="24"/>
  <c r="AH979" i="24"/>
  <c r="AH980" i="24"/>
  <c r="AH981" i="24"/>
  <c r="AH982" i="24"/>
  <c r="AH983" i="24"/>
  <c r="AH984" i="24"/>
  <c r="AH985" i="24"/>
  <c r="AH986" i="24"/>
  <c r="AH987" i="24"/>
  <c r="AH988" i="24"/>
  <c r="AH989" i="24"/>
  <c r="AH990" i="24"/>
  <c r="AH991" i="24"/>
  <c r="AH992" i="24"/>
  <c r="AH993" i="24"/>
  <c r="AH994" i="24"/>
  <c r="AH995" i="24"/>
  <c r="AH996" i="24"/>
  <c r="AH997" i="24"/>
  <c r="AH998" i="24"/>
  <c r="AH999" i="24"/>
  <c r="AH1000" i="24"/>
  <c r="AH1001" i="24"/>
  <c r="AH1002" i="24"/>
  <c r="AH1003" i="24"/>
  <c r="AH1004" i="24"/>
  <c r="AH1005" i="24"/>
  <c r="AH1006" i="24"/>
  <c r="AH1007" i="24"/>
  <c r="AH1008" i="24"/>
  <c r="AH1009" i="24"/>
  <c r="AH1010" i="24"/>
  <c r="AH1011" i="24"/>
  <c r="AH1012" i="24"/>
  <c r="AH1013" i="24"/>
  <c r="AH1014" i="24"/>
  <c r="AH1015" i="24"/>
  <c r="AH1016" i="24"/>
  <c r="AH1017" i="24"/>
  <c r="AH1018" i="24"/>
  <c r="AH1019" i="24"/>
  <c r="AH1020" i="24"/>
  <c r="AH1021" i="24"/>
  <c r="AH1022" i="24"/>
  <c r="AH1023" i="24"/>
  <c r="AH1024" i="24"/>
  <c r="AH1025" i="24"/>
  <c r="AH1026" i="24"/>
  <c r="AH1027" i="24"/>
  <c r="AH1028" i="24"/>
  <c r="AH1029" i="24"/>
  <c r="AH1030" i="24"/>
  <c r="AH1031" i="24"/>
  <c r="AH1032" i="24"/>
  <c r="AH1033" i="24"/>
  <c r="AH1034" i="24"/>
  <c r="AH1035" i="24"/>
  <c r="AH1036" i="24"/>
  <c r="AH1037" i="24"/>
  <c r="AH1038" i="24"/>
  <c r="AH1039" i="24"/>
  <c r="AH1040" i="24"/>
  <c r="AH1041" i="24"/>
  <c r="AH1042" i="24"/>
  <c r="AH1043" i="24"/>
  <c r="AH1044" i="24"/>
  <c r="AH1045" i="24"/>
  <c r="AH1046" i="24"/>
  <c r="AH1047" i="24"/>
  <c r="AH1048" i="24"/>
  <c r="AH1049" i="24"/>
  <c r="AH1050" i="24"/>
  <c r="AH1051" i="24"/>
  <c r="AH1052" i="24"/>
  <c r="AH1053" i="24"/>
  <c r="AH1054" i="24"/>
  <c r="AH1055" i="24"/>
  <c r="AH1056" i="24"/>
  <c r="AH1057" i="24"/>
  <c r="AH1058" i="24"/>
  <c r="AH1059" i="24"/>
  <c r="AH1060" i="24"/>
  <c r="AH1061" i="24"/>
  <c r="AH1062" i="24"/>
  <c r="AH1063" i="24"/>
  <c r="AH1064" i="24"/>
  <c r="AH1065" i="24"/>
  <c r="AH1066" i="24"/>
  <c r="AH1067" i="24"/>
  <c r="AH1068" i="24"/>
  <c r="AH1069" i="24"/>
  <c r="AH1070" i="24"/>
  <c r="AH1071" i="24"/>
  <c r="AH1072" i="24"/>
  <c r="AH1073" i="24"/>
  <c r="AH1074" i="24"/>
  <c r="AH1075" i="24"/>
  <c r="AH1076" i="24"/>
  <c r="AH1077" i="24"/>
  <c r="AH1078" i="24"/>
  <c r="AH1079" i="24"/>
  <c r="AH1080" i="24"/>
  <c r="AH1081" i="24"/>
  <c r="AH1082" i="24"/>
  <c r="AH1083" i="24"/>
  <c r="AH1084" i="24"/>
  <c r="AH1085" i="24"/>
  <c r="AH1086" i="24"/>
  <c r="AH1087" i="24"/>
  <c r="AH1088" i="24"/>
  <c r="AH1089" i="24"/>
  <c r="AH1090" i="24"/>
  <c r="AH1091" i="24"/>
  <c r="AH1092" i="24"/>
  <c r="AH1093" i="24"/>
  <c r="AH1094" i="24"/>
  <c r="AH1095" i="24"/>
  <c r="AH1096" i="24"/>
  <c r="AH1097" i="24"/>
  <c r="AH1098" i="24"/>
  <c r="AH1099" i="24"/>
  <c r="AH1100" i="24"/>
  <c r="AH1101" i="24"/>
  <c r="AH1102" i="24"/>
  <c r="AH1103" i="24"/>
  <c r="AH1104" i="24"/>
  <c r="AH1105" i="24"/>
  <c r="AH1106" i="24"/>
  <c r="AH1107" i="24"/>
  <c r="AH1108" i="24"/>
  <c r="AH1109" i="24"/>
  <c r="AH1110" i="24"/>
  <c r="AH1111" i="24"/>
  <c r="AH1112" i="24"/>
  <c r="AH1113" i="24"/>
  <c r="AH1114" i="24"/>
  <c r="AH1115" i="24"/>
  <c r="AH1116" i="24"/>
  <c r="AH1117" i="24"/>
  <c r="AH1118" i="24"/>
  <c r="AH1119" i="24"/>
  <c r="AH1120" i="24"/>
  <c r="AH1121" i="24"/>
  <c r="AH1122" i="24"/>
  <c r="AH1123" i="24"/>
  <c r="AH1124" i="24"/>
  <c r="AH1125" i="24"/>
  <c r="AH1126" i="24"/>
  <c r="AH1127" i="24"/>
  <c r="AH1128" i="24"/>
  <c r="AH1129" i="24"/>
  <c r="AH1130" i="24"/>
  <c r="AH1131" i="24"/>
  <c r="AH1132" i="24"/>
  <c r="AH1133" i="24"/>
  <c r="AH1134" i="24"/>
  <c r="AH1135" i="24"/>
  <c r="AH1136" i="24"/>
  <c r="AH1137" i="24"/>
  <c r="AH1138" i="24"/>
  <c r="AH11" i="24"/>
  <c r="AH13" i="24"/>
  <c r="AH15" i="24"/>
  <c r="AH16" i="24"/>
  <c r="AH17" i="24"/>
  <c r="AH18" i="24"/>
  <c r="AH20" i="24"/>
  <c r="AH8" i="24"/>
  <c r="AD13" i="24" l="1"/>
  <c r="V552" i="24"/>
  <c r="V551" i="24"/>
  <c r="V553" i="24"/>
  <c r="V554" i="24"/>
  <c r="V550" i="24"/>
  <c r="AD29" i="24"/>
  <c r="AD195" i="24"/>
  <c r="AE195" i="24" s="1"/>
  <c r="AD165" i="24"/>
  <c r="AD407" i="24"/>
  <c r="AE407" i="24" s="1"/>
  <c r="AD384" i="24"/>
  <c r="AD355" i="24"/>
  <c r="AD527" i="24"/>
  <c r="AE527" i="24" s="1"/>
  <c r="AD503" i="24"/>
  <c r="AE503" i="24" s="1"/>
  <c r="AD483" i="24"/>
  <c r="AE483" i="24" s="1"/>
  <c r="AD456" i="24"/>
  <c r="AE456" i="24" s="1"/>
  <c r="AD431" i="24"/>
  <c r="AE431" i="24" s="1"/>
  <c r="AD390" i="24"/>
  <c r="AE390" i="24" s="1"/>
  <c r="AD518" i="24"/>
  <c r="AE518" i="24" s="1"/>
  <c r="AD465" i="24"/>
  <c r="AE465" i="24" s="1"/>
  <c r="AD343" i="24"/>
  <c r="AD320" i="24"/>
  <c r="AE320" i="24" s="1"/>
  <c r="AD260" i="24"/>
  <c r="AE260" i="24" s="1"/>
  <c r="AD20" i="24"/>
  <c r="AE20" i="24" s="1"/>
  <c r="AE13" i="24"/>
  <c r="AD9" i="24"/>
  <c r="AE9" i="24" s="1"/>
  <c r="AD508" i="24"/>
  <c r="AE508" i="24" s="1"/>
  <c r="AD238" i="24"/>
  <c r="AD205" i="24"/>
  <c r="AE205" i="24" s="1"/>
  <c r="AD70" i="24"/>
  <c r="AE70" i="24" s="1"/>
  <c r="AD17" i="24"/>
  <c r="AD505" i="24"/>
  <c r="AE505" i="24" s="1"/>
  <c r="AD512" i="24"/>
  <c r="AE512" i="24" s="1"/>
  <c r="AD504" i="24"/>
  <c r="AE504" i="24" s="1"/>
  <c r="AD484" i="24"/>
  <c r="AE484" i="24" s="1"/>
  <c r="AD476" i="24"/>
  <c r="AE476" i="24" s="1"/>
  <c r="AD370" i="24"/>
  <c r="AD185" i="24"/>
  <c r="AE185" i="24" s="1"/>
  <c r="AD167" i="24"/>
  <c r="AE167" i="24" s="1"/>
  <c r="AD270" i="24"/>
  <c r="AE270" i="24" s="1"/>
  <c r="AD525" i="24"/>
  <c r="AE525" i="24" s="1"/>
  <c r="AD489" i="24"/>
  <c r="AE489" i="24" s="1"/>
  <c r="AD473" i="24"/>
  <c r="AE473" i="24" s="1"/>
  <c r="AD261" i="24"/>
  <c r="AE261" i="24" s="1"/>
  <c r="AD350" i="24"/>
  <c r="AD318" i="24"/>
  <c r="AD272" i="24"/>
  <c r="AE272" i="24" s="1"/>
  <c r="AD34" i="24"/>
  <c r="AE34" i="24" s="1"/>
  <c r="AD360" i="24"/>
  <c r="AD487" i="24"/>
  <c r="AE487" i="24" s="1"/>
  <c r="AD176" i="24"/>
  <c r="AE176" i="24" s="1"/>
  <c r="AD469" i="24"/>
  <c r="AE469" i="24" s="1"/>
  <c r="AD434" i="24"/>
  <c r="AE434" i="24" s="1"/>
  <c r="AD417" i="24"/>
  <c r="AE417" i="24" s="1"/>
  <c r="AD408" i="24"/>
  <c r="AE408" i="24" s="1"/>
  <c r="AD385" i="24"/>
  <c r="AE385" i="24" s="1"/>
  <c r="AD364" i="24"/>
  <c r="AD220" i="24"/>
  <c r="AE220" i="24" s="1"/>
  <c r="AD31" i="24"/>
  <c r="AD23" i="24"/>
  <c r="AI16" i="24"/>
  <c r="AI11" i="24"/>
  <c r="AI191" i="24"/>
  <c r="AI190" i="24"/>
  <c r="AI188" i="24"/>
  <c r="AI185" i="24"/>
  <c r="AI174" i="24"/>
  <c r="AI170" i="24"/>
  <c r="AI168" i="24"/>
  <c r="AI165" i="24"/>
  <c r="AI70" i="24"/>
  <c r="AI37" i="24"/>
  <c r="AI32" i="24"/>
  <c r="AI30" i="24"/>
  <c r="AI28" i="24"/>
  <c r="AI26" i="24"/>
  <c r="AI24" i="24"/>
  <c r="AI22" i="24"/>
  <c r="AI14" i="24"/>
  <c r="AI18" i="24"/>
  <c r="AI20" i="24"/>
  <c r="AI17" i="24"/>
  <c r="AI15" i="24"/>
  <c r="AI13" i="24"/>
  <c r="AI189" i="24"/>
  <c r="AI186" i="24"/>
  <c r="AI183" i="24"/>
  <c r="AI176" i="24"/>
  <c r="AI172" i="24"/>
  <c r="AI169" i="24"/>
  <c r="AI167" i="24"/>
  <c r="AI164" i="24"/>
  <c r="AI141" i="24"/>
  <c r="AI68" i="24"/>
  <c r="AI36" i="24"/>
  <c r="AI35" i="24"/>
  <c r="AI34" i="24"/>
  <c r="AI31" i="24"/>
  <c r="AI29" i="24"/>
  <c r="AI27" i="24"/>
  <c r="AI25" i="24"/>
  <c r="AI23" i="24"/>
  <c r="AI21" i="24"/>
  <c r="AE384" i="24" l="1"/>
  <c r="N432" i="24"/>
  <c r="Z432" i="24" l="1"/>
  <c r="AB432" i="24"/>
  <c r="AC432" i="24"/>
  <c r="Y432" i="24"/>
  <c r="AL432" i="24" s="1"/>
  <c r="I523" i="24"/>
  <c r="I522" i="24"/>
  <c r="I521" i="24"/>
  <c r="I520" i="24"/>
  <c r="I519" i="24"/>
  <c r="I517" i="24"/>
  <c r="I516" i="24"/>
  <c r="I515" i="24"/>
  <c r="I514" i="24"/>
  <c r="I513" i="24"/>
  <c r="I511" i="24"/>
  <c r="I510" i="24"/>
  <c r="I509" i="24"/>
  <c r="I507" i="24"/>
  <c r="I506" i="24"/>
  <c r="I491" i="24"/>
  <c r="I490" i="24"/>
  <c r="I488" i="24"/>
  <c r="I486" i="24"/>
  <c r="I485" i="24"/>
  <c r="I482" i="24"/>
  <c r="I481" i="24"/>
  <c r="I480" i="24"/>
  <c r="I479" i="24"/>
  <c r="I478" i="24"/>
  <c r="I477" i="24"/>
  <c r="I475" i="24"/>
  <c r="I474" i="24"/>
  <c r="I471" i="24"/>
  <c r="I470" i="24"/>
  <c r="I468" i="24"/>
  <c r="I467" i="24"/>
  <c r="I466" i="24"/>
  <c r="I462" i="24"/>
  <c r="I461" i="24"/>
  <c r="I460" i="24"/>
  <c r="I459" i="24"/>
  <c r="I463" i="24"/>
  <c r="I458" i="24"/>
  <c r="I424" i="24"/>
  <c r="I423" i="24"/>
  <c r="I421" i="24"/>
  <c r="P459" i="24" l="1"/>
  <c r="R459" i="24"/>
  <c r="O459" i="24"/>
  <c r="Q459" i="24"/>
  <c r="Q466" i="24"/>
  <c r="P466" i="24"/>
  <c r="R466" i="24"/>
  <c r="O466" i="24"/>
  <c r="Q468" i="24"/>
  <c r="P468" i="24"/>
  <c r="R468" i="24"/>
  <c r="O468" i="24"/>
  <c r="Q471" i="24"/>
  <c r="P471" i="24"/>
  <c r="R471" i="24"/>
  <c r="O471" i="24"/>
  <c r="P475" i="24"/>
  <c r="R475" i="24"/>
  <c r="Q475" i="24"/>
  <c r="O475" i="24"/>
  <c r="P478" i="24"/>
  <c r="R478" i="24"/>
  <c r="Q478" i="24"/>
  <c r="O478" i="24"/>
  <c r="P480" i="24"/>
  <c r="R480" i="24"/>
  <c r="Q480" i="24"/>
  <c r="O480" i="24"/>
  <c r="P482" i="24"/>
  <c r="R482" i="24"/>
  <c r="Q482" i="24"/>
  <c r="O482" i="24"/>
  <c r="P486" i="24"/>
  <c r="R486" i="24"/>
  <c r="Q486" i="24"/>
  <c r="O486" i="24"/>
  <c r="P490" i="24"/>
  <c r="R490" i="24"/>
  <c r="Q490" i="24"/>
  <c r="O490" i="24"/>
  <c r="P506" i="24"/>
  <c r="R506" i="24"/>
  <c r="Q506" i="24"/>
  <c r="O506" i="24"/>
  <c r="P509" i="24"/>
  <c r="R509" i="24"/>
  <c r="O509" i="24"/>
  <c r="Q509" i="24"/>
  <c r="P511" i="24"/>
  <c r="R511" i="24"/>
  <c r="O511" i="24"/>
  <c r="Q511" i="24"/>
  <c r="P514" i="24"/>
  <c r="R514" i="24"/>
  <c r="O514" i="24"/>
  <c r="Q514" i="24"/>
  <c r="P516" i="24"/>
  <c r="R516" i="24"/>
  <c r="O516" i="24"/>
  <c r="Q516" i="24"/>
  <c r="P519" i="24"/>
  <c r="R519" i="24"/>
  <c r="O519" i="24"/>
  <c r="Q519" i="24"/>
  <c r="P521" i="24"/>
  <c r="R521" i="24"/>
  <c r="O521" i="24"/>
  <c r="Q521" i="24"/>
  <c r="P523" i="24"/>
  <c r="R523" i="24"/>
  <c r="O523" i="24"/>
  <c r="Q523" i="24"/>
  <c r="R423" i="24"/>
  <c r="Q423" i="24"/>
  <c r="P423" i="24"/>
  <c r="O423" i="24"/>
  <c r="P458" i="24"/>
  <c r="Q458" i="24"/>
  <c r="R458" i="24"/>
  <c r="O458" i="24"/>
  <c r="P461" i="24"/>
  <c r="R461" i="24"/>
  <c r="O461" i="24"/>
  <c r="Q461" i="24"/>
  <c r="R421" i="24"/>
  <c r="Q421" i="24"/>
  <c r="P421" i="24"/>
  <c r="O421" i="24"/>
  <c r="AA561" i="24" s="1"/>
  <c r="R424" i="24"/>
  <c r="P424" i="24"/>
  <c r="O424" i="24"/>
  <c r="Q424" i="24"/>
  <c r="P463" i="24"/>
  <c r="R463" i="24"/>
  <c r="O463" i="24"/>
  <c r="Q463" i="24"/>
  <c r="Q460" i="24"/>
  <c r="P460" i="24"/>
  <c r="R460" i="24"/>
  <c r="O460" i="24"/>
  <c r="Q462" i="24"/>
  <c r="P462" i="24"/>
  <c r="R462" i="24"/>
  <c r="O462" i="24"/>
  <c r="P467" i="24"/>
  <c r="R467" i="24"/>
  <c r="O467" i="24"/>
  <c r="Q467" i="24"/>
  <c r="P470" i="24"/>
  <c r="R470" i="24"/>
  <c r="O470" i="24"/>
  <c r="Q470" i="24"/>
  <c r="R474" i="24"/>
  <c r="P474" i="24"/>
  <c r="O474" i="24"/>
  <c r="Q474" i="24"/>
  <c r="Q477" i="24"/>
  <c r="O477" i="24"/>
  <c r="P477" i="24"/>
  <c r="R477" i="24"/>
  <c r="Q479" i="24"/>
  <c r="O479" i="24"/>
  <c r="P479" i="24"/>
  <c r="R479" i="24"/>
  <c r="Q481" i="24"/>
  <c r="O481" i="24"/>
  <c r="P481" i="24"/>
  <c r="R481" i="24"/>
  <c r="Q485" i="24"/>
  <c r="O485" i="24"/>
  <c r="P485" i="24"/>
  <c r="R485" i="24"/>
  <c r="Q488" i="24"/>
  <c r="O488" i="24"/>
  <c r="P488" i="24"/>
  <c r="R488" i="24"/>
  <c r="Q491" i="24"/>
  <c r="O491" i="24"/>
  <c r="P491" i="24"/>
  <c r="R491" i="24"/>
  <c r="Q507" i="24"/>
  <c r="P507" i="24"/>
  <c r="R507" i="24"/>
  <c r="O507" i="24"/>
  <c r="Q510" i="24"/>
  <c r="P510" i="24"/>
  <c r="R510" i="24"/>
  <c r="O510" i="24"/>
  <c r="Q513" i="24"/>
  <c r="P513" i="24"/>
  <c r="R513" i="24"/>
  <c r="O513" i="24"/>
  <c r="Q515" i="24"/>
  <c r="P515" i="24"/>
  <c r="R515" i="24"/>
  <c r="O515" i="24"/>
  <c r="Q517" i="24"/>
  <c r="P517" i="24"/>
  <c r="R517" i="24"/>
  <c r="O517" i="24"/>
  <c r="Q520" i="24"/>
  <c r="P520" i="24"/>
  <c r="R520" i="24"/>
  <c r="O520" i="24"/>
  <c r="Q522" i="24"/>
  <c r="P522" i="24"/>
  <c r="R522" i="24"/>
  <c r="O522" i="24"/>
  <c r="Y19" i="44"/>
  <c r="AC19" i="45"/>
  <c r="AD432" i="24"/>
  <c r="AE432" i="24" s="1"/>
  <c r="Z433" i="24"/>
  <c r="AB433" i="24"/>
  <c r="AC433" i="24"/>
  <c r="Y433" i="24"/>
  <c r="N441" i="24"/>
  <c r="N440" i="24"/>
  <c r="N438" i="24"/>
  <c r="N437" i="24"/>
  <c r="N442" i="24"/>
  <c r="N436" i="24"/>
  <c r="N435" i="24"/>
  <c r="AC561" i="24" l="1"/>
  <c r="AA562" i="24"/>
  <c r="AC562" i="24"/>
  <c r="AA565" i="24"/>
  <c r="AD565" i="24"/>
  <c r="AB561" i="24"/>
  <c r="AD561" i="24"/>
  <c r="AD562" i="24"/>
  <c r="AB562" i="24"/>
  <c r="AC565" i="24"/>
  <c r="AB565" i="24"/>
  <c r="AA549" i="24"/>
  <c r="AA556" i="24" s="1"/>
  <c r="AC549" i="24"/>
  <c r="AB549" i="24"/>
  <c r="AD549" i="24"/>
  <c r="O524" i="24"/>
  <c r="O531" i="24" s="1"/>
  <c r="R524" i="24"/>
  <c r="R531" i="24" s="1"/>
  <c r="R429" i="24"/>
  <c r="R430" i="24" s="1"/>
  <c r="R450" i="24" s="1"/>
  <c r="P524" i="24"/>
  <c r="P531" i="24" s="1"/>
  <c r="S486" i="24"/>
  <c r="AA486" i="24" s="1"/>
  <c r="S482" i="24"/>
  <c r="AA482" i="24" s="1"/>
  <c r="S471" i="24"/>
  <c r="AA471" i="24" s="1"/>
  <c r="S488" i="24"/>
  <c r="AA488" i="24" s="1"/>
  <c r="S477" i="24"/>
  <c r="AA477" i="24" s="1"/>
  <c r="Q429" i="24"/>
  <c r="Q430" i="24" s="1"/>
  <c r="Q450" i="24" s="1"/>
  <c r="O429" i="24"/>
  <c r="O430" i="24" s="1"/>
  <c r="O450" i="24" s="1"/>
  <c r="P429" i="24"/>
  <c r="P430" i="24" s="1"/>
  <c r="P450" i="24" s="1"/>
  <c r="P532" i="24" s="1"/>
  <c r="O492" i="24"/>
  <c r="O501" i="24" s="1"/>
  <c r="S421" i="24"/>
  <c r="AA421" i="24" s="1"/>
  <c r="R492" i="24"/>
  <c r="R501" i="24" s="1"/>
  <c r="Q492" i="24"/>
  <c r="Q501" i="24" s="1"/>
  <c r="P492" i="24"/>
  <c r="P501" i="24" s="1"/>
  <c r="S458" i="24"/>
  <c r="AA458" i="24" s="1"/>
  <c r="S479" i="24"/>
  <c r="AA479" i="24" s="1"/>
  <c r="S480" i="24"/>
  <c r="AA480" i="24" s="1"/>
  <c r="S490" i="24"/>
  <c r="AA490" i="24" s="1"/>
  <c r="S478" i="24"/>
  <c r="AA478" i="24" s="1"/>
  <c r="S475" i="24"/>
  <c r="AA475" i="24" s="1"/>
  <c r="S491" i="24"/>
  <c r="AA491" i="24" s="1"/>
  <c r="S474" i="24"/>
  <c r="AA474" i="24" s="1"/>
  <c r="Q524" i="24"/>
  <c r="Q531" i="24" s="1"/>
  <c r="S485" i="24"/>
  <c r="AA485" i="24" s="1"/>
  <c r="S481" i="24"/>
  <c r="AA481" i="24" s="1"/>
  <c r="S470" i="24"/>
  <c r="AA470" i="24" s="1"/>
  <c r="S523" i="24"/>
  <c r="AA523" i="24" s="1"/>
  <c r="S519" i="24"/>
  <c r="AA519" i="24" s="1"/>
  <c r="S514" i="24"/>
  <c r="AA514" i="24" s="1"/>
  <c r="S509" i="24"/>
  <c r="AA509" i="24" s="1"/>
  <c r="S466" i="24"/>
  <c r="AA466" i="24" s="1"/>
  <c r="S522" i="24"/>
  <c r="AA522" i="24" s="1"/>
  <c r="S510" i="24"/>
  <c r="AA510" i="24" s="1"/>
  <c r="S459" i="24"/>
  <c r="AA459" i="24" s="1"/>
  <c r="S463" i="24"/>
  <c r="AA463" i="24" s="1"/>
  <c r="AD433" i="24"/>
  <c r="AE433" i="24" s="1"/>
  <c r="S520" i="24"/>
  <c r="AA520" i="24" s="1"/>
  <c r="S467" i="24"/>
  <c r="AA467" i="24" s="1"/>
  <c r="S460" i="24"/>
  <c r="AA460" i="24" s="1"/>
  <c r="S516" i="24"/>
  <c r="AA516" i="24" s="1"/>
  <c r="S511" i="24"/>
  <c r="AA511" i="24" s="1"/>
  <c r="S517" i="24"/>
  <c r="AA517" i="24" s="1"/>
  <c r="S513" i="24"/>
  <c r="AA513" i="24" s="1"/>
  <c r="S507" i="24"/>
  <c r="AA507" i="24" s="1"/>
  <c r="S462" i="24"/>
  <c r="AA462" i="24" s="1"/>
  <c r="S461" i="24"/>
  <c r="AA461" i="24" s="1"/>
  <c r="S515" i="24"/>
  <c r="AA515" i="24" s="1"/>
  <c r="S468" i="24"/>
  <c r="AA468" i="24" s="1"/>
  <c r="S521" i="24"/>
  <c r="AA521" i="24" s="1"/>
  <c r="S506" i="24"/>
  <c r="AA506" i="24" s="1"/>
  <c r="O532" i="24" l="1"/>
  <c r="O534" i="24" s="1"/>
  <c r="R532" i="24"/>
  <c r="Q532" i="24"/>
  <c r="R534" i="24"/>
  <c r="AA588" i="24"/>
  <c r="AK531" i="24"/>
  <c r="AK500" i="24"/>
  <c r="S524" i="24"/>
  <c r="AA524" i="24" s="1"/>
  <c r="S492" i="24"/>
  <c r="AA492" i="24" s="1"/>
  <c r="C9" i="28"/>
  <c r="Z442" i="24"/>
  <c r="AB442" i="24"/>
  <c r="AC442" i="24"/>
  <c r="Y442" i="24"/>
  <c r="Z435" i="24"/>
  <c r="AB435" i="24"/>
  <c r="AC435" i="24"/>
  <c r="Y435" i="24"/>
  <c r="Z440" i="24"/>
  <c r="AB440" i="24"/>
  <c r="AC440" i="24"/>
  <c r="Y440" i="24"/>
  <c r="Z437" i="24"/>
  <c r="AB437" i="24"/>
  <c r="AC437" i="24"/>
  <c r="Y437" i="24"/>
  <c r="Z436" i="24"/>
  <c r="AB436" i="24"/>
  <c r="AC436" i="24"/>
  <c r="Y436" i="24"/>
  <c r="Z441" i="24"/>
  <c r="AB441" i="24"/>
  <c r="AC441" i="24"/>
  <c r="Y441" i="24"/>
  <c r="Z438" i="24"/>
  <c r="AB438" i="24"/>
  <c r="AC438" i="24"/>
  <c r="Y438" i="24"/>
  <c r="Z467" i="24"/>
  <c r="AB467" i="24"/>
  <c r="AC467" i="24"/>
  <c r="Y467" i="24"/>
  <c r="AU84" i="26"/>
  <c r="L85" i="26"/>
  <c r="AY83" i="26"/>
  <c r="AZ83" i="26" s="1"/>
  <c r="Q82" i="26"/>
  <c r="Q81" i="26"/>
  <c r="Q80" i="26"/>
  <c r="AY79" i="26"/>
  <c r="AZ79" i="26" s="1"/>
  <c r="AY72" i="26"/>
  <c r="AZ72" i="26" s="1"/>
  <c r="AY71" i="26"/>
  <c r="AZ71" i="26" s="1"/>
  <c r="N32" i="24"/>
  <c r="N21" i="24"/>
  <c r="N11" i="24"/>
  <c r="J10" i="4"/>
  <c r="N526" i="24"/>
  <c r="N529" i="24"/>
  <c r="N528" i="24"/>
  <c r="N523" i="24"/>
  <c r="N522" i="24"/>
  <c r="N521" i="24"/>
  <c r="N520" i="24"/>
  <c r="N519" i="24"/>
  <c r="N517" i="24"/>
  <c r="N516" i="24"/>
  <c r="N515" i="24"/>
  <c r="N514" i="24"/>
  <c r="N513" i="24"/>
  <c r="N511" i="24"/>
  <c r="N510" i="24"/>
  <c r="N509" i="24"/>
  <c r="N507" i="24"/>
  <c r="N506" i="24"/>
  <c r="N491" i="24"/>
  <c r="N490" i="24"/>
  <c r="N488" i="24"/>
  <c r="N486" i="24"/>
  <c r="N485" i="24"/>
  <c r="N482" i="24"/>
  <c r="N481" i="24"/>
  <c r="N480" i="24"/>
  <c r="N479" i="24"/>
  <c r="N478" i="24"/>
  <c r="N477" i="24"/>
  <c r="N475" i="24"/>
  <c r="N474" i="24"/>
  <c r="N471" i="24"/>
  <c r="N470" i="24"/>
  <c r="N468" i="24"/>
  <c r="N467" i="24"/>
  <c r="N466" i="24"/>
  <c r="N463" i="24"/>
  <c r="N462" i="24"/>
  <c r="N461" i="24"/>
  <c r="N460" i="24"/>
  <c r="N459" i="24"/>
  <c r="N458" i="24"/>
  <c r="N453" i="24"/>
  <c r="N415" i="24"/>
  <c r="N414" i="24"/>
  <c r="N413" i="24"/>
  <c r="N412" i="24"/>
  <c r="N411" i="24"/>
  <c r="N410" i="24"/>
  <c r="N409" i="24"/>
  <c r="N402" i="24"/>
  <c r="N401" i="24"/>
  <c r="N400" i="24"/>
  <c r="N399" i="24"/>
  <c r="N398" i="24"/>
  <c r="N397" i="24"/>
  <c r="N395" i="24"/>
  <c r="N394" i="24"/>
  <c r="N393" i="24"/>
  <c r="N392" i="24"/>
  <c r="N391" i="24"/>
  <c r="N388" i="24"/>
  <c r="N387" i="24"/>
  <c r="N374" i="24"/>
  <c r="N373" i="24"/>
  <c r="N372" i="24"/>
  <c r="N371" i="24"/>
  <c r="N365" i="24"/>
  <c r="N366" i="24"/>
  <c r="N367" i="24"/>
  <c r="M369" i="24"/>
  <c r="L369" i="24"/>
  <c r="K369" i="24"/>
  <c r="J369" i="24"/>
  <c r="N362" i="24"/>
  <c r="N361" i="24"/>
  <c r="N358" i="24"/>
  <c r="N357" i="24"/>
  <c r="N356" i="24"/>
  <c r="N353" i="24"/>
  <c r="N352" i="24"/>
  <c r="N351" i="24"/>
  <c r="N348" i="24"/>
  <c r="N347" i="24"/>
  <c r="N346" i="24"/>
  <c r="N345" i="24"/>
  <c r="N344" i="24"/>
  <c r="N235" i="24"/>
  <c r="N234" i="24"/>
  <c r="N180" i="24"/>
  <c r="N202" i="24"/>
  <c r="N200" i="24"/>
  <c r="N198" i="24"/>
  <c r="N197" i="24"/>
  <c r="N196" i="24"/>
  <c r="N191" i="24"/>
  <c r="N190" i="24"/>
  <c r="N189" i="24"/>
  <c r="N188" i="24"/>
  <c r="N186" i="24"/>
  <c r="N172" i="24"/>
  <c r="N169" i="24"/>
  <c r="N35" i="24"/>
  <c r="N26" i="24"/>
  <c r="N25" i="24"/>
  <c r="N24" i="24"/>
  <c r="N14" i="24"/>
  <c r="H19" i="9"/>
  <c r="H33" i="14"/>
  <c r="O33" i="14" s="1"/>
  <c r="M33" i="14"/>
  <c r="M32" i="14"/>
  <c r="H32" i="14"/>
  <c r="O32" i="14" s="1"/>
  <c r="M31" i="14"/>
  <c r="H31" i="14"/>
  <c r="O30" i="14"/>
  <c r="P30" i="14"/>
  <c r="Q30" i="14"/>
  <c r="R30" i="14"/>
  <c r="M30" i="14"/>
  <c r="R29" i="14"/>
  <c r="Q29" i="14"/>
  <c r="O29" i="14"/>
  <c r="P29" i="14"/>
  <c r="M29" i="14"/>
  <c r="M28" i="14"/>
  <c r="H28" i="14"/>
  <c r="P28" i="14" s="1"/>
  <c r="R27" i="14"/>
  <c r="Q27" i="14"/>
  <c r="P27" i="14"/>
  <c r="O27" i="14"/>
  <c r="M27" i="14"/>
  <c r="R26" i="14"/>
  <c r="Q26" i="14"/>
  <c r="P26" i="14"/>
  <c r="O26" i="14"/>
  <c r="M26" i="14"/>
  <c r="R25" i="14"/>
  <c r="O25" i="14"/>
  <c r="P25" i="14"/>
  <c r="Q25" i="14"/>
  <c r="M25" i="14"/>
  <c r="H24" i="14"/>
  <c r="R24" i="14" s="1"/>
  <c r="M24" i="14"/>
  <c r="H23" i="14"/>
  <c r="O23" i="14" s="1"/>
  <c r="M23" i="14"/>
  <c r="H22" i="14"/>
  <c r="P22" i="14" s="1"/>
  <c r="M22" i="14"/>
  <c r="M21" i="14"/>
  <c r="H21" i="14"/>
  <c r="O21" i="14" s="1"/>
  <c r="M20" i="14"/>
  <c r="H20" i="14"/>
  <c r="O20" i="14" s="1"/>
  <c r="H16" i="14"/>
  <c r="R16" i="14" s="1"/>
  <c r="Q14" i="14"/>
  <c r="Q15" i="14"/>
  <c r="M16" i="14"/>
  <c r="R15" i="14"/>
  <c r="P15" i="14"/>
  <c r="O15" i="14"/>
  <c r="O14" i="14"/>
  <c r="P14" i="14"/>
  <c r="R14" i="14"/>
  <c r="M15" i="14"/>
  <c r="M14" i="14"/>
  <c r="S533" i="24" l="1"/>
  <c r="U85" i="26"/>
  <c r="R85" i="26"/>
  <c r="R87" i="26" s="1"/>
  <c r="T85" i="26"/>
  <c r="AW85" i="26" s="1"/>
  <c r="S85" i="26"/>
  <c r="S87" i="26" s="1"/>
  <c r="AA589" i="24"/>
  <c r="S501" i="24"/>
  <c r="AA501" i="24" s="1"/>
  <c r="S21" i="45"/>
  <c r="W21" i="45" s="1"/>
  <c r="S531" i="24"/>
  <c r="AA531" i="24" s="1"/>
  <c r="S24" i="45"/>
  <c r="W24" i="45" s="1"/>
  <c r="P32" i="14"/>
  <c r="AL443" i="24"/>
  <c r="O21" i="44"/>
  <c r="S21" i="44" s="1"/>
  <c r="O24" i="44"/>
  <c r="S24" i="44" s="1"/>
  <c r="AX84" i="26"/>
  <c r="AW84" i="26"/>
  <c r="AV84" i="26"/>
  <c r="V84" i="26"/>
  <c r="AD438" i="24"/>
  <c r="AE438" i="24" s="1"/>
  <c r="AD442" i="24"/>
  <c r="AE442" i="24" s="1"/>
  <c r="AD435" i="24"/>
  <c r="AE435" i="24" s="1"/>
  <c r="AD436" i="24"/>
  <c r="AE436" i="24" s="1"/>
  <c r="AD467" i="24"/>
  <c r="AE467" i="24" s="1"/>
  <c r="AD440" i="24"/>
  <c r="AE440" i="24" s="1"/>
  <c r="AD441" i="24"/>
  <c r="AE441" i="24" s="1"/>
  <c r="AD437" i="24"/>
  <c r="AE437" i="24" s="1"/>
  <c r="AJ82" i="26"/>
  <c r="AV82" i="26"/>
  <c r="AK82" i="26"/>
  <c r="AW82" i="26"/>
  <c r="AK81" i="26"/>
  <c r="AW81" i="26"/>
  <c r="AL82" i="26"/>
  <c r="AX82" i="26"/>
  <c r="AJ81" i="26"/>
  <c r="AV81" i="26"/>
  <c r="Q20" i="14"/>
  <c r="AL81" i="26"/>
  <c r="AX81" i="26"/>
  <c r="AI82" i="26"/>
  <c r="AU82" i="26"/>
  <c r="P20" i="14"/>
  <c r="R21" i="14"/>
  <c r="AI81" i="26"/>
  <c r="AU81" i="26"/>
  <c r="O24" i="14"/>
  <c r="R28" i="14"/>
  <c r="AK80" i="26"/>
  <c r="P23" i="14"/>
  <c r="R23" i="14"/>
  <c r="Q23" i="14"/>
  <c r="Q28" i="14"/>
  <c r="S30" i="14"/>
  <c r="R17" i="14"/>
  <c r="R22" i="14"/>
  <c r="P24" i="14"/>
  <c r="AT81" i="26"/>
  <c r="AP81" i="26"/>
  <c r="AL84" i="26"/>
  <c r="AT84" i="26"/>
  <c r="AP84" i="26"/>
  <c r="AS81" i="26"/>
  <c r="AO81" i="26"/>
  <c r="AR81" i="26"/>
  <c r="AN81" i="26"/>
  <c r="AJ84" i="26"/>
  <c r="AR84" i="26"/>
  <c r="AN84" i="26"/>
  <c r="AM82" i="26"/>
  <c r="AQ82" i="26"/>
  <c r="AP80" i="26"/>
  <c r="AT80" i="26"/>
  <c r="AI84" i="26"/>
  <c r="AQ84" i="26"/>
  <c r="AM84" i="26"/>
  <c r="AP82" i="26"/>
  <c r="AT82" i="26"/>
  <c r="AO82" i="26"/>
  <c r="AS82" i="26"/>
  <c r="AK84" i="26"/>
  <c r="AS84" i="26"/>
  <c r="AO84" i="26"/>
  <c r="AN82" i="26"/>
  <c r="AR82" i="26"/>
  <c r="E113" i="26"/>
  <c r="D113" i="26"/>
  <c r="D100" i="26" s="1"/>
  <c r="AQ81" i="26"/>
  <c r="AM81" i="26"/>
  <c r="AC202" i="24"/>
  <c r="Z202" i="24"/>
  <c r="AB202" i="24"/>
  <c r="Y202" i="24"/>
  <c r="Z216" i="24"/>
  <c r="AB216" i="24"/>
  <c r="AC216" i="24"/>
  <c r="Y216" i="24"/>
  <c r="Z510" i="24"/>
  <c r="AB510" i="24"/>
  <c r="AC510" i="24"/>
  <c r="Y510" i="24"/>
  <c r="O16" i="14"/>
  <c r="O17" i="14" s="1"/>
  <c r="Q16" i="14"/>
  <c r="Q17" i="14" s="1"/>
  <c r="P16" i="14"/>
  <c r="P17" i="14" s="1"/>
  <c r="S29" i="14"/>
  <c r="G113" i="26"/>
  <c r="Q32" i="14"/>
  <c r="R20" i="14"/>
  <c r="O28" i="14"/>
  <c r="R32" i="14"/>
  <c r="S26" i="14"/>
  <c r="AW86" i="26"/>
  <c r="AX86" i="26"/>
  <c r="AU86" i="26"/>
  <c r="S14" i="14"/>
  <c r="S25" i="14"/>
  <c r="S27" i="14"/>
  <c r="P33" i="14"/>
  <c r="E112" i="26"/>
  <c r="F112" i="26"/>
  <c r="G112" i="26"/>
  <c r="F110" i="26"/>
  <c r="S15" i="14"/>
  <c r="R31" i="14"/>
  <c r="Q31" i="14"/>
  <c r="P31" i="14"/>
  <c r="O31" i="14"/>
  <c r="P21" i="14"/>
  <c r="Q24" i="14"/>
  <c r="Q33" i="14"/>
  <c r="Q21" i="14"/>
  <c r="Q22" i="14"/>
  <c r="O22" i="14"/>
  <c r="R33" i="14"/>
  <c r="S418" i="24"/>
  <c r="AA418" i="24" s="1"/>
  <c r="S426" i="24"/>
  <c r="AA426" i="24" s="1"/>
  <c r="N369" i="24"/>
  <c r="S420" i="24"/>
  <c r="AA420" i="24" s="1"/>
  <c r="S424" i="24"/>
  <c r="AA424" i="24" s="1"/>
  <c r="S422" i="24"/>
  <c r="AA422" i="24" s="1"/>
  <c r="S423" i="24"/>
  <c r="AA423" i="24" s="1"/>
  <c r="S425" i="24"/>
  <c r="AA425" i="24" s="1"/>
  <c r="S419" i="24"/>
  <c r="AA419" i="24" s="1"/>
  <c r="AX85" i="26" l="1"/>
  <c r="G115" i="26"/>
  <c r="G102" i="26" s="1"/>
  <c r="AV85" i="26"/>
  <c r="AU85" i="26"/>
  <c r="AU87" i="26" s="1"/>
  <c r="C10" i="4"/>
  <c r="AA545" i="24"/>
  <c r="Z19" i="44"/>
  <c r="AD19" i="45"/>
  <c r="S429" i="24"/>
  <c r="AA429" i="24" s="1"/>
  <c r="S28" i="14"/>
  <c r="AV86" i="26"/>
  <c r="V86" i="26"/>
  <c r="T87" i="26"/>
  <c r="AW87" i="26"/>
  <c r="V85" i="26"/>
  <c r="V87" i="26" s="1"/>
  <c r="AX87" i="26"/>
  <c r="U87" i="26"/>
  <c r="AK450" i="24"/>
  <c r="AD510" i="24"/>
  <c r="AE510" i="24" s="1"/>
  <c r="AD202" i="24"/>
  <c r="AE202" i="24" s="1"/>
  <c r="AD216" i="24"/>
  <c r="C13" i="28"/>
  <c r="C15" i="28" s="1"/>
  <c r="C23" i="28"/>
  <c r="F23" i="28" s="1"/>
  <c r="Z561" i="24"/>
  <c r="E110" i="26"/>
  <c r="E115" i="26"/>
  <c r="E102" i="26" s="1"/>
  <c r="D115" i="26"/>
  <c r="D102" i="26" s="1"/>
  <c r="E111" i="26"/>
  <c r="G110" i="26"/>
  <c r="F115" i="26"/>
  <c r="F102" i="26" s="1"/>
  <c r="G111" i="26"/>
  <c r="F111" i="26"/>
  <c r="F100" i="26" s="1"/>
  <c r="S20" i="14"/>
  <c r="AC453" i="24"/>
  <c r="Z453" i="24"/>
  <c r="AB453" i="24"/>
  <c r="Y453" i="24"/>
  <c r="S23" i="14"/>
  <c r="Z562" i="24"/>
  <c r="Z581" i="24"/>
  <c r="AW78" i="26"/>
  <c r="Z582" i="24"/>
  <c r="AV78" i="26"/>
  <c r="R78" i="26"/>
  <c r="AS80" i="26"/>
  <c r="AO80" i="26"/>
  <c r="C17" i="28"/>
  <c r="S32" i="14"/>
  <c r="S24" i="14"/>
  <c r="C18" i="28"/>
  <c r="F18" i="28" s="1"/>
  <c r="C19" i="28"/>
  <c r="F19" i="28" s="1"/>
  <c r="R34" i="14"/>
  <c r="R35" i="14" s="1"/>
  <c r="Z553" i="24"/>
  <c r="AE84" i="26"/>
  <c r="AG84" i="26"/>
  <c r="AD84" i="26"/>
  <c r="AF84" i="26"/>
  <c r="AH84" i="26"/>
  <c r="T78" i="26"/>
  <c r="AJ85" i="26"/>
  <c r="AN85" i="26"/>
  <c r="AR85" i="26"/>
  <c r="AI85" i="26"/>
  <c r="AI87" i="26" s="1"/>
  <c r="AM85" i="26"/>
  <c r="AQ85" i="26"/>
  <c r="AI78" i="26"/>
  <c r="AQ78" i="26"/>
  <c r="AI86" i="26"/>
  <c r="AQ86" i="26"/>
  <c r="AM86" i="26"/>
  <c r="AT86" i="26"/>
  <c r="AP86" i="26"/>
  <c r="AE81" i="26"/>
  <c r="AG81" i="26"/>
  <c r="AD81" i="26"/>
  <c r="AF81" i="26"/>
  <c r="AH81" i="26"/>
  <c r="AN80" i="26"/>
  <c r="AR80" i="26"/>
  <c r="AM80" i="26"/>
  <c r="AQ80" i="26"/>
  <c r="AK85" i="26"/>
  <c r="AO85" i="26"/>
  <c r="AS85" i="26"/>
  <c r="AL85" i="26"/>
  <c r="AP85" i="26"/>
  <c r="AT85" i="26"/>
  <c r="AT87" i="26" s="1"/>
  <c r="AJ86" i="26"/>
  <c r="AR86" i="26"/>
  <c r="AN86" i="26"/>
  <c r="AK86" i="26"/>
  <c r="AS86" i="26"/>
  <c r="AO86" i="26"/>
  <c r="AD82" i="26"/>
  <c r="AF82" i="26"/>
  <c r="AH82" i="26"/>
  <c r="AE82" i="26"/>
  <c r="AG82" i="26"/>
  <c r="L11" i="4"/>
  <c r="K11" i="4"/>
  <c r="J11" i="4"/>
  <c r="M11" i="4"/>
  <c r="Y11" i="24"/>
  <c r="Z426" i="24"/>
  <c r="AB426" i="24"/>
  <c r="AC426" i="24"/>
  <c r="Y426" i="24"/>
  <c r="Z347" i="24"/>
  <c r="AB347" i="24"/>
  <c r="AC347" i="24"/>
  <c r="Y347" i="24"/>
  <c r="Z507" i="24"/>
  <c r="AB507" i="24"/>
  <c r="AC507" i="24"/>
  <c r="Y507" i="24"/>
  <c r="Z388" i="24"/>
  <c r="AB388" i="24"/>
  <c r="F33" i="35" s="1"/>
  <c r="F36" i="35" s="1"/>
  <c r="AC388" i="24"/>
  <c r="Y388" i="24"/>
  <c r="Z521" i="24"/>
  <c r="AB521" i="24"/>
  <c r="Y521" i="24"/>
  <c r="AC521" i="24"/>
  <c r="Z365" i="24"/>
  <c r="AB365" i="24"/>
  <c r="AC365" i="24"/>
  <c r="Y365" i="24"/>
  <c r="Z459" i="24"/>
  <c r="AB459" i="24"/>
  <c r="AC459" i="24"/>
  <c r="Y459" i="24"/>
  <c r="Z517" i="24"/>
  <c r="AB517" i="24"/>
  <c r="Y517" i="24"/>
  <c r="AC517" i="24"/>
  <c r="Z461" i="24"/>
  <c r="AB461" i="24"/>
  <c r="AC461" i="24"/>
  <c r="Y461" i="24"/>
  <c r="Z491" i="24"/>
  <c r="AB491" i="24"/>
  <c r="AC491" i="24"/>
  <c r="Y491" i="24"/>
  <c r="Z480" i="24"/>
  <c r="AB480" i="24"/>
  <c r="AC480" i="24"/>
  <c r="Y480" i="24"/>
  <c r="Z387" i="24"/>
  <c r="AB387" i="24"/>
  <c r="AC387" i="24"/>
  <c r="Y387" i="24"/>
  <c r="AC191" i="24"/>
  <c r="Z191" i="24"/>
  <c r="AB191" i="24"/>
  <c r="Y191" i="24"/>
  <c r="Z509" i="24"/>
  <c r="AB509" i="24"/>
  <c r="AC509" i="24"/>
  <c r="Y509" i="24"/>
  <c r="Z462" i="24"/>
  <c r="AB462" i="24"/>
  <c r="AC462" i="24"/>
  <c r="Y462" i="24"/>
  <c r="AC197" i="24"/>
  <c r="Z197" i="24"/>
  <c r="AB197" i="24"/>
  <c r="Y197" i="24"/>
  <c r="Z362" i="24"/>
  <c r="AB362" i="24"/>
  <c r="AC362" i="24"/>
  <c r="Y362" i="24"/>
  <c r="Z478" i="24"/>
  <c r="AB478" i="24"/>
  <c r="AC478" i="24"/>
  <c r="Y478" i="24"/>
  <c r="Z526" i="24"/>
  <c r="AB526" i="24"/>
  <c r="AC526" i="24"/>
  <c r="Y526" i="24"/>
  <c r="AL526" i="24" s="1"/>
  <c r="Z361" i="24"/>
  <c r="AB361" i="24"/>
  <c r="AC361" i="24"/>
  <c r="Y361" i="24"/>
  <c r="AC26" i="24"/>
  <c r="Z26" i="24"/>
  <c r="AB26" i="24"/>
  <c r="Y26" i="24"/>
  <c r="AC186" i="24"/>
  <c r="Z186" i="24"/>
  <c r="AB186" i="24"/>
  <c r="Y186" i="24"/>
  <c r="Z513" i="24"/>
  <c r="AB513" i="24"/>
  <c r="AC513" i="24"/>
  <c r="Y513" i="24"/>
  <c r="Z519" i="24"/>
  <c r="AB519" i="24"/>
  <c r="Y519" i="24"/>
  <c r="AC519" i="24"/>
  <c r="Z466" i="24"/>
  <c r="AB466" i="24"/>
  <c r="AC466" i="24"/>
  <c r="Y466" i="24"/>
  <c r="Z490" i="24"/>
  <c r="AB490" i="24"/>
  <c r="AC490" i="24"/>
  <c r="Y490" i="24"/>
  <c r="AC198" i="24"/>
  <c r="Z198" i="24"/>
  <c r="AB198" i="24"/>
  <c r="Y198" i="24"/>
  <c r="Z409" i="24"/>
  <c r="AB409" i="24"/>
  <c r="AC409" i="24"/>
  <c r="Y409" i="24"/>
  <c r="Z511" i="24"/>
  <c r="AB511" i="24"/>
  <c r="AC511" i="24"/>
  <c r="Y511" i="24"/>
  <c r="Z401" i="24"/>
  <c r="AB401" i="24"/>
  <c r="AC401" i="24"/>
  <c r="Y401" i="24"/>
  <c r="AC200" i="24"/>
  <c r="Z200" i="24"/>
  <c r="AB200" i="24"/>
  <c r="Y200" i="24"/>
  <c r="Z421" i="24"/>
  <c r="AB421" i="24"/>
  <c r="AC421" i="24"/>
  <c r="Y421" i="24"/>
  <c r="Z413" i="24"/>
  <c r="AB413" i="24"/>
  <c r="AC413" i="24"/>
  <c r="Y413" i="24"/>
  <c r="Z366" i="24"/>
  <c r="AB366" i="24"/>
  <c r="AC366" i="24"/>
  <c r="Y366" i="24"/>
  <c r="Z358" i="24"/>
  <c r="AB358" i="24"/>
  <c r="AC358" i="24"/>
  <c r="Y358" i="24"/>
  <c r="Z423" i="24"/>
  <c r="AB423" i="24"/>
  <c r="AC423" i="24"/>
  <c r="Y423" i="24"/>
  <c r="Z414" i="24"/>
  <c r="AB414" i="24"/>
  <c r="AC414" i="24"/>
  <c r="Y414" i="24"/>
  <c r="Z424" i="24"/>
  <c r="AB424" i="24"/>
  <c r="AC424" i="24"/>
  <c r="Y424" i="24"/>
  <c r="Z372" i="24"/>
  <c r="AB372" i="24"/>
  <c r="AC372" i="24"/>
  <c r="Y372" i="24"/>
  <c r="Z411" i="24"/>
  <c r="AB411" i="24"/>
  <c r="AC411" i="24"/>
  <c r="Y411" i="24"/>
  <c r="Z353" i="24"/>
  <c r="AB353" i="24"/>
  <c r="AC353" i="24"/>
  <c r="Y353" i="24"/>
  <c r="Z419" i="24"/>
  <c r="AB419" i="24"/>
  <c r="AC419" i="24"/>
  <c r="Y419" i="24"/>
  <c r="Z425" i="24"/>
  <c r="AB425" i="24"/>
  <c r="AC425" i="24"/>
  <c r="Y425" i="24"/>
  <c r="Z352" i="24"/>
  <c r="AB352" i="24"/>
  <c r="AC352" i="24"/>
  <c r="Y352" i="24"/>
  <c r="Z415" i="24"/>
  <c r="AB415" i="24"/>
  <c r="AC415" i="24"/>
  <c r="Y415" i="24"/>
  <c r="Z373" i="24"/>
  <c r="AB373" i="24"/>
  <c r="AC373" i="24"/>
  <c r="Y373" i="24"/>
  <c r="Z348" i="24"/>
  <c r="AB348" i="24"/>
  <c r="AC348" i="24"/>
  <c r="Y348" i="24"/>
  <c r="Z412" i="24"/>
  <c r="AB412" i="24"/>
  <c r="AC412" i="24"/>
  <c r="Y412" i="24"/>
  <c r="Z357" i="24"/>
  <c r="AB357" i="24"/>
  <c r="AC357" i="24"/>
  <c r="Y357" i="24"/>
  <c r="Z422" i="24"/>
  <c r="AB422" i="24"/>
  <c r="AC422" i="24"/>
  <c r="Y422" i="24"/>
  <c r="Z346" i="24"/>
  <c r="AB346" i="24"/>
  <c r="AC346" i="24"/>
  <c r="Y346" i="24"/>
  <c r="Z420" i="24"/>
  <c r="AB420" i="24"/>
  <c r="AC420" i="24"/>
  <c r="Y420" i="24"/>
  <c r="Z367" i="24"/>
  <c r="AB367" i="24"/>
  <c r="AC367" i="24"/>
  <c r="Y367" i="24"/>
  <c r="Z368" i="24"/>
  <c r="AB368" i="24"/>
  <c r="AC368" i="24"/>
  <c r="Y368" i="24"/>
  <c r="Z374" i="24"/>
  <c r="AB374" i="24"/>
  <c r="AC374" i="24"/>
  <c r="Y374" i="24"/>
  <c r="Z345" i="24"/>
  <c r="AB345" i="24"/>
  <c r="AC345" i="24"/>
  <c r="Y345" i="24"/>
  <c r="Z410" i="24"/>
  <c r="AB410" i="24"/>
  <c r="AC410" i="24"/>
  <c r="Y410" i="24"/>
  <c r="AC25" i="24"/>
  <c r="Z25" i="24"/>
  <c r="AB25" i="24"/>
  <c r="Y25" i="24"/>
  <c r="Z523" i="24"/>
  <c r="AB523" i="24"/>
  <c r="Y523" i="24"/>
  <c r="AC523" i="24"/>
  <c r="Z479" i="24"/>
  <c r="AB479" i="24"/>
  <c r="AC479" i="24"/>
  <c r="Y479" i="24"/>
  <c r="AC24" i="24"/>
  <c r="Z24" i="24"/>
  <c r="AB24" i="24"/>
  <c r="Y24" i="24"/>
  <c r="Z468" i="24"/>
  <c r="AB468" i="24"/>
  <c r="AC468" i="24"/>
  <c r="Y468" i="24"/>
  <c r="Z399" i="24"/>
  <c r="AB399" i="24"/>
  <c r="AC399" i="24"/>
  <c r="Y399" i="24"/>
  <c r="Z356" i="24"/>
  <c r="AB356" i="24"/>
  <c r="AC356" i="24"/>
  <c r="Y356" i="24"/>
  <c r="Z506" i="24"/>
  <c r="AB506" i="24"/>
  <c r="AC506" i="24"/>
  <c r="Y506" i="24"/>
  <c r="Z475" i="24"/>
  <c r="AB475" i="24"/>
  <c r="AC475" i="24"/>
  <c r="Y475" i="24"/>
  <c r="Z418" i="24"/>
  <c r="AB418" i="24"/>
  <c r="AC418" i="24"/>
  <c r="Y418" i="24"/>
  <c r="AC27" i="24"/>
  <c r="Z27" i="24"/>
  <c r="AB27" i="24"/>
  <c r="Y27" i="24"/>
  <c r="AC514" i="24"/>
  <c r="Z514" i="24"/>
  <c r="AB514" i="24"/>
  <c r="Y514" i="24"/>
  <c r="Z470" i="24"/>
  <c r="AB470" i="24"/>
  <c r="AC470" i="24"/>
  <c r="Y470" i="24"/>
  <c r="AC141" i="24"/>
  <c r="Z141" i="24"/>
  <c r="AB141" i="24"/>
  <c r="Z386" i="24"/>
  <c r="AB386" i="24"/>
  <c r="AC386" i="24"/>
  <c r="Y386" i="24"/>
  <c r="T551" i="24" s="1"/>
  <c r="Z460" i="24"/>
  <c r="AB460" i="24"/>
  <c r="AC460" i="24"/>
  <c r="Y460" i="24"/>
  <c r="Z427" i="24"/>
  <c r="AB427" i="24"/>
  <c r="AC427" i="24"/>
  <c r="Y427" i="24"/>
  <c r="Z522" i="24"/>
  <c r="AB522" i="24"/>
  <c r="AC522" i="24"/>
  <c r="Y522" i="24"/>
  <c r="Z474" i="24"/>
  <c r="AB474" i="24"/>
  <c r="AC474" i="24"/>
  <c r="Y474" i="24"/>
  <c r="Z485" i="24"/>
  <c r="AB485" i="24"/>
  <c r="AC485" i="24"/>
  <c r="Y485" i="24"/>
  <c r="Z397" i="24"/>
  <c r="AB397" i="24"/>
  <c r="AC397" i="24"/>
  <c r="Y397" i="24"/>
  <c r="Z482" i="24"/>
  <c r="AB482" i="24"/>
  <c r="AC482" i="24"/>
  <c r="Y482" i="24"/>
  <c r="Z402" i="24"/>
  <c r="AB402" i="24"/>
  <c r="AC402" i="24"/>
  <c r="Y402" i="24"/>
  <c r="AC516" i="24"/>
  <c r="Z516" i="24"/>
  <c r="AB516" i="24"/>
  <c r="Y516" i="24"/>
  <c r="Z463" i="24"/>
  <c r="AB463" i="24"/>
  <c r="AC463" i="24"/>
  <c r="Y463" i="24"/>
  <c r="AC169" i="24"/>
  <c r="Z169" i="24"/>
  <c r="AB169" i="24"/>
  <c r="Y169" i="24"/>
  <c r="AC28" i="24"/>
  <c r="Z28" i="24"/>
  <c r="AB28" i="24"/>
  <c r="Y28" i="24"/>
  <c r="Z398" i="24"/>
  <c r="AB398" i="24"/>
  <c r="AC398" i="24"/>
  <c r="Y398" i="24"/>
  <c r="AO394" i="24" s="1"/>
  <c r="Z520" i="24"/>
  <c r="AB520" i="24"/>
  <c r="AC520" i="24"/>
  <c r="Y520" i="24"/>
  <c r="Z481" i="24"/>
  <c r="AB481" i="24"/>
  <c r="AC481" i="24"/>
  <c r="Y481" i="24"/>
  <c r="Z234" i="24"/>
  <c r="AB234" i="24"/>
  <c r="AC234" i="24"/>
  <c r="Y234" i="24"/>
  <c r="AC188" i="24"/>
  <c r="Z188" i="24"/>
  <c r="AB188" i="24"/>
  <c r="Y188" i="24"/>
  <c r="Z488" i="24"/>
  <c r="AB488" i="24"/>
  <c r="AC488" i="24"/>
  <c r="Y488" i="24"/>
  <c r="Z344" i="24"/>
  <c r="AB344" i="24"/>
  <c r="AC344" i="24"/>
  <c r="Y344" i="24"/>
  <c r="Z351" i="24"/>
  <c r="AB351" i="24"/>
  <c r="AC351" i="24"/>
  <c r="Y351" i="24"/>
  <c r="Z529" i="24"/>
  <c r="AB529" i="24"/>
  <c r="Y529" i="24"/>
  <c r="AC529" i="24"/>
  <c r="Z458" i="24"/>
  <c r="AB458" i="24"/>
  <c r="AC458" i="24"/>
  <c r="Y458" i="24"/>
  <c r="Z471" i="24"/>
  <c r="AB471" i="24"/>
  <c r="AC471" i="24"/>
  <c r="Y471" i="24"/>
  <c r="Z486" i="24"/>
  <c r="AB486" i="24"/>
  <c r="AC486" i="24"/>
  <c r="Y486" i="24"/>
  <c r="Z371" i="24"/>
  <c r="AB371" i="24"/>
  <c r="AC371" i="24"/>
  <c r="Y371" i="24"/>
  <c r="AC196" i="24"/>
  <c r="Z196" i="24"/>
  <c r="AB196" i="24"/>
  <c r="Y196" i="24"/>
  <c r="AC180" i="24"/>
  <c r="Z180" i="24"/>
  <c r="AB180" i="24"/>
  <c r="Y180" i="24"/>
  <c r="Z477" i="24"/>
  <c r="AB477" i="24"/>
  <c r="AC477" i="24"/>
  <c r="Y477" i="24"/>
  <c r="AC515" i="24"/>
  <c r="Z515" i="24"/>
  <c r="Y515" i="24"/>
  <c r="AB515" i="24"/>
  <c r="Z235" i="24"/>
  <c r="AB235" i="24"/>
  <c r="AC235" i="24"/>
  <c r="Y235" i="24"/>
  <c r="Z528" i="24"/>
  <c r="AB528" i="24"/>
  <c r="AC528" i="24"/>
  <c r="Y528" i="24"/>
  <c r="AC190" i="24"/>
  <c r="Z190" i="24"/>
  <c r="AB190" i="24"/>
  <c r="Y190" i="24"/>
  <c r="AC189" i="24"/>
  <c r="Z189" i="24"/>
  <c r="AB189" i="24"/>
  <c r="Y189" i="24"/>
  <c r="U78" i="26"/>
  <c r="S16" i="14"/>
  <c r="S17" i="14" s="1"/>
  <c r="S33" i="14"/>
  <c r="P34" i="14"/>
  <c r="P35" i="14" s="1"/>
  <c r="S31" i="14"/>
  <c r="Q34" i="14"/>
  <c r="Q35" i="14" s="1"/>
  <c r="S78" i="26"/>
  <c r="Z566" i="24"/>
  <c r="Z584" i="24"/>
  <c r="Z575" i="24"/>
  <c r="X574" i="24" s="1"/>
  <c r="S566" i="24" s="1"/>
  <c r="Z569" i="24"/>
  <c r="Z573" i="24"/>
  <c r="Z583" i="24"/>
  <c r="Z587" i="24"/>
  <c r="X586" i="24" s="1"/>
  <c r="S564" i="24" s="1"/>
  <c r="Z554" i="24"/>
  <c r="Z551" i="24"/>
  <c r="S21" i="14"/>
  <c r="S22" i="14"/>
  <c r="F25" i="28"/>
  <c r="O34" i="14"/>
  <c r="O35" i="14" s="1"/>
  <c r="Z563" i="24"/>
  <c r="Z564" i="24"/>
  <c r="Z585" i="24"/>
  <c r="X584" i="24" s="1"/>
  <c r="T567" i="24" l="1"/>
  <c r="T553" i="24"/>
  <c r="W551" i="24"/>
  <c r="AE85" i="26"/>
  <c r="G100" i="26"/>
  <c r="E100" i="26"/>
  <c r="D117" i="26"/>
  <c r="W553" i="24"/>
  <c r="X553" i="24"/>
  <c r="X551" i="24"/>
  <c r="U551" i="24"/>
  <c r="G117" i="26"/>
  <c r="E117" i="26"/>
  <c r="AV87" i="26"/>
  <c r="F117" i="26"/>
  <c r="U553" i="24"/>
  <c r="R88" i="26"/>
  <c r="R89" i="26" s="1"/>
  <c r="T554" i="24"/>
  <c r="W554" i="24"/>
  <c r="X554" i="24"/>
  <c r="X549" i="24"/>
  <c r="U549" i="24"/>
  <c r="U554" i="24"/>
  <c r="T549" i="24"/>
  <c r="W549" i="24"/>
  <c r="C37" i="35"/>
  <c r="AJ87" i="26"/>
  <c r="S430" i="24"/>
  <c r="S450" i="24" s="1"/>
  <c r="AL87" i="26"/>
  <c r="W13" i="44"/>
  <c r="AA13" i="45"/>
  <c r="Y23" i="44"/>
  <c r="Y25" i="44" s="1"/>
  <c r="AC23" i="45"/>
  <c r="AC25" i="45" s="1"/>
  <c r="AQ87" i="26"/>
  <c r="AK87" i="26"/>
  <c r="AP87" i="26"/>
  <c r="AN87" i="26"/>
  <c r="S88" i="26"/>
  <c r="S89" i="26" s="1"/>
  <c r="AM87" i="26"/>
  <c r="D24" i="28"/>
  <c r="F24" i="28" s="1"/>
  <c r="F29" i="28" s="1"/>
  <c r="AO87" i="26"/>
  <c r="AS87" i="26"/>
  <c r="T88" i="26"/>
  <c r="T89" i="26" s="1"/>
  <c r="AR87" i="26"/>
  <c r="U88" i="26"/>
  <c r="U89" i="26" s="1"/>
  <c r="AL524" i="24"/>
  <c r="AB23" i="45" s="1"/>
  <c r="H18" i="35"/>
  <c r="E42" i="35"/>
  <c r="H42" i="35" s="1"/>
  <c r="F11" i="35"/>
  <c r="D11" i="35"/>
  <c r="C11" i="35"/>
  <c r="G11" i="35"/>
  <c r="G21" i="35" s="1"/>
  <c r="AE216" i="24"/>
  <c r="AD356" i="24"/>
  <c r="AE356" i="24" s="1"/>
  <c r="AD25" i="24"/>
  <c r="AE25" i="24" s="1"/>
  <c r="AD346" i="24"/>
  <c r="AE346" i="24" s="1"/>
  <c r="AD425" i="24"/>
  <c r="AE425" i="24" s="1"/>
  <c r="AD414" i="24"/>
  <c r="AE414" i="24" s="1"/>
  <c r="AD523" i="24"/>
  <c r="AE523" i="24" s="1"/>
  <c r="AD528" i="24"/>
  <c r="AD402" i="24"/>
  <c r="AE402" i="24" s="1"/>
  <c r="AD386" i="24"/>
  <c r="AD471" i="24"/>
  <c r="AE471" i="24" s="1"/>
  <c r="AD398" i="24"/>
  <c r="AE398" i="24" s="1"/>
  <c r="AD517" i="24"/>
  <c r="AE517" i="24" s="1"/>
  <c r="AD190" i="24"/>
  <c r="AE190" i="24" s="1"/>
  <c r="AD486" i="24"/>
  <c r="AE486" i="24" s="1"/>
  <c r="AD460" i="24"/>
  <c r="AE460" i="24" s="1"/>
  <c r="AD514" i="24"/>
  <c r="AE514" i="24" s="1"/>
  <c r="AD420" i="24"/>
  <c r="AE420" i="24" s="1"/>
  <c r="AD352" i="24"/>
  <c r="AE352" i="24" s="1"/>
  <c r="AD26" i="24"/>
  <c r="AE26" i="24" s="1"/>
  <c r="AD197" i="24"/>
  <c r="AE197" i="24" s="1"/>
  <c r="AD387" i="24"/>
  <c r="AE387" i="24" s="1"/>
  <c r="AD521" i="24"/>
  <c r="AE521" i="24" s="1"/>
  <c r="AD180" i="24"/>
  <c r="AE180" i="24" s="1"/>
  <c r="AD529" i="24"/>
  <c r="AE529" i="24" s="1"/>
  <c r="AD351" i="24"/>
  <c r="AE351" i="24" s="1"/>
  <c r="AD481" i="24"/>
  <c r="AE481" i="24" s="1"/>
  <c r="AD463" i="24"/>
  <c r="AE463" i="24" s="1"/>
  <c r="AD474" i="24"/>
  <c r="AE474" i="24" s="1"/>
  <c r="AD418" i="24"/>
  <c r="AE418" i="24" s="1"/>
  <c r="AD479" i="24"/>
  <c r="AE479" i="24" s="1"/>
  <c r="AD348" i="24"/>
  <c r="AE348" i="24" s="1"/>
  <c r="AD372" i="24"/>
  <c r="AE372" i="24" s="1"/>
  <c r="AD413" i="24"/>
  <c r="AE413" i="24" s="1"/>
  <c r="AD198" i="24"/>
  <c r="AE198" i="24" s="1"/>
  <c r="AD519" i="24"/>
  <c r="AE519" i="24" s="1"/>
  <c r="AD513" i="24"/>
  <c r="AE513" i="24" s="1"/>
  <c r="AD168" i="24"/>
  <c r="AE168" i="24" s="1"/>
  <c r="AD191" i="24"/>
  <c r="AE191" i="24" s="1"/>
  <c r="AD491" i="24"/>
  <c r="AE491" i="24" s="1"/>
  <c r="AD365" i="24"/>
  <c r="AE365" i="24" s="1"/>
  <c r="AD347" i="24"/>
  <c r="AE347" i="24" s="1"/>
  <c r="AD515" i="24"/>
  <c r="AE515" i="24" s="1"/>
  <c r="AD235" i="24"/>
  <c r="AE235" i="24" s="1"/>
  <c r="AD458" i="24"/>
  <c r="AE458" i="24" s="1"/>
  <c r="AD188" i="24"/>
  <c r="AE188" i="24" s="1"/>
  <c r="AD28" i="24"/>
  <c r="AE28" i="24" s="1"/>
  <c r="AD482" i="24"/>
  <c r="AE482" i="24" s="1"/>
  <c r="AD399" i="24"/>
  <c r="AE399" i="24" s="1"/>
  <c r="AD410" i="24"/>
  <c r="AE410" i="24" s="1"/>
  <c r="AD422" i="24"/>
  <c r="AE422" i="24" s="1"/>
  <c r="AD419" i="24"/>
  <c r="AE419" i="24" s="1"/>
  <c r="AD423" i="24"/>
  <c r="AE423" i="24" s="1"/>
  <c r="AD401" i="24"/>
  <c r="AE401" i="24" s="1"/>
  <c r="AD361" i="24"/>
  <c r="AE361" i="24" s="1"/>
  <c r="AD462" i="24"/>
  <c r="AE462" i="24" s="1"/>
  <c r="AD459" i="24"/>
  <c r="AE459" i="24" s="1"/>
  <c r="AD371" i="24"/>
  <c r="AE371" i="24" s="1"/>
  <c r="AD488" i="24"/>
  <c r="AE488" i="24" s="1"/>
  <c r="AD427" i="24"/>
  <c r="AE427" i="24" s="1"/>
  <c r="AD141" i="24"/>
  <c r="AD470" i="24"/>
  <c r="AE470" i="24" s="1"/>
  <c r="AD506" i="24"/>
  <c r="AE506" i="24" s="1"/>
  <c r="AD367" i="24"/>
  <c r="AE367" i="24" s="1"/>
  <c r="AD415" i="24"/>
  <c r="AE415" i="24" s="1"/>
  <c r="AD424" i="24"/>
  <c r="AE424" i="24" s="1"/>
  <c r="AD200" i="24"/>
  <c r="AE200" i="24" s="1"/>
  <c r="AD466" i="24"/>
  <c r="AE466" i="24" s="1"/>
  <c r="AD362" i="24"/>
  <c r="AE362" i="24" s="1"/>
  <c r="AD426" i="24"/>
  <c r="AE426" i="24" s="1"/>
  <c r="AD189" i="24"/>
  <c r="AE189" i="24" s="1"/>
  <c r="AD477" i="24"/>
  <c r="AE477" i="24" s="1"/>
  <c r="AD485" i="24"/>
  <c r="AE485" i="24" s="1"/>
  <c r="AD27" i="24"/>
  <c r="AE27" i="24" s="1"/>
  <c r="AD24" i="24"/>
  <c r="AE24" i="24" s="1"/>
  <c r="AD374" i="24"/>
  <c r="AE374" i="24" s="1"/>
  <c r="AD412" i="24"/>
  <c r="AE412" i="24" s="1"/>
  <c r="AD411" i="24"/>
  <c r="AE411" i="24" s="1"/>
  <c r="AD366" i="24"/>
  <c r="AE366" i="24" s="1"/>
  <c r="AD409" i="24"/>
  <c r="AE409" i="24" s="1"/>
  <c r="AD526" i="24"/>
  <c r="AE526" i="24" s="1"/>
  <c r="AD480" i="24"/>
  <c r="AE480" i="24" s="1"/>
  <c r="AD507" i="24"/>
  <c r="AE507" i="24" s="1"/>
  <c r="AD196" i="24"/>
  <c r="AE196" i="24" s="1"/>
  <c r="AD344" i="24"/>
  <c r="AE344" i="24" s="1"/>
  <c r="AD520" i="24"/>
  <c r="AE520" i="24" s="1"/>
  <c r="AD516" i="24"/>
  <c r="AE516" i="24" s="1"/>
  <c r="AD522" i="24"/>
  <c r="AE522" i="24" s="1"/>
  <c r="AD475" i="24"/>
  <c r="AE475" i="24" s="1"/>
  <c r="AD368" i="24"/>
  <c r="AE368" i="24" s="1"/>
  <c r="AD373" i="24"/>
  <c r="AE373" i="24" s="1"/>
  <c r="AD421" i="24"/>
  <c r="AD490" i="24"/>
  <c r="AE490" i="24" s="1"/>
  <c r="AD186" i="24"/>
  <c r="AE186" i="24" s="1"/>
  <c r="AD478" i="24"/>
  <c r="AE478" i="24" s="1"/>
  <c r="AD461" i="24"/>
  <c r="AE461" i="24" s="1"/>
  <c r="AD234" i="24"/>
  <c r="AD169" i="24"/>
  <c r="AE169" i="24" s="1"/>
  <c r="AD397" i="24"/>
  <c r="AE397" i="24" s="1"/>
  <c r="AD468" i="24"/>
  <c r="AE468" i="24" s="1"/>
  <c r="AD345" i="24"/>
  <c r="AE345" i="24" s="1"/>
  <c r="AD357" i="24"/>
  <c r="AE357" i="24" s="1"/>
  <c r="AD353" i="24"/>
  <c r="AE353" i="24" s="1"/>
  <c r="AD358" i="24"/>
  <c r="AE358" i="24" s="1"/>
  <c r="AD511" i="24"/>
  <c r="AE511" i="24" s="1"/>
  <c r="AD509" i="24"/>
  <c r="AE509" i="24" s="1"/>
  <c r="AD388" i="24"/>
  <c r="AE388" i="24" s="1"/>
  <c r="AD453" i="24"/>
  <c r="AE453" i="24" s="1"/>
  <c r="F13" i="28"/>
  <c r="C20" i="28"/>
  <c r="T570" i="24"/>
  <c r="T572" i="24"/>
  <c r="T569" i="24"/>
  <c r="T568" i="24"/>
  <c r="C38" i="35"/>
  <c r="H38" i="35" s="1"/>
  <c r="H28" i="35"/>
  <c r="Z549" i="24"/>
  <c r="Y531" i="24"/>
  <c r="F17" i="28"/>
  <c r="F20" i="28" s="1"/>
  <c r="S561" i="24"/>
  <c r="S563" i="24"/>
  <c r="H25" i="9"/>
  <c r="C6" i="28"/>
  <c r="Z570" i="24"/>
  <c r="F12" i="28"/>
  <c r="V78" i="26"/>
  <c r="V88" i="26" s="1"/>
  <c r="V89" i="26" s="1"/>
  <c r="Z586" i="24"/>
  <c r="X585" i="24" s="1"/>
  <c r="S562" i="24" s="1"/>
  <c r="AG85" i="26"/>
  <c r="AF85" i="26"/>
  <c r="AD85" i="26"/>
  <c r="AH85" i="26"/>
  <c r="AL78" i="26"/>
  <c r="AY81" i="26"/>
  <c r="AZ81" i="26" s="1"/>
  <c r="AM70" i="26"/>
  <c r="AJ78" i="26"/>
  <c r="AK78" i="26"/>
  <c r="H116" i="26"/>
  <c r="H103" i="26" s="1"/>
  <c r="F14" i="28"/>
  <c r="S34" i="14"/>
  <c r="S35" i="14" s="1"/>
  <c r="N12" i="4"/>
  <c r="AD80" i="26"/>
  <c r="AF80" i="26"/>
  <c r="AH80" i="26"/>
  <c r="AE80" i="26"/>
  <c r="AG80" i="26"/>
  <c r="AT78" i="26"/>
  <c r="AS78" i="26"/>
  <c r="AR78" i="26"/>
  <c r="AD86" i="26"/>
  <c r="E10" i="44" s="1"/>
  <c r="I10" i="44" s="1"/>
  <c r="AF86" i="26"/>
  <c r="AH86" i="26"/>
  <c r="AE86" i="26"/>
  <c r="AG86" i="26"/>
  <c r="AY82" i="26"/>
  <c r="AZ82" i="26" s="1"/>
  <c r="AP78" i="26"/>
  <c r="AO78" i="26"/>
  <c r="AN78" i="26"/>
  <c r="N11" i="4"/>
  <c r="AP70" i="26"/>
  <c r="AX78" i="26"/>
  <c r="AC203" i="24"/>
  <c r="Z203" i="24"/>
  <c r="Y203" i="24"/>
  <c r="Z369" i="24"/>
  <c r="AB369" i="24"/>
  <c r="AC369" i="24"/>
  <c r="Y369" i="24"/>
  <c r="Z354" i="24"/>
  <c r="AB354" i="24"/>
  <c r="AC354" i="24"/>
  <c r="Y354" i="24"/>
  <c r="Z416" i="24"/>
  <c r="AB416" i="24"/>
  <c r="AC416" i="24"/>
  <c r="Y416" i="24"/>
  <c r="AL429" i="24" s="1"/>
  <c r="AC35" i="24"/>
  <c r="Z35" i="24"/>
  <c r="AB35" i="24"/>
  <c r="Y35" i="24"/>
  <c r="AC21" i="24"/>
  <c r="Z21" i="24"/>
  <c r="AB21" i="24"/>
  <c r="Y21" i="24"/>
  <c r="Z375" i="24"/>
  <c r="AB375" i="24"/>
  <c r="AC375" i="24"/>
  <c r="Y375" i="24"/>
  <c r="Z349" i="24"/>
  <c r="D30" i="35" s="1"/>
  <c r="D31" i="35" s="1"/>
  <c r="AB349" i="24"/>
  <c r="F30" i="35" s="1"/>
  <c r="F31" i="35" s="1"/>
  <c r="E30" i="35"/>
  <c r="E31" i="35" s="1"/>
  <c r="AC349" i="24"/>
  <c r="G30" i="35" s="1"/>
  <c r="G31" i="35" s="1"/>
  <c r="Y349" i="24"/>
  <c r="C30" i="35" s="1"/>
  <c r="C31" i="35" s="1"/>
  <c r="Z299" i="24"/>
  <c r="AB299" i="24"/>
  <c r="AC299" i="24"/>
  <c r="Y299" i="24"/>
  <c r="Z359" i="24"/>
  <c r="AB359" i="24"/>
  <c r="AC359" i="24"/>
  <c r="Y359" i="24"/>
  <c r="AC11" i="24"/>
  <c r="Z11" i="24"/>
  <c r="AB11" i="24"/>
  <c r="Z236" i="24"/>
  <c r="AB236" i="24"/>
  <c r="AC236" i="24"/>
  <c r="Y236" i="24"/>
  <c r="Z389" i="24"/>
  <c r="AB389" i="24"/>
  <c r="AC389" i="24"/>
  <c r="Y389" i="24"/>
  <c r="Z392" i="24"/>
  <c r="AB392" i="24"/>
  <c r="AC392" i="24"/>
  <c r="Y392" i="24"/>
  <c r="Z393" i="24"/>
  <c r="AB393" i="24"/>
  <c r="AC393" i="24"/>
  <c r="Y393" i="24"/>
  <c r="Z259" i="24"/>
  <c r="AB259" i="24"/>
  <c r="AC259" i="24"/>
  <c r="Y259" i="24"/>
  <c r="Z214" i="24"/>
  <c r="AB214" i="24"/>
  <c r="AC214" i="24"/>
  <c r="Y214" i="24"/>
  <c r="AC18" i="24"/>
  <c r="Z18" i="24"/>
  <c r="AB18" i="24"/>
  <c r="Y18" i="24"/>
  <c r="Z391" i="24"/>
  <c r="AB391" i="24"/>
  <c r="AC391" i="24"/>
  <c r="Y391" i="24"/>
  <c r="Z325" i="24"/>
  <c r="AB325" i="24"/>
  <c r="AC325" i="24"/>
  <c r="Y325" i="24"/>
  <c r="Z394" i="24"/>
  <c r="AB394" i="24"/>
  <c r="AC394" i="24"/>
  <c r="Y394" i="24"/>
  <c r="Y530" i="24"/>
  <c r="AC530" i="24"/>
  <c r="Z530" i="24"/>
  <c r="AB530" i="24"/>
  <c r="Z363" i="24"/>
  <c r="AB363" i="24"/>
  <c r="AC363" i="24"/>
  <c r="Y363" i="24"/>
  <c r="Z429" i="24"/>
  <c r="AB429" i="24"/>
  <c r="AC429" i="24"/>
  <c r="Y429" i="24"/>
  <c r="Z395" i="24"/>
  <c r="AB395" i="24"/>
  <c r="AC395" i="24"/>
  <c r="Y395" i="24"/>
  <c r="AC14" i="24"/>
  <c r="Z14" i="24"/>
  <c r="AB14" i="24"/>
  <c r="Y14" i="24"/>
  <c r="Y524" i="24"/>
  <c r="Z524" i="24"/>
  <c r="AB524" i="24"/>
  <c r="AC524" i="24"/>
  <c r="Z443" i="24"/>
  <c r="AB443" i="24"/>
  <c r="AC443" i="24"/>
  <c r="Y443" i="24"/>
  <c r="Z267" i="24"/>
  <c r="AB267" i="24"/>
  <c r="AC267" i="24"/>
  <c r="Y267" i="24"/>
  <c r="AC193" i="24"/>
  <c r="Z193" i="24"/>
  <c r="AB193" i="24"/>
  <c r="Y193" i="24"/>
  <c r="Z170" i="24"/>
  <c r="AB170" i="24"/>
  <c r="Y170" i="24"/>
  <c r="Z492" i="24"/>
  <c r="AB492" i="24"/>
  <c r="AC492" i="24"/>
  <c r="Y492" i="24"/>
  <c r="AC32" i="24"/>
  <c r="Z32" i="24"/>
  <c r="AB32" i="24"/>
  <c r="Y32" i="24"/>
  <c r="AC172" i="24"/>
  <c r="Z172" i="24"/>
  <c r="AB172" i="24"/>
  <c r="Y172" i="24"/>
  <c r="Z400" i="24"/>
  <c r="AB400" i="24"/>
  <c r="AC400" i="24"/>
  <c r="Y400" i="24"/>
  <c r="AO70" i="26"/>
  <c r="AM78" i="26"/>
  <c r="AL70" i="26"/>
  <c r="AQ70" i="26"/>
  <c r="AI70" i="26"/>
  <c r="Z565" i="24"/>
  <c r="AK70" i="26"/>
  <c r="AJ70" i="26"/>
  <c r="AS70" i="26"/>
  <c r="AV70" i="26"/>
  <c r="AV88" i="26" s="1"/>
  <c r="AV89" i="26" s="1"/>
  <c r="F95" i="26" s="1"/>
  <c r="AW70" i="26"/>
  <c r="AN70" i="26"/>
  <c r="AR70" i="26"/>
  <c r="AX70" i="26"/>
  <c r="AT70" i="26"/>
  <c r="Z579" i="24"/>
  <c r="Z552" i="24"/>
  <c r="Z572" i="24"/>
  <c r="Z550" i="24"/>
  <c r="Z571" i="24"/>
  <c r="AE386" i="24" l="1"/>
  <c r="AK88" i="26"/>
  <c r="AK89" i="26" s="1"/>
  <c r="G92" i="26" s="1"/>
  <c r="S532" i="24"/>
  <c r="AE532" i="24" s="1"/>
  <c r="X566" i="24"/>
  <c r="S559" i="24" s="1"/>
  <c r="C33" i="35"/>
  <c r="AJ88" i="26"/>
  <c r="AJ89" i="26" s="1"/>
  <c r="F92" i="26" s="1"/>
  <c r="S551" i="24"/>
  <c r="AD11" i="24"/>
  <c r="AO88" i="26"/>
  <c r="AO89" i="26" s="1"/>
  <c r="G93" i="26" s="1"/>
  <c r="AP88" i="26"/>
  <c r="AP89" i="26" s="1"/>
  <c r="H93" i="26" s="1"/>
  <c r="AL88" i="26"/>
  <c r="AL89" i="26" s="1"/>
  <c r="H92" i="26" s="1"/>
  <c r="AD14" i="24"/>
  <c r="X573" i="24"/>
  <c r="S560" i="24" s="1"/>
  <c r="T550" i="24"/>
  <c r="X552" i="24"/>
  <c r="U552" i="24"/>
  <c r="U550" i="24"/>
  <c r="AA450" i="24"/>
  <c r="S20" i="45"/>
  <c r="W20" i="45" s="1"/>
  <c r="W28" i="45" s="1"/>
  <c r="AA430" i="24"/>
  <c r="T552" i="24"/>
  <c r="W552" i="24"/>
  <c r="W550" i="24"/>
  <c r="X550" i="24"/>
  <c r="D21" i="35"/>
  <c r="AR88" i="26"/>
  <c r="AR89" i="26" s="1"/>
  <c r="F94" i="26" s="1"/>
  <c r="O20" i="44"/>
  <c r="S20" i="44" s="1"/>
  <c r="E8" i="45"/>
  <c r="I8" i="45" s="1"/>
  <c r="AQ88" i="26"/>
  <c r="AQ89" i="26" s="1"/>
  <c r="E94" i="26" s="1"/>
  <c r="AS88" i="26"/>
  <c r="AS89" i="26" s="1"/>
  <c r="G94" i="26" s="1"/>
  <c r="AI88" i="26"/>
  <c r="AI89" i="26" s="1"/>
  <c r="E92" i="26" s="1"/>
  <c r="E10" i="45"/>
  <c r="I10" i="45" s="1"/>
  <c r="C21" i="35"/>
  <c r="F21" i="35"/>
  <c r="E21" i="35"/>
  <c r="E33" i="35"/>
  <c r="E36" i="35" s="1"/>
  <c r="X19" i="44"/>
  <c r="AB19" i="44" s="1"/>
  <c r="AB19" i="45"/>
  <c r="Z23" i="44"/>
  <c r="Z25" i="44" s="1"/>
  <c r="AD23" i="45"/>
  <c r="AD25" i="45" s="1"/>
  <c r="AX88" i="26"/>
  <c r="AX89" i="26" s="1"/>
  <c r="D33" i="35"/>
  <c r="D36" i="35" s="1"/>
  <c r="AG87" i="26"/>
  <c r="AM88" i="26"/>
  <c r="AM89" i="26" s="1"/>
  <c r="E93" i="26" s="1"/>
  <c r="AN531" i="24"/>
  <c r="X23" i="44"/>
  <c r="AE421" i="24"/>
  <c r="P7" i="44"/>
  <c r="E8" i="44"/>
  <c r="AD87" i="26"/>
  <c r="AN88" i="26"/>
  <c r="AN89" i="26" s="1"/>
  <c r="F93" i="26" s="1"/>
  <c r="AE87" i="26"/>
  <c r="AH87" i="26"/>
  <c r="AF87" i="26"/>
  <c r="F40" i="35"/>
  <c r="F43" i="35" s="1"/>
  <c r="AE528" i="24"/>
  <c r="H17" i="35"/>
  <c r="AO401" i="24"/>
  <c r="AK397" i="24" s="1"/>
  <c r="AL492" i="24"/>
  <c r="AB20" i="45" s="1"/>
  <c r="AF20" i="45" s="1"/>
  <c r="D40" i="35"/>
  <c r="D43" i="35" s="1"/>
  <c r="C40" i="35"/>
  <c r="G40" i="35"/>
  <c r="G43" i="35" s="1"/>
  <c r="H39" i="35"/>
  <c r="W22" i="45" s="1"/>
  <c r="AE234" i="24"/>
  <c r="AE141" i="24"/>
  <c r="AW88" i="26"/>
  <c r="AD172" i="24"/>
  <c r="AE172" i="24" s="1"/>
  <c r="AD363" i="24"/>
  <c r="AE363" i="24" s="1"/>
  <c r="AD354" i="24"/>
  <c r="AE354" i="24" s="1"/>
  <c r="AD259" i="24"/>
  <c r="AD492" i="24"/>
  <c r="AE492" i="24" s="1"/>
  <c r="AD267" i="24"/>
  <c r="AE267" i="24" s="1"/>
  <c r="AD395" i="24"/>
  <c r="AE395" i="24" s="1"/>
  <c r="AD391" i="24"/>
  <c r="AE391" i="24" s="1"/>
  <c r="AD299" i="24"/>
  <c r="AD21" i="24"/>
  <c r="AE21" i="24" s="1"/>
  <c r="AD400" i="24"/>
  <c r="AE400" i="24" s="1"/>
  <c r="AD429" i="24"/>
  <c r="AE429" i="24" s="1"/>
  <c r="AD214" i="24"/>
  <c r="AD416" i="24"/>
  <c r="AE416" i="24" s="1"/>
  <c r="AD32" i="24"/>
  <c r="AD193" i="24"/>
  <c r="AE193" i="24" s="1"/>
  <c r="AE14" i="24"/>
  <c r="AD325" i="24"/>
  <c r="AD389" i="24"/>
  <c r="AE389" i="24" s="1"/>
  <c r="AD359" i="24"/>
  <c r="AE359" i="24" s="1"/>
  <c r="AD375" i="24"/>
  <c r="AE375" i="24" s="1"/>
  <c r="AD393" i="24"/>
  <c r="AE393" i="24" s="1"/>
  <c r="AD369" i="24"/>
  <c r="AE369" i="24" s="1"/>
  <c r="AD170" i="24"/>
  <c r="AE170" i="24" s="1"/>
  <c r="AD443" i="24"/>
  <c r="AE443" i="24" s="1"/>
  <c r="AD18" i="24"/>
  <c r="AD236" i="24"/>
  <c r="AE236" i="24" s="1"/>
  <c r="AD35" i="24"/>
  <c r="AE35" i="24" s="1"/>
  <c r="AD524" i="24"/>
  <c r="AE524" i="24" s="1"/>
  <c r="AE29" i="24"/>
  <c r="AD394" i="24"/>
  <c r="AE394" i="24" s="1"/>
  <c r="AD392" i="24"/>
  <c r="AE392" i="24" s="1"/>
  <c r="AD349" i="24"/>
  <c r="AE349" i="24" s="1"/>
  <c r="H11" i="35"/>
  <c r="H19" i="35"/>
  <c r="AD203" i="24"/>
  <c r="AE203" i="24" s="1"/>
  <c r="C41" i="35"/>
  <c r="H30" i="35"/>
  <c r="E40" i="35"/>
  <c r="E43" i="35" s="1"/>
  <c r="AB37" i="24"/>
  <c r="Z37" i="24"/>
  <c r="AB16" i="24"/>
  <c r="AC37" i="24"/>
  <c r="Z16" i="24"/>
  <c r="AC16" i="24"/>
  <c r="Z531" i="24"/>
  <c r="AC531" i="24"/>
  <c r="AB531" i="24"/>
  <c r="Z430" i="24"/>
  <c r="Y430" i="24"/>
  <c r="AC430" i="24"/>
  <c r="AB430" i="24"/>
  <c r="Z406" i="24"/>
  <c r="Y406" i="24"/>
  <c r="AC406" i="24"/>
  <c r="AB406" i="24"/>
  <c r="AB501" i="24"/>
  <c r="AC501" i="24"/>
  <c r="Z501" i="24"/>
  <c r="Y501" i="24"/>
  <c r="T571" i="24"/>
  <c r="F15" i="28"/>
  <c r="F6" i="28"/>
  <c r="D10" i="28"/>
  <c r="D27" i="28" s="1"/>
  <c r="F7" i="28"/>
  <c r="E10" i="28"/>
  <c r="E18" i="9"/>
  <c r="AD78" i="26"/>
  <c r="C11" i="4"/>
  <c r="E11" i="4"/>
  <c r="N7" i="46" s="1"/>
  <c r="AH78" i="26"/>
  <c r="AU70" i="26"/>
  <c r="AH70" i="26"/>
  <c r="F11" i="4"/>
  <c r="O7" i="46" s="1"/>
  <c r="D11" i="4"/>
  <c r="AE78" i="26"/>
  <c r="AF70" i="26"/>
  <c r="AU78" i="26"/>
  <c r="AF78" i="26"/>
  <c r="AE70" i="26"/>
  <c r="AC36" i="24"/>
  <c r="Z36" i="24"/>
  <c r="AB36" i="24"/>
  <c r="Y36" i="24"/>
  <c r="Z268" i="24"/>
  <c r="AB268" i="24"/>
  <c r="AC268" i="24"/>
  <c r="Y268" i="24"/>
  <c r="AC22" i="24"/>
  <c r="AC30" i="24" s="1"/>
  <c r="Z22" i="24"/>
  <c r="Z30" i="24" s="1"/>
  <c r="AB22" i="24"/>
  <c r="AB30" i="24" s="1"/>
  <c r="Y22" i="24"/>
  <c r="Z403" i="24"/>
  <c r="AB403" i="24"/>
  <c r="AC403" i="24"/>
  <c r="Y403" i="24"/>
  <c r="Y454" i="24"/>
  <c r="Z454" i="24"/>
  <c r="AB454" i="24"/>
  <c r="AC454" i="24"/>
  <c r="Z174" i="24"/>
  <c r="AB174" i="24"/>
  <c r="Y174" i="24"/>
  <c r="Z450" i="24"/>
  <c r="AB450" i="24"/>
  <c r="AC450" i="24"/>
  <c r="Y450" i="24"/>
  <c r="Z237" i="24"/>
  <c r="AB237" i="24"/>
  <c r="AC237" i="24"/>
  <c r="Y237" i="24"/>
  <c r="Z316" i="24"/>
  <c r="AB316" i="24"/>
  <c r="AC316" i="24"/>
  <c r="Y316" i="24"/>
  <c r="AC15" i="24"/>
  <c r="Z15" i="24"/>
  <c r="AB15" i="24"/>
  <c r="Y15" i="24"/>
  <c r="AY80" i="26"/>
  <c r="AZ80" i="26" s="1"/>
  <c r="S554" i="24"/>
  <c r="S553" i="24"/>
  <c r="AD70" i="26"/>
  <c r="AG70" i="26"/>
  <c r="H7" i="45" s="1"/>
  <c r="AT88" i="26"/>
  <c r="AT89" i="26" s="1"/>
  <c r="H94" i="26" s="1"/>
  <c r="AE377" i="24" l="1"/>
  <c r="AD88" i="26"/>
  <c r="AD89" i="26" s="1"/>
  <c r="AE405" i="24"/>
  <c r="S26" i="45"/>
  <c r="AG88" i="26"/>
  <c r="D93" i="26"/>
  <c r="D92" i="26"/>
  <c r="D15" i="9"/>
  <c r="M7" i="46"/>
  <c r="G11" i="4"/>
  <c r="O26" i="44"/>
  <c r="H95" i="26"/>
  <c r="G18" i="9" s="1"/>
  <c r="S550" i="24"/>
  <c r="L7" i="46"/>
  <c r="C13" i="4"/>
  <c r="AW89" i="26"/>
  <c r="E11" i="45"/>
  <c r="H5" i="44"/>
  <c r="H5" i="45"/>
  <c r="H11" i="45" s="1"/>
  <c r="T6" i="45"/>
  <c r="I7" i="45"/>
  <c r="G13" i="45" s="1"/>
  <c r="T7" i="45"/>
  <c r="V7" i="45" s="1"/>
  <c r="T8" i="45"/>
  <c r="G11" i="44"/>
  <c r="G5" i="45"/>
  <c r="G11" i="45" s="1"/>
  <c r="F5" i="44"/>
  <c r="F5" i="45"/>
  <c r="C43" i="35"/>
  <c r="C36" i="35"/>
  <c r="H31" i="35"/>
  <c r="H41" i="35"/>
  <c r="AF23" i="45"/>
  <c r="W11" i="44"/>
  <c r="AA11" i="45"/>
  <c r="AA14" i="45" s="1"/>
  <c r="H33" i="35"/>
  <c r="AF19" i="45"/>
  <c r="AB25" i="45"/>
  <c r="S22" i="44"/>
  <c r="X20" i="44"/>
  <c r="AB20" i="44" s="1"/>
  <c r="AG89" i="26"/>
  <c r="H7" i="44"/>
  <c r="F11" i="44"/>
  <c r="I8" i="44"/>
  <c r="E11" i="44"/>
  <c r="S7" i="44"/>
  <c r="R7" i="44"/>
  <c r="AL404" i="24"/>
  <c r="AK538" i="24"/>
  <c r="AN538" i="24" s="1"/>
  <c r="AQ531" i="24"/>
  <c r="AB23" i="44"/>
  <c r="AE18" i="24"/>
  <c r="AE23" i="24"/>
  <c r="AE325" i="24"/>
  <c r="AE259" i="24"/>
  <c r="AE269" i="24"/>
  <c r="AE238" i="24"/>
  <c r="AE11" i="24"/>
  <c r="AE32" i="24"/>
  <c r="E21" i="28"/>
  <c r="D21" i="28"/>
  <c r="AU88" i="26"/>
  <c r="AU89" i="26" s="1"/>
  <c r="E95" i="26" s="1"/>
  <c r="AH88" i="26"/>
  <c r="AH89" i="26" s="1"/>
  <c r="AY78" i="26"/>
  <c r="AZ78" i="26" s="1"/>
  <c r="AE299" i="24"/>
  <c r="AE214" i="24"/>
  <c r="AD15" i="24"/>
  <c r="AE15" i="24" s="1"/>
  <c r="AD501" i="24"/>
  <c r="AE501" i="24" s="1"/>
  <c r="AD316" i="24"/>
  <c r="AE316" i="24" s="1"/>
  <c r="AD403" i="24"/>
  <c r="AE403" i="24" s="1"/>
  <c r="T574" i="24"/>
  <c r="AD450" i="24"/>
  <c r="AE450" i="24" s="1"/>
  <c r="AD268" i="24"/>
  <c r="AE268" i="24" s="1"/>
  <c r="AD22" i="24"/>
  <c r="AE22" i="24" s="1"/>
  <c r="AD406" i="24"/>
  <c r="AE406" i="24" s="1"/>
  <c r="AD16" i="24"/>
  <c r="AE16" i="24" s="1"/>
  <c r="AD174" i="24"/>
  <c r="AE174" i="24" s="1"/>
  <c r="AD454" i="24"/>
  <c r="AE454" i="24" s="1"/>
  <c r="AD30" i="24"/>
  <c r="AE30" i="24" s="1"/>
  <c r="AD36" i="24"/>
  <c r="AE36" i="24" s="1"/>
  <c r="AD237" i="24"/>
  <c r="AE237" i="24" s="1"/>
  <c r="H37" i="35"/>
  <c r="AD430" i="24"/>
  <c r="AE430" i="24" s="1"/>
  <c r="AD37" i="24"/>
  <c r="AE37" i="24" s="1"/>
  <c r="H40" i="35"/>
  <c r="H20" i="35"/>
  <c r="D7" i="35"/>
  <c r="F7" i="35"/>
  <c r="G7" i="35"/>
  <c r="E7" i="35"/>
  <c r="C7" i="35"/>
  <c r="H24" i="9"/>
  <c r="H22" i="9"/>
  <c r="F16" i="9"/>
  <c r="E17" i="9"/>
  <c r="E16" i="9"/>
  <c r="G17" i="9"/>
  <c r="G16" i="9"/>
  <c r="F17" i="9"/>
  <c r="G26" i="9"/>
  <c r="Y532" i="24"/>
  <c r="AA532" i="24"/>
  <c r="AC532" i="24"/>
  <c r="Z532" i="24"/>
  <c r="AB532" i="24"/>
  <c r="Z404" i="24"/>
  <c r="AB404" i="24"/>
  <c r="AC404" i="24"/>
  <c r="Z376" i="24"/>
  <c r="AB376" i="24"/>
  <c r="AC376" i="24"/>
  <c r="Y376" i="24"/>
  <c r="S552" i="24"/>
  <c r="AY70" i="26"/>
  <c r="AZ70" i="26" s="1"/>
  <c r="AE88" i="26"/>
  <c r="AE89" i="26" s="1"/>
  <c r="G95" i="26" l="1"/>
  <c r="F18" i="9" s="1"/>
  <c r="V555" i="24"/>
  <c r="V549" i="24"/>
  <c r="H11" i="44"/>
  <c r="I5" i="44"/>
  <c r="O12" i="4"/>
  <c r="P8" i="46"/>
  <c r="T14" i="45"/>
  <c r="V6" i="45"/>
  <c r="O11" i="4"/>
  <c r="P7" i="46"/>
  <c r="F11" i="45"/>
  <c r="I5" i="45"/>
  <c r="H43" i="35"/>
  <c r="H36" i="35"/>
  <c r="H21" i="35"/>
  <c r="S8" i="45"/>
  <c r="V8" i="45" s="1"/>
  <c r="V14" i="45" s="1"/>
  <c r="O8" i="44"/>
  <c r="O14" i="44" s="1"/>
  <c r="AF25" i="45"/>
  <c r="W23" i="45"/>
  <c r="W26" i="45" s="1"/>
  <c r="X25" i="44"/>
  <c r="E27" i="28"/>
  <c r="AE38" i="24"/>
  <c r="AB25" i="44"/>
  <c r="P8" i="44"/>
  <c r="P6" i="44"/>
  <c r="I7" i="44"/>
  <c r="G13" i="44" s="1"/>
  <c r="W14" i="44"/>
  <c r="S23" i="44"/>
  <c r="S26" i="44" s="1"/>
  <c r="AE31" i="24"/>
  <c r="AE17" i="24"/>
  <c r="D16" i="9"/>
  <c r="H16" i="9" s="1"/>
  <c r="D17" i="9"/>
  <c r="H17" i="9" s="1"/>
  <c r="AD376" i="24"/>
  <c r="AE376" i="24" s="1"/>
  <c r="AD404" i="24"/>
  <c r="AE404" i="24" s="1"/>
  <c r="AD533" i="24"/>
  <c r="H7" i="35"/>
  <c r="AC68" i="24"/>
  <c r="AB68" i="24"/>
  <c r="Z68" i="24"/>
  <c r="Y68" i="24"/>
  <c r="H23" i="9"/>
  <c r="E26" i="9"/>
  <c r="F97" i="26"/>
  <c r="H97" i="26"/>
  <c r="F15" i="9"/>
  <c r="G15" i="9"/>
  <c r="G20" i="9" s="1"/>
  <c r="E15" i="9"/>
  <c r="E20" i="9" s="1"/>
  <c r="G97" i="26" l="1"/>
  <c r="F20" i="9"/>
  <c r="V556" i="24"/>
  <c r="S549" i="24"/>
  <c r="T559" i="24" s="1"/>
  <c r="S28" i="44"/>
  <c r="I11" i="45"/>
  <c r="J5" i="45" s="1"/>
  <c r="S14" i="45"/>
  <c r="W29" i="45" s="1"/>
  <c r="W30" i="45" s="1"/>
  <c r="D94" i="26"/>
  <c r="P14" i="44"/>
  <c r="S14" i="44" s="1"/>
  <c r="S6" i="44"/>
  <c r="R6" i="44"/>
  <c r="I11" i="44"/>
  <c r="I13" i="44" s="1"/>
  <c r="R8" i="44"/>
  <c r="S8" i="44"/>
  <c r="D18" i="9"/>
  <c r="D20" i="9" s="1"/>
  <c r="AD68" i="24"/>
  <c r="D26" i="9"/>
  <c r="H21" i="9"/>
  <c r="H26" i="9" s="1"/>
  <c r="F26" i="9"/>
  <c r="H15" i="9"/>
  <c r="AY84" i="26"/>
  <c r="AZ84" i="26" s="1"/>
  <c r="E97" i="26" l="1"/>
  <c r="D95" i="26"/>
  <c r="J7" i="45"/>
  <c r="J11" i="45"/>
  <c r="I13" i="45"/>
  <c r="J6" i="45"/>
  <c r="J9" i="45"/>
  <c r="J8" i="45"/>
  <c r="J10" i="45"/>
  <c r="J11" i="44"/>
  <c r="J9" i="44"/>
  <c r="J6" i="44"/>
  <c r="J10" i="44"/>
  <c r="J8" i="44"/>
  <c r="J5" i="44"/>
  <c r="R14" i="44"/>
  <c r="J7" i="44"/>
  <c r="H18" i="9"/>
  <c r="H20" i="9" s="1"/>
  <c r="AE68" i="24"/>
  <c r="D97" i="26" l="1"/>
  <c r="D98" i="26" s="1"/>
  <c r="AY85" i="26"/>
  <c r="AZ85" i="26" s="1"/>
  <c r="AY86" i="26" l="1"/>
  <c r="AZ86" i="26" s="1"/>
  <c r="AF88" i="26"/>
  <c r="AF89" i="26" s="1"/>
  <c r="AH91" i="26" s="1"/>
  <c r="AY87" i="26" l="1"/>
  <c r="AZ87" i="26" s="1"/>
  <c r="AY88" i="26"/>
  <c r="AZ88" i="26" l="1"/>
  <c r="AY89" i="26"/>
  <c r="H110" i="26"/>
  <c r="H113" i="26"/>
  <c r="H112" i="26"/>
  <c r="H114" i="26"/>
  <c r="H101" i="26" s="1"/>
  <c r="H111" i="26"/>
  <c r="H115" i="26"/>
  <c r="H102" i="26" s="1"/>
  <c r="G104" i="26"/>
  <c r="F104" i="26"/>
  <c r="H109" i="26"/>
  <c r="H117" i="26" l="1"/>
  <c r="AH92" i="26" s="1"/>
  <c r="AF90" i="26" s="1"/>
  <c r="H100" i="26"/>
  <c r="H104" i="26" s="1"/>
  <c r="D104" i="26"/>
  <c r="E104" i="26"/>
  <c r="F9" i="28"/>
  <c r="AD588" i="24" l="1"/>
  <c r="AD556" i="24"/>
  <c r="M10" i="4"/>
  <c r="M13" i="4" s="1"/>
  <c r="Z580" i="24" l="1"/>
  <c r="J13" i="4"/>
  <c r="AC218" i="24" l="1"/>
  <c r="AD589" i="24" l="1"/>
  <c r="AD590" i="24" s="1"/>
  <c r="AD545" i="24"/>
  <c r="Z218" i="24"/>
  <c r="Y218" i="24"/>
  <c r="F10" i="4"/>
  <c r="O6" i="46" s="1"/>
  <c r="AB218" i="24"/>
  <c r="AD218" i="24" l="1"/>
  <c r="AE218" i="24" s="1"/>
  <c r="M8" i="4"/>
  <c r="F13" i="4"/>
  <c r="O10" i="46" s="1"/>
  <c r="J8" i="4" l="1"/>
  <c r="L6" i="46"/>
  <c r="L10" i="46"/>
  <c r="AB183" i="24" l="1"/>
  <c r="AC183" i="24"/>
  <c r="Z183" i="24"/>
  <c r="Y183" i="24"/>
  <c r="C9" i="35" l="1"/>
  <c r="D9" i="35"/>
  <c r="E9" i="35"/>
  <c r="G9" i="35"/>
  <c r="F9" i="35"/>
  <c r="AD183" i="24"/>
  <c r="AE219" i="24" l="1"/>
  <c r="H9" i="35"/>
  <c r="AE183" i="24"/>
  <c r="AB576" i="24"/>
  <c r="Z138" i="24"/>
  <c r="S164" i="24"/>
  <c r="S534" i="24" s="1"/>
  <c r="C8" i="28"/>
  <c r="C10" i="28" s="1"/>
  <c r="C21" i="28" s="1"/>
  <c r="C27" i="28" s="1"/>
  <c r="F28" i="28" s="1"/>
  <c r="AC576" i="24"/>
  <c r="T555" i="24"/>
  <c r="W555" i="24"/>
  <c r="W556" i="24" s="1"/>
  <c r="X555" i="24"/>
  <c r="X556" i="24" s="1"/>
  <c r="U555" i="24" l="1"/>
  <c r="S555" i="24" s="1"/>
  <c r="AB555" i="24"/>
  <c r="AC555" i="24"/>
  <c r="AC556" i="24" s="1"/>
  <c r="AA164" i="24"/>
  <c r="F8" i="28"/>
  <c r="K10" i="4"/>
  <c r="D8" i="35"/>
  <c r="D10" i="35" s="1"/>
  <c r="P164" i="24"/>
  <c r="P534" i="24" s="1"/>
  <c r="AC588" i="24"/>
  <c r="L10" i="4"/>
  <c r="L13" i="4" s="1"/>
  <c r="Q164" i="24"/>
  <c r="AB164" i="24"/>
  <c r="AC164" i="24"/>
  <c r="Z164" i="24"/>
  <c r="Y138" i="24"/>
  <c r="C8" i="35" s="1"/>
  <c r="C10" i="35" s="1"/>
  <c r="AC138" i="24"/>
  <c r="AB138" i="24"/>
  <c r="Q534" i="24" l="1"/>
  <c r="AC545" i="24" s="1"/>
  <c r="D44" i="35"/>
  <c r="U556" i="24"/>
  <c r="F10" i="28"/>
  <c r="F21" i="28" s="1"/>
  <c r="O535" i="24"/>
  <c r="Y534" i="24"/>
  <c r="N10" i="4"/>
  <c r="N13" i="4" s="1"/>
  <c r="AB534" i="24"/>
  <c r="W557" i="24" s="1"/>
  <c r="AA534" i="24"/>
  <c r="V557" i="24" s="1"/>
  <c r="AD164" i="24"/>
  <c r="AE164" i="24" s="1"/>
  <c r="AE534" i="24" s="1"/>
  <c r="C44" i="35"/>
  <c r="K13" i="4"/>
  <c r="AB556" i="24"/>
  <c r="Z555" i="24"/>
  <c r="Z556" i="24" s="1"/>
  <c r="AC534" i="24"/>
  <c r="G45" i="35" s="1"/>
  <c r="AD138" i="24"/>
  <c r="H45" i="35"/>
  <c r="R535" i="24"/>
  <c r="AD535" i="24"/>
  <c r="AB589" i="24"/>
  <c r="AB545" i="24"/>
  <c r="P535" i="24"/>
  <c r="D10" i="4"/>
  <c r="E8" i="35"/>
  <c r="E10" i="35" s="1"/>
  <c r="T556" i="24"/>
  <c r="G8" i="35"/>
  <c r="G10" i="35" s="1"/>
  <c r="G44" i="35" s="1"/>
  <c r="AB588" i="24"/>
  <c r="Z576" i="24"/>
  <c r="Z588" i="24" s="1"/>
  <c r="F8" i="35"/>
  <c r="F10" i="35" s="1"/>
  <c r="Z534" i="24"/>
  <c r="AE138" i="24" l="1"/>
  <c r="AD531" i="24"/>
  <c r="AE531" i="24" s="1"/>
  <c r="E10" i="4"/>
  <c r="G10" i="4" s="1"/>
  <c r="G13" i="4" s="1"/>
  <c r="AC589" i="24"/>
  <c r="AC590" i="24" s="1"/>
  <c r="Q535" i="24"/>
  <c r="AC543" i="24" s="1"/>
  <c r="F13" i="9" s="1"/>
  <c r="S536" i="24"/>
  <c r="S537" i="24" s="1"/>
  <c r="E44" i="35"/>
  <c r="F44" i="35"/>
  <c r="AB590" i="24"/>
  <c r="F27" i="28"/>
  <c r="F30" i="28"/>
  <c r="X557" i="24"/>
  <c r="AA539" i="24"/>
  <c r="D9" i="9" s="1"/>
  <c r="AD534" i="24"/>
  <c r="S556" i="24"/>
  <c r="S557" i="24" s="1"/>
  <c r="F45" i="35"/>
  <c r="AC542" i="24"/>
  <c r="F12" i="9" s="1"/>
  <c r="AD542" i="24"/>
  <c r="G12" i="9" s="1"/>
  <c r="AB541" i="24"/>
  <c r="E11" i="9" s="1"/>
  <c r="E45" i="35"/>
  <c r="Z590" i="24"/>
  <c r="X583" i="24"/>
  <c r="S565" i="24" s="1"/>
  <c r="S535" i="24"/>
  <c r="K8" i="4"/>
  <c r="M6" i="46"/>
  <c r="D13" i="4"/>
  <c r="M10" i="46" s="1"/>
  <c r="AE165" i="24"/>
  <c r="AA542" i="24"/>
  <c r="AB542" i="24"/>
  <c r="E12" i="9" s="1"/>
  <c r="AC541" i="24"/>
  <c r="F11" i="9" s="1"/>
  <c r="AD541" i="24"/>
  <c r="G11" i="9" s="1"/>
  <c r="U557" i="24"/>
  <c r="D45" i="35"/>
  <c r="D46" i="35" s="1"/>
  <c r="AD540" i="24"/>
  <c r="G10" i="9" s="1"/>
  <c r="AA540" i="24"/>
  <c r="AC540" i="24"/>
  <c r="F10" i="9" s="1"/>
  <c r="AB540" i="24"/>
  <c r="E10" i="9" s="1"/>
  <c r="AD543" i="24"/>
  <c r="G13" i="9" s="1"/>
  <c r="AB543" i="24"/>
  <c r="E13" i="9" s="1"/>
  <c r="AA543" i="24"/>
  <c r="C45" i="35"/>
  <c r="C46" i="35" s="1"/>
  <c r="T557" i="24"/>
  <c r="AC539" i="24"/>
  <c r="AD539" i="24"/>
  <c r="AB539" i="24"/>
  <c r="AA541" i="24"/>
  <c r="H8" i="35"/>
  <c r="H10" i="35" s="1"/>
  <c r="L8" i="4" l="1"/>
  <c r="E13" i="4"/>
  <c r="N10" i="46" s="1"/>
  <c r="N6" i="46"/>
  <c r="E46" i="35"/>
  <c r="G46" i="35"/>
  <c r="F46" i="35"/>
  <c r="H10" i="4"/>
  <c r="H13" i="4"/>
  <c r="Z539" i="24"/>
  <c r="E29" i="9"/>
  <c r="D19" i="4"/>
  <c r="M18" i="46" s="1"/>
  <c r="G30" i="9"/>
  <c r="F20" i="4"/>
  <c r="O19" i="46" s="1"/>
  <c r="F31" i="9"/>
  <c r="E21" i="4"/>
  <c r="E28" i="9"/>
  <c r="D18" i="4"/>
  <c r="F29" i="9"/>
  <c r="E19" i="4"/>
  <c r="E31" i="9"/>
  <c r="D21" i="4"/>
  <c r="G31" i="9"/>
  <c r="F21" i="4"/>
  <c r="F28" i="9"/>
  <c r="E18" i="4"/>
  <c r="G28" i="9"/>
  <c r="F18" i="4"/>
  <c r="G29" i="9"/>
  <c r="F19" i="4"/>
  <c r="E30" i="9"/>
  <c r="D20" i="4"/>
  <c r="F30" i="9"/>
  <c r="E20" i="4"/>
  <c r="L20" i="4" s="1"/>
  <c r="H44" i="35"/>
  <c r="I10" i="35" s="1"/>
  <c r="AB544" i="24"/>
  <c r="E9" i="9"/>
  <c r="AA544" i="24"/>
  <c r="C17" i="4"/>
  <c r="AD536" i="24"/>
  <c r="R536" i="24"/>
  <c r="D13" i="9"/>
  <c r="Z543" i="24"/>
  <c r="Z542" i="24"/>
  <c r="D12" i="9"/>
  <c r="C20" i="4" s="1"/>
  <c r="Z541" i="24"/>
  <c r="D11" i="9"/>
  <c r="G9" i="9"/>
  <c r="AD544" i="24"/>
  <c r="AC544" i="24"/>
  <c r="F9" i="9"/>
  <c r="Z540" i="24"/>
  <c r="D10" i="9"/>
  <c r="O10" i="4"/>
  <c r="P6" i="46"/>
  <c r="X587" i="24"/>
  <c r="S567" i="24"/>
  <c r="N19" i="46" l="1"/>
  <c r="G20" i="4"/>
  <c r="M20" i="4"/>
  <c r="S568" i="24"/>
  <c r="Z544" i="24"/>
  <c r="Z545" i="24" s="1"/>
  <c r="G27" i="9"/>
  <c r="G32" i="9" s="1"/>
  <c r="F17" i="4"/>
  <c r="D31" i="9"/>
  <c r="H31" i="9" s="1"/>
  <c r="C21" i="4"/>
  <c r="E27" i="9"/>
  <c r="E32" i="9" s="1"/>
  <c r="D17" i="4"/>
  <c r="D28" i="9"/>
  <c r="H28" i="9" s="1"/>
  <c r="C18" i="4"/>
  <c r="F27" i="9"/>
  <c r="F32" i="9" s="1"/>
  <c r="E17" i="4"/>
  <c r="D29" i="9"/>
  <c r="H29" i="9" s="1"/>
  <c r="C19" i="4"/>
  <c r="D30" i="9"/>
  <c r="H30" i="9" s="1"/>
  <c r="D27" i="9"/>
  <c r="H9" i="9"/>
  <c r="K19" i="4"/>
  <c r="H11" i="4"/>
  <c r="P10" i="46"/>
  <c r="Q6" i="46" s="1"/>
  <c r="H12" i="4"/>
  <c r="M19" i="46"/>
  <c r="K20" i="4"/>
  <c r="O18" i="46"/>
  <c r="M19" i="4"/>
  <c r="G14" i="9"/>
  <c r="O20" i="46"/>
  <c r="M21" i="4"/>
  <c r="H13" i="9"/>
  <c r="E14" i="9"/>
  <c r="H10" i="9"/>
  <c r="K18" i="4"/>
  <c r="M17" i="46"/>
  <c r="N20" i="46"/>
  <c r="L21" i="4"/>
  <c r="F14" i="9"/>
  <c r="H11" i="9"/>
  <c r="H12" i="9"/>
  <c r="L19" i="4"/>
  <c r="N18" i="46"/>
  <c r="M18" i="4"/>
  <c r="O17" i="46"/>
  <c r="L18" i="4"/>
  <c r="N17" i="46"/>
  <c r="M20" i="46"/>
  <c r="K21" i="4"/>
  <c r="D14" i="9"/>
  <c r="I31" i="35"/>
  <c r="H46" i="35"/>
  <c r="I43" i="35"/>
  <c r="I36" i="35"/>
  <c r="I21" i="35"/>
  <c r="H14" i="9" l="1"/>
  <c r="D32" i="9"/>
  <c r="H27" i="9"/>
  <c r="H32" i="9" s="1"/>
  <c r="L16" i="46"/>
  <c r="C22" i="4"/>
  <c r="L21" i="46" s="1"/>
  <c r="J17" i="4"/>
  <c r="G17" i="4"/>
  <c r="L18" i="46"/>
  <c r="J19" i="4"/>
  <c r="N19" i="4" s="1"/>
  <c r="G19" i="4"/>
  <c r="M16" i="46"/>
  <c r="D22" i="4"/>
  <c r="M21" i="46" s="1"/>
  <c r="K17" i="4"/>
  <c r="K22" i="4" s="1"/>
  <c r="L20" i="46"/>
  <c r="J21" i="4"/>
  <c r="N21" i="4" s="1"/>
  <c r="G21" i="4"/>
  <c r="F22" i="4"/>
  <c r="O21" i="46" s="1"/>
  <c r="M17" i="4"/>
  <c r="M22" i="4" s="1"/>
  <c r="O16" i="46"/>
  <c r="L19" i="46"/>
  <c r="J20" i="4"/>
  <c r="N20" i="4" s="1"/>
  <c r="E22" i="4"/>
  <c r="N21" i="46" s="1"/>
  <c r="L17" i="4"/>
  <c r="L22" i="4" s="1"/>
  <c r="N16" i="46"/>
  <c r="L17" i="46"/>
  <c r="J18" i="4"/>
  <c r="N18" i="4" s="1"/>
  <c r="G18" i="4"/>
  <c r="Z557" i="24"/>
  <c r="Q9" i="46"/>
  <c r="Q7" i="46"/>
  <c r="Q10" i="46"/>
  <c r="Q8" i="46"/>
  <c r="H20" i="4" l="1"/>
  <c r="P19" i="46"/>
  <c r="H17" i="4"/>
  <c r="G22" i="4"/>
  <c r="P16" i="46"/>
  <c r="H18" i="4"/>
  <c r="P17" i="46"/>
  <c r="P20" i="46"/>
  <c r="H21" i="4"/>
  <c r="H19" i="4"/>
  <c r="P18" i="46"/>
  <c r="J22" i="4"/>
  <c r="N17" i="4"/>
  <c r="N22" i="4" s="1"/>
  <c r="H22" i="4" l="1"/>
  <c r="P21" i="46"/>
  <c r="Q20" i="46" s="1"/>
  <c r="G25" i="4"/>
  <c r="Q19" i="46" l="1"/>
  <c r="Q17" i="46"/>
  <c r="Q16" i="46"/>
  <c r="Q18" i="46"/>
  <c r="Q21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Rattana</author>
  </authors>
  <commentList>
    <comment ref="M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Difference from B.Mao.
Grant 50% + Ben 50%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Rattana</author>
    <author>Windows User</author>
    <author>Meeting on 26-Nov-20</author>
    <author>Chea</author>
    <author>Dell</author>
    <author>Lenovo</author>
  </authors>
  <commentList>
    <comment ref="F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Meeting: </t>
        </r>
        <r>
          <rPr>
            <sz val="9"/>
            <color indexed="81"/>
            <rFont val="Tahoma"/>
            <family val="2"/>
          </rPr>
          <t xml:space="preserve">Not clearly determine what they need for, Loader or short road in the compound, Fence etc.
</t>
        </r>
      </text>
    </comment>
    <comment ref="H1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Not Clear, will change base on item</t>
        </r>
      </text>
    </comment>
    <comment ref="E18" authorId="2" shapeId="0" xr:uid="{00000000-0006-0000-0300-000003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Need bidding document to workout on price</t>
        </r>
      </text>
    </comment>
    <comment ref="J1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1.2 to 1.0</t>
        </r>
      </text>
    </comment>
    <comment ref="L18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Rattana:
</t>
        </r>
        <r>
          <rPr>
            <sz val="9"/>
            <color indexed="81"/>
            <rFont val="Tahoma"/>
            <family val="2"/>
          </rPr>
          <t xml:space="preserve">14.8 to 14.0
</t>
        </r>
      </text>
    </comment>
    <comment ref="H21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Not Clear</t>
        </r>
      </text>
    </comment>
    <comment ref="J21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Rattana</t>
        </r>
        <r>
          <rPr>
            <sz val="9"/>
            <color indexed="81"/>
            <rFont val="Tahoma"/>
            <family val="2"/>
          </rPr>
          <t xml:space="preserve">: 1.2 to 1.0
</t>
        </r>
      </text>
    </comment>
    <comment ref="L21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Rattana</t>
        </r>
        <r>
          <rPr>
            <sz val="9"/>
            <color indexed="81"/>
            <rFont val="Tahoma"/>
            <family val="2"/>
          </rPr>
          <t>: 14.8 to 14.0</t>
        </r>
      </text>
    </comment>
    <comment ref="F23" authorId="2" shapeId="0" xr:uid="{00000000-0006-0000-0300-000009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Need break down on the procumrent and cost exstimate
</t>
        </r>
      </text>
    </comment>
    <comment ref="L24" authorId="3" shapeId="0" xr:uid="{00000000-0006-0000-0300-00000A000000}">
      <text>
        <r>
          <rPr>
            <b/>
            <sz val="9"/>
            <color indexed="81"/>
            <rFont val="Tahoma"/>
            <family val="2"/>
          </rPr>
          <t>Rattana</t>
        </r>
        <r>
          <rPr>
            <sz val="9"/>
            <color indexed="81"/>
            <rFont val="Tahoma"/>
            <family val="2"/>
          </rPr>
          <t xml:space="preserve">: 14.8 to 14.0
</t>
        </r>
      </text>
    </comment>
    <comment ref="H35" authorId="1" shapeId="0" xr:uid="{00000000-0006-0000-0300-00000B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Not clear</t>
        </r>
      </text>
    </comment>
    <comment ref="F44" authorId="0" shapeId="0" xr:uid="{00000000-0006-0000-0300-00000C000000}">
      <text>
        <r>
          <rPr>
            <sz val="9"/>
            <color indexed="81"/>
            <rFont val="Tahoma"/>
            <family val="2"/>
          </rPr>
          <t>Breakdown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4" shapeId="0" xr:uid="{00000000-0006-0000-0300-00000D000000}">
      <text>
        <r>
          <rPr>
            <b/>
            <sz val="9"/>
            <color indexed="81"/>
            <rFont val="Tahoma"/>
            <family val="2"/>
          </rPr>
          <t>Chea:</t>
        </r>
        <r>
          <rPr>
            <sz val="9"/>
            <color indexed="81"/>
            <rFont val="Tahoma"/>
            <family val="2"/>
          </rPr>
          <t xml:space="preserve">
Unit cost here is increased from $6,450 to $64,500
In cost tab, unit cost without contigency $25,800, with contigency $ 30,170, but this is not enough.</t>
        </r>
      </text>
    </comment>
    <comment ref="F56" authorId="4" shapeId="0" xr:uid="{00000000-0006-0000-0300-00000E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Need Break down.</t>
        </r>
      </text>
    </comment>
    <comment ref="F63" authorId="4" shapeId="0" xr:uid="{00000000-0006-0000-0300-00000F000000}">
      <text>
        <r>
          <rPr>
            <b/>
            <sz val="9"/>
            <color indexed="81"/>
            <rFont val="Tahoma"/>
            <family val="2"/>
          </rPr>
          <t>Chea:</t>
        </r>
        <r>
          <rPr>
            <sz val="9"/>
            <color indexed="81"/>
            <rFont val="Tahoma"/>
            <family val="2"/>
          </rPr>
          <t xml:space="preserve">
This minor equipment are newly added following cost tab.</t>
        </r>
      </text>
    </comment>
    <comment ref="C71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G1</t>
        </r>
      </text>
    </comment>
    <comment ref="F74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Why is it so expensive?</t>
        </r>
      </text>
    </comment>
    <comment ref="F75" authorId="2" shapeId="0" xr:uid="{00000000-0006-0000-0300-000012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Why is it so expensive?</t>
        </r>
      </text>
    </comment>
    <comment ref="D83" authorId="2" shapeId="0" xr:uid="{00000000-0006-0000-0300-000013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Ask for description of all goods</t>
        </r>
      </text>
    </comment>
    <comment ref="F105" authorId="1" shapeId="0" xr:uid="{00000000-0006-0000-0300-000014000000}">
      <text>
        <r>
          <rPr>
            <b/>
            <sz val="9"/>
            <color indexed="81"/>
            <rFont val="Tahoma"/>
            <family val="2"/>
          </rPr>
          <t>Meeting:</t>
        </r>
        <r>
          <rPr>
            <sz val="9"/>
            <color indexed="81"/>
            <rFont val="Tahoma"/>
            <family val="2"/>
          </rPr>
          <t xml:space="preserve">
If need miscellaneous, only Max.10%</t>
        </r>
      </text>
    </comment>
    <comment ref="H105" authorId="5" shapeId="0" xr:uid="{00000000-0006-0000-0300-000015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Need detailed</t>
        </r>
      </text>
    </comment>
    <comment ref="F134" authorId="1" shapeId="0" xr:uid="{00000000-0006-0000-0300-000016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If need miscellaneous, only Max.10%</t>
        </r>
      </text>
    </comment>
    <comment ref="H134" authorId="5" shapeId="0" xr:uid="{00000000-0006-0000-0300-000017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Need detailed, Not lump sum</t>
        </r>
      </text>
    </comment>
    <comment ref="C141" authorId="5" shapeId="0" xr:uid="{00000000-0006-0000-0300-000018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Change code</t>
        </r>
      </text>
    </comment>
    <comment ref="G141" authorId="1" shapeId="0" xr:uid="{00000000-0006-0000-0300-000019000000}">
      <text>
        <r>
          <rPr>
            <b/>
            <sz val="9"/>
            <color indexed="81"/>
            <rFont val="Tahoma"/>
            <family val="2"/>
          </rPr>
          <t>Meeting:</t>
        </r>
        <r>
          <rPr>
            <sz val="9"/>
            <color indexed="81"/>
            <rFont val="Tahoma"/>
            <family val="2"/>
          </rPr>
          <t xml:space="preserve">
Will clarify later</t>
        </r>
      </text>
    </comment>
    <comment ref="H141" authorId="5" shapeId="0" xr:uid="{00000000-0006-0000-0300-00001A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Breakdown</t>
        </r>
      </text>
    </comment>
    <comment ref="I141" authorId="6" shapeId="0" xr:uid="{00000000-0006-0000-0300-00001B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 cost 20,0000</t>
        </r>
      </text>
    </comment>
    <comment ref="C142" authorId="5" shapeId="0" xr:uid="{00000000-0006-0000-0300-00001C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Change code</t>
        </r>
      </text>
    </comment>
    <comment ref="C143" authorId="5" shapeId="0" xr:uid="{00000000-0006-0000-0300-00001D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Change code</t>
        </r>
      </text>
    </comment>
    <comment ref="C144" authorId="5" shapeId="0" xr:uid="{00000000-0006-0000-0300-00001E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Change code</t>
        </r>
      </text>
    </comment>
    <comment ref="I147" authorId="6" shapeId="0" xr:uid="{00000000-0006-0000-0300-00001F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Course duration should be 10 days</t>
        </r>
      </text>
    </comment>
    <comment ref="I148" authorId="5" shapeId="0" xr:uid="{00000000-0006-0000-0300-000020000000}">
      <text>
        <r>
          <rPr>
            <b/>
            <sz val="9"/>
            <color indexed="81"/>
            <rFont val="Tahoma"/>
            <family val="2"/>
          </rPr>
          <t>Meeting:</t>
        </r>
        <r>
          <rPr>
            <sz val="9"/>
            <color indexed="81"/>
            <rFont val="Tahoma"/>
            <family val="2"/>
          </rPr>
          <t xml:space="preserve">
Follow Sub degree?</t>
        </r>
      </text>
    </comment>
    <comment ref="D150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Why there is flight ticket?</t>
        </r>
      </text>
    </comment>
    <comment ref="D156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Why there is flight ticket?</t>
        </r>
      </text>
    </comment>
    <comment ref="I160" authorId="1" shapeId="0" xr:uid="{00000000-0006-0000-0300-000023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It has to be followed Sub-Degree on DSa</t>
        </r>
      </text>
    </comment>
    <comment ref="D161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Hire trainer? Should be perdiem only?</t>
        </r>
      </text>
    </comment>
    <comment ref="D162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Why there is flight ticket?</t>
        </r>
      </text>
    </comment>
    <comment ref="F168" authorId="1" shapeId="0" xr:uid="{00000000-0006-0000-0300-000026000000}">
      <text>
        <r>
          <rPr>
            <b/>
            <sz val="9"/>
            <color indexed="81"/>
            <rFont val="Tahoma"/>
            <family val="2"/>
          </rPr>
          <t>Meeting:</t>
        </r>
        <r>
          <rPr>
            <sz val="9"/>
            <color indexed="81"/>
            <rFont val="Tahoma"/>
            <family val="2"/>
          </rPr>
          <t xml:space="preserve">
Keep it and request to ADB for approval</t>
        </r>
      </text>
    </comment>
    <comment ref="I168" authorId="6" shapeId="0" xr:uid="{00000000-0006-0000-0300-000027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2020, cost of 550/unit</t>
        </r>
      </text>
    </comment>
    <comment ref="F169" authorId="1" shapeId="0" xr:uid="{00000000-0006-0000-0300-000028000000}">
      <text>
        <r>
          <rPr>
            <b/>
            <sz val="9"/>
            <color indexed="81"/>
            <rFont val="Tahoma"/>
            <family val="2"/>
          </rPr>
          <t>Meeting:</t>
        </r>
        <r>
          <rPr>
            <sz val="9"/>
            <color indexed="81"/>
            <rFont val="Tahoma"/>
            <family val="2"/>
          </rPr>
          <t xml:space="preserve">
Keep it and request to ADB for approval</t>
        </r>
      </text>
    </comment>
    <comment ref="I169" authorId="6" shapeId="0" xr:uid="{00000000-0006-0000-0300-000029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2020, cost of 200/unit</t>
        </r>
      </text>
    </comment>
    <comment ref="F172" authorId="1" shapeId="0" xr:uid="{00000000-0006-0000-0300-00002A000000}">
      <text>
        <r>
          <rPr>
            <b/>
            <sz val="9"/>
            <color indexed="81"/>
            <rFont val="Tahoma"/>
            <family val="2"/>
          </rPr>
          <t>Meeting:</t>
        </r>
        <r>
          <rPr>
            <sz val="9"/>
            <color indexed="81"/>
            <rFont val="Tahoma"/>
            <family val="2"/>
          </rPr>
          <t xml:space="preserve">
Will include in unit price above at actual cost, not 30%. And delete this row.</t>
        </r>
      </text>
    </comment>
    <comment ref="C177" authorId="5" shapeId="0" xr:uid="{00000000-0006-0000-0300-00002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Change code</t>
        </r>
      </text>
    </comment>
    <comment ref="E177" authorId="1" shapeId="0" xr:uid="{00000000-0006-0000-0300-00002C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1.5.1, 1.5.4 and 1.5.6 should be the same line.</t>
        </r>
      </text>
    </comment>
    <comment ref="G177" authorId="2" shapeId="0" xr:uid="{00000000-0006-0000-0300-00002D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Breakdown all. I need to know how many participants would join to support all the expenditure. </t>
        </r>
      </text>
    </comment>
    <comment ref="H177" authorId="1" shapeId="0" xr:uid="{00000000-0006-0000-0300-00002E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Training or Trainees?</t>
        </r>
      </text>
    </comment>
    <comment ref="I177" authorId="6" shapeId="0" xr:uid="{00000000-0006-0000-0300-00002F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2020, Training for supervisors, coordinator, manson…cost of 7370</t>
        </r>
      </text>
    </comment>
    <comment ref="I178" authorId="6" shapeId="0" xr:uid="{00000000-0006-0000-0300-000030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2020, cost of 5460</t>
        </r>
      </text>
    </comment>
    <comment ref="I180" authorId="6" shapeId="0" xr:uid="{00000000-0006-0000-0300-00003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2020, cost of 0.91</t>
        </r>
      </text>
    </comment>
    <comment ref="H187" authorId="1" shapeId="0" xr:uid="{00000000-0006-0000-0300-000032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Not clear</t>
        </r>
      </text>
    </comment>
    <comment ref="G188" authorId="2" shapeId="0" xr:uid="{00000000-0006-0000-0300-000033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Too much?</t>
        </r>
      </text>
    </comment>
    <comment ref="G192" authorId="2" shapeId="0" xr:uid="{00000000-0006-0000-0300-000034000000}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>who is the trainer? Consultant?</t>
        </r>
      </text>
    </comment>
    <comment ref="L196" authorId="2" shapeId="0" xr:uid="{00000000-0006-0000-0300-000035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should be random check</t>
        </r>
      </text>
    </comment>
    <comment ref="H212" authorId="0" shapeId="0" xr:uid="{00000000-0006-0000-0300-00003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Channel</t>
        </r>
      </text>
    </comment>
    <comment ref="G234" authorId="1" shapeId="0" xr:uid="{00000000-0006-0000-0300-000037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Cost Breakdown</t>
        </r>
      </text>
    </comment>
    <comment ref="E240" authorId="1" shapeId="0" xr:uid="{00000000-0006-0000-0300-000038000000}">
      <text>
        <r>
          <rPr>
            <b/>
            <sz val="9"/>
            <color indexed="81"/>
            <rFont val="Tahoma"/>
            <family val="2"/>
          </rPr>
          <t xml:space="preserve">B.Vorn:
</t>
        </r>
        <r>
          <rPr>
            <sz val="9"/>
            <color indexed="81"/>
            <rFont val="Tahoma"/>
            <family val="2"/>
          </rPr>
          <t>Need Break 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3" authorId="6" shapeId="0" xr:uid="{00000000-0006-0000-0300-000039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3 staff from each provinces and 4 staff from GDA (proposed 2 types of TOT)</t>
        </r>
      </text>
    </comment>
    <comment ref="G265" authorId="1" shapeId="0" xr:uid="{00000000-0006-0000-0300-00003A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Need Break down</t>
        </r>
      </text>
    </comment>
    <comment ref="G266" authorId="1" shapeId="0" xr:uid="{00000000-0006-0000-0300-00003B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Break down</t>
        </r>
      </text>
    </comment>
    <comment ref="I266" authorId="6" shapeId="0" xr:uid="{00000000-0006-0000-0300-00003C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2020, cost of 500/ha</t>
        </r>
      </text>
    </comment>
    <comment ref="G277" authorId="1" shapeId="0" xr:uid="{00000000-0006-0000-0300-00003D000000}">
      <text>
        <r>
          <rPr>
            <b/>
            <sz val="9"/>
            <color indexed="81"/>
            <rFont val="Tahoma"/>
            <family val="2"/>
          </rPr>
          <t>B.Vorn:</t>
        </r>
        <r>
          <rPr>
            <sz val="9"/>
            <color indexed="81"/>
            <rFont val="Tahoma"/>
            <family val="2"/>
          </rPr>
          <t xml:space="preserve">
Break down</t>
        </r>
      </text>
    </comment>
    <comment ref="H283" authorId="1" shapeId="0" xr:uid="{00000000-0006-0000-0300-00003E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Meeting</t>
        </r>
      </text>
    </comment>
    <comment ref="D316" authorId="1" shapeId="0" xr:uid="{00000000-0006-0000-0300-00003F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Total T15</t>
        </r>
      </text>
    </comment>
    <comment ref="H337" authorId="1" shapeId="0" xr:uid="{00000000-0006-0000-0300-000040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Channel?</t>
        </r>
      </text>
    </comment>
    <comment ref="G339" authorId="1" shapeId="0" xr:uid="{00000000-0006-0000-0300-000041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Break down</t>
        </r>
      </text>
    </comment>
    <comment ref="D378" authorId="1" shapeId="0" xr:uid="{00000000-0006-0000-0300-000042000000}">
      <text>
        <r>
          <rPr>
            <b/>
            <sz val="9"/>
            <color indexed="81"/>
            <rFont val="Tahoma"/>
            <family val="2"/>
          </rPr>
          <t>Rattana:</t>
        </r>
        <r>
          <rPr>
            <sz val="9"/>
            <color indexed="81"/>
            <rFont val="Tahoma"/>
            <family val="2"/>
          </rPr>
          <t xml:space="preserve">
2 More cars?</t>
        </r>
      </text>
    </comment>
    <comment ref="I439" authorId="5" shapeId="0" xr:uid="{00000000-0006-0000-0300-00004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Has been changed from $5000.</t>
        </r>
      </text>
    </comment>
    <comment ref="I442" authorId="5" shapeId="0" xr:uid="{00000000-0006-0000-0300-00004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Changing unit cost from 62,500/2.5 = 25,000 or
25,000/1000 = 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I130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>$226 per month</t>
        </r>
      </text>
    </comment>
    <comment ref="I131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>15% for 1st year
17% for 2nd year
34% for 3rd year
17% for 4th year
17% for 5th year</t>
        </r>
      </text>
    </comment>
    <comment ref="H134" authorId="0" shapeId="0" xr:uid="{00000000-0006-0000-0500-000003000000}">
      <text>
        <r>
          <rPr>
            <sz val="14"/>
            <color indexed="81"/>
            <rFont val="Tahoma"/>
            <family val="2"/>
          </rPr>
          <t xml:space="preserve">Fuel and repairing $450 per vehicle for 5 vehicle
</t>
        </r>
      </text>
    </comment>
    <comment ref="H135" authorId="0" shapeId="0" xr:uid="{00000000-0006-0000-0500-000004000000}">
      <text>
        <r>
          <rPr>
            <b/>
            <sz val="12"/>
            <color indexed="81"/>
            <rFont val="Tahoma"/>
            <family val="2"/>
          </rPr>
          <t>Office supply=$400 per month
Communication= $350 per month</t>
        </r>
      </text>
    </comment>
    <comment ref="I141" authorId="0" shapeId="0" xr:uid="{00000000-0006-0000-0500-000005000000}">
      <text>
        <r>
          <rPr>
            <b/>
            <sz val="11"/>
            <color indexed="81"/>
            <rFont val="Tahoma"/>
            <family val="2"/>
          </rPr>
          <t>3 days per month</t>
        </r>
        <r>
          <rPr>
            <sz val="9"/>
            <color indexed="81"/>
            <rFont val="Tahoma"/>
            <family val="2"/>
          </rPr>
          <t xml:space="preserve">
=3*34</t>
        </r>
      </text>
    </comment>
  </commentList>
</comments>
</file>

<file path=xl/sharedStrings.xml><?xml version="1.0" encoding="utf-8"?>
<sst xmlns="http://schemas.openxmlformats.org/spreadsheetml/2006/main" count="5290" uniqueCount="1212">
  <si>
    <t>Budget
Code</t>
  </si>
  <si>
    <t>Unit</t>
  </si>
  <si>
    <t>Unit Cost
(USD)</t>
  </si>
  <si>
    <t>Quantity</t>
  </si>
  <si>
    <t>Cost (USD)</t>
  </si>
  <si>
    <t>Source of Funds</t>
  </si>
  <si>
    <t>Task Description</t>
  </si>
  <si>
    <t>Q1</t>
  </si>
  <si>
    <t>Q2</t>
  </si>
  <si>
    <t>Q3</t>
  </si>
  <si>
    <t>Q4</t>
  </si>
  <si>
    <t>Total</t>
  </si>
  <si>
    <t>I. INVESTMENT COSTS</t>
  </si>
  <si>
    <t>ls</t>
  </si>
  <si>
    <t xml:space="preserve"> </t>
  </si>
  <si>
    <t>MAFF</t>
  </si>
  <si>
    <t>TOTAL</t>
  </si>
  <si>
    <t>GRAND TOTAL</t>
  </si>
  <si>
    <t>Executing 
Agency</t>
  </si>
  <si>
    <t>OVERALL
TOTALS</t>
  </si>
  <si>
    <t>SOURCE OF FUNDS</t>
  </si>
  <si>
    <t>Executing Agency</t>
  </si>
  <si>
    <t>EXECUTING AGENCY</t>
  </si>
  <si>
    <t>Funding Sources</t>
  </si>
  <si>
    <t>CW</t>
  </si>
  <si>
    <t>CS</t>
  </si>
  <si>
    <t>ADB</t>
  </si>
  <si>
    <t>RGC</t>
  </si>
  <si>
    <t>Loan</t>
  </si>
  <si>
    <t>II. RECURRENT COSTS</t>
  </si>
  <si>
    <t>INCREMENTAL STAFF</t>
  </si>
  <si>
    <t>Sub-Total (Incremental Staff)</t>
  </si>
  <si>
    <t>OPERATION AND MANAGEMENT COSTS</t>
  </si>
  <si>
    <t>TOTAL (MAFF)</t>
  </si>
  <si>
    <t>MAFF TOTAL</t>
  </si>
  <si>
    <t>OM</t>
  </si>
  <si>
    <t>CD</t>
  </si>
  <si>
    <t>IS</t>
  </si>
  <si>
    <t xml:space="preserve">Annual Budget 2020 (USD) </t>
  </si>
  <si>
    <t>CFAVC-Climate-Friendly Agribusiness Value Chains Sector Project</t>
  </si>
  <si>
    <t>A. Cassava Storage Unit</t>
  </si>
  <si>
    <t>Subtotal</t>
  </si>
  <si>
    <t>B. Other Items</t>
  </si>
  <si>
    <t>A. Rice Storage Unit</t>
  </si>
  <si>
    <t>C. Flatbed Batch Drier</t>
  </si>
  <si>
    <t>Building (8m x 15m 4.5m high)</t>
  </si>
  <si>
    <t>Cement floor  (8m x 15m)</t>
  </si>
  <si>
    <t>Financing Rule</t>
  </si>
  <si>
    <t>GCF Loan</t>
  </si>
  <si>
    <t>GCF Grant</t>
  </si>
  <si>
    <t>Gov't</t>
  </si>
  <si>
    <t>Beneficiaries</t>
  </si>
  <si>
    <t>A. Rice Seed Storage Unit</t>
  </si>
  <si>
    <t>MAFF/DA Engineering - Mechanisation</t>
  </si>
  <si>
    <t>Paddy mills</t>
  </si>
  <si>
    <t>A. Training Building</t>
  </si>
  <si>
    <t>C. Renovation of Agriculture Extension Building in Kampot</t>
  </si>
  <si>
    <t>PMO</t>
  </si>
  <si>
    <t>Govt</t>
  </si>
  <si>
    <t>D. Takeo Workshop Support</t>
  </si>
  <si>
    <t>1. Office Equipment /d</t>
  </si>
  <si>
    <t>TABLE 14. 1.4  RENEWABLE ENERGY FOR VALUE CHAIN IMPROVEMENT</t>
  </si>
  <si>
    <t>A. Biodigesters &amp; Compost Huts</t>
  </si>
  <si>
    <t>2. Training &amp; Capacity Building</t>
  </si>
  <si>
    <t>3. Promotion &amp; Marketing</t>
  </si>
  <si>
    <t>4. Monitoring &amp; Evaluation</t>
  </si>
  <si>
    <t>Quality control &amp; monitoring</t>
  </si>
  <si>
    <t>Motorcycles</t>
  </si>
  <si>
    <t>6. Innovation &amp; VC Improvement</t>
  </si>
  <si>
    <t>Integrated farming demonstrations</t>
  </si>
  <si>
    <t>C. Additional in-kind support</t>
  </si>
  <si>
    <t>TABLE 15. POLICY DEVELOPMENT, STANDARDS &amp; RESILIENT VARIETIES</t>
  </si>
  <si>
    <t>Public consultation &amp; awareness</t>
  </si>
  <si>
    <t>Advancing rice generation</t>
  </si>
  <si>
    <t>Multi-location trials /d</t>
  </si>
  <si>
    <t>On-farm adaptive trials &amp; demonstrations /e</t>
  </si>
  <si>
    <t>Breeder &amp; foundation rice seed</t>
  </si>
  <si>
    <t>Foundation seed for OPV maize</t>
  </si>
  <si>
    <t>Farmer field days /f</t>
  </si>
  <si>
    <t>Commercialization, business capacity building support /g</t>
  </si>
  <si>
    <t>Repairing glasshouse for germplasm maintenance /h</t>
  </si>
  <si>
    <t>Net house /i</t>
  </si>
  <si>
    <t>TABLE 16. CAPACITY STRENGTHENING FOR CSA, AGRIBUSINESS &amp; MECHANISATION</t>
  </si>
  <si>
    <t>Climate Smart Agriculture Baseline Survey</t>
  </si>
  <si>
    <t>Laser levelling demonstrations</t>
  </si>
  <si>
    <t>TABLE 17. GREEN FINANCE FOR CSA &amp; AGRIBUSINESS</t>
  </si>
  <si>
    <t>A. Green Finance Initiatives</t>
  </si>
  <si>
    <t>Training for financial institutions staff on CSA and green finance</t>
  </si>
  <si>
    <t>Policy support for climate risk sharing schemes</t>
  </si>
  <si>
    <t>Infrastructure for accurate weather data</t>
  </si>
  <si>
    <t>Support for climate risk management</t>
  </si>
  <si>
    <t>1. Infrastructure</t>
  </si>
  <si>
    <t>Cloud PAAS</t>
  </si>
  <si>
    <t>Kiosks (Desktops/Laptops)</t>
  </si>
  <si>
    <t>Internet services</t>
  </si>
  <si>
    <t>Mobile to field task team</t>
  </si>
  <si>
    <t>Internet services to field task team</t>
  </si>
  <si>
    <t>2. Software development</t>
  </si>
  <si>
    <t>Mobile app/Web app</t>
  </si>
  <si>
    <t>Third party integration interfaces</t>
  </si>
  <si>
    <t>Open source support cost</t>
  </si>
  <si>
    <t>Field task team</t>
  </si>
  <si>
    <t>6. Training, workshops and Demonstrations</t>
  </si>
  <si>
    <t>Advocacy campaigns</t>
  </si>
  <si>
    <t>Training workshops</t>
  </si>
  <si>
    <t>Training manuals and content creation</t>
  </si>
  <si>
    <t>7. Policies and Standards</t>
  </si>
  <si>
    <t>Policies to support adoption of the ICT platform</t>
  </si>
  <si>
    <t>Data exchange standards</t>
  </si>
  <si>
    <t>8. Consultants</t>
  </si>
  <si>
    <t>International consultant on climate specialist</t>
  </si>
  <si>
    <t>Data collection and analysis for ICT platform</t>
  </si>
  <si>
    <t>Technical assistance [PMU]</t>
  </si>
  <si>
    <t>9. Office operations and support costs</t>
  </si>
  <si>
    <t>Call center team</t>
  </si>
  <si>
    <t>Toll free number</t>
  </si>
  <si>
    <t>IT support and maintenance</t>
  </si>
  <si>
    <t>Inter-ministerial committee meetings</t>
  </si>
  <si>
    <t>Agribusiness committee meetings</t>
  </si>
  <si>
    <t>Regional ASEAN study tours</t>
  </si>
  <si>
    <t>TABLE 18. PROJECT MANAGEMENT UNIT</t>
  </si>
  <si>
    <t>A. Project Management Staff - supplementary payments</t>
  </si>
  <si>
    <t>Project Director</t>
  </si>
  <si>
    <t>Project Manager</t>
  </si>
  <si>
    <t>Additional in-kind support</t>
  </si>
  <si>
    <t>B. Other PMU Costs</t>
  </si>
  <si>
    <t>1. Operating Costs</t>
  </si>
  <si>
    <t>Financial Audit</t>
  </si>
  <si>
    <t>C. Other Vehicles for Provincial Offices</t>
  </si>
  <si>
    <t>1. Vehicles for Irrigation Implementation (PDWRAM)</t>
  </si>
  <si>
    <t>TABLE 19. PROJECT TECHNICAL SUPPORT</t>
  </si>
  <si>
    <t>A. CS1 Implementation Support</t>
  </si>
  <si>
    <t>1. International Specialists /a</t>
  </si>
  <si>
    <t xml:space="preserve">Start-up Procurement Specialist </t>
  </si>
  <si>
    <t>Project Management &amp; Rural Infrastructure Specialist &amp; Team Leader</t>
  </si>
  <si>
    <t>Social Development &amp; Gender Specialist</t>
  </si>
  <si>
    <t>Social Safeguards Specialist</t>
  </si>
  <si>
    <t>Environment &amp; Climate Change Specialist</t>
  </si>
  <si>
    <t>PADC Management &amp; Operations Specialist</t>
  </si>
  <si>
    <t>Mechanisation Workshop, Operations &amp; Management Specialist</t>
  </si>
  <si>
    <t>2. National Specialists</t>
  </si>
  <si>
    <t>Project Management &amp; Rural Infrastructure Specialist &amp; Deputy Team Leader</t>
  </si>
  <si>
    <t>Financial Management Specialist (MEF)</t>
  </si>
  <si>
    <t>Water Management and Irrigation Engineer - approval of DED and construction supervision</t>
  </si>
  <si>
    <t>Cooperative Storage &amp; Rural Roads Engineer - approval of DED and construction supervision</t>
  </si>
  <si>
    <t>Unallocated</t>
  </si>
  <si>
    <t>Laboratory Commercialization Specialist</t>
  </si>
  <si>
    <t>Bio-fertilizer &amp; Organic Fertilizer Testing Specialist</t>
  </si>
  <si>
    <t>Tissue Culture Development Specialist</t>
  </si>
  <si>
    <t>GMO &amp; Phyto-toxin Analysis Specialist</t>
  </si>
  <si>
    <t>ISO 17025 Accreditation Compliance Specialist</t>
  </si>
  <si>
    <t>National Laboratory Coordinator</t>
  </si>
  <si>
    <t>1. International Specialists</t>
  </si>
  <si>
    <t>Photo-voltaic Specialist</t>
  </si>
  <si>
    <t>Bio-slurry Specialist</t>
  </si>
  <si>
    <t>Biodigester Standards Specialist</t>
  </si>
  <si>
    <t>GAP, CSA &amp; SRP Training Specialist</t>
  </si>
  <si>
    <t>Cooperative Agribusiness Training Specialist /c</t>
  </si>
  <si>
    <t>Training &amp; Capacity Building Coordinator</t>
  </si>
  <si>
    <t>Farmer Demonstration Coordinator</t>
  </si>
  <si>
    <t>GAP for Tropical Fruit Specialist</t>
  </si>
  <si>
    <t>FWUC Training Specialist</t>
  </si>
  <si>
    <t>Agricultural Machinery O&amp;M Training Specialist</t>
  </si>
  <si>
    <t>Public and Private Sector Coordinator</t>
  </si>
  <si>
    <t>Policies &amp; Standards Advisor</t>
  </si>
  <si>
    <t>Seed Commercialization &amp; Intellectual Property Specialist</t>
  </si>
  <si>
    <t>Standards &amp; Policy Development Coordinator</t>
  </si>
  <si>
    <t>Senior Green Climate Financing Advisor</t>
  </si>
  <si>
    <t>Green Climate Financing Program Manager</t>
  </si>
  <si>
    <t xml:space="preserve">ADB </t>
  </si>
  <si>
    <t>GCL Grant</t>
  </si>
  <si>
    <t>unit</t>
  </si>
  <si>
    <t>lump sum</t>
  </si>
  <si>
    <t/>
  </si>
  <si>
    <t>month</t>
  </si>
  <si>
    <t>person</t>
  </si>
  <si>
    <t>workshop</t>
  </si>
  <si>
    <t>course</t>
  </si>
  <si>
    <t>biodigester</t>
  </si>
  <si>
    <t>meeting</t>
  </si>
  <si>
    <t>demo.</t>
  </si>
  <si>
    <t>year</t>
  </si>
  <si>
    <t>trial</t>
  </si>
  <si>
    <t>field day</t>
  </si>
  <si>
    <t>study</t>
  </si>
  <si>
    <t>ha</t>
  </si>
  <si>
    <t>retreat</t>
  </si>
  <si>
    <t>tour</t>
  </si>
  <si>
    <t>Reconcilled</t>
  </si>
  <si>
    <t>Climate-Friendly Agribusiness Value Chains Section Project</t>
  </si>
  <si>
    <t>MRD</t>
  </si>
  <si>
    <t>GCF</t>
  </si>
  <si>
    <t>grant</t>
  </si>
  <si>
    <t>OUPUT 1: Critical agribusiness value chain infrastructure improved and made climate resilient</t>
  </si>
  <si>
    <t>TOTAL (MRD)</t>
  </si>
  <si>
    <t>Civil Engineer</t>
  </si>
  <si>
    <t>PDWRAM - Provincial offices (4 offices, 3 months/year)</t>
  </si>
  <si>
    <t>MOWRAM</t>
  </si>
  <si>
    <t>ALL EA and IAs</t>
  </si>
  <si>
    <t>Cost ('000USD)</t>
  </si>
  <si>
    <r>
      <rPr>
        <b/>
        <sz val="16"/>
        <rFont val="Calibri"/>
        <family val="2"/>
      </rPr>
      <t>CFAVC-</t>
    </r>
    <r>
      <rPr>
        <b/>
        <sz val="13"/>
        <rFont val="Calibri"/>
        <family val="2"/>
      </rPr>
      <t>Climate-Friendly Agribusiness Value Chains Sector Project</t>
    </r>
  </si>
  <si>
    <t>Annual Work Plan Budget 2020 (PMU-MAFF)</t>
  </si>
  <si>
    <t>INCREMENATL OPERATING COST (IOC)</t>
  </si>
  <si>
    <t>Budget Code</t>
  </si>
  <si>
    <t>budget Line</t>
  </si>
  <si>
    <t>Activity Code</t>
  </si>
  <si>
    <t>Unit Cost (USD)</t>
  </si>
  <si>
    <t>Grand</t>
  </si>
  <si>
    <t>A.</t>
  </si>
  <si>
    <t>a.</t>
  </si>
  <si>
    <t>Central Level (28 Persons)</t>
  </si>
  <si>
    <t>m</t>
  </si>
  <si>
    <t>b.</t>
  </si>
  <si>
    <t>Provincial Level (28 Persons)</t>
  </si>
  <si>
    <t>c.</t>
  </si>
  <si>
    <t>Road Taxes (10 Pick-Up Cars)</t>
  </si>
  <si>
    <t>B.</t>
  </si>
  <si>
    <t>Vehicle Operating Costs (10 Pick-Up Cars)</t>
  </si>
  <si>
    <t>ADB- Loan</t>
  </si>
  <si>
    <t>Motorbike fuel and communication allowances</t>
  </si>
  <si>
    <r>
      <t>Per Diems and DSA (MAFF central 28</t>
    </r>
    <r>
      <rPr>
        <sz val="10"/>
        <color indexed="13"/>
        <rFont val="Arial"/>
        <family val="2"/>
      </rPr>
      <t xml:space="preserve"> </t>
    </r>
    <r>
      <rPr>
        <sz val="10"/>
        <color theme="1"/>
        <rFont val="Calibri"/>
        <family val="2"/>
      </rPr>
      <t>persons , 6drivers)</t>
    </r>
  </si>
  <si>
    <t>d.</t>
  </si>
  <si>
    <r>
      <t>Per Diems and DSA (PDAFF  28</t>
    </r>
    <r>
      <rPr>
        <sz val="10"/>
        <color indexed="13"/>
        <rFont val="Arial"/>
        <family val="2"/>
      </rPr>
      <t xml:space="preserve"> </t>
    </r>
    <r>
      <rPr>
        <sz val="10"/>
        <color theme="1"/>
        <rFont val="Calibri"/>
        <family val="2"/>
      </rPr>
      <t>persons , 4 drivers)</t>
    </r>
  </si>
  <si>
    <t>e.</t>
  </si>
  <si>
    <t xml:space="preserve">Office Operating Costs (including salary for 10 drivers + 2 cleaners) </t>
  </si>
  <si>
    <t>f.</t>
  </si>
  <si>
    <t>Equipment and Facility for Internet Installation</t>
  </si>
  <si>
    <t>g.</t>
  </si>
  <si>
    <t>Design and Develop Project Website</t>
  </si>
  <si>
    <t>h.</t>
  </si>
  <si>
    <t>Advertiment Charges</t>
  </si>
  <si>
    <t>I.</t>
  </si>
  <si>
    <t xml:space="preserve">General Meeting </t>
  </si>
  <si>
    <t>Decimination Workshop on AWPB</t>
  </si>
  <si>
    <t>k.</t>
  </si>
  <si>
    <t>Translatation Fees</t>
  </si>
  <si>
    <t>l.</t>
  </si>
  <si>
    <t>Rental Car (4 Cars)</t>
  </si>
  <si>
    <t>m.</t>
  </si>
  <si>
    <t>Rental Car Operation Costs (4 Cars)</t>
  </si>
  <si>
    <t>n.</t>
  </si>
  <si>
    <t>Per Diems and DSA Driver for Rental Car (4 Persons)</t>
  </si>
  <si>
    <t>Sub-Total (Operation and management Costs)</t>
  </si>
  <si>
    <t>TOTAL RECURRENT COST</t>
  </si>
  <si>
    <t xml:space="preserve">ADB  </t>
  </si>
  <si>
    <t xml:space="preserve">  </t>
  </si>
  <si>
    <t>MoWRAM</t>
  </si>
  <si>
    <t>ALL EA and Ias</t>
  </si>
  <si>
    <t>UNASSINGED</t>
  </si>
  <si>
    <t>Social Guard</t>
  </si>
  <si>
    <t>Gender Officer</t>
  </si>
  <si>
    <t>MRD TOTAL</t>
  </si>
  <si>
    <t>UNASSIGNED</t>
  </si>
  <si>
    <t>Additional in-kind support to PMU-MOWRAM</t>
  </si>
  <si>
    <t>Advertisement Charges</t>
  </si>
  <si>
    <t>B. Operation and Management Costs</t>
  </si>
  <si>
    <t>Provincial level (28 persons)</t>
  </si>
  <si>
    <t>1. INCREMENTAL STAFF</t>
  </si>
  <si>
    <t>A. Recurrent Costs</t>
  </si>
  <si>
    <t xml:space="preserve">Compost huts </t>
  </si>
  <si>
    <t xml:space="preserve">Domestic biodigesters </t>
  </si>
  <si>
    <t>IOC</t>
  </si>
  <si>
    <t>DT_1: Kampot Province Irrigation Sub-projects</t>
  </si>
  <si>
    <t>DT_1: Takeo Province Irrigation Sub-projects</t>
  </si>
  <si>
    <t>DT_1: Tbong Khmum Province Irrigation Sub-projects</t>
  </si>
  <si>
    <t>DT_1: Kampong Cham Province Irrigation Sub-projects</t>
  </si>
  <si>
    <t>MOWRAM TOTAL</t>
  </si>
  <si>
    <t xml:space="preserve"> Laboratory reconfiguration &amp; equipment assessment</t>
  </si>
  <si>
    <t>GDAHP promotion signboards /h</t>
  </si>
  <si>
    <t>Establishment and meetings with technical committees</t>
  </si>
  <si>
    <t>Climate smart standards retreats</t>
  </si>
  <si>
    <t xml:space="preserve">Climate smart agribusiness policy retreats </t>
  </si>
  <si>
    <t>Establishment and meetings with technical committees / agribusiness steering committee</t>
  </si>
  <si>
    <t>CS5</t>
  </si>
  <si>
    <t>1. International Key Experts</t>
  </si>
  <si>
    <t>Team Leader/Irrigation Design Engineer</t>
  </si>
  <si>
    <t>Agriculture Economist</t>
  </si>
  <si>
    <t>2. International non-Key Experts</t>
  </si>
  <si>
    <t>Hydrologist</t>
  </si>
  <si>
    <t xml:space="preserve">Environmental Safeguards Specialist </t>
  </si>
  <si>
    <t>3. National Key Experts</t>
  </si>
  <si>
    <t>Irrigation Design Engineer/DTL</t>
  </si>
  <si>
    <t>Road Design Engineer</t>
  </si>
  <si>
    <t>Resettlemet / Social Safeguards Specialist</t>
  </si>
  <si>
    <t>4. National non-Key Experts</t>
  </si>
  <si>
    <t>Agriculturist</t>
  </si>
  <si>
    <t>AutoCAD specialist ( 4 individuals)</t>
  </si>
  <si>
    <t>Social Development &amp; Gender Safeguards Specialist</t>
  </si>
  <si>
    <t xml:space="preserve">Procurement Specialist </t>
  </si>
  <si>
    <t>1 . Per diems, air travel, office operation cost</t>
  </si>
  <si>
    <t>1.Training Consultations, Workshop</t>
  </si>
  <si>
    <t>2. Translation</t>
  </si>
  <si>
    <t>Coop</t>
  </si>
  <si>
    <t>Course</t>
  </si>
  <si>
    <t>GD</t>
  </si>
  <si>
    <t>CW3</t>
  </si>
  <si>
    <t>CS2</t>
  </si>
  <si>
    <t>CW19</t>
  </si>
  <si>
    <t>CS3</t>
  </si>
  <si>
    <t>CW18</t>
  </si>
  <si>
    <t>CW4</t>
  </si>
  <si>
    <t>CW5</t>
  </si>
  <si>
    <t>CS4</t>
  </si>
  <si>
    <t>CS1</t>
  </si>
  <si>
    <t>CS6</t>
  </si>
  <si>
    <t>CW11</t>
  </si>
  <si>
    <t>1- CIVIL WORKS ( Improving connectivity to cooperatives and markets through climate resilient farm road networks)***</t>
  </si>
  <si>
    <t>CW17</t>
  </si>
  <si>
    <t>Site Clearance</t>
  </si>
  <si>
    <t>Lumpsum</t>
  </si>
  <si>
    <t>All structures such as bridges , box culverts and pipe culverts …</t>
  </si>
  <si>
    <t>Sand-m3</t>
  </si>
  <si>
    <t>Prim coat , css1-L</t>
  </si>
  <si>
    <t>Total Civil Works CW17</t>
  </si>
  <si>
    <t>2- PROJECT MANAGEMENT UNIT</t>
  </si>
  <si>
    <t>Total Project Managemet Unit</t>
  </si>
  <si>
    <r>
      <t>Annual Budget 2020</t>
    </r>
    <r>
      <rPr>
        <b/>
        <sz val="10"/>
        <color rgb="FFFF0000"/>
        <rFont val="Arial"/>
        <family val="2"/>
      </rPr>
      <t xml:space="preserve"> ('000USD) </t>
    </r>
  </si>
  <si>
    <t>Unit Cost
('000 USD)</t>
  </si>
  <si>
    <t>Cost ('000 USD)</t>
  </si>
  <si>
    <t>Governt</t>
  </si>
  <si>
    <t>Check</t>
  </si>
  <si>
    <t>I. INVESTMENT COSTS on CIVIL WORKs</t>
  </si>
  <si>
    <t>CW2</t>
  </si>
  <si>
    <t>CW12</t>
  </si>
  <si>
    <t>CW15</t>
  </si>
  <si>
    <t>CW13</t>
  </si>
  <si>
    <t>CW14</t>
  </si>
  <si>
    <t>Total Annual Cost For Civil Works</t>
  </si>
  <si>
    <t>2. PMU Staff - MOWRAM</t>
  </si>
  <si>
    <t>1 Gender Officer</t>
  </si>
  <si>
    <t>1 Irrigation Information System officer</t>
  </si>
  <si>
    <t>Per diem for field travel costs/g</t>
  </si>
  <si>
    <t>PMU - Utilities, consumables, office supplyetc.</t>
  </si>
  <si>
    <t>Fueld and Maintenance for 2 Vihicles</t>
  </si>
  <si>
    <t xml:space="preserve">2 Driver's remuneration </t>
  </si>
  <si>
    <t>4 Admin &amp; Finance Assistant</t>
  </si>
  <si>
    <t>4 Gender and Social Safeguards Officers</t>
  </si>
  <si>
    <t>Fuel and maintenance for 6 Motobike</t>
  </si>
  <si>
    <t>Subtotal for Operation Costs</t>
  </si>
  <si>
    <t>Grant Total of MOWRAM Budget 2020</t>
  </si>
  <si>
    <t>('000)</t>
  </si>
  <si>
    <t>Reconciled</t>
  </si>
  <si>
    <t xml:space="preserve">2. Training on Procurement </t>
  </si>
  <si>
    <t>3. Annual Training on Procurement</t>
  </si>
  <si>
    <t xml:space="preserve">4. Annual Training on Financial management and audit </t>
  </si>
  <si>
    <t xml:space="preserve"> Financing Rule</t>
  </si>
  <si>
    <t>CAMBODIA CLIMATE FRIENDLY AGRIBUSINESS VALUE CHAINS SECTOR PROJECT</t>
  </si>
  <si>
    <t>PROJECT ASSUMPTIONS</t>
  </si>
  <si>
    <t>3. All activity/cost items under the civil work expenditure category (irrigation, roads, cooperative warehouses, testing labaratories, biogas) is tax exempt. For vehicles, the base cost includes 25% of taxes (t). For other expenditure categories, the base cost includes 9% of taxes (t): TAX = BASE*t where t is the applicable tax rate.</t>
  </si>
  <si>
    <t>CODE</t>
  </si>
  <si>
    <t>Financing Rules</t>
  </si>
  <si>
    <t>Physical Cont.</t>
  </si>
  <si>
    <t>Foreign</t>
  </si>
  <si>
    <t>Tax rate</t>
  </si>
  <si>
    <t>Expenditure Categorys</t>
  </si>
  <si>
    <t>Expenditure Categories</t>
  </si>
  <si>
    <t>Spare</t>
  </si>
  <si>
    <t>Import</t>
  </si>
  <si>
    <t>Excise</t>
  </si>
  <si>
    <t>VAT</t>
  </si>
  <si>
    <t xml:space="preserve">Gross </t>
  </si>
  <si>
    <t>Exemption</t>
  </si>
  <si>
    <t>Water &amp; Irrigation</t>
  </si>
  <si>
    <t>IRRIGATION</t>
  </si>
  <si>
    <t>No</t>
  </si>
  <si>
    <t>Rural Connector Roads</t>
  </si>
  <si>
    <t>ROADS</t>
  </si>
  <si>
    <t>Storage Warehouses</t>
  </si>
  <si>
    <t>WAREHOUSES</t>
  </si>
  <si>
    <t>Other Infrastructure</t>
  </si>
  <si>
    <t>OTHER_INFRA</t>
  </si>
  <si>
    <t>Biogas Plants</t>
  </si>
  <si>
    <t>BIOGAS</t>
  </si>
  <si>
    <t>Compost Huts</t>
  </si>
  <si>
    <t>Equipment - Cooperative, Labaratories and Others</t>
  </si>
  <si>
    <t>EQUIPMENT-ADB</t>
  </si>
  <si>
    <t>Yes</t>
  </si>
  <si>
    <t>Equipment - ICT</t>
  </si>
  <si>
    <t>EQUIPMENT-ICT</t>
  </si>
  <si>
    <t>Vehicles</t>
  </si>
  <si>
    <t>VEHICLES</t>
  </si>
  <si>
    <t>Materials &amp; Supplies</t>
  </si>
  <si>
    <t>MATERIALS-ADB</t>
  </si>
  <si>
    <t>Studies &amp; Surveys</t>
  </si>
  <si>
    <t>STUDIES</t>
  </si>
  <si>
    <t>Training, Workshops &amp; Demonstrations</t>
  </si>
  <si>
    <t>TRAINING</t>
  </si>
  <si>
    <t>Policies &amp; Standards</t>
  </si>
  <si>
    <t>POLICIES_STANDARDS</t>
  </si>
  <si>
    <t>Monitoring &amp; Evaluation /a</t>
  </si>
  <si>
    <t>M&amp;E</t>
  </si>
  <si>
    <t>PIC - FS &amp; Detailed Engineeering Design</t>
  </si>
  <si>
    <t>PIC-DED</t>
  </si>
  <si>
    <t>PIC - Capacity Building and CSA Consultants - Intl</t>
  </si>
  <si>
    <t>PIC-Tech-Intl</t>
  </si>
  <si>
    <t>PIC - Capacity Building and CSA Consultants - Natl</t>
  </si>
  <si>
    <t>PIC-Tech-Natl</t>
  </si>
  <si>
    <t>PIC - Project Management - Intl</t>
  </si>
  <si>
    <t>PIC-PM-Intl</t>
  </si>
  <si>
    <t>PIC - Project Management - Natl</t>
  </si>
  <si>
    <t>PIC-PM-Natl</t>
  </si>
  <si>
    <t>PIC - Variety Development</t>
  </si>
  <si>
    <t>PIC-Variety</t>
  </si>
  <si>
    <t>PIC - ICT</t>
  </si>
  <si>
    <t>PIC-ICT</t>
  </si>
  <si>
    <t>Project Staff</t>
  </si>
  <si>
    <t>SUPPORT_STAFF</t>
  </si>
  <si>
    <t>Climate Risk Sharing Mechanism Support</t>
  </si>
  <si>
    <t>CRM_SUPPORT</t>
  </si>
  <si>
    <t>Land Acquisition &amp; Resettlement</t>
  </si>
  <si>
    <t>RESETTLEMENT</t>
  </si>
  <si>
    <t>Office Operations &amp; Support Costs</t>
  </si>
  <si>
    <t>OFFICE_SUPPORT</t>
  </si>
  <si>
    <t>Government Contribution</t>
  </si>
  <si>
    <t>GOVT_CONTRIBUTION</t>
  </si>
  <si>
    <t>Procurement</t>
  </si>
  <si>
    <t>On-farm Water Catchment Ponds</t>
  </si>
  <si>
    <t>CW1</t>
  </si>
  <si>
    <t>Traipaing Run Reservoir</t>
  </si>
  <si>
    <t>Cooperative Cassava Storage</t>
  </si>
  <si>
    <t>Construction of PADC Training Buildings for Takeo, Tbong Khmum &amp; Kampong Cham</t>
  </si>
  <si>
    <t>Renovation of PADC Trainign Building for Kampot</t>
  </si>
  <si>
    <t>Construction of Mechanization Workshops for Kampot, Tbong Khmum &amp; Kampong Cham</t>
  </si>
  <si>
    <t>CW7</t>
  </si>
  <si>
    <t>Flatbed Batch Drier</t>
  </si>
  <si>
    <t>Kampot Irrigation Subproject</t>
  </si>
  <si>
    <t>Tbong Khmum Irrigation Subproject</t>
  </si>
  <si>
    <t>Kampong Cham Irrigation Subproject</t>
  </si>
  <si>
    <t>Takeo Irrigation Subproject</t>
  </si>
  <si>
    <t>Unidentified Irrigation Subproject</t>
  </si>
  <si>
    <t>CW16</t>
  </si>
  <si>
    <t>Construciton of Rural Roads (paved and laterite)</t>
  </si>
  <si>
    <t>Repair glasshouse for germplasm</t>
  </si>
  <si>
    <t>Biodigesters</t>
  </si>
  <si>
    <t>Demonstration and Training of Laser Land Levelling (4,000ha)</t>
  </si>
  <si>
    <t>Bio-technology Laboratory/GMO</t>
  </si>
  <si>
    <t>Rapid Test Kits and Bio/Organic Fertilizer Laboratory (materials and equipment)</t>
  </si>
  <si>
    <t>Equipment &amp; Materials for Drip Irrigation</t>
  </si>
  <si>
    <t>Equipment for Mechanization Workshops for All Four Provinces</t>
  </si>
  <si>
    <t>ICT Equipment, Training, Studies</t>
  </si>
  <si>
    <t>6 Paddy Milling Equipment</t>
  </si>
  <si>
    <t>5 Units of Maize Shellers</t>
  </si>
  <si>
    <t>PIC - Project Management</t>
  </si>
  <si>
    <t>PIC - Capacity Building and Climate Smart Agriculture Consultants</t>
  </si>
  <si>
    <t>Climate Resilient Variety Development by IRRI</t>
  </si>
  <si>
    <t>ICT</t>
  </si>
  <si>
    <t>Feasibility Study &amp; Detailed Engineering Design Consulting Firm for Irrigation and Farm Roads</t>
  </si>
  <si>
    <t>External Enviornment Monitoring</t>
  </si>
  <si>
    <t>Project Management Operations - No Procurement</t>
  </si>
  <si>
    <t>Government Counterpart Support - No Prorcurement</t>
  </si>
  <si>
    <t>Unspecified</t>
  </si>
  <si>
    <t>N/A</t>
  </si>
  <si>
    <t>Government Agency</t>
  </si>
  <si>
    <t>Govt ID</t>
  </si>
  <si>
    <t>Ministry of Water Resources and Meteorology</t>
  </si>
  <si>
    <t>Ministry of Agriculture, Forestry and Fisheries</t>
  </si>
  <si>
    <t>Minisy of Rural Development</t>
  </si>
  <si>
    <t>MAFF - General Directorate of Animal Health and Production</t>
  </si>
  <si>
    <t>MAFF - GDAHP</t>
  </si>
  <si>
    <t>MAFF - General Directorate of Agriculture</t>
  </si>
  <si>
    <t>MAFF - GDA</t>
  </si>
  <si>
    <t>MAFF - Cambodian Agricultural Research and Development Institute</t>
  </si>
  <si>
    <t>MAFF - CARDI</t>
  </si>
  <si>
    <t>Gov't AI 7</t>
  </si>
  <si>
    <t>Gov't AI 8</t>
  </si>
  <si>
    <t>Gov't AI 9</t>
  </si>
  <si>
    <t>Gov't AI 10</t>
  </si>
  <si>
    <t>Ouput</t>
  </si>
  <si>
    <t>1. Critical agribusiness value chain infrastructure improved and made climate resilient</t>
  </si>
  <si>
    <t>Sub-sector</t>
  </si>
  <si>
    <t>IA</t>
  </si>
  <si>
    <t>1.1 Rehabilitating water management infrastructure to climate resilient condition</t>
  </si>
  <si>
    <t>WATER_RESOURCES</t>
  </si>
  <si>
    <t>Irrigation</t>
  </si>
  <si>
    <t>1.2 Upgrading agricultural cooperative value chain infrastructure</t>
  </si>
  <si>
    <t>COOPERATIVES</t>
  </si>
  <si>
    <t>Agro-industry</t>
  </si>
  <si>
    <t>1.3 Improving connectivity to cooperatives and markets through climate resilient farm road networks</t>
  </si>
  <si>
    <t>Rural market</t>
  </si>
  <si>
    <t>1.4 Strengthening infrastructure for agricultural quality and safety testing</t>
  </si>
  <si>
    <t>TESTING_INFRASTRUCTURE</t>
  </si>
  <si>
    <t>1.5 Promoting renewable energy for value chain improvement</t>
  </si>
  <si>
    <t>Solid waste</t>
  </si>
  <si>
    <t>2. Climate smart agriculture and agribusiness promoted</t>
  </si>
  <si>
    <t>2.1 Deploying climate resilient varieties</t>
  </si>
  <si>
    <t>RESILIENT_VARIETIES</t>
  </si>
  <si>
    <t>Agri-production</t>
  </si>
  <si>
    <t>2.2 Strengthening capacity in climate friendly production practices and technologies</t>
  </si>
  <si>
    <t>CAPACITY_STRENGTHENING</t>
  </si>
  <si>
    <t xml:space="preserve">2.3 Promoting farm mechanization and extension </t>
  </si>
  <si>
    <t>MECHANICAL_WORKSHOP</t>
  </si>
  <si>
    <t>3. Enabling environment for climate friendly agribusiness enhanced</t>
  </si>
  <si>
    <t>3.1 Formulating climate friendly agribusiness policies and standards</t>
  </si>
  <si>
    <t>POLICY_STANDARDS</t>
  </si>
  <si>
    <t>Agri-policy</t>
  </si>
  <si>
    <t>3.2 Promoting green finance and risk sharing mechanisms</t>
  </si>
  <si>
    <t>GREEN_FINANCING</t>
  </si>
  <si>
    <t>3.3 Supporting climate risk management through information and communication technologies (ICT)</t>
  </si>
  <si>
    <t>PROJECT_MANAGEMENT</t>
  </si>
  <si>
    <t>Procurement Package ID</t>
  </si>
  <si>
    <t>Proc. Code</t>
  </si>
  <si>
    <t>Capacity Development</t>
  </si>
  <si>
    <t>CW12-A</t>
  </si>
  <si>
    <t>CW12-B</t>
  </si>
  <si>
    <t>CW12-C</t>
  </si>
  <si>
    <t>CW12-D</t>
  </si>
  <si>
    <t>Mlech Irregation Subproject</t>
  </si>
  <si>
    <t>Prey Takouch Irregation Subproject</t>
  </si>
  <si>
    <t>CW15-A</t>
  </si>
  <si>
    <t>CW15-B</t>
  </si>
  <si>
    <t>CW15-C</t>
  </si>
  <si>
    <t>CW15-D</t>
  </si>
  <si>
    <t>CW15-E</t>
  </si>
  <si>
    <t>Prey Kdouch Irregation Subproject</t>
  </si>
  <si>
    <t>Kraing Ampil Irregation Subproject</t>
  </si>
  <si>
    <t>CW13-A</t>
  </si>
  <si>
    <t>CW13-B</t>
  </si>
  <si>
    <t>Kbal Toeuk Irrigation Subproject</t>
  </si>
  <si>
    <t>Tuol Pring Irrigation Subproject</t>
  </si>
  <si>
    <t>CW13-C</t>
  </si>
  <si>
    <t>Trapeang Tross Irrigation Subproject</t>
  </si>
  <si>
    <t>CW14-A</t>
  </si>
  <si>
    <t>Pram Kompheak Irrigation Subproject</t>
  </si>
  <si>
    <t>O'Kamprok Irrigation Subproject</t>
  </si>
  <si>
    <t>CW14-B</t>
  </si>
  <si>
    <t>Teol La'ak Reservoir</t>
  </si>
  <si>
    <t>Trapaeng Boeueng reservoir</t>
  </si>
  <si>
    <t>Kandal reservoir</t>
  </si>
  <si>
    <t>Prawoek Pong reservoir</t>
  </si>
  <si>
    <t>CW12-E</t>
  </si>
  <si>
    <t>CW12-F</t>
  </si>
  <si>
    <t>K'Eth reservoir</t>
  </si>
  <si>
    <t>Two Community reservoirs</t>
  </si>
  <si>
    <t>CW13-D</t>
  </si>
  <si>
    <t>CW13-E</t>
  </si>
  <si>
    <t>Ocherey dam</t>
  </si>
  <si>
    <t>Teuk Char irrigation system</t>
  </si>
  <si>
    <t>Kouk Eurt reservoir</t>
  </si>
  <si>
    <t>CW14-C</t>
  </si>
  <si>
    <t>CW14-D</t>
  </si>
  <si>
    <t>CW14-E</t>
  </si>
  <si>
    <t>Sdok Sam reservoir</t>
  </si>
  <si>
    <t>Trapaing Khorn reservoir</t>
  </si>
  <si>
    <t>O'Rumdoul reservoir</t>
  </si>
  <si>
    <t>D1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</si>
  <si>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</si>
  <si>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</si>
  <si>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</si>
  <si>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</si>
  <si>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</si>
  <si>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</si>
  <si>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</si>
  <si>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</si>
  <si>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</si>
  <si>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Incremental Operational Cost</t>
  </si>
  <si>
    <t>Exp. Cat</t>
  </si>
  <si>
    <t>Output Code</t>
  </si>
  <si>
    <t>IA Code</t>
  </si>
  <si>
    <t>TABLE 13. NAL BIOTECHNICAL LABORATORY SUPPORT</t>
  </si>
  <si>
    <t>MAFF-GDAHP</t>
  </si>
  <si>
    <t>MAFF-GDA</t>
  </si>
  <si>
    <t>MAFF-CARDI</t>
  </si>
  <si>
    <t>PM_MAFF</t>
  </si>
  <si>
    <t>PM_MOWRAM</t>
  </si>
  <si>
    <t>PM_MRD</t>
  </si>
  <si>
    <t>INDEX(Code!$J$110:$J$122,MATCH('$ MAFF  '!AG13,Code!$G$110:$G$122,0)),"")</t>
  </si>
  <si>
    <t>Project Management</t>
  </si>
  <si>
    <t>2 Driver's remuneration</t>
  </si>
  <si>
    <t>Scheme</t>
  </si>
  <si>
    <t>subtotal</t>
  </si>
  <si>
    <t>Output</t>
  </si>
  <si>
    <t>4. Specialist expertise</t>
  </si>
  <si>
    <t>CHECKING BY BUDGET CODE</t>
  </si>
  <si>
    <t>CHECKING BY PROC. CODE</t>
  </si>
  <si>
    <t>3. Studies, Survey and Reports</t>
  </si>
  <si>
    <t>1. Training Building</t>
  </si>
  <si>
    <t>Proc.
Code</t>
  </si>
  <si>
    <t>Vehicle Fueld &amp; Maintenance for 2 Vehicles</t>
  </si>
  <si>
    <t>momth</t>
  </si>
  <si>
    <t>Fuel and maintenance for 3 Motor bikes</t>
  </si>
  <si>
    <t>Contract administration and margin (30% of Subtotal A)</t>
  </si>
  <si>
    <t>Subtotal (CS2)</t>
  </si>
  <si>
    <t>Subtotal (CS1)</t>
  </si>
  <si>
    <t>Subtotal (CS6)</t>
  </si>
  <si>
    <t>Subtotal (CS5)</t>
  </si>
  <si>
    <t>1. Mechanisation Workshop</t>
  </si>
  <si>
    <t>2. Equipment (Training &amp; classroom equipment)</t>
  </si>
  <si>
    <t>Costs by Sources of Fund  ('000 USD)</t>
  </si>
  <si>
    <t>Quarter</t>
  </si>
  <si>
    <t xml:space="preserve">1. Infrastructure Design  </t>
  </si>
  <si>
    <t>Costs by Sources of Fund ('000 USD)</t>
  </si>
  <si>
    <t>Province</t>
  </si>
  <si>
    <t>Budget Allocation</t>
  </si>
  <si>
    <t>PMU staff</t>
  </si>
  <si>
    <t xml:space="preserve">Office </t>
  </si>
  <si>
    <t xml:space="preserve">Vehicles </t>
  </si>
  <si>
    <t>Translations</t>
  </si>
  <si>
    <t>Per Diem</t>
  </si>
  <si>
    <t>Meetings</t>
  </si>
  <si>
    <t>Advertisements</t>
  </si>
  <si>
    <t>Website</t>
  </si>
  <si>
    <t>TABLE 8. 1.2A  12 X COOPERATIVE CASSAVA STORAGE  (200 TON CAPACITY) - 3 in 2020, 5 units in 2021</t>
  </si>
  <si>
    <t>Maize shellers  (10 ton)</t>
  </si>
  <si>
    <t>Person</t>
  </si>
  <si>
    <t>National workshops on biodigester and composting dessimination information</t>
  </si>
  <si>
    <t>User training for biogas plant and bio-slurry (biogas plant and bio-slurry management)</t>
  </si>
  <si>
    <t xml:space="preserve">Training on composting and iti application to biogas farmers </t>
  </si>
  <si>
    <t>Training</t>
  </si>
  <si>
    <t>1.5.1</t>
  </si>
  <si>
    <t>1.5.2</t>
  </si>
  <si>
    <t>1.5.3</t>
  </si>
  <si>
    <t>1.5.6</t>
  </si>
  <si>
    <t>1.5.5</t>
  </si>
  <si>
    <t>1.5.4</t>
  </si>
  <si>
    <t>1.5.7</t>
  </si>
  <si>
    <t>1.5.8</t>
  </si>
  <si>
    <t>1.5.9</t>
  </si>
  <si>
    <t>Commune &amp; provincial workshops on project dessimination, identification and selection cliants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</si>
  <si>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</si>
  <si>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</si>
  <si>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</si>
  <si>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</si>
  <si>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</si>
  <si>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</si>
  <si>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</si>
  <si>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</si>
  <si>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</si>
  <si>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Dissemination/reflection  workshops</t>
  </si>
  <si>
    <t>Bio-slurry promotion (short video production on benefit of biogas plant and composting)</t>
  </si>
  <si>
    <t>Bio-slurry lab studies (study on new biogas plant, and bio-slurry innovation)</t>
  </si>
  <si>
    <t>Mass media and broadcasting (by television)</t>
  </si>
  <si>
    <t>1.5.20</t>
  </si>
  <si>
    <t>1.5.22</t>
  </si>
  <si>
    <t>1.5.23</t>
  </si>
  <si>
    <t>1.5.24</t>
  </si>
  <si>
    <t>1.5.25</t>
  </si>
  <si>
    <t>1.5.26</t>
  </si>
  <si>
    <t>2.1.7</t>
  </si>
  <si>
    <t>2.1.8</t>
  </si>
  <si>
    <t>Training of farmer groups on rice seed production techniques and follow up</t>
  </si>
  <si>
    <t>Meeting</t>
  </si>
  <si>
    <t>Workshop</t>
  </si>
  <si>
    <t>2.2.1</t>
  </si>
  <si>
    <t>2.2.2</t>
  </si>
  <si>
    <t>2.2.3</t>
  </si>
  <si>
    <t>2.2.4</t>
  </si>
  <si>
    <t>2.2.5</t>
  </si>
  <si>
    <t>2.2.6</t>
  </si>
  <si>
    <t xml:space="preserve">Training of farmers on CamGAP compliant for Mango </t>
  </si>
  <si>
    <t>Training of farmers on drip irrigation system operation and maintenance</t>
  </si>
  <si>
    <t>2.2.10</t>
  </si>
  <si>
    <t>2.2.11</t>
  </si>
  <si>
    <t>2.2.12</t>
  </si>
  <si>
    <t>2.2.13</t>
  </si>
  <si>
    <t>2.2.14</t>
  </si>
  <si>
    <t>2.2.15</t>
  </si>
  <si>
    <t>2.2.16</t>
  </si>
  <si>
    <t>OUTPUT 2: Project Activity 2.1: Deploying climate resilient varieties</t>
  </si>
  <si>
    <t>OUTPUT 2: Project Activity 2.2: Strengthening capacity in climate friendly</t>
  </si>
  <si>
    <t>2.2.17</t>
  </si>
  <si>
    <t>D. Other Costs</t>
  </si>
  <si>
    <t>Baseline survey on ecological monitoring and training</t>
  </si>
  <si>
    <t>study/training</t>
  </si>
  <si>
    <t>Total (T8)</t>
  </si>
  <si>
    <t>Training for farmer groups, coop and irrigated farmers in agriculture conservation-FWUC</t>
  </si>
  <si>
    <t>PADC</t>
  </si>
  <si>
    <t>Training on units/tools operation and management for PACD's staff</t>
  </si>
  <si>
    <t>Total (T9)</t>
  </si>
  <si>
    <t>Total (T10)</t>
  </si>
  <si>
    <t>Total (T11)</t>
  </si>
  <si>
    <t>Total (T13)</t>
  </si>
  <si>
    <t>Total (T14)</t>
  </si>
  <si>
    <t>1.5.27</t>
  </si>
  <si>
    <t>Agribusiness policy working groups meeting</t>
  </si>
  <si>
    <t>A. Agribusiness Policy for rice, maiz, cassava, and Mango</t>
  </si>
  <si>
    <t>C. CS 2 Training and Capacity Building Support</t>
  </si>
  <si>
    <t>PPP feasibility studies</t>
  </si>
  <si>
    <t>Forum</t>
  </si>
  <si>
    <t>Business forum (with input suppliers, producers, traders/buyers or collectors)</t>
  </si>
  <si>
    <t>Meeting with AC, PDAFF and selected private sectors on contract farming</t>
  </si>
  <si>
    <t>Media and awareness by TV including guest speakers</t>
  </si>
  <si>
    <t>at cost</t>
  </si>
  <si>
    <t>Guest speakers for provincial crop forum workshop /a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</si>
  <si>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</si>
  <si>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</si>
  <si>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</si>
  <si>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</si>
  <si>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</si>
  <si>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</si>
  <si>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</si>
  <si>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</si>
  <si>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OUTPUT 3; Project Activity 3.1: Policy Development and Standard</t>
  </si>
  <si>
    <t>3.2.1</t>
  </si>
  <si>
    <t>3.2.2</t>
  </si>
  <si>
    <t>3.2.3</t>
  </si>
  <si>
    <t>3.2.4</t>
  </si>
  <si>
    <t>3.2.6</t>
  </si>
  <si>
    <t>3.2.7</t>
  </si>
  <si>
    <t>3.2.11</t>
  </si>
  <si>
    <t>3.2.12</t>
  </si>
  <si>
    <t>3.2.13</t>
  </si>
  <si>
    <t>3.2.16</t>
  </si>
  <si>
    <t>3.2.17</t>
  </si>
  <si>
    <t>Reflection workshop on GAP and Awareness</t>
  </si>
  <si>
    <t>assessment</t>
  </si>
  <si>
    <t>Total (T15)</t>
  </si>
  <si>
    <t>Total (T16)</t>
  </si>
  <si>
    <t xml:space="preserve">Annual Budget 2021 ('000 USD) </t>
  </si>
  <si>
    <t>1.Training/ Consultations/workshop/meeting</t>
  </si>
  <si>
    <t>DMF</t>
  </si>
  <si>
    <t>Activities</t>
  </si>
  <si>
    <t>L-3661 (ADB)</t>
  </si>
  <si>
    <t>L-8346 (GCF)</t>
  </si>
  <si>
    <t>Agriculture 
Cooperative</t>
  </si>
  <si>
    <t>Laboratory</t>
  </si>
  <si>
    <t>Renewable
Energy</t>
  </si>
  <si>
    <t>CARDI</t>
  </si>
  <si>
    <t>CSA</t>
  </si>
  <si>
    <t>Agricultural 
Development</t>
  </si>
  <si>
    <t>Engineering
Workshop</t>
  </si>
  <si>
    <t>Green Finance</t>
  </si>
  <si>
    <t>Pre Diem &amp;
Travels</t>
  </si>
  <si>
    <t>Office 
Operation</t>
  </si>
  <si>
    <t>Total MAFF</t>
  </si>
  <si>
    <t>PMU</t>
  </si>
  <si>
    <t>G-0579 (GCF)</t>
  </si>
  <si>
    <t>GAP*= Good Agriculture Practice</t>
  </si>
  <si>
    <t>A 1. Training of farmers on CamGAP  for Mango/a</t>
  </si>
  <si>
    <t>B. Training of trainer (TOT) for AC business development/a</t>
  </si>
  <si>
    <t>A. Training of Trainer (ToT) for CSA, SRP/a  Farm Mechanization /a</t>
  </si>
  <si>
    <t>C. Landscape restoration (farm mechanization)/a</t>
  </si>
  <si>
    <t>Training on plant tissue technology for banana, cassava, and orchod (oversea)</t>
  </si>
  <si>
    <t>Training on bio-pesticide production and quality testing (oversea)</t>
  </si>
  <si>
    <t>Training on bio-fertilizer production and quality testing (oversea)</t>
  </si>
  <si>
    <t>1.5.19</t>
  </si>
  <si>
    <t>Quarterly technical workshop</t>
  </si>
  <si>
    <t>Climate Resiient Varieties Support for CARDI</t>
  </si>
  <si>
    <t>Total (T17)</t>
  </si>
  <si>
    <t>Posters, manuals, booklets and other extension material</t>
  </si>
  <si>
    <t>Field coaching and mention on promotion and marketing</t>
  </si>
  <si>
    <t>coaching</t>
  </si>
  <si>
    <t>Provincial monthly  meetings</t>
  </si>
  <si>
    <t>Coordination and monitoring meeting (on marketing mechanism) / g</t>
  </si>
  <si>
    <t>B. Bio-fertilizer / Organic Fertilizer Laboratory</t>
  </si>
  <si>
    <t>Laminar airflow chamber</t>
  </si>
  <si>
    <t>UV-Vis spectrophotometers /d</t>
  </si>
  <si>
    <t>Preparation room</t>
  </si>
  <si>
    <t>Other items</t>
  </si>
  <si>
    <t>Miscellaneous materials, reagents, etc.</t>
  </si>
  <si>
    <t>C. Tissue Culture Laboratory</t>
  </si>
  <si>
    <t>OUTPUT 2</t>
  </si>
  <si>
    <t>RECURRENT COSTS</t>
  </si>
  <si>
    <t>2.2.32</t>
  </si>
  <si>
    <t>2.2.33</t>
  </si>
  <si>
    <t>2.2.34</t>
  </si>
  <si>
    <t>CSA Standards working group meeting</t>
  </si>
  <si>
    <t>CAMGAP standards working groups meeting</t>
  </si>
  <si>
    <t>3.1.9</t>
  </si>
  <si>
    <t>3.1.10</t>
  </si>
  <si>
    <t>3.1.11</t>
  </si>
  <si>
    <t>3.1.12</t>
  </si>
  <si>
    <t>3.1.13</t>
  </si>
  <si>
    <t>3.1.14</t>
  </si>
  <si>
    <t>3.1.16</t>
  </si>
  <si>
    <t>3.1.17</t>
  </si>
  <si>
    <t>3.1.18</t>
  </si>
  <si>
    <t>3.1.19</t>
  </si>
  <si>
    <t>3.1.20</t>
  </si>
  <si>
    <t>3.1.21</t>
  </si>
  <si>
    <t>3.1.22</t>
  </si>
  <si>
    <t>OUTPUT3: Activity 3.2: Promoting green finance and risk sharing mechanism</t>
  </si>
  <si>
    <t>OUTPUT3: Activity 3.3: Supporting climate risk management through Information and Communication Technologies (ICT)</t>
  </si>
  <si>
    <t>OUTPUT 1: Project Activity 1.5: Promoting renewable energy (biodigester and use of solar energy in target cooperatives) for value chain improvement</t>
  </si>
  <si>
    <t>OUTPUT 1: Activity 1.4: Strengthening infrastructure for agricutlural quality and safety testing at the National Agriculture Laboratory (NAL)</t>
  </si>
  <si>
    <t>OUTPUT 1: Activity 1.2: Upgrading agriculture cooperativevalue chain infrastructure (drying, processing, and storage facilities)</t>
  </si>
  <si>
    <t>Promotion and marketing extension (posters, manuals, booklets and other extension material)</t>
  </si>
  <si>
    <t>1.5.28</t>
  </si>
  <si>
    <t>2.1.1</t>
  </si>
  <si>
    <t>2.1.2</t>
  </si>
  <si>
    <t>2.1.3</t>
  </si>
  <si>
    <t>2.1.4</t>
  </si>
  <si>
    <t>2.1.5</t>
  </si>
  <si>
    <t>2.1.6</t>
  </si>
  <si>
    <t>3.2.18</t>
  </si>
  <si>
    <t>3.2.19</t>
  </si>
  <si>
    <t>3.2.20</t>
  </si>
  <si>
    <t>3.2.21</t>
  </si>
  <si>
    <t>3.2.22</t>
  </si>
  <si>
    <t>Total (T19)</t>
  </si>
  <si>
    <t>Total (T18)</t>
  </si>
  <si>
    <t>Conduct technical working group  meeting to review the drafted proclamations</t>
  </si>
  <si>
    <t>Conduct public consultation workshop with stakeholders to review drafted proclamations</t>
  </si>
  <si>
    <t>B. Agro-Industry Policy</t>
  </si>
  <si>
    <t>Meeting with technical working group on agro-industry</t>
  </si>
  <si>
    <t>Public consultation workshop with stakeholders to review drafted policy</t>
  </si>
  <si>
    <t>Hiring consultant for policy, regulatory impact &amp; planning studies  and policies formation</t>
  </si>
  <si>
    <t>1.4.1</t>
  </si>
  <si>
    <t>1.4.2</t>
  </si>
  <si>
    <t>1.4.3</t>
  </si>
  <si>
    <t>1.4.4</t>
  </si>
  <si>
    <t>Per diem and accommodation for LAB staff</t>
  </si>
  <si>
    <t>Training fee</t>
  </si>
  <si>
    <t>Air ticket (round trip)</t>
  </si>
  <si>
    <t>person/day</t>
  </si>
  <si>
    <t>Person/day</t>
  </si>
  <si>
    <t xml:space="preserve">Air ticket (round trip) </t>
  </si>
  <si>
    <t>Training on NAL equipment operation and maintenance (local)</t>
  </si>
  <si>
    <t>E. Training and Other Items</t>
  </si>
  <si>
    <t>Training of trainer (TOT) for CSA on rice, cassava and maize (oversea)</t>
  </si>
  <si>
    <t>Training of farmer on SRP for rice cultivation</t>
  </si>
  <si>
    <t>Training of trainer (TOT) for provincial trainers for SRP rice cultivation (local)</t>
  </si>
  <si>
    <t>2.2.36</t>
  </si>
  <si>
    <t>2.2.38</t>
  </si>
  <si>
    <t>Training of trainer (TOT) on CamGAP for Mango (local)</t>
  </si>
  <si>
    <t>Training of trainer (TOT) on agricultural machinery O&amp;M for AC and farmer groups</t>
  </si>
  <si>
    <t>National coordination meetings</t>
  </si>
  <si>
    <t>Consultative workshop on the result of Carbon Monitoring surveys</t>
  </si>
  <si>
    <t xml:space="preserve">Training on data entry and database management </t>
  </si>
  <si>
    <t>Field mentoring &amp; coaching and M&amp;E by PPIU and GDAHP/PMU</t>
  </si>
  <si>
    <t>3.1.15</t>
  </si>
  <si>
    <t>Hiring consultant for Biodigester User &amp; Carbon Monitoring surveys</t>
  </si>
  <si>
    <t>Small group or village meeting to identifying and selecting interest clients</t>
  </si>
  <si>
    <t>Central Level (32 persons)</t>
  </si>
  <si>
    <t xml:space="preserve">1. Gender Orientation </t>
  </si>
  <si>
    <t xml:space="preserve">5. Annual Training on Social and Environment safeguards </t>
  </si>
  <si>
    <t>6. Annual Training on PPMS</t>
  </si>
  <si>
    <t xml:space="preserve">7. Annual Trianing at Gender Mainstraming </t>
  </si>
  <si>
    <t>8.Third party Independant Verification</t>
  </si>
  <si>
    <t>1. International M&amp;E expert</t>
  </si>
  <si>
    <t>2. National M&amp;E expert</t>
  </si>
  <si>
    <t>3. M&amp;E baseline survey</t>
  </si>
  <si>
    <t>4. Reimbursables for the M&amp;E</t>
  </si>
  <si>
    <t>Bio-pesticide, bio/organic fertilizer rennovation</t>
  </si>
  <si>
    <t>room</t>
  </si>
  <si>
    <t>Plant tissue culture LAB rennovation/i</t>
  </si>
  <si>
    <t>Green house (21x22m)</t>
  </si>
  <si>
    <t>Fire exstinguisher C02 (4.5kg and fire exstinguisher)</t>
  </si>
  <si>
    <t>Fire Alarm with smoke detector system, power cable</t>
  </si>
  <si>
    <t>Ceiling exhaust ventilation-walter</t>
  </si>
  <si>
    <t>AVR-Automatic voltage regulator</t>
  </si>
  <si>
    <t>Installation fee</t>
  </si>
  <si>
    <t>Total (T12)</t>
  </si>
  <si>
    <t>Automatic colony counter</t>
  </si>
  <si>
    <t>pH/ISE benchtop meter</t>
  </si>
  <si>
    <t>Particle size mesh size 0.15 &amp; 0.212mm</t>
  </si>
  <si>
    <t>Moisture analyzer</t>
  </si>
  <si>
    <t>Incubator BD 115</t>
  </si>
  <si>
    <t>Autoclave VE-100</t>
  </si>
  <si>
    <t>Purification system</t>
  </si>
  <si>
    <t>BOD incubator</t>
  </si>
  <si>
    <t>CO2 incubator</t>
  </si>
  <si>
    <t>Shakeer incubator</t>
  </si>
  <si>
    <t>Refregerator shaker</t>
  </si>
  <si>
    <t>Ultra-low temperature freezer</t>
  </si>
  <si>
    <t>Biological safety cabinet (class II MBSC)</t>
  </si>
  <si>
    <t>Rotary shaker</t>
  </si>
  <si>
    <t>Safety cabinet for long-term storage of acid/base substance</t>
  </si>
  <si>
    <t>Flamable safety cabinet</t>
  </si>
  <si>
    <t>Fluorescence-Microscope</t>
  </si>
  <si>
    <t>Safety shower and eye/face washer</t>
  </si>
  <si>
    <t>Bio-Reactor/Fermenter 5L&amp;SCAD software</t>
  </si>
  <si>
    <t>Digital ceramic Hot Plate Stirrer</t>
  </si>
  <si>
    <t>Equipment and accessories for vacuum filter holder</t>
  </si>
  <si>
    <t>Refrigerator</t>
  </si>
  <si>
    <t>Microwave Oven (1000 watt)</t>
  </si>
  <si>
    <t>Centrfuge 2326K</t>
  </si>
  <si>
    <t>Autoclave model D-65</t>
  </si>
  <si>
    <t>Precision Balance</t>
  </si>
  <si>
    <t>Analytical semi-micro balance</t>
  </si>
  <si>
    <t>Hygrothemometer</t>
  </si>
  <si>
    <t>Growth chamber with light and huminity</t>
  </si>
  <si>
    <t>UV/VIS-Spectrophotometer</t>
  </si>
  <si>
    <t>Drying  and heating chamber</t>
  </si>
  <si>
    <t>Dustproof cabinet</t>
  </si>
  <si>
    <t>Water bath hydro</t>
  </si>
  <si>
    <t>Standard-duty Utility cart</t>
  </si>
  <si>
    <t>Training of farmers group on best management practice (BMP)</t>
  </si>
  <si>
    <t>Training of Trainer (TOT) for SRP rice cultivation (oversea)</t>
  </si>
  <si>
    <t>Training of farmer on CSA for rice, Cassava and Maize</t>
  </si>
  <si>
    <t>Training of traininer (TOT) for  AC's board and memebr on AC's management, leadership and Administration</t>
  </si>
  <si>
    <t>Training on management &amp;Leadership and administration for ACs</t>
  </si>
  <si>
    <t>GAP  assessment on safety of road and irrigation construction</t>
  </si>
  <si>
    <t xml:space="preserve">OUTPUT 3: Enabling environment for climate smart agribusiness enhanced </t>
  </si>
  <si>
    <t>Translate document</t>
  </si>
  <si>
    <t>document</t>
  </si>
  <si>
    <t>Translation document</t>
  </si>
  <si>
    <t>C. Promoting Contract farming Policy for Inclusive Agribusiness</t>
  </si>
  <si>
    <t>Darfting, translation and publication of policy</t>
  </si>
  <si>
    <t>D. Proclamations/Prakas support to AC's Law implementation (based on article 82, 47, 75, 88 of AC's Law)</t>
  </si>
  <si>
    <t>Translation and publication of proclamations/ Prakas</t>
  </si>
  <si>
    <t>E. CSA, Tropical Fruit CAMGAP and Biofertiliser Standards</t>
  </si>
  <si>
    <t>3.1.23</t>
  </si>
  <si>
    <t>3.1.24</t>
  </si>
  <si>
    <t>3.1.25</t>
  </si>
  <si>
    <t>Bio-fertlizer/Bio-pesticide</t>
  </si>
  <si>
    <t>3.1.26</t>
  </si>
  <si>
    <t>3.1.27</t>
  </si>
  <si>
    <t>F. National Biodigester and Bioslurry Policy  and Standards</t>
  </si>
  <si>
    <t xml:space="preserve">Meeting with technical working group on biodigester and bio-slurry </t>
  </si>
  <si>
    <t>Crop-centric forums for rice, cassava, maize, and mango</t>
  </si>
  <si>
    <t>Meeting with AC to estblish Cassava, maize, and mango group links with traders (15 groups)</t>
  </si>
  <si>
    <t>Legal farming contract signing consultation forum at provincial level</t>
  </si>
  <si>
    <t>A. Mechanisation Workshop (4 Units)</t>
  </si>
  <si>
    <t>TABLE 11. 1.3  TRAINING BUILDINGS FOR PADCS /A (3 in 2021)</t>
  </si>
  <si>
    <t>A. LAB rennovation and green house</t>
  </si>
  <si>
    <r>
      <t>MLECH IRRIGATION SUBPROJECT</t>
    </r>
    <r>
      <rPr>
        <sz val="10"/>
        <color rgb="FFFF0000"/>
        <rFont val="Arial"/>
        <family val="2"/>
      </rPr>
      <t xml:space="preserve"> (Carry from 2020)</t>
    </r>
  </si>
  <si>
    <r>
      <t>PREY TAKOUCH IRRIGATION SUBPROJECT</t>
    </r>
    <r>
      <rPr>
        <sz val="10"/>
        <color rgb="FFFF0000"/>
        <rFont val="Arial"/>
        <family val="2"/>
      </rPr>
      <t xml:space="preserve"> (Carry from 2020)</t>
    </r>
  </si>
  <si>
    <t>TRAPEANG BOEUNG RESERVOIR</t>
  </si>
  <si>
    <t>KANDAL IRRIGATION SYSTEM</t>
  </si>
  <si>
    <r>
      <t xml:space="preserve">PREY KDOUCH IRRIGATION SUBPROJECT </t>
    </r>
    <r>
      <rPr>
        <sz val="10"/>
        <color rgb="FFFF0000"/>
        <rFont val="Arial"/>
        <family val="2"/>
      </rPr>
      <t>(Carry from 2020)</t>
    </r>
  </si>
  <si>
    <r>
      <t xml:space="preserve">KRAIN AMPIL IRRIGATION SUBPROJECT </t>
    </r>
    <r>
      <rPr>
        <sz val="10"/>
        <color rgb="FFFF0000"/>
        <rFont val="Arial"/>
        <family val="2"/>
      </rPr>
      <t>(Carry from 2020)</t>
    </r>
  </si>
  <si>
    <t>CW15-G</t>
  </si>
  <si>
    <t>CHROUK1 &amp; PLOV TOUK CANAL</t>
  </si>
  <si>
    <t>CW15-H</t>
  </si>
  <si>
    <t>KWAENG TAYI CANAL</t>
  </si>
  <si>
    <t>CW15-J</t>
  </si>
  <si>
    <t>PREY RUMDENG CANAL</t>
  </si>
  <si>
    <t>CW13-F</t>
  </si>
  <si>
    <t>TBONG DAMREI RESERVOIR</t>
  </si>
  <si>
    <t>CW13-G</t>
  </si>
  <si>
    <t>KAMPONG RAING FEEDING CANAL</t>
  </si>
  <si>
    <r>
      <t>PRAM KOMPHEAK IRRIGATION SUBPROJECT</t>
    </r>
    <r>
      <rPr>
        <sz val="10"/>
        <color rgb="FFFF0000"/>
        <rFont val="Arial"/>
        <family val="2"/>
      </rPr>
      <t xml:space="preserve"> (Carry from 2020)</t>
    </r>
  </si>
  <si>
    <r>
      <t xml:space="preserve">O'KAMPROK IRRIGATION SUBPROJECT </t>
    </r>
    <r>
      <rPr>
        <sz val="10"/>
        <color rgb="FFFF0000"/>
        <rFont val="Arial"/>
        <family val="2"/>
      </rPr>
      <t>(Carry from 2020)</t>
    </r>
  </si>
  <si>
    <t>POU TATRESS RESERVOIR</t>
  </si>
  <si>
    <t>KOU EURTH RESERVOIR</t>
  </si>
  <si>
    <t>2 Technical Assistance and Gender Assistance</t>
  </si>
  <si>
    <t xml:space="preserve">4 Meteorology Assistance </t>
  </si>
  <si>
    <t>3 FWUC Organization and Formulation Officer</t>
  </si>
  <si>
    <t>2 Irrigation Information Assistant</t>
  </si>
  <si>
    <t>5 Technical Assistance of Irrigation System</t>
  </si>
  <si>
    <t>4 PDOWRAM Director for 4 provinces</t>
  </si>
  <si>
    <t>=</t>
  </si>
  <si>
    <t>Activity  
Code</t>
  </si>
  <si>
    <t xml:space="preserve">a- Road construction in DBST at Takeo province 14.67 Km </t>
  </si>
  <si>
    <r>
      <t>Shoulder both sides(0.5-1m),Laterite-m</t>
    </r>
    <r>
      <rPr>
        <vertAlign val="superscript"/>
        <sz val="10"/>
        <color theme="1"/>
        <rFont val="Calibri"/>
        <family val="2"/>
      </rPr>
      <t>3</t>
    </r>
  </si>
  <si>
    <r>
      <t>M12 , CRS1-m</t>
    </r>
    <r>
      <rPr>
        <vertAlign val="superscript"/>
        <sz val="10"/>
        <rFont val="Arial"/>
        <family val="2"/>
      </rPr>
      <t>3</t>
    </r>
  </si>
  <si>
    <r>
      <t>M19 , CRS2-m</t>
    </r>
    <r>
      <rPr>
        <vertAlign val="superscript"/>
        <sz val="10"/>
        <color theme="1"/>
        <rFont val="Calibri"/>
        <family val="2"/>
      </rPr>
      <t>3</t>
    </r>
  </si>
  <si>
    <r>
      <t>Base Course -m</t>
    </r>
    <r>
      <rPr>
        <vertAlign val="superscript"/>
        <sz val="10"/>
        <rFont val="Arial"/>
        <family val="2"/>
      </rPr>
      <t>3</t>
    </r>
  </si>
  <si>
    <r>
      <t>Sub-base-m</t>
    </r>
    <r>
      <rPr>
        <vertAlign val="superscript"/>
        <sz val="10"/>
        <rFont val="Arial"/>
        <family val="2"/>
      </rPr>
      <t>3</t>
    </r>
  </si>
  <si>
    <t>Subgrade-m3</t>
  </si>
  <si>
    <t>Embankment</t>
  </si>
  <si>
    <t xml:space="preserve">b- Road construction in DBST at Tboung Khum province 21.83 Km </t>
  </si>
  <si>
    <r>
      <t>Embankment-m</t>
    </r>
    <r>
      <rPr>
        <vertAlign val="superscript"/>
        <sz val="10"/>
        <rFont val="Arial"/>
        <family val="2"/>
      </rPr>
      <t>3</t>
    </r>
  </si>
  <si>
    <t xml:space="preserve">c- Road construction in DBST at Kampong Cham province 14.30 Km </t>
  </si>
  <si>
    <t xml:space="preserve">d- Road construction in DBST at Kampot province  20.10 Km </t>
  </si>
  <si>
    <t xml:space="preserve">a- Road construction in DBST at Kampot province  40.99 Km </t>
  </si>
  <si>
    <t>Cost estimation of all structures such as  box culverts and pipe culverts …..</t>
  </si>
  <si>
    <t xml:space="preserve">PDRD Director </t>
  </si>
  <si>
    <t>Rural road Technician (3 staff)</t>
  </si>
  <si>
    <t>Admin &amp; Finance Assistant (4 staff x $100)</t>
  </si>
  <si>
    <t>MRD - Rural Roads</t>
  </si>
  <si>
    <t>day</t>
  </si>
  <si>
    <t>- Office Operation (PMU $350 &amp; PDRDs= 4x$100)</t>
  </si>
  <si>
    <t>*** Civil Works and budget plan will be revised after completing detailed Design</t>
  </si>
  <si>
    <t>*** Concrete pavement will be applied where the road section within the residential area or local market places depending on the FS's need.</t>
  </si>
  <si>
    <t>Table 20</t>
  </si>
  <si>
    <t>Activity</t>
  </si>
  <si>
    <t>L 3661-(ADB)</t>
  </si>
  <si>
    <t>L-8346-(GCF)</t>
  </si>
  <si>
    <t>RCG</t>
  </si>
  <si>
    <t>Percentage %</t>
  </si>
  <si>
    <t>Gravity Irrigation</t>
  </si>
  <si>
    <t>FWUC/O&amp;M Training</t>
  </si>
  <si>
    <t>Per diem &amp; Travel</t>
  </si>
  <si>
    <t>Office Operation</t>
  </si>
  <si>
    <t>Total PMU</t>
  </si>
  <si>
    <t>Table 12</t>
  </si>
  <si>
    <t xml:space="preserve">2020 AWP MRD BUDGET      </t>
  </si>
  <si>
    <t>Table 21</t>
  </si>
  <si>
    <t xml:space="preserve">Connectivity </t>
  </si>
  <si>
    <t>Package</t>
  </si>
  <si>
    <t>Remuneration</t>
  </si>
  <si>
    <t>Reimbursable</t>
  </si>
  <si>
    <t>Provisional Sum</t>
  </si>
  <si>
    <t>CS 1</t>
  </si>
  <si>
    <t>PIC</t>
  </si>
  <si>
    <t>CS 2</t>
  </si>
  <si>
    <t>CS 3</t>
  </si>
  <si>
    <t xml:space="preserve">Seed </t>
  </si>
  <si>
    <t>CS 4</t>
  </si>
  <si>
    <t>CS 5</t>
  </si>
  <si>
    <t xml:space="preserve">FS, DED </t>
  </si>
  <si>
    <t>CS 6</t>
  </si>
  <si>
    <t>Ind Envmt  Audit</t>
  </si>
  <si>
    <t xml:space="preserve">2021 AWP MRD BUDGET      </t>
  </si>
  <si>
    <t xml:space="preserve">2021 AWP MOWRAM BUDGET ($)    </t>
  </si>
  <si>
    <t>Contingency</t>
  </si>
  <si>
    <t>PPP for Agribus</t>
  </si>
  <si>
    <t>Agrbusi Policy</t>
  </si>
  <si>
    <t>Agro-indus Pol</t>
  </si>
  <si>
    <t>Promote CF Pol</t>
  </si>
  <si>
    <t>Proclaim on AC</t>
  </si>
  <si>
    <t>Natl Biodigester Pol</t>
  </si>
  <si>
    <t>CamGAP</t>
  </si>
  <si>
    <t>CSA and SRP</t>
  </si>
  <si>
    <t>TOT AC Business</t>
  </si>
  <si>
    <t>Landscape Restoration</t>
  </si>
  <si>
    <t>Other Costs</t>
  </si>
  <si>
    <t>4. Minor Equipment</t>
  </si>
  <si>
    <t>Lathes</t>
  </si>
  <si>
    <t>Milling machine</t>
  </si>
  <si>
    <t>Heavy duty lifting gear</t>
  </si>
  <si>
    <t>heavy duty drilling machine</t>
  </si>
  <si>
    <t>Shearing machine</t>
  </si>
  <si>
    <t>Other major equipment</t>
  </si>
  <si>
    <t>Procurement Specialists (MRD, MoWRAM &amp; MAFF each for 18 months) 3 Experts</t>
  </si>
  <si>
    <t>Financial Management Specialist (MOWRAM and MRD) 2 Experts</t>
  </si>
  <si>
    <t>Financial Management Specialist (PMU-MAFF)</t>
  </si>
  <si>
    <t>Financial management specialist MEF)</t>
  </si>
  <si>
    <t>Agricultural cooperative</t>
  </si>
  <si>
    <t>Renewable energy</t>
  </si>
  <si>
    <t>Agricultural development</t>
  </si>
  <si>
    <t>Engineering workshop</t>
  </si>
  <si>
    <t>Agribusiness</t>
  </si>
  <si>
    <t>GAP</t>
  </si>
  <si>
    <t>Green finance</t>
  </si>
  <si>
    <t>Policy &amp; PPP</t>
  </si>
  <si>
    <t>Provisional sum (CS1, PIC)</t>
  </si>
  <si>
    <t>Contingencies (CS1, PIC)</t>
  </si>
  <si>
    <t>Reimbursable (CS1, PIC)</t>
  </si>
  <si>
    <t>Project staffs</t>
  </si>
  <si>
    <t>Office operation</t>
  </si>
  <si>
    <t>Perdiem</t>
  </si>
  <si>
    <t>Office</t>
  </si>
  <si>
    <t>Project staff</t>
  </si>
  <si>
    <t>Vehicle</t>
  </si>
  <si>
    <t>i.</t>
  </si>
  <si>
    <t>j.</t>
  </si>
  <si>
    <t>Advertisement</t>
  </si>
  <si>
    <t>Remuneration (CS1, PIC)</t>
  </si>
  <si>
    <t>Remuneration (CS2, PIC)</t>
  </si>
  <si>
    <t>Reimbursable (CS2, PIC)</t>
  </si>
  <si>
    <t>Provisional sum (CS2, PIC)</t>
  </si>
  <si>
    <t>Remuneration (CS5)</t>
  </si>
  <si>
    <t>Reimbursable (CS5)</t>
  </si>
  <si>
    <t>Advertisement charge</t>
  </si>
  <si>
    <t>Costs by Sources of Fund</t>
  </si>
  <si>
    <t xml:space="preserve">b- Road construction in DBST at Takeo province  17.45 Km </t>
  </si>
  <si>
    <t xml:space="preserve">c- Road construction in DBST at Kampong Cham province  13.35 Km </t>
  </si>
  <si>
    <t xml:space="preserve">d- Road construction in DBST at Tboung Khmom province  26.63 Km </t>
  </si>
  <si>
    <t>A. INCREMENTAL STAFF</t>
  </si>
  <si>
    <t>1. PMU and PDRD staff</t>
  </si>
  <si>
    <t>2. Technical Contact Points</t>
  </si>
  <si>
    <t>-Vehicle Operating Costs  (PMU &amp; PDRD) (7 vehicles X $450)</t>
  </si>
  <si>
    <t>- Per-diem &amp; DSA for 5 persons for PMU (10days/month/person =(34*8+14*2)*5=1,500$)</t>
  </si>
  <si>
    <t>- Per diem &amp; DSA 3 drivers for PMU for 10 days ((8*34+2*14))*3</t>
  </si>
  <si>
    <t>- Per diem &amp; DSA 4 drivers for PDRDs for 10 days ((8*34+2*14))*4</t>
  </si>
  <si>
    <t>- Per diem &amp; DSA for technical contract point</t>
  </si>
  <si>
    <t>4- PROJECT TECHNICAL SUPPORT</t>
  </si>
  <si>
    <t xml:space="preserve">Remuneration </t>
  </si>
  <si>
    <t>Project Management &amp; Rural Infrastructure Specialist &amp; Deputy Team Leader -1 (MoWRAM)</t>
  </si>
  <si>
    <t>Project Management &amp; Rural Infrastructure Specialist &amp; Deputy Team Leader -2 (MRD)</t>
  </si>
  <si>
    <t>Project Management &amp; Rural Infrastructure Specialist &amp; Deputy Team Leader -3 (MAFF)</t>
  </si>
  <si>
    <t>Procurement Specialists 1 (MoWRAM)</t>
  </si>
  <si>
    <t>Procurement Specialists 2 (MRD)</t>
  </si>
  <si>
    <t>Procurement Specialists 3 (MAFF)</t>
  </si>
  <si>
    <t>Financial Management Specialist (MOWRAM)</t>
  </si>
  <si>
    <t>Financial Management Specialist ( MRD)</t>
  </si>
  <si>
    <t>Financial Management Specialist (MAFF)</t>
  </si>
  <si>
    <t>Water Management and Irrigation Engineer - (Kampong Cham)</t>
  </si>
  <si>
    <t>Water Management and Irrigation Engineer - (Tboung Khmum)</t>
  </si>
  <si>
    <t>Water Management and Irrigation Engineer - (Kampot)</t>
  </si>
  <si>
    <t>Water Management and Irrigation Engineer - (Takeo)</t>
  </si>
  <si>
    <t>Cooperative Storage &amp; Rural Roads Engineer (Kampong Cham)</t>
  </si>
  <si>
    <t>Cooperative Storage &amp; Rural Roads Engineer (Tboung Khmum)</t>
  </si>
  <si>
    <t>Cooperative Storage &amp; Rural Roads Engineer (Kampot)</t>
  </si>
  <si>
    <t>Cooperative Storage &amp; Rural Roads Engineer (Takeo)</t>
  </si>
  <si>
    <t xml:space="preserve">B. CS 5  Feasibility Studies and Detailed Engineering Design Consulting Firm </t>
  </si>
  <si>
    <t>Hydrologist (International)</t>
  </si>
  <si>
    <t>Social Safeguards Specialist (international)</t>
  </si>
  <si>
    <t>Environmental Safeguards Specialists (international)</t>
  </si>
  <si>
    <t>Agricultural Economist (International)</t>
  </si>
  <si>
    <t>Deputy team Leader/Irrigation Design Engineer</t>
  </si>
  <si>
    <t>Agriculturalist</t>
  </si>
  <si>
    <t>Environmental Safeguards Specialist</t>
  </si>
  <si>
    <t xml:space="preserve">Resettlement Specialist </t>
  </si>
  <si>
    <t>Auto CAD Specialist-1</t>
  </si>
  <si>
    <t>Auto CAD Specialist-2</t>
  </si>
  <si>
    <t>Auto CAD Specialist-3</t>
  </si>
  <si>
    <t>Auto CAD Specialist-4</t>
  </si>
  <si>
    <t xml:space="preserve">Social Development and Gender Safeguard Specialist </t>
  </si>
  <si>
    <t xml:space="preserve"> Total PROJECT TECHNICAL SUPPORT</t>
  </si>
  <si>
    <t>Unit Cost</t>
  </si>
  <si>
    <t>('000 USD)</t>
  </si>
  <si>
    <t xml:space="preserve">Office Operating Costs (2 office renovations) </t>
  </si>
  <si>
    <t>- Driver salary (7 drivers:  $250/month/person)</t>
  </si>
  <si>
    <t>- Per-diem &amp; DSA for 4 PDRDs ( 2 persons for 10 days/month/person and 1 person  5 days/month/person  for each province =[(8*34+2*14)*2+(4*34+14)]</t>
  </si>
  <si>
    <t>province</t>
  </si>
  <si>
    <t>Road Taxes</t>
  </si>
  <si>
    <t xml:space="preserve">Vehicles (Pick-Up) </t>
  </si>
  <si>
    <t>Cassava seed demonstration  (at  farmers and Chamkar Leu Station)</t>
  </si>
  <si>
    <t>2.2.7</t>
  </si>
  <si>
    <t>Time</t>
  </si>
  <si>
    <t>Guest speakers forum /a</t>
  </si>
  <si>
    <t>TABLE 12. 1.3  MECHANISATION WORKSHOPS FOR TAKEO, KAMPOT, TBONG KHMUM &amp; KAMPONG CHAM</t>
  </si>
  <si>
    <r>
      <t>m</t>
    </r>
    <r>
      <rPr>
        <vertAlign val="superscript"/>
        <sz val="10"/>
        <rFont val="Arial"/>
        <family val="2"/>
      </rPr>
      <t>3</t>
    </r>
  </si>
  <si>
    <t>Table 31</t>
  </si>
  <si>
    <t>Table 28</t>
  </si>
  <si>
    <t>Table 20:</t>
  </si>
  <si>
    <t xml:space="preserve">Table 19: MAFF’s AWPB 2021 </t>
  </si>
  <si>
    <r>
      <t>Per Diems and DSA (PDAFF  40</t>
    </r>
    <r>
      <rPr>
        <sz val="10"/>
        <color indexed="13"/>
        <rFont val="Arial"/>
        <family val="2"/>
      </rPr>
      <t xml:space="preserve"> </t>
    </r>
    <r>
      <rPr>
        <sz val="10"/>
        <color theme="1"/>
        <rFont val="Arial"/>
        <family val="2"/>
      </rPr>
      <t>persons +4 drivers=44persons "34x2+14*8=180$/month")</t>
    </r>
  </si>
  <si>
    <t>%</t>
  </si>
  <si>
    <t>ADB loan</t>
  </si>
  <si>
    <t>Checking</t>
  </si>
  <si>
    <t>Subtotal 1</t>
  </si>
  <si>
    <t>Subtotal 2</t>
  </si>
  <si>
    <t>Subtotal 3</t>
  </si>
  <si>
    <t>Subtotal _PMU</t>
  </si>
  <si>
    <t>Subtotal CSs</t>
  </si>
  <si>
    <t xml:space="preserve">Table 19: MAFF’s AWPB 2021   </t>
  </si>
  <si>
    <t>-</t>
  </si>
  <si>
    <t>Maize shellers (10 ton)</t>
  </si>
  <si>
    <t>Agriculture Cooperative</t>
  </si>
  <si>
    <t>Renewable Energy</t>
  </si>
  <si>
    <t>Agricultural Development</t>
  </si>
  <si>
    <t>Engineering Workshop</t>
  </si>
  <si>
    <t>Pre Diem &amp; Travels</t>
  </si>
  <si>
    <t xml:space="preserve">Table 31: Details AWP 2021 TA Allocations (US $)  </t>
  </si>
  <si>
    <t>Okay : Checked</t>
  </si>
  <si>
    <t>Okay :Checked</t>
  </si>
  <si>
    <t>Table 28: CFAVC AWPB in 2021 PMU Operational Budget (US $)</t>
  </si>
  <si>
    <t>Figures from Word file</t>
  </si>
  <si>
    <t>Figures from Annex 1</t>
  </si>
  <si>
    <t xml:space="preserve">Table 18: 2021 AWP BUDGET per DMF Output (0.000$)  </t>
  </si>
  <si>
    <t>Checked</t>
  </si>
  <si>
    <t>From Word File</t>
  </si>
  <si>
    <t>Output 1</t>
  </si>
  <si>
    <t>Output 2</t>
  </si>
  <si>
    <t>Output 3</t>
  </si>
  <si>
    <t>Total 1+2+3</t>
  </si>
  <si>
    <t>Correct</t>
  </si>
  <si>
    <t xml:space="preserve">Table 16: AWPB 2021 Per EA and IAs      </t>
  </si>
  <si>
    <t>Table 17: AWPB 2021 Per Fund Source</t>
  </si>
  <si>
    <t>Per diem and accommodation for LAB (3 staff *30 days)</t>
  </si>
  <si>
    <t>Training to Model farmers &amp; exchange visits</t>
  </si>
  <si>
    <t>Training of trainers (TOT) for provincial team for CSA on rice, maize, and cassava (local)</t>
  </si>
  <si>
    <t>Drafting  and publication of policies (Est. 60 pages)</t>
  </si>
  <si>
    <t>Study</t>
  </si>
  <si>
    <t>Materials, Reagents</t>
  </si>
  <si>
    <r>
      <t xml:space="preserve">Training of </t>
    </r>
    <r>
      <rPr>
        <sz val="10"/>
        <color rgb="FFFF0000"/>
        <rFont val="Arial"/>
        <family val="2"/>
      </rPr>
      <t>extension officers</t>
    </r>
    <r>
      <rPr>
        <sz val="10"/>
        <rFont val="Arial"/>
        <family val="2"/>
      </rPr>
      <t>/workers for  biodigester and bio-slurry /e</t>
    </r>
  </si>
  <si>
    <r>
      <t xml:space="preserve">TOT training  on bio-gas plant, bio-slurry use and management for </t>
    </r>
    <r>
      <rPr>
        <sz val="10"/>
        <color rgb="FFFF0000"/>
        <rFont val="Arial"/>
        <family val="2"/>
      </rPr>
      <t>PDAFF &amp;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extension workers</t>
    </r>
  </si>
  <si>
    <r>
      <t xml:space="preserve">Training on M&amp;E on biodigester and compost hut for </t>
    </r>
    <r>
      <rPr>
        <sz val="10"/>
        <color rgb="FFFF0000"/>
        <rFont val="Arial"/>
        <family val="2"/>
      </rPr>
      <t>PDAFF</t>
    </r>
  </si>
  <si>
    <t>1. Basic infrastructure for cooperatives</t>
  </si>
  <si>
    <t>1. Equipment (Training &amp; classroom equipment)</t>
  </si>
  <si>
    <t>2. Major Equipment</t>
  </si>
  <si>
    <t>1. Provision for renovation for Kampot</t>
  </si>
  <si>
    <t>2.1.9</t>
  </si>
  <si>
    <t>2.1.10</t>
  </si>
  <si>
    <t>2.1.11</t>
  </si>
  <si>
    <t>Meeting with AC to estblish rice producer group links with rice millers (40 groups)</t>
  </si>
  <si>
    <t>B. PPP Initiatives for Agribusiness</t>
  </si>
  <si>
    <t>Orientation</t>
  </si>
  <si>
    <t>1. Independent Environment Monitoring Entity/Consultants</t>
  </si>
  <si>
    <t>B. Independent Environment Monitoring Entity/Consultant</t>
  </si>
  <si>
    <t>3. Reimbursable Expenses and Provisional Sums</t>
  </si>
  <si>
    <t>4. Provisional Sums</t>
  </si>
  <si>
    <t>5. Contingencies</t>
  </si>
  <si>
    <t>C1. National Agricultural Laboratory</t>
  </si>
  <si>
    <t>C2. Renewable Energy for Value Chain Improvement</t>
  </si>
  <si>
    <t>C3.Support for Capacity Building</t>
  </si>
  <si>
    <t>C4. Policy &amp; Standards</t>
  </si>
  <si>
    <t>C5. Green Finance Facility Support</t>
  </si>
  <si>
    <t>C6. Reimbursable Expenses and Provisional Sums</t>
  </si>
  <si>
    <t>C7. Provisional Sums</t>
  </si>
  <si>
    <t>D. CS5 Feasibility Studies and Detailed Engineering Design</t>
  </si>
  <si>
    <t xml:space="preserve">D1. Remuneration </t>
  </si>
  <si>
    <t>D2. Reimbursable Expenses and Provisional Sums</t>
  </si>
  <si>
    <t>D3. Provisional Sums</t>
  </si>
  <si>
    <t>Perdiem and accommodation for LAB staff (3 staff * 30 days)</t>
  </si>
  <si>
    <t>1.5.21</t>
  </si>
  <si>
    <r>
      <t>TRAPEANG RUN IRRIGATION SUBPROJECT</t>
    </r>
    <r>
      <rPr>
        <b/>
        <sz val="10"/>
        <color theme="3" tint="0.39997558519241921"/>
        <rFont val="Arial"/>
        <family val="2"/>
      </rPr>
      <t xml:space="preserve"> (Carry from 2020)</t>
    </r>
  </si>
  <si>
    <r>
      <t xml:space="preserve">KBAL TOEUK IRRIGATION SUBPROJECT </t>
    </r>
    <r>
      <rPr>
        <sz val="10"/>
        <color theme="3" tint="0.39997558519241921"/>
        <rFont val="Arial"/>
        <family val="2"/>
      </rPr>
      <t>(Carry from 2020)</t>
    </r>
  </si>
  <si>
    <r>
      <t xml:space="preserve">TOUL PRING IRRIGATION SUBPROJECT </t>
    </r>
    <r>
      <rPr>
        <sz val="10"/>
        <color theme="3" tint="0.39997558519241921"/>
        <rFont val="Arial"/>
        <family val="2"/>
      </rPr>
      <t>(Carry from 2020)</t>
    </r>
  </si>
  <si>
    <r>
      <t>TRAPEANG TROSS IRRIGATION SUBPROJECT</t>
    </r>
    <r>
      <rPr>
        <sz val="10"/>
        <color rgb="FFFF0000"/>
        <rFont val="Arial"/>
        <family val="2"/>
      </rPr>
      <t xml:space="preserve"> </t>
    </r>
    <r>
      <rPr>
        <sz val="10"/>
        <color theme="3" tint="0.39997558519241921"/>
        <rFont val="Arial"/>
        <family val="2"/>
      </rPr>
      <t>(Carry from 2020)</t>
    </r>
  </si>
  <si>
    <t>19 FWUC Establishment and Capacity Building</t>
  </si>
  <si>
    <r>
      <t xml:space="preserve">9 FWUC Establishment and 10 FWUC </t>
    </r>
    <r>
      <rPr>
        <b/>
        <sz val="10"/>
        <color rgb="FFFF0000"/>
        <rFont val="Arial"/>
        <family val="2"/>
      </rPr>
      <t>carry from 2020</t>
    </r>
  </si>
  <si>
    <t>Step1:Sissemination the information and process FWUC formation</t>
  </si>
  <si>
    <t>Step2: Demarcate the command areas and data collection</t>
  </si>
  <si>
    <t>Step3: Create the Statute Committees to draft the Statute</t>
  </si>
  <si>
    <t>Step4: Form Farmer Water User Community</t>
  </si>
  <si>
    <t>Step5: Reviews and awareness of the draft statute</t>
  </si>
  <si>
    <t>Step6: FWUC Committee Election</t>
  </si>
  <si>
    <t>Step7: Finalization of FWUC Statute and Action Plan</t>
  </si>
  <si>
    <t>Step8: FWUC Approval and Registration</t>
  </si>
  <si>
    <t>19 FWUC Capacity Building (9 Fwuc and 10 Fwuc carry from 2020)</t>
  </si>
  <si>
    <t>FWUC Management Training</t>
  </si>
  <si>
    <t>Systematic Operations</t>
  </si>
  <si>
    <t>Scheme Maintenance</t>
  </si>
  <si>
    <t>On-the-job training</t>
  </si>
  <si>
    <t>FWUC</t>
  </si>
  <si>
    <t>Sub-Total</t>
  </si>
  <si>
    <t>Motorcycle</t>
  </si>
  <si>
    <t>Vehicle Operating Costs (13 Vehicles "450$/month/vehicle")</t>
  </si>
  <si>
    <r>
      <t xml:space="preserve">Per Diems and DSA for PMU, AIs (36 Staffs +9 driver = 45 </t>
    </r>
    <r>
      <rPr>
        <sz val="10"/>
        <color theme="1"/>
        <rFont val="Arial"/>
        <family val="2"/>
      </rPr>
      <t>Persons "34x8=272$/month")</t>
    </r>
  </si>
  <si>
    <t xml:space="preserve">Office Operating Costs (including salary for 2 cleaners &amp; 10 drivers: 5,750$/month) </t>
  </si>
  <si>
    <t>Rehabilitating water management infrastructure to climate resilient condition</t>
  </si>
  <si>
    <t>Chemical substance (Acide&amp;Alkalin) for identifying pathogen/microp</t>
  </si>
  <si>
    <t>set</t>
  </si>
  <si>
    <t>Culture media for culturing pathogen/microp and stimulate plant to grow</t>
  </si>
  <si>
    <t>Disinfectant substance for killing part of plant before culturing colony media</t>
  </si>
  <si>
    <t>Design engineer (1 person)</t>
  </si>
  <si>
    <t>CAD operator (1 person)</t>
  </si>
  <si>
    <t>Laboratory reconfiguration and equipment assessment (1 person*15days)</t>
  </si>
  <si>
    <t>Equipment (12 Computors and 7 Printers)</t>
  </si>
  <si>
    <t>Eqipment (topographical equipments with DGPS and Drone)</t>
  </si>
  <si>
    <t>CS7</t>
  </si>
  <si>
    <t>Desimination Workshop</t>
  </si>
  <si>
    <r>
      <t xml:space="preserve">TABLE 9. 1.2A  44 X COOPERATIVE GRAIN STORAGE UNITS (100 TON CAPACITY) - </t>
    </r>
    <r>
      <rPr>
        <b/>
        <strike/>
        <sz val="10"/>
        <color rgb="FFFF0000"/>
        <rFont val="Arial"/>
        <family val="2"/>
      </rPr>
      <t>12 units in 2020</t>
    </r>
    <r>
      <rPr>
        <b/>
        <sz val="10"/>
        <color rgb="FFFF0000"/>
        <rFont val="Arial"/>
        <family val="2"/>
      </rPr>
      <t>, 20 units in 2022</t>
    </r>
  </si>
  <si>
    <r>
      <t xml:space="preserve">TABLE 10. 1.2A  24 X RICE SEED STORAGE UNITS  (50 TON CAPACITY) - </t>
    </r>
    <r>
      <rPr>
        <b/>
        <strike/>
        <sz val="9"/>
        <color rgb="FFFF0000"/>
        <rFont val="Arial"/>
        <family val="2"/>
      </rPr>
      <t>5 units in 2020,</t>
    </r>
    <r>
      <rPr>
        <b/>
        <sz val="9"/>
        <color rgb="FFFF0000"/>
        <rFont val="Arial"/>
        <family val="2"/>
      </rPr>
      <t xml:space="preserve"> 10 units in 2022</t>
    </r>
  </si>
  <si>
    <t>Dryer</t>
  </si>
  <si>
    <t>Dryer shed</t>
  </si>
  <si>
    <t>Electricaltransformer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</si>
</sst>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_(* #,##0_);_(* \(#,##0\);_(* &quot;-&quot;??_);_(@_)"/>
    <numFmt numFmtId="168" formatCode="_-* #,##0_-;\-* #,##0_-;_-* &quot;-&quot;??_-;_-@_-"/>
    <numFmt numFmtId="169" formatCode="#,##0.0"/>
    <numFmt numFmtId="170" formatCode="_-* #,##0.00_-;\-* #,##0.00_-;_-* &quot;-&quot;_-;_-@_-"/>
    <numFmt numFmtId="171" formatCode="_-* #,##0.0_-;\-* #,##0.0_-;_-* &quot;-&quot;??_-;_-@_-"/>
    <numFmt numFmtId="172" formatCode="00"/>
    <numFmt numFmtId="173" formatCode="_-* #,##0.0_-;\-* #,##0.0_-;_-* &quot;-&quot;?_-;_-@_-"/>
    <numFmt numFmtId="174" formatCode="_-* #,##0.000_-;\-* #,##0.000_-;_-* &quot;-&quot;??_-;_-@_-"/>
    <numFmt numFmtId="175" formatCode="#,##0.000"/>
    <numFmt numFmtId="176" formatCode="_(* #,##0.000_);_(* \(#,##0.000\);_(* &quot;-&quot;??_);_(@_)"/>
    <numFmt numFmtId="177" formatCode="_-* #,##0.00000_-;\-* #,##0.00000_-;_-* &quot;-&quot;??_-;_-@_-"/>
    <numFmt numFmtId="178" formatCode="0.000"/>
  </numFmts>
  <fonts count="126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FF"/>
      <name val="Arial Narrow"/>
      <family val="2"/>
    </font>
    <font>
      <sz val="11"/>
      <name val="Arial"/>
      <family val="2"/>
    </font>
    <font>
      <sz val="10"/>
      <color rgb="FFFF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2060"/>
      <name val="Arial Narrow"/>
      <family val="2"/>
    </font>
    <font>
      <sz val="10"/>
      <color rgb="FF0070C0"/>
      <name val="Arial Narrow"/>
      <family val="2"/>
    </font>
    <font>
      <i/>
      <sz val="10"/>
      <color rgb="FF0070C0"/>
      <name val="Arial Narrow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 Narrow"/>
      <family val="2"/>
    </font>
    <font>
      <b/>
      <u/>
      <sz val="11"/>
      <color theme="9" tint="-0.249977111117893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 Narrow"/>
      <family val="2"/>
    </font>
    <font>
      <sz val="9"/>
      <color indexed="81"/>
      <name val="Tahoma"/>
      <family val="2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b/>
      <sz val="10"/>
      <color rgb="FFFF0000"/>
      <name val="Calibri"/>
      <family val="2"/>
    </font>
    <font>
      <b/>
      <sz val="13"/>
      <name val="Calibri"/>
      <family val="2"/>
    </font>
    <font>
      <b/>
      <sz val="16"/>
      <name val="Calibri"/>
      <family val="2"/>
    </font>
    <font>
      <b/>
      <u/>
      <sz val="10"/>
      <color rgb="FFFF0000"/>
      <name val="CG Omega"/>
      <family val="2"/>
    </font>
    <font>
      <b/>
      <sz val="9"/>
      <color rgb="FFFF0000"/>
      <name val="Arial"/>
      <family val="2"/>
    </font>
    <font>
      <sz val="10"/>
      <color indexed="13"/>
      <name val="Arial"/>
      <family val="2"/>
    </font>
    <font>
      <b/>
      <sz val="12"/>
      <name val="Arial"/>
      <family val="2"/>
    </font>
    <font>
      <sz val="10"/>
      <color rgb="FF00B0F0"/>
      <name val="Arial"/>
      <family val="2"/>
    </font>
    <font>
      <b/>
      <i/>
      <sz val="10"/>
      <color rgb="FF0070C0"/>
      <name val="Arial"/>
      <family val="2"/>
    </font>
    <font>
      <sz val="10"/>
      <color rgb="FF00B0F0"/>
      <name val="Arial Narrow"/>
      <family val="2"/>
    </font>
    <font>
      <sz val="9"/>
      <name val="Arial Narrow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vertAlign val="superscript"/>
      <sz val="10"/>
      <name val="Arial"/>
      <family val="2"/>
    </font>
    <font>
      <b/>
      <sz val="10"/>
      <color rgb="FF0000FF"/>
      <name val="Arial Narrow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12"/>
      <color theme="1"/>
      <name val="Calibri"/>
      <family val="2"/>
    </font>
    <font>
      <b/>
      <sz val="12"/>
      <name val="Arial Narrow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0070C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rgb="FFFF0000"/>
      <name val="Arial"/>
      <family val="2"/>
    </font>
    <font>
      <b/>
      <i/>
      <sz val="10"/>
      <color rgb="FFFF0000"/>
      <name val="Arial Narrow"/>
      <family val="2"/>
    </font>
    <font>
      <b/>
      <i/>
      <sz val="11"/>
      <color rgb="FFFF0000"/>
      <name val="Arial"/>
      <family val="2"/>
    </font>
    <font>
      <b/>
      <sz val="9"/>
      <name val="Arial Narrow"/>
      <family val="2"/>
    </font>
    <font>
      <vertAlign val="superscript"/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indexed="81"/>
      <name val="Tahoma"/>
      <family val="2"/>
    </font>
    <font>
      <b/>
      <sz val="11"/>
      <color indexed="81"/>
      <name val="Tahoma"/>
      <family val="2"/>
    </font>
    <font>
      <sz val="14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0"/>
      <color rgb="FFFF0000"/>
      <name val="Calibri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9"/>
      <color rgb="FF0000FF"/>
      <name val="Arial Narrow"/>
      <family val="2"/>
    </font>
    <font>
      <b/>
      <sz val="10"/>
      <color rgb="FF000000"/>
      <name val="Arial"/>
      <family val="2"/>
    </font>
    <font>
      <b/>
      <i/>
      <sz val="10"/>
      <name val="Calibri"/>
      <family val="2"/>
    </font>
    <font>
      <b/>
      <sz val="11"/>
      <color rgb="FF00B050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color rgb="FF002060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color theme="9" tint="-0.249977111117893"/>
      <name val="Arial"/>
      <family val="2"/>
    </font>
    <font>
      <b/>
      <strike/>
      <sz val="10"/>
      <color rgb="FFFF0000"/>
      <name val="Arial"/>
      <family val="2"/>
    </font>
    <font>
      <b/>
      <strike/>
      <sz val="9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rgb="FF000000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0" fontId="0" fillId="0" borderId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9" fillId="0" borderId="0"/>
    <xf numFmtId="0" fontId="19" fillId="0" borderId="0"/>
    <xf numFmtId="0" fontId="24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6" fillId="0" borderId="0"/>
    <xf numFmtId="165" fontId="9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6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467">
    <xf numFmtId="0" fontId="0" fillId="0" borderId="0" xfId="0"/>
    <xf numFmtId="0" fontId="17" fillId="0" borderId="0" xfId="0" applyFont="1"/>
    <xf numFmtId="0" fontId="21" fillId="0" borderId="0" xfId="0" applyFont="1"/>
    <xf numFmtId="3" fontId="20" fillId="0" borderId="0" xfId="0" applyNumberFormat="1" applyFont="1"/>
    <xf numFmtId="0" fontId="22" fillId="0" borderId="0" xfId="0" applyFont="1"/>
    <xf numFmtId="0" fontId="22" fillId="5" borderId="0" xfId="0" applyFont="1" applyFill="1"/>
    <xf numFmtId="0" fontId="16" fillId="0" borderId="0" xfId="0" applyFont="1"/>
    <xf numFmtId="0" fontId="0" fillId="0" borderId="0" xfId="0" applyBorder="1"/>
    <xf numFmtId="3" fontId="0" fillId="0" borderId="0" xfId="0" applyNumberFormat="1"/>
    <xf numFmtId="0" fontId="25" fillId="0" borderId="0" xfId="0" applyFont="1"/>
    <xf numFmtId="0" fontId="0" fillId="0" borderId="13" xfId="0" applyBorder="1"/>
    <xf numFmtId="0" fontId="0" fillId="5" borderId="0" xfId="0" applyFill="1"/>
    <xf numFmtId="0" fontId="0" fillId="3" borderId="5" xfId="0" applyFill="1" applyBorder="1"/>
    <xf numFmtId="0" fontId="0" fillId="0" borderId="0" xfId="0" applyFont="1" applyBorder="1"/>
    <xf numFmtId="0" fontId="16" fillId="3" borderId="6" xfId="0" applyFont="1" applyFill="1" applyBorder="1"/>
    <xf numFmtId="166" fontId="0" fillId="0" borderId="0" xfId="8" applyNumberFormat="1" applyFont="1"/>
    <xf numFmtId="0" fontId="16" fillId="3" borderId="11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8" fillId="0" borderId="0" xfId="0" applyFont="1"/>
    <xf numFmtId="0" fontId="17" fillId="0" borderId="5" xfId="0" applyFont="1" applyBorder="1"/>
    <xf numFmtId="0" fontId="18" fillId="5" borderId="5" xfId="0" applyFont="1" applyFill="1" applyBorder="1"/>
    <xf numFmtId="0" fontId="18" fillId="0" borderId="5" xfId="0" applyFont="1" applyBorder="1"/>
    <xf numFmtId="0" fontId="18" fillId="0" borderId="8" xfId="0" applyFont="1" applyBorder="1"/>
    <xf numFmtId="0" fontId="0" fillId="0" borderId="15" xfId="0" applyBorder="1"/>
    <xf numFmtId="0" fontId="23" fillId="5" borderId="0" xfId="0" applyFont="1" applyFill="1"/>
    <xf numFmtId="0" fontId="28" fillId="0" borderId="0" xfId="0" applyFont="1"/>
    <xf numFmtId="0" fontId="0" fillId="0" borderId="0" xfId="0" applyFont="1" applyFill="1" applyBorder="1"/>
    <xf numFmtId="0" fontId="29" fillId="0" borderId="0" xfId="0" applyFont="1"/>
    <xf numFmtId="0" fontId="30" fillId="0" borderId="0" xfId="0" applyFont="1"/>
    <xf numFmtId="3" fontId="22" fillId="5" borderId="0" xfId="0" applyNumberFormat="1" applyFont="1" applyFill="1"/>
    <xf numFmtId="0" fontId="26" fillId="5" borderId="0" xfId="0" applyFont="1" applyFill="1"/>
    <xf numFmtId="0" fontId="26" fillId="0" borderId="0" xfId="0" applyFont="1" applyAlignment="1">
      <alignment horizontal="center"/>
    </xf>
    <xf numFmtId="0" fontId="27" fillId="5" borderId="0" xfId="0" applyFont="1" applyFill="1"/>
    <xf numFmtId="0" fontId="33" fillId="0" borderId="0" xfId="0" applyFont="1"/>
    <xf numFmtId="3" fontId="27" fillId="5" borderId="0" xfId="0" applyNumberFormat="1" applyFont="1" applyFill="1"/>
    <xf numFmtId="1" fontId="27" fillId="5" borderId="0" xfId="0" applyNumberFormat="1" applyFont="1" applyFill="1"/>
    <xf numFmtId="3" fontId="26" fillId="0" borderId="0" xfId="0" applyNumberFormat="1" applyFont="1"/>
    <xf numFmtId="3" fontId="27" fillId="0" borderId="0" xfId="0" applyNumberFormat="1" applyFont="1"/>
    <xf numFmtId="0" fontId="31" fillId="0" borderId="0" xfId="0" applyFont="1"/>
    <xf numFmtId="0" fontId="38" fillId="0" borderId="0" xfId="0" applyFont="1"/>
    <xf numFmtId="0" fontId="39" fillId="0" borderId="0" xfId="0" applyFont="1"/>
    <xf numFmtId="0" fontId="18" fillId="3" borderId="11" xfId="0" applyFont="1" applyFill="1" applyBorder="1"/>
    <xf numFmtId="0" fontId="16" fillId="8" borderId="2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right"/>
    </xf>
    <xf numFmtId="9" fontId="20" fillId="0" borderId="0" xfId="8" applyFont="1"/>
    <xf numFmtId="0" fontId="18" fillId="3" borderId="8" xfId="0" applyFont="1" applyFill="1" applyBorder="1"/>
    <xf numFmtId="0" fontId="18" fillId="3" borderId="14" xfId="0" applyFont="1" applyFill="1" applyBorder="1"/>
    <xf numFmtId="0" fontId="18" fillId="3" borderId="6" xfId="0" applyFont="1" applyFill="1" applyBorder="1"/>
    <xf numFmtId="0" fontId="32" fillId="0" borderId="0" xfId="0" applyFont="1"/>
    <xf numFmtId="0" fontId="18" fillId="8" borderId="12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26" fillId="0" borderId="0" xfId="9" applyNumberFormat="1" applyFont="1" applyAlignment="1">
      <alignment vertical="center"/>
    </xf>
    <xf numFmtId="168" fontId="26" fillId="0" borderId="0" xfId="1" applyNumberFormat="1" applyFont="1" applyFill="1" applyBorder="1" applyAlignment="1">
      <alignment vertical="center"/>
    </xf>
    <xf numFmtId="0" fontId="26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right"/>
    </xf>
    <xf numFmtId="0" fontId="27" fillId="8" borderId="9" xfId="0" applyFont="1" applyFill="1" applyBorder="1" applyAlignment="1">
      <alignment horizontal="right"/>
    </xf>
    <xf numFmtId="0" fontId="37" fillId="3" borderId="5" xfId="0" applyFont="1" applyFill="1" applyBorder="1" applyAlignment="1">
      <alignment vertical="center"/>
    </xf>
    <xf numFmtId="0" fontId="27" fillId="8" borderId="8" xfId="0" applyFont="1" applyFill="1" applyBorder="1" applyAlignment="1">
      <alignment horizontal="right"/>
    </xf>
    <xf numFmtId="164" fontId="26" fillId="0" borderId="0" xfId="1" applyNumberFormat="1" applyFont="1" applyBorder="1"/>
    <xf numFmtId="0" fontId="20" fillId="0" borderId="0" xfId="0" applyFont="1"/>
    <xf numFmtId="3" fontId="27" fillId="0" borderId="7" xfId="0" applyNumberFormat="1" applyFont="1" applyBorder="1"/>
    <xf numFmtId="0" fontId="26" fillId="0" borderId="0" xfId="0" applyFont="1"/>
    <xf numFmtId="0" fontId="27" fillId="0" borderId="0" xfId="0" applyFont="1"/>
    <xf numFmtId="3" fontId="26" fillId="0" borderId="5" xfId="0" applyNumberFormat="1" applyFont="1" applyBorder="1"/>
    <xf numFmtId="0" fontId="26" fillId="0" borderId="5" xfId="0" applyFont="1" applyBorder="1"/>
    <xf numFmtId="0" fontId="27" fillId="8" borderId="2" xfId="0" applyFont="1" applyFill="1" applyBorder="1" applyAlignment="1">
      <alignment vertical="center" wrapText="1"/>
    </xf>
    <xf numFmtId="0" fontId="44" fillId="0" borderId="0" xfId="0" applyFont="1"/>
    <xf numFmtId="0" fontId="27" fillId="8" borderId="10" xfId="0" applyFont="1" applyFill="1" applyBorder="1" applyAlignment="1">
      <alignment vertical="center" wrapText="1"/>
    </xf>
    <xf numFmtId="3" fontId="44" fillId="0" borderId="0" xfId="9" applyNumberFormat="1" applyFont="1" applyAlignment="1">
      <alignment vertical="center"/>
    </xf>
    <xf numFmtId="0" fontId="44" fillId="7" borderId="0" xfId="9" applyFont="1" applyFill="1" applyAlignment="1">
      <alignment horizontal="left" vertical="center" wrapText="1"/>
    </xf>
    <xf numFmtId="0" fontId="26" fillId="5" borderId="0" xfId="0" applyFont="1" applyFill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164" fontId="26" fillId="0" borderId="0" xfId="1" applyNumberFormat="1" applyFont="1" applyBorder="1" applyAlignment="1">
      <alignment horizontal="right" vertical="center"/>
    </xf>
    <xf numFmtId="165" fontId="26" fillId="0" borderId="7" xfId="1" applyFont="1" applyBorder="1" applyAlignment="1">
      <alignment vertical="center"/>
    </xf>
    <xf numFmtId="4" fontId="39" fillId="3" borderId="7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7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32" fillId="0" borderId="5" xfId="0" applyFont="1" applyBorder="1" applyAlignment="1">
      <alignment vertical="center"/>
    </xf>
    <xf numFmtId="165" fontId="27" fillId="0" borderId="7" xfId="1" applyFont="1" applyBorder="1" applyAlignment="1">
      <alignment vertical="center"/>
    </xf>
    <xf numFmtId="165" fontId="26" fillId="0" borderId="5" xfId="1" applyFont="1" applyBorder="1" applyAlignment="1">
      <alignment vertical="center"/>
    </xf>
    <xf numFmtId="0" fontId="44" fillId="0" borderId="5" xfId="0" applyFont="1" applyBorder="1" applyAlignment="1">
      <alignment horizontal="center" vertical="center"/>
    </xf>
    <xf numFmtId="4" fontId="51" fillId="3" borderId="7" xfId="0" applyNumberFormat="1" applyFont="1" applyFill="1" applyBorder="1" applyAlignment="1">
      <alignment vertical="center"/>
    </xf>
    <xf numFmtId="0" fontId="44" fillId="0" borderId="7" xfId="0" applyFont="1" applyBorder="1" applyAlignment="1">
      <alignment vertical="center"/>
    </xf>
    <xf numFmtId="0" fontId="27" fillId="5" borderId="0" xfId="0" applyFont="1" applyFill="1" applyAlignment="1">
      <alignment horizontal="left" vertical="center"/>
    </xf>
    <xf numFmtId="0" fontId="40" fillId="0" borderId="5" xfId="0" applyFont="1" applyBorder="1" applyAlignment="1">
      <alignment horizontal="center" vertical="center"/>
    </xf>
    <xf numFmtId="4" fontId="48" fillId="3" borderId="7" xfId="0" applyNumberFormat="1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26" fillId="0" borderId="13" xfId="9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7" fillId="8" borderId="17" xfId="0" applyFont="1" applyFill="1" applyBorder="1" applyAlignment="1">
      <alignment vertical="center"/>
    </xf>
    <xf numFmtId="3" fontId="27" fillId="8" borderId="18" xfId="0" applyNumberFormat="1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0" fontId="40" fillId="0" borderId="5" xfId="0" applyFont="1" applyBorder="1" applyAlignment="1">
      <alignment horizontal="right" vertical="center"/>
    </xf>
    <xf numFmtId="0" fontId="44" fillId="0" borderId="5" xfId="0" applyFont="1" applyBorder="1" applyAlignment="1">
      <alignment horizontal="right" vertical="center"/>
    </xf>
    <xf numFmtId="3" fontId="39" fillId="3" borderId="7" xfId="0" applyNumberFormat="1" applyFont="1" applyFill="1" applyBorder="1" applyAlignment="1">
      <alignment vertical="center"/>
    </xf>
    <xf numFmtId="0" fontId="44" fillId="7" borderId="5" xfId="0" applyFont="1" applyFill="1" applyBorder="1" applyAlignment="1">
      <alignment vertical="center"/>
    </xf>
    <xf numFmtId="0" fontId="44" fillId="13" borderId="5" xfId="0" applyFont="1" applyFill="1" applyBorder="1" applyAlignment="1">
      <alignment vertical="center"/>
    </xf>
    <xf numFmtId="164" fontId="27" fillId="0" borderId="0" xfId="1" applyNumberFormat="1" applyFont="1" applyBorder="1" applyAlignment="1">
      <alignment horizontal="right" vertical="center"/>
    </xf>
    <xf numFmtId="3" fontId="27" fillId="0" borderId="7" xfId="9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65" fontId="27" fillId="0" borderId="5" xfId="1" applyFont="1" applyBorder="1" applyAlignment="1">
      <alignment vertical="center"/>
    </xf>
    <xf numFmtId="164" fontId="44" fillId="0" borderId="0" xfId="1" applyNumberFormat="1" applyFont="1" applyBorder="1" applyAlignment="1">
      <alignment horizontal="right" vertical="center"/>
    </xf>
    <xf numFmtId="0" fontId="44" fillId="0" borderId="5" xfId="0" applyFont="1" applyBorder="1" applyAlignment="1">
      <alignment vertical="center"/>
    </xf>
    <xf numFmtId="0" fontId="32" fillId="7" borderId="5" xfId="0" applyFont="1" applyFill="1" applyBorder="1" applyAlignment="1">
      <alignment vertical="center"/>
    </xf>
    <xf numFmtId="165" fontId="27" fillId="0" borderId="7" xfId="1" applyFont="1" applyFill="1" applyBorder="1" applyAlignment="1">
      <alignment vertical="center"/>
    </xf>
    <xf numFmtId="0" fontId="31" fillId="0" borderId="5" xfId="0" applyFont="1" applyBorder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0" fontId="27" fillId="5" borderId="0" xfId="0" applyFont="1" applyFill="1" applyAlignment="1">
      <alignment vertical="center"/>
    </xf>
    <xf numFmtId="0" fontId="40" fillId="8" borderId="16" xfId="0" applyFont="1" applyFill="1" applyBorder="1" applyAlignment="1">
      <alignment horizontal="right" vertical="center"/>
    </xf>
    <xf numFmtId="0" fontId="44" fillId="8" borderId="17" xfId="0" applyFont="1" applyFill="1" applyBorder="1" applyAlignment="1">
      <alignment horizontal="right" vertical="center"/>
    </xf>
    <xf numFmtId="0" fontId="27" fillId="8" borderId="1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" fontId="38" fillId="0" borderId="0" xfId="0" applyNumberFormat="1" applyFont="1" applyAlignment="1">
      <alignment vertical="center"/>
    </xf>
    <xf numFmtId="4" fontId="39" fillId="0" borderId="0" xfId="0" applyNumberFormat="1" applyFont="1" applyAlignment="1">
      <alignment vertical="center"/>
    </xf>
    <xf numFmtId="0" fontId="22" fillId="5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7" fillId="6" borderId="0" xfId="0" applyFont="1" applyFill="1" applyAlignment="1">
      <alignment horizontal="right" vertical="center"/>
    </xf>
    <xf numFmtId="168" fontId="38" fillId="0" borderId="0" xfId="1" applyNumberFormat="1" applyFont="1" applyAlignment="1">
      <alignment vertical="center"/>
    </xf>
    <xf numFmtId="0" fontId="20" fillId="5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26" fillId="0" borderId="7" xfId="1" applyFont="1" applyFill="1" applyBorder="1" applyAlignment="1">
      <alignment vertical="center"/>
    </xf>
    <xf numFmtId="165" fontId="26" fillId="0" borderId="5" xfId="1" applyFont="1" applyFill="1" applyBorder="1" applyAlignment="1">
      <alignment vertical="center"/>
    </xf>
    <xf numFmtId="0" fontId="56" fillId="8" borderId="9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165" fontId="27" fillId="0" borderId="5" xfId="1" applyFont="1" applyFill="1" applyBorder="1" applyAlignment="1">
      <alignment vertical="center"/>
    </xf>
    <xf numFmtId="165" fontId="44" fillId="0" borderId="7" xfId="1" applyFont="1" applyBorder="1" applyAlignment="1">
      <alignment vertical="center"/>
    </xf>
    <xf numFmtId="165" fontId="27" fillId="0" borderId="0" xfId="1" applyFont="1" applyBorder="1" applyAlignment="1">
      <alignment vertical="center"/>
    </xf>
    <xf numFmtId="43" fontId="32" fillId="0" borderId="7" xfId="0" applyNumberFormat="1" applyFont="1" applyBorder="1" applyAlignment="1">
      <alignment vertical="center"/>
    </xf>
    <xf numFmtId="43" fontId="44" fillId="0" borderId="7" xfId="0" applyNumberFormat="1" applyFont="1" applyBorder="1" applyAlignment="1">
      <alignment vertical="center"/>
    </xf>
    <xf numFmtId="0" fontId="27" fillId="0" borderId="0" xfId="0" applyFont="1" applyAlignment="1">
      <alignment horizontal="right"/>
    </xf>
    <xf numFmtId="0" fontId="44" fillId="0" borderId="0" xfId="25" applyFont="1" applyAlignment="1">
      <alignment horizontal="right"/>
    </xf>
    <xf numFmtId="165" fontId="26" fillId="0" borderId="12" xfId="1" applyFont="1" applyBorder="1" applyAlignment="1">
      <alignment vertical="center"/>
    </xf>
    <xf numFmtId="0" fontId="27" fillId="5" borderId="0" xfId="0" applyFont="1" applyFill="1" applyAlignment="1">
      <alignment horizontal="center" vertical="center"/>
    </xf>
    <xf numFmtId="3" fontId="27" fillId="5" borderId="0" xfId="0" applyNumberFormat="1" applyFont="1" applyFill="1" applyAlignment="1">
      <alignment vertical="center"/>
    </xf>
    <xf numFmtId="0" fontId="26" fillId="6" borderId="0" xfId="0" applyFont="1" applyFill="1"/>
    <xf numFmtId="4" fontId="33" fillId="0" borderId="0" xfId="0" applyNumberFormat="1" applyFont="1"/>
    <xf numFmtId="4" fontId="33" fillId="0" borderId="7" xfId="0" applyNumberFormat="1" applyFont="1" applyBorder="1"/>
    <xf numFmtId="165" fontId="26" fillId="0" borderId="0" xfId="1" applyFont="1" applyFill="1" applyBorder="1" applyAlignment="1">
      <alignment vertical="center"/>
    </xf>
    <xf numFmtId="4" fontId="27" fillId="0" borderId="0" xfId="0" applyNumberFormat="1" applyFont="1"/>
    <xf numFmtId="165" fontId="27" fillId="0" borderId="0" xfId="1" applyFont="1" applyFill="1" applyBorder="1" applyAlignment="1">
      <alignment vertical="center"/>
    </xf>
    <xf numFmtId="165" fontId="44" fillId="0" borderId="0" xfId="1" applyFont="1" applyFill="1" applyBorder="1" applyAlignment="1">
      <alignment vertical="center"/>
    </xf>
    <xf numFmtId="3" fontId="44" fillId="0" borderId="0" xfId="0" applyNumberFormat="1" applyFont="1"/>
    <xf numFmtId="4" fontId="26" fillId="0" borderId="0" xfId="0" applyNumberFormat="1" applyFont="1"/>
    <xf numFmtId="3" fontId="33" fillId="0" borderId="7" xfId="0" applyNumberFormat="1" applyFont="1" applyBorder="1"/>
    <xf numFmtId="43" fontId="26" fillId="0" borderId="0" xfId="0" applyNumberFormat="1" applyFont="1" applyAlignment="1">
      <alignment vertical="center"/>
    </xf>
    <xf numFmtId="0" fontId="18" fillId="0" borderId="5" xfId="0" applyFont="1" applyFill="1" applyBorder="1"/>
    <xf numFmtId="0" fontId="18" fillId="4" borderId="12" xfId="0" applyFont="1" applyFill="1" applyBorder="1"/>
    <xf numFmtId="0" fontId="18" fillId="4" borderId="5" xfId="0" applyFont="1" applyFill="1" applyBorder="1"/>
    <xf numFmtId="167" fontId="0" fillId="0" borderId="0" xfId="33" applyNumberFormat="1" applyFont="1"/>
    <xf numFmtId="167" fontId="44" fillId="0" borderId="0" xfId="33" applyNumberFormat="1" applyFont="1"/>
    <xf numFmtId="43" fontId="0" fillId="0" borderId="0" xfId="33" applyFont="1" applyFill="1"/>
    <xf numFmtId="43" fontId="0" fillId="0" borderId="0" xfId="33" applyFont="1"/>
    <xf numFmtId="0" fontId="26" fillId="0" borderId="0" xfId="23"/>
    <xf numFmtId="0" fontId="27" fillId="0" borderId="0" xfId="23" applyFont="1"/>
    <xf numFmtId="0" fontId="60" fillId="0" borderId="7" xfId="23" applyFont="1" applyBorder="1"/>
    <xf numFmtId="0" fontId="60" fillId="0" borderId="0" xfId="23" applyFont="1"/>
    <xf numFmtId="43" fontId="27" fillId="10" borderId="2" xfId="33" applyFont="1" applyFill="1" applyBorder="1" applyAlignment="1">
      <alignment horizontal="center"/>
    </xf>
    <xf numFmtId="0" fontId="26" fillId="10" borderId="2" xfId="23" applyFill="1" applyBorder="1" applyAlignment="1">
      <alignment horizontal="center" vertical="center"/>
    </xf>
    <xf numFmtId="0" fontId="27" fillId="0" borderId="0" xfId="23" applyFont="1" applyAlignment="1">
      <alignment horizontal="center"/>
    </xf>
    <xf numFmtId="43" fontId="27" fillId="10" borderId="0" xfId="33" applyFont="1" applyFill="1" applyBorder="1" applyAlignment="1">
      <alignment horizontal="center"/>
    </xf>
    <xf numFmtId="0" fontId="26" fillId="10" borderId="0" xfId="23" applyFill="1" applyAlignment="1">
      <alignment horizontal="center" vertical="center"/>
    </xf>
    <xf numFmtId="0" fontId="27" fillId="10" borderId="3" xfId="23" applyFont="1" applyFill="1" applyBorder="1" applyAlignment="1">
      <alignment horizontal="center"/>
    </xf>
    <xf numFmtId="0" fontId="27" fillId="10" borderId="7" xfId="23" applyFont="1" applyFill="1" applyBorder="1" applyAlignment="1">
      <alignment horizontal="center"/>
    </xf>
    <xf numFmtId="167" fontId="27" fillId="10" borderId="0" xfId="33" applyNumberFormat="1" applyFont="1" applyFill="1" applyBorder="1" applyAlignment="1">
      <alignment horizontal="center"/>
    </xf>
    <xf numFmtId="0" fontId="27" fillId="10" borderId="0" xfId="23" applyFont="1" applyFill="1" applyAlignment="1">
      <alignment horizontal="center"/>
    </xf>
    <xf numFmtId="0" fontId="26" fillId="5" borderId="15" xfId="23" applyFill="1" applyBorder="1"/>
    <xf numFmtId="0" fontId="27" fillId="5" borderId="1" xfId="23" applyFont="1" applyFill="1" applyBorder="1"/>
    <xf numFmtId="0" fontId="26" fillId="5" borderId="0" xfId="23" applyFill="1"/>
    <xf numFmtId="0" fontId="45" fillId="5" borderId="2" xfId="23" applyFont="1" applyFill="1" applyBorder="1"/>
    <xf numFmtId="0" fontId="45" fillId="5" borderId="10" xfId="23" applyFont="1" applyFill="1" applyBorder="1"/>
    <xf numFmtId="41" fontId="45" fillId="5" borderId="2" xfId="33" applyNumberFormat="1" applyFont="1" applyFill="1" applyBorder="1"/>
    <xf numFmtId="41" fontId="26" fillId="5" borderId="2" xfId="33" applyNumberFormat="1" applyFont="1" applyFill="1" applyBorder="1" applyAlignment="1">
      <alignment horizontal="center" vertical="center"/>
    </xf>
    <xf numFmtId="41" fontId="44" fillId="5" borderId="2" xfId="33" applyNumberFormat="1" applyFont="1" applyFill="1" applyBorder="1" applyAlignment="1">
      <alignment horizontal="center" vertical="center"/>
    </xf>
    <xf numFmtId="41" fontId="0" fillId="5" borderId="2" xfId="33" applyNumberFormat="1" applyFont="1" applyFill="1" applyBorder="1" applyAlignment="1">
      <alignment horizontal="center" vertical="center"/>
    </xf>
    <xf numFmtId="41" fontId="27" fillId="5" borderId="10" xfId="33" applyNumberFormat="1" applyFont="1" applyFill="1" applyBorder="1" applyAlignment="1">
      <alignment horizontal="center" vertical="center"/>
    </xf>
    <xf numFmtId="0" fontId="27" fillId="5" borderId="2" xfId="23" applyFont="1" applyFill="1" applyBorder="1"/>
    <xf numFmtId="0" fontId="26" fillId="5" borderId="2" xfId="23" applyFill="1" applyBorder="1" applyAlignment="1">
      <alignment horizontal="center" vertical="center" shrinkToFit="1"/>
    </xf>
    <xf numFmtId="0" fontId="26" fillId="5" borderId="10" xfId="23" applyFill="1" applyBorder="1" applyAlignment="1">
      <alignment horizontal="center" vertical="center" shrinkToFit="1"/>
    </xf>
    <xf numFmtId="0" fontId="46" fillId="5" borderId="13" xfId="23" applyFont="1" applyFill="1" applyBorder="1"/>
    <xf numFmtId="0" fontId="46" fillId="5" borderId="5" xfId="23" applyFont="1" applyFill="1" applyBorder="1"/>
    <xf numFmtId="0" fontId="41" fillId="5" borderId="0" xfId="23" applyFont="1" applyFill="1"/>
    <xf numFmtId="0" fontId="46" fillId="5" borderId="0" xfId="23" applyFont="1" applyFill="1"/>
    <xf numFmtId="0" fontId="41" fillId="5" borderId="7" xfId="23" applyFont="1" applyFill="1" applyBorder="1"/>
    <xf numFmtId="41" fontId="41" fillId="5" borderId="0" xfId="33" applyNumberFormat="1" applyFont="1" applyFill="1" applyBorder="1"/>
    <xf numFmtId="41" fontId="46" fillId="5" borderId="0" xfId="33" applyNumberFormat="1" applyFont="1" applyFill="1" applyBorder="1" applyAlignment="1">
      <alignment horizontal="center" vertical="center"/>
    </xf>
    <xf numFmtId="41" fontId="61" fillId="5" borderId="0" xfId="33" applyNumberFormat="1" applyFont="1" applyFill="1" applyBorder="1" applyAlignment="1">
      <alignment horizontal="center" vertical="center"/>
    </xf>
    <xf numFmtId="41" fontId="61" fillId="5" borderId="7" xfId="33" applyNumberFormat="1" applyFont="1" applyFill="1" applyBorder="1" applyAlignment="1">
      <alignment horizontal="center" vertical="center"/>
    </xf>
    <xf numFmtId="43" fontId="61" fillId="5" borderId="0" xfId="23" applyNumberFormat="1" applyFont="1" applyFill="1"/>
    <xf numFmtId="0" fontId="26" fillId="5" borderId="0" xfId="23" applyFill="1" applyAlignment="1">
      <alignment horizontal="center" vertical="center" shrinkToFit="1"/>
    </xf>
    <xf numFmtId="0" fontId="26" fillId="5" borderId="7" xfId="23" applyFill="1" applyBorder="1" applyAlignment="1">
      <alignment horizontal="center" vertical="center" shrinkToFit="1"/>
    </xf>
    <xf numFmtId="0" fontId="46" fillId="0" borderId="0" xfId="23" applyFont="1"/>
    <xf numFmtId="0" fontId="46" fillId="5" borderId="7" xfId="23" applyFont="1" applyFill="1" applyBorder="1"/>
    <xf numFmtId="41" fontId="46" fillId="5" borderId="0" xfId="33" applyNumberFormat="1" applyFont="1" applyFill="1" applyBorder="1"/>
    <xf numFmtId="0" fontId="26" fillId="5" borderId="13" xfId="23" applyFill="1" applyBorder="1" applyAlignment="1">
      <alignment horizontal="center"/>
    </xf>
    <xf numFmtId="0" fontId="26" fillId="5" borderId="7" xfId="23" applyFill="1" applyBorder="1"/>
    <xf numFmtId="41" fontId="26" fillId="5" borderId="0" xfId="33" applyNumberFormat="1" applyFont="1" applyFill="1" applyBorder="1" applyAlignment="1">
      <alignment horizontal="center"/>
    </xf>
    <xf numFmtId="0" fontId="61" fillId="5" borderId="0" xfId="23" applyFont="1" applyFill="1"/>
    <xf numFmtId="0" fontId="45" fillId="5" borderId="13" xfId="23" applyFont="1" applyFill="1" applyBorder="1"/>
    <xf numFmtId="0" fontId="45" fillId="5" borderId="5" xfId="23" applyFont="1" applyFill="1" applyBorder="1"/>
    <xf numFmtId="0" fontId="45" fillId="5" borderId="0" xfId="23" applyFont="1" applyFill="1"/>
    <xf numFmtId="41" fontId="26" fillId="5" borderId="0" xfId="33" applyNumberFormat="1" applyFont="1" applyFill="1" applyBorder="1" applyAlignment="1">
      <alignment horizontal="center" vertical="center"/>
    </xf>
    <xf numFmtId="43" fontId="44" fillId="5" borderId="0" xfId="33" applyFont="1" applyFill="1" applyBorder="1"/>
    <xf numFmtId="0" fontId="27" fillId="5" borderId="13" xfId="23" applyFont="1" applyFill="1" applyBorder="1"/>
    <xf numFmtId="0" fontId="27" fillId="5" borderId="5" xfId="23" applyFont="1" applyFill="1" applyBorder="1"/>
    <xf numFmtId="0" fontId="27" fillId="5" borderId="0" xfId="23" applyFont="1" applyFill="1"/>
    <xf numFmtId="41" fontId="0" fillId="5" borderId="0" xfId="33" applyNumberFormat="1" applyFont="1" applyFill="1" applyBorder="1" applyAlignment="1">
      <alignment horizontal="center"/>
    </xf>
    <xf numFmtId="41" fontId="44" fillId="5" borderId="0" xfId="33" applyNumberFormat="1" applyFont="1" applyFill="1" applyBorder="1" applyAlignment="1">
      <alignment horizontal="center" vertical="center"/>
    </xf>
    <xf numFmtId="41" fontId="27" fillId="5" borderId="0" xfId="33" applyNumberFormat="1" applyFont="1" applyFill="1" applyBorder="1" applyAlignment="1">
      <alignment horizontal="center" vertical="center"/>
    </xf>
    <xf numFmtId="41" fontId="44" fillId="5" borderId="7" xfId="33" applyNumberFormat="1" applyFont="1" applyFill="1" applyBorder="1" applyAlignment="1">
      <alignment horizontal="center" vertical="center"/>
    </xf>
    <xf numFmtId="0" fontId="46" fillId="5" borderId="13" xfId="23" applyFont="1" applyFill="1" applyBorder="1" applyAlignment="1">
      <alignment horizontal="right"/>
    </xf>
    <xf numFmtId="0" fontId="46" fillId="5" borderId="5" xfId="23" applyFont="1" applyFill="1" applyBorder="1" applyAlignment="1">
      <alignment horizontal="right"/>
    </xf>
    <xf numFmtId="0" fontId="46" fillId="5" borderId="0" xfId="23" applyFont="1" applyFill="1" applyAlignment="1">
      <alignment horizontal="right"/>
    </xf>
    <xf numFmtId="0" fontId="46" fillId="5" borderId="0" xfId="23" applyFont="1" applyFill="1" applyAlignment="1">
      <alignment horizontal="left"/>
    </xf>
    <xf numFmtId="0" fontId="46" fillId="5" borderId="7" xfId="23" applyFont="1" applyFill="1" applyBorder="1" applyAlignment="1">
      <alignment horizontal="left"/>
    </xf>
    <xf numFmtId="41" fontId="46" fillId="5" borderId="0" xfId="33" applyNumberFormat="1" applyFont="1" applyFill="1" applyBorder="1" applyAlignment="1">
      <alignment horizontal="center"/>
    </xf>
    <xf numFmtId="0" fontId="41" fillId="5" borderId="0" xfId="23" applyFont="1" applyFill="1" applyAlignment="1">
      <alignment horizontal="left"/>
    </xf>
    <xf numFmtId="0" fontId="26" fillId="5" borderId="7" xfId="23" applyFill="1" applyBorder="1" applyAlignment="1">
      <alignment horizontal="left"/>
    </xf>
    <xf numFmtId="0" fontId="26" fillId="5" borderId="0" xfId="23" applyFill="1" applyAlignment="1">
      <alignment horizontal="left"/>
    </xf>
    <xf numFmtId="43" fontId="44" fillId="5" borderId="0" xfId="23" applyNumberFormat="1" applyFont="1" applyFill="1"/>
    <xf numFmtId="0" fontId="26" fillId="5" borderId="0" xfId="23" applyFill="1" applyAlignment="1">
      <alignment horizontal="left" vertical="center" wrapText="1"/>
    </xf>
    <xf numFmtId="0" fontId="26" fillId="5" borderId="7" xfId="23" applyFill="1" applyBorder="1" applyAlignment="1">
      <alignment horizontal="left" vertical="center" wrapText="1"/>
    </xf>
    <xf numFmtId="41" fontId="26" fillId="5" borderId="0" xfId="33" applyNumberFormat="1" applyFont="1" applyFill="1" applyBorder="1" applyAlignment="1">
      <alignment horizontal="center" vertical="center" wrapText="1"/>
    </xf>
    <xf numFmtId="0" fontId="26" fillId="5" borderId="13" xfId="23" applyFill="1" applyBorder="1" applyAlignment="1">
      <alignment horizontal="right"/>
    </xf>
    <xf numFmtId="0" fontId="26" fillId="5" borderId="5" xfId="23" applyFill="1" applyBorder="1" applyAlignment="1">
      <alignment horizontal="right"/>
    </xf>
    <xf numFmtId="3" fontId="44" fillId="5" borderId="0" xfId="23" applyNumberFormat="1" applyFont="1" applyFill="1" applyAlignment="1">
      <alignment horizontal="center" vertical="center" shrinkToFit="1"/>
    </xf>
    <xf numFmtId="0" fontId="26" fillId="5" borderId="0" xfId="23" applyFill="1" applyAlignment="1">
      <alignment horizontal="right"/>
    </xf>
    <xf numFmtId="0" fontId="27" fillId="5" borderId="14" xfId="23" applyFont="1" applyFill="1" applyBorder="1" applyAlignment="1">
      <alignment horizontal="left"/>
    </xf>
    <xf numFmtId="0" fontId="45" fillId="5" borderId="14" xfId="23" applyFont="1" applyFill="1" applyBorder="1" applyAlignment="1">
      <alignment horizontal="left"/>
    </xf>
    <xf numFmtId="0" fontId="27" fillId="5" borderId="8" xfId="23" applyFont="1" applyFill="1" applyBorder="1" applyAlignment="1">
      <alignment horizontal="left"/>
    </xf>
    <xf numFmtId="0" fontId="27" fillId="5" borderId="6" xfId="23" applyFont="1" applyFill="1" applyBorder="1" applyAlignment="1">
      <alignment horizontal="left"/>
    </xf>
    <xf numFmtId="0" fontId="27" fillId="5" borderId="9" xfId="23" applyFont="1" applyFill="1" applyBorder="1" applyAlignment="1">
      <alignment horizontal="left"/>
    </xf>
    <xf numFmtId="41" fontId="27" fillId="5" borderId="6" xfId="33" applyNumberFormat="1" applyFont="1" applyFill="1" applyBorder="1" applyAlignment="1">
      <alignment horizontal="center"/>
    </xf>
    <xf numFmtId="41" fontId="26" fillId="5" borderId="6" xfId="33" applyNumberFormat="1" applyFont="1" applyFill="1" applyBorder="1" applyAlignment="1">
      <alignment horizontal="center" vertical="center"/>
    </xf>
    <xf numFmtId="41" fontId="44" fillId="5" borderId="6" xfId="33" applyNumberFormat="1" applyFont="1" applyFill="1" applyBorder="1" applyAlignment="1">
      <alignment horizontal="center" vertical="center"/>
    </xf>
    <xf numFmtId="41" fontId="44" fillId="5" borderId="9" xfId="33" applyNumberFormat="1" applyFont="1" applyFill="1" applyBorder="1" applyAlignment="1">
      <alignment horizontal="center" vertical="center"/>
    </xf>
    <xf numFmtId="43" fontId="44" fillId="5" borderId="6" xfId="33" applyFont="1" applyFill="1" applyBorder="1"/>
    <xf numFmtId="0" fontId="26" fillId="5" borderId="6" xfId="23" applyFill="1" applyBorder="1" applyAlignment="1">
      <alignment horizontal="center" vertical="center" shrinkToFit="1"/>
    </xf>
    <xf numFmtId="0" fontId="26" fillId="5" borderId="9" xfId="23" applyFill="1" applyBorder="1" applyAlignment="1">
      <alignment horizontal="center" vertical="center" shrinkToFit="1"/>
    </xf>
    <xf numFmtId="43" fontId="32" fillId="0" borderId="0" xfId="0" applyNumberFormat="1" applyFont="1" applyAlignment="1">
      <alignment vertical="center"/>
    </xf>
    <xf numFmtId="165" fontId="26" fillId="0" borderId="11" xfId="1" applyFont="1" applyBorder="1" applyAlignment="1">
      <alignment vertical="center"/>
    </xf>
    <xf numFmtId="0" fontId="0" fillId="0" borderId="7" xfId="0" applyFont="1" applyBorder="1"/>
    <xf numFmtId="0" fontId="0" fillId="0" borderId="7" xfId="0" applyFont="1" applyFill="1" applyBorder="1"/>
    <xf numFmtId="165" fontId="18" fillId="0" borderId="13" xfId="1" applyFont="1" applyFill="1" applyBorder="1" applyAlignment="1">
      <alignment horizontal="center"/>
    </xf>
    <xf numFmtId="165" fontId="18" fillId="4" borderId="13" xfId="1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vertical="center"/>
    </xf>
    <xf numFmtId="3" fontId="26" fillId="0" borderId="0" xfId="0" applyNumberFormat="1" applyFont="1" applyFill="1"/>
    <xf numFmtId="3" fontId="27" fillId="0" borderId="5" xfId="0" applyNumberFormat="1" applyFont="1" applyBorder="1"/>
    <xf numFmtId="165" fontId="18" fillId="0" borderId="14" xfId="1" applyFont="1" applyFill="1" applyBorder="1" applyAlignment="1">
      <alignment horizontal="center"/>
    </xf>
    <xf numFmtId="0" fontId="24" fillId="3" borderId="0" xfId="0" applyFont="1" applyFill="1" applyAlignment="1">
      <alignment vertical="center"/>
    </xf>
    <xf numFmtId="3" fontId="24" fillId="0" borderId="0" xfId="0" applyNumberFormat="1" applyFont="1" applyAlignment="1">
      <alignment vertical="center"/>
    </xf>
    <xf numFmtId="3" fontId="24" fillId="0" borderId="5" xfId="0" applyNumberFormat="1" applyFont="1" applyBorder="1" applyAlignment="1">
      <alignment vertical="center"/>
    </xf>
    <xf numFmtId="3" fontId="39" fillId="3" borderId="0" xfId="0" applyNumberFormat="1" applyFont="1" applyFill="1" applyAlignment="1">
      <alignment vertical="center"/>
    </xf>
    <xf numFmtId="0" fontId="50" fillId="14" borderId="5" xfId="0" applyFont="1" applyFill="1" applyBorder="1" applyAlignment="1">
      <alignment vertical="center"/>
    </xf>
    <xf numFmtId="0" fontId="27" fillId="14" borderId="0" xfId="0" applyFont="1" applyFill="1" applyAlignment="1">
      <alignment vertical="center"/>
    </xf>
    <xf numFmtId="0" fontId="27" fillId="14" borderId="0" xfId="9" applyFont="1" applyFill="1" applyAlignment="1">
      <alignment horizontal="left" vertical="center"/>
    </xf>
    <xf numFmtId="0" fontId="27" fillId="14" borderId="0" xfId="9" applyFont="1" applyFill="1" applyAlignment="1">
      <alignment horizontal="left" vertical="center" wrapText="1"/>
    </xf>
    <xf numFmtId="43" fontId="26" fillId="0" borderId="0" xfId="0" applyNumberFormat="1" applyFont="1" applyAlignment="1">
      <alignment vertical="center" wrapText="1"/>
    </xf>
    <xf numFmtId="4" fontId="51" fillId="3" borderId="0" xfId="0" applyNumberFormat="1" applyFont="1" applyFill="1" applyAlignment="1">
      <alignment vertical="center"/>
    </xf>
    <xf numFmtId="0" fontId="27" fillId="0" borderId="0" xfId="9" applyFont="1" applyAlignment="1">
      <alignment horizontal="left" vertical="center"/>
    </xf>
    <xf numFmtId="0" fontId="26" fillId="0" borderId="0" xfId="9" applyFont="1" applyAlignment="1">
      <alignment horizontal="left" vertical="center" wrapText="1"/>
    </xf>
    <xf numFmtId="4" fontId="48" fillId="3" borderId="0" xfId="0" applyNumberFormat="1" applyFont="1" applyFill="1" applyAlignment="1">
      <alignment vertical="center"/>
    </xf>
    <xf numFmtId="4" fontId="39" fillId="3" borderId="0" xfId="0" applyNumberFormat="1" applyFont="1" applyFill="1" applyAlignment="1">
      <alignment vertical="center"/>
    </xf>
    <xf numFmtId="43" fontId="64" fillId="0" borderId="0" xfId="0" applyNumberFormat="1" applyFont="1" applyAlignment="1">
      <alignment vertical="center"/>
    </xf>
    <xf numFmtId="43" fontId="64" fillId="0" borderId="5" xfId="0" applyNumberFormat="1" applyFont="1" applyBorder="1" applyAlignment="1">
      <alignment vertical="center"/>
    </xf>
    <xf numFmtId="43" fontId="64" fillId="0" borderId="7" xfId="0" applyNumberFormat="1" applyFont="1" applyBorder="1" applyAlignment="1">
      <alignment vertical="center"/>
    </xf>
    <xf numFmtId="0" fontId="44" fillId="7" borderId="0" xfId="0" applyFont="1" applyFill="1" applyAlignment="1">
      <alignment vertical="center"/>
    </xf>
    <xf numFmtId="0" fontId="27" fillId="7" borderId="0" xfId="9" applyFont="1" applyFill="1" applyAlignment="1">
      <alignment horizontal="left" vertical="center"/>
    </xf>
    <xf numFmtId="43" fontId="44" fillId="0" borderId="0" xfId="0" applyNumberFormat="1" applyFont="1" applyAlignment="1">
      <alignment vertical="center"/>
    </xf>
    <xf numFmtId="43" fontId="27" fillId="0" borderId="0" xfId="0" applyNumberFormat="1" applyFont="1" applyAlignment="1">
      <alignment vertical="center" wrapText="1"/>
    </xf>
    <xf numFmtId="0" fontId="26" fillId="0" borderId="0" xfId="9" applyFont="1" applyAlignment="1">
      <alignment horizontal="left" vertical="center"/>
    </xf>
    <xf numFmtId="165" fontId="44" fillId="8" borderId="18" xfId="1" applyFont="1" applyFill="1" applyBorder="1" applyAlignment="1">
      <alignment vertical="center"/>
    </xf>
    <xf numFmtId="0" fontId="40" fillId="5" borderId="0" xfId="0" applyFont="1" applyFill="1" applyAlignment="1">
      <alignment horizontal="right" vertical="center"/>
    </xf>
    <xf numFmtId="0" fontId="44" fillId="5" borderId="0" xfId="0" applyFont="1" applyFill="1" applyAlignment="1">
      <alignment horizontal="right" vertical="center"/>
    </xf>
    <xf numFmtId="0" fontId="26" fillId="4" borderId="0" xfId="0" applyFont="1" applyFill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39" fillId="6" borderId="0" xfId="0" applyFont="1" applyFill="1" applyAlignment="1">
      <alignment vertical="center"/>
    </xf>
    <xf numFmtId="0" fontId="18" fillId="0" borderId="13" xfId="0" applyFont="1" applyFill="1" applyBorder="1"/>
    <xf numFmtId="0" fontId="16" fillId="3" borderId="9" xfId="0" applyFont="1" applyFill="1" applyBorder="1"/>
    <xf numFmtId="4" fontId="27" fillId="0" borderId="7" xfId="0" applyNumberFormat="1" applyFont="1" applyBorder="1"/>
    <xf numFmtId="165" fontId="44" fillId="0" borderId="7" xfId="1" applyFont="1" applyFill="1" applyBorder="1" applyAlignment="1">
      <alignment vertical="center"/>
    </xf>
    <xf numFmtId="43" fontId="44" fillId="0" borderId="0" xfId="0" applyNumberFormat="1" applyFont="1" applyAlignment="1">
      <alignment vertical="center" wrapText="1"/>
    </xf>
    <xf numFmtId="0" fontId="27" fillId="7" borderId="0" xfId="9" applyFont="1" applyFill="1" applyAlignment="1">
      <alignment horizontal="left" vertical="center" wrapText="1"/>
    </xf>
    <xf numFmtId="0" fontId="27" fillId="7" borderId="0" xfId="0" applyFont="1" applyFill="1" applyAlignment="1">
      <alignment vertical="center"/>
    </xf>
    <xf numFmtId="0" fontId="32" fillId="7" borderId="0" xfId="9" applyFont="1" applyFill="1" applyAlignment="1">
      <alignment horizontal="left" vertical="center" wrapText="1"/>
    </xf>
    <xf numFmtId="0" fontId="32" fillId="7" borderId="0" xfId="0" applyFont="1" applyFill="1" applyAlignment="1">
      <alignment vertical="center"/>
    </xf>
    <xf numFmtId="0" fontId="44" fillId="13" borderId="0" xfId="9" applyFont="1" applyFill="1" applyAlignment="1">
      <alignment horizontal="left" vertical="center" wrapText="1"/>
    </xf>
    <xf numFmtId="0" fontId="27" fillId="13" borderId="0" xfId="9" applyFont="1" applyFill="1" applyAlignment="1">
      <alignment horizontal="left" vertical="center"/>
    </xf>
    <xf numFmtId="0" fontId="44" fillId="13" borderId="0" xfId="0" applyFont="1" applyFill="1" applyAlignment="1">
      <alignment vertical="center"/>
    </xf>
    <xf numFmtId="4" fontId="39" fillId="0" borderId="0" xfId="0" applyNumberFormat="1" applyFont="1" applyFill="1" applyAlignment="1">
      <alignment vertical="center"/>
    </xf>
    <xf numFmtId="3" fontId="38" fillId="0" borderId="0" xfId="0" applyNumberFormat="1" applyFont="1" applyFill="1" applyAlignment="1">
      <alignment vertical="center"/>
    </xf>
    <xf numFmtId="3" fontId="39" fillId="0" borderId="0" xfId="0" applyNumberFormat="1" applyFont="1" applyFill="1" applyAlignment="1">
      <alignment vertical="center"/>
    </xf>
    <xf numFmtId="165" fontId="44" fillId="7" borderId="12" xfId="1" applyFont="1" applyFill="1" applyBorder="1" applyAlignment="1">
      <alignment vertical="center"/>
    </xf>
    <xf numFmtId="165" fontId="44" fillId="8" borderId="19" xfId="1" applyFont="1" applyFill="1" applyBorder="1" applyAlignment="1">
      <alignment vertical="center"/>
    </xf>
    <xf numFmtId="165" fontId="18" fillId="5" borderId="13" xfId="1" applyFont="1" applyFill="1" applyBorder="1" applyAlignment="1">
      <alignment horizontal="center"/>
    </xf>
    <xf numFmtId="165" fontId="57" fillId="5" borderId="13" xfId="1" applyFont="1" applyFill="1" applyBorder="1" applyAlignment="1">
      <alignment horizontal="center"/>
    </xf>
    <xf numFmtId="165" fontId="57" fillId="0" borderId="13" xfId="1" applyFont="1" applyFill="1" applyBorder="1" applyAlignment="1">
      <alignment horizontal="center"/>
    </xf>
    <xf numFmtId="165" fontId="57" fillId="0" borderId="7" xfId="1" applyFont="1" applyFill="1" applyBorder="1" applyAlignment="1">
      <alignment horizontal="center"/>
    </xf>
    <xf numFmtId="165" fontId="18" fillId="0" borderId="14" xfId="1" applyFont="1" applyBorder="1" applyAlignment="1">
      <alignment horizontal="center"/>
    </xf>
    <xf numFmtId="165" fontId="18" fillId="4" borderId="12" xfId="1" applyFont="1" applyFill="1" applyBorder="1" applyAlignment="1">
      <alignment horizontal="center"/>
    </xf>
    <xf numFmtId="165" fontId="18" fillId="0" borderId="3" xfId="1" applyFont="1" applyBorder="1" applyAlignment="1">
      <alignment horizontal="center"/>
    </xf>
    <xf numFmtId="165" fontId="18" fillId="0" borderId="4" xfId="1" applyFont="1" applyBorder="1" applyAlignment="1">
      <alignment horizontal="center"/>
    </xf>
    <xf numFmtId="165" fontId="18" fillId="3" borderId="3" xfId="1" applyFont="1" applyFill="1" applyBorder="1" applyAlignment="1">
      <alignment horizontal="center"/>
    </xf>
    <xf numFmtId="165" fontId="18" fillId="3" borderId="4" xfId="1" applyFont="1" applyFill="1" applyBorder="1" applyAlignment="1">
      <alignment horizontal="center"/>
    </xf>
    <xf numFmtId="165" fontId="18" fillId="0" borderId="0" xfId="1" applyFont="1" applyFill="1" applyBorder="1" applyAlignment="1">
      <alignment horizontal="center"/>
    </xf>
    <xf numFmtId="165" fontId="18" fillId="0" borderId="13" xfId="1" applyFont="1" applyBorder="1" applyAlignment="1">
      <alignment horizontal="center"/>
    </xf>
    <xf numFmtId="165" fontId="57" fillId="7" borderId="13" xfId="1" applyFont="1" applyFill="1" applyBorder="1" applyAlignment="1">
      <alignment horizontal="center"/>
    </xf>
    <xf numFmtId="165" fontId="0" fillId="0" borderId="13" xfId="1" applyFont="1" applyBorder="1"/>
    <xf numFmtId="165" fontId="0" fillId="0" borderId="0" xfId="1" applyFont="1" applyBorder="1"/>
    <xf numFmtId="165" fontId="16" fillId="3" borderId="14" xfId="1" applyFont="1" applyFill="1" applyBorder="1"/>
    <xf numFmtId="165" fontId="15" fillId="0" borderId="13" xfId="1" applyFont="1" applyFill="1" applyBorder="1"/>
    <xf numFmtId="165" fontId="15" fillId="3" borderId="13" xfId="1" applyFont="1" applyFill="1" applyBorder="1"/>
    <xf numFmtId="165" fontId="16" fillId="3" borderId="13" xfId="1" applyFont="1" applyFill="1" applyBorder="1"/>
    <xf numFmtId="165" fontId="16" fillId="3" borderId="12" xfId="1" applyFont="1" applyFill="1" applyBorder="1"/>
    <xf numFmtId="165" fontId="16" fillId="0" borderId="0" xfId="1" applyFont="1"/>
    <xf numFmtId="0" fontId="26" fillId="8" borderId="23" xfId="0" applyFont="1" applyFill="1" applyBorder="1" applyAlignment="1">
      <alignment horizontal="center" vertical="center"/>
    </xf>
    <xf numFmtId="0" fontId="20" fillId="15" borderId="0" xfId="0" applyFont="1" applyFill="1"/>
    <xf numFmtId="164" fontId="26" fillId="0" borderId="5" xfId="1" applyNumberFormat="1" applyFont="1" applyBorder="1"/>
    <xf numFmtId="3" fontId="26" fillId="0" borderId="7" xfId="0" applyNumberFormat="1" applyFont="1" applyBorder="1"/>
    <xf numFmtId="3" fontId="33" fillId="0" borderId="0" xfId="0" applyNumberFormat="1" applyFont="1"/>
    <xf numFmtId="0" fontId="20" fillId="5" borderId="0" xfId="0" applyFont="1" applyFill="1"/>
    <xf numFmtId="4" fontId="27" fillId="5" borderId="0" xfId="0" applyNumberFormat="1" applyFont="1" applyFill="1"/>
    <xf numFmtId="168" fontId="26" fillId="0" borderId="5" xfId="1" applyNumberFormat="1" applyFont="1" applyFill="1" applyBorder="1" applyAlignment="1">
      <alignment vertical="center"/>
    </xf>
    <xf numFmtId="0" fontId="26" fillId="11" borderId="0" xfId="0" applyFont="1" applyFill="1"/>
    <xf numFmtId="168" fontId="26" fillId="11" borderId="5" xfId="1" applyNumberFormat="1" applyFont="1" applyFill="1" applyBorder="1" applyAlignment="1">
      <alignment vertical="center"/>
    </xf>
    <xf numFmtId="168" fontId="26" fillId="11" borderId="0" xfId="1" applyNumberFormat="1" applyFont="1" applyFill="1" applyBorder="1" applyAlignment="1">
      <alignment vertical="center"/>
    </xf>
    <xf numFmtId="3" fontId="27" fillId="11" borderId="7" xfId="0" applyNumberFormat="1" applyFont="1" applyFill="1" applyBorder="1"/>
    <xf numFmtId="3" fontId="26" fillId="11" borderId="0" xfId="0" applyNumberFormat="1" applyFont="1" applyFill="1"/>
    <xf numFmtId="3" fontId="27" fillId="11" borderId="0" xfId="0" applyNumberFormat="1" applyFont="1" applyFill="1"/>
    <xf numFmtId="3" fontId="26" fillId="11" borderId="5" xfId="0" applyNumberFormat="1" applyFont="1" applyFill="1" applyBorder="1"/>
    <xf numFmtId="4" fontId="26" fillId="11" borderId="0" xfId="0" applyNumberFormat="1" applyFont="1" applyFill="1"/>
    <xf numFmtId="0" fontId="20" fillId="11" borderId="0" xfId="0" applyFont="1" applyFill="1"/>
    <xf numFmtId="4" fontId="26" fillId="11" borderId="7" xfId="0" applyNumberFormat="1" applyFont="1" applyFill="1" applyBorder="1"/>
    <xf numFmtId="165" fontId="18" fillId="13" borderId="12" xfId="1" applyFont="1" applyFill="1" applyBorder="1" applyAlignment="1">
      <alignment horizontal="center"/>
    </xf>
    <xf numFmtId="165" fontId="26" fillId="0" borderId="0" xfId="1" applyFont="1" applyBorder="1" applyAlignment="1">
      <alignment vertical="center"/>
    </xf>
    <xf numFmtId="4" fontId="39" fillId="8" borderId="18" xfId="0" applyNumberFormat="1" applyFont="1" applyFill="1" applyBorder="1" applyAlignment="1">
      <alignment vertical="center"/>
    </xf>
    <xf numFmtId="4" fontId="39" fillId="8" borderId="19" xfId="0" applyNumberFormat="1" applyFont="1" applyFill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27" fillId="0" borderId="0" xfId="9" applyFont="1" applyFill="1" applyAlignment="1">
      <alignment horizontal="left" vertical="center"/>
    </xf>
    <xf numFmtId="4" fontId="27" fillId="0" borderId="7" xfId="9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46" fillId="5" borderId="0" xfId="0" applyFont="1" applyFill="1"/>
    <xf numFmtId="0" fontId="45" fillId="8" borderId="8" xfId="0" applyFont="1" applyFill="1" applyBorder="1" applyAlignment="1">
      <alignment horizontal="center" vertical="center" wrapText="1"/>
    </xf>
    <xf numFmtId="0" fontId="45" fillId="8" borderId="6" xfId="0" applyFont="1" applyFill="1" applyBorder="1" applyAlignment="1">
      <alignment horizontal="center" vertical="center"/>
    </xf>
    <xf numFmtId="3" fontId="26" fillId="9" borderId="0" xfId="0" applyNumberFormat="1" applyFont="1" applyFill="1" applyAlignment="1">
      <alignment horizontal="center"/>
    </xf>
    <xf numFmtId="0" fontId="27" fillId="8" borderId="8" xfId="0" applyFont="1" applyFill="1" applyBorder="1" applyAlignment="1">
      <alignment vertical="center" wrapText="1"/>
    </xf>
    <xf numFmtId="0" fontId="27" fillId="8" borderId="6" xfId="0" applyFont="1" applyFill="1" applyBorder="1" applyAlignment="1">
      <alignment vertical="center" wrapText="1"/>
    </xf>
    <xf numFmtId="0" fontId="27" fillId="0" borderId="0" xfId="0" applyFont="1" applyFill="1" applyAlignment="1">
      <alignment horizontal="right" vertical="center"/>
    </xf>
    <xf numFmtId="0" fontId="31" fillId="0" borderId="5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24" xfId="0" applyFont="1" applyFill="1" applyBorder="1" applyAlignment="1">
      <alignment horizontal="center" vertical="center"/>
    </xf>
    <xf numFmtId="165" fontId="69" fillId="0" borderId="0" xfId="1" applyFont="1" applyBorder="1" applyAlignment="1">
      <alignment horizontal="right" vertical="center"/>
    </xf>
    <xf numFmtId="43" fontId="26" fillId="0" borderId="7" xfId="0" applyNumberFormat="1" applyFont="1" applyBorder="1" applyAlignment="1">
      <alignment vertical="center"/>
    </xf>
    <xf numFmtId="0" fontId="43" fillId="15" borderId="5" xfId="0" applyFont="1" applyFill="1" applyBorder="1" applyAlignment="1">
      <alignment vertical="center"/>
    </xf>
    <xf numFmtId="0" fontId="43" fillId="15" borderId="0" xfId="0" applyFont="1" applyFill="1" applyAlignment="1">
      <alignment vertical="center"/>
    </xf>
    <xf numFmtId="0" fontId="43" fillId="15" borderId="0" xfId="0" applyFont="1" applyFill="1"/>
    <xf numFmtId="0" fontId="71" fillId="15" borderId="0" xfId="0" applyFont="1" applyFill="1" applyAlignment="1">
      <alignment vertical="center"/>
    </xf>
    <xf numFmtId="164" fontId="43" fillId="15" borderId="0" xfId="1" applyNumberFormat="1" applyFont="1" applyFill="1" applyBorder="1" applyAlignment="1">
      <alignment horizontal="right" vertical="center"/>
    </xf>
    <xf numFmtId="43" fontId="43" fillId="15" borderId="0" xfId="0" applyNumberFormat="1" applyFont="1" applyFill="1" applyAlignment="1">
      <alignment vertical="center" wrapText="1"/>
    </xf>
    <xf numFmtId="165" fontId="43" fillId="15" borderId="7" xfId="1" applyFont="1" applyFill="1" applyBorder="1" applyAlignment="1">
      <alignment vertical="center"/>
    </xf>
    <xf numFmtId="43" fontId="43" fillId="15" borderId="0" xfId="0" applyNumberFormat="1" applyFont="1" applyFill="1" applyAlignment="1">
      <alignment vertical="center"/>
    </xf>
    <xf numFmtId="43" fontId="43" fillId="15" borderId="5" xfId="0" applyNumberFormat="1" applyFont="1" applyFill="1" applyBorder="1" applyAlignment="1">
      <alignment vertical="center"/>
    </xf>
    <xf numFmtId="43" fontId="43" fillId="15" borderId="7" xfId="0" applyNumberFormat="1" applyFont="1" applyFill="1" applyBorder="1" applyAlignment="1">
      <alignment vertical="center"/>
    </xf>
    <xf numFmtId="165" fontId="43" fillId="15" borderId="5" xfId="1" applyFont="1" applyFill="1" applyBorder="1" applyAlignment="1">
      <alignment vertical="center"/>
    </xf>
    <xf numFmtId="165" fontId="43" fillId="15" borderId="0" xfId="1" applyFont="1" applyFill="1" applyBorder="1" applyAlignment="1">
      <alignment vertical="center"/>
    </xf>
    <xf numFmtId="164" fontId="44" fillId="0" borderId="0" xfId="1" applyNumberFormat="1" applyFont="1" applyFill="1" applyBorder="1" applyAlignment="1">
      <alignment horizontal="right" vertical="center"/>
    </xf>
    <xf numFmtId="43" fontId="44" fillId="0" borderId="5" xfId="0" applyNumberFormat="1" applyFont="1" applyBorder="1" applyAlignment="1">
      <alignment vertical="center" wrapText="1"/>
    </xf>
    <xf numFmtId="43" fontId="44" fillId="0" borderId="7" xfId="0" applyNumberFormat="1" applyFont="1" applyBorder="1" applyAlignment="1">
      <alignment vertical="center" wrapText="1"/>
    </xf>
    <xf numFmtId="0" fontId="49" fillId="13" borderId="0" xfId="0" applyFont="1" applyFill="1" applyAlignment="1">
      <alignment vertical="center"/>
    </xf>
    <xf numFmtId="164" fontId="26" fillId="13" borderId="0" xfId="1" applyNumberFormat="1" applyFont="1" applyFill="1" applyBorder="1" applyAlignment="1">
      <alignment horizontal="right" vertical="center"/>
    </xf>
    <xf numFmtId="43" fontId="26" fillId="13" borderId="0" xfId="0" applyNumberFormat="1" applyFont="1" applyFill="1" applyAlignment="1">
      <alignment vertical="center" wrapText="1"/>
    </xf>
    <xf numFmtId="0" fontId="32" fillId="13" borderId="0" xfId="0" applyFont="1" applyFill="1" applyAlignment="1">
      <alignment vertical="center"/>
    </xf>
    <xf numFmtId="0" fontId="32" fillId="13" borderId="5" xfId="0" applyFont="1" applyFill="1" applyBorder="1" applyAlignment="1">
      <alignment vertical="center"/>
    </xf>
    <xf numFmtId="0" fontId="32" fillId="13" borderId="7" xfId="0" applyFont="1" applyFill="1" applyBorder="1" applyAlignment="1">
      <alignment vertical="center"/>
    </xf>
    <xf numFmtId="0" fontId="26" fillId="13" borderId="5" xfId="0" applyFont="1" applyFill="1" applyBorder="1" applyAlignment="1">
      <alignment vertical="center"/>
    </xf>
    <xf numFmtId="0" fontId="44" fillId="0" borderId="0" xfId="5" applyFont="1" applyAlignment="1">
      <alignment vertical="center"/>
    </xf>
    <xf numFmtId="0" fontId="72" fillId="0" borderId="5" xfId="0" applyFont="1" applyBorder="1" applyAlignment="1">
      <alignment vertical="center"/>
    </xf>
    <xf numFmtId="0" fontId="44" fillId="0" borderId="0" xfId="5" applyFont="1" applyAlignment="1">
      <alignment horizontal="left" vertical="center"/>
    </xf>
    <xf numFmtId="165" fontId="44" fillId="8" borderId="17" xfId="1" applyFont="1" applyFill="1" applyBorder="1" applyAlignment="1">
      <alignment vertical="center"/>
    </xf>
    <xf numFmtId="172" fontId="73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167" fontId="73" fillId="0" borderId="0" xfId="33" applyNumberFormat="1" applyFont="1" applyBorder="1" applyAlignment="1">
      <alignment vertical="center"/>
    </xf>
    <xf numFmtId="9" fontId="73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73" fillId="0" borderId="0" xfId="0" applyFont="1" applyAlignment="1">
      <alignment vertical="center" wrapText="1"/>
    </xf>
    <xf numFmtId="168" fontId="38" fillId="0" borderId="0" xfId="1" applyNumberFormat="1" applyFont="1" applyBorder="1" applyAlignment="1">
      <alignment vertical="center"/>
    </xf>
    <xf numFmtId="172" fontId="73" fillId="0" borderId="0" xfId="0" applyNumberFormat="1" applyFont="1" applyAlignment="1">
      <alignment horizontal="center"/>
    </xf>
    <xf numFmtId="0" fontId="73" fillId="0" borderId="0" xfId="0" applyFont="1" applyAlignment="1">
      <alignment horizontal="center"/>
    </xf>
    <xf numFmtId="0" fontId="73" fillId="0" borderId="0" xfId="0" applyFont="1"/>
    <xf numFmtId="43" fontId="73" fillId="0" borderId="0" xfId="33" applyFont="1" applyFill="1" applyBorder="1"/>
    <xf numFmtId="165" fontId="27" fillId="5" borderId="0" xfId="0" applyNumberFormat="1" applyFont="1" applyFill="1" applyAlignment="1">
      <alignment vertical="center"/>
    </xf>
    <xf numFmtId="0" fontId="26" fillId="17" borderId="0" xfId="0" applyFont="1" applyFill="1" applyAlignment="1">
      <alignment vertical="center"/>
    </xf>
    <xf numFmtId="0" fontId="32" fillId="17" borderId="5" xfId="0" applyFont="1" applyFill="1" applyBorder="1" applyAlignment="1">
      <alignment vertical="center"/>
    </xf>
    <xf numFmtId="0" fontId="26" fillId="17" borderId="0" xfId="9" applyFont="1" applyFill="1" applyAlignment="1">
      <alignment horizontal="left" vertical="center" wrapText="1"/>
    </xf>
    <xf numFmtId="0" fontId="44" fillId="0" borderId="5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43" fontId="27" fillId="0" borderId="0" xfId="0" applyNumberFormat="1" applyFont="1" applyFill="1" applyAlignment="1">
      <alignment vertical="center" wrapText="1"/>
    </xf>
    <xf numFmtId="0" fontId="61" fillId="7" borderId="5" xfId="0" applyFont="1" applyFill="1" applyBorder="1" applyAlignment="1">
      <alignment vertical="center"/>
    </xf>
    <xf numFmtId="0" fontId="27" fillId="8" borderId="21" xfId="0" applyFont="1" applyFill="1" applyBorder="1" applyAlignment="1">
      <alignment horizontal="center" vertical="center"/>
    </xf>
    <xf numFmtId="0" fontId="27" fillId="8" borderId="20" xfId="0" applyFont="1" applyFill="1" applyBorder="1" applyAlignment="1">
      <alignment horizontal="right"/>
    </xf>
    <xf numFmtId="0" fontId="27" fillId="8" borderId="21" xfId="0" applyFont="1" applyFill="1" applyBorder="1" applyAlignment="1">
      <alignment horizontal="right"/>
    </xf>
    <xf numFmtId="0" fontId="27" fillId="8" borderId="22" xfId="0" applyFont="1" applyFill="1" applyBorder="1" applyAlignment="1">
      <alignment horizontal="right"/>
    </xf>
    <xf numFmtId="4" fontId="27" fillId="8" borderId="22" xfId="0" applyNumberFormat="1" applyFont="1" applyFill="1" applyBorder="1" applyAlignment="1">
      <alignment horizontal="right"/>
    </xf>
    <xf numFmtId="0" fontId="26" fillId="8" borderId="21" xfId="0" applyFont="1" applyFill="1" applyBorder="1" applyAlignment="1">
      <alignment horizontal="right"/>
    </xf>
    <xf numFmtId="0" fontId="27" fillId="8" borderId="0" xfId="0" applyFont="1" applyFill="1" applyAlignment="1">
      <alignment horizontal="right"/>
    </xf>
    <xf numFmtId="0" fontId="27" fillId="8" borderId="1" xfId="0" applyFont="1" applyFill="1" applyBorder="1" applyAlignment="1">
      <alignment horizontal="right"/>
    </xf>
    <xf numFmtId="0" fontId="27" fillId="8" borderId="2" xfId="0" applyFont="1" applyFill="1" applyBorder="1" applyAlignment="1">
      <alignment horizontal="right"/>
    </xf>
    <xf numFmtId="0" fontId="27" fillId="8" borderId="10" xfId="0" applyFont="1" applyFill="1" applyBorder="1" applyAlignment="1">
      <alignment horizontal="right"/>
    </xf>
    <xf numFmtId="0" fontId="37" fillId="15" borderId="6" xfId="0" applyFont="1" applyFill="1" applyBorder="1" applyAlignment="1">
      <alignment vertical="center"/>
    </xf>
    <xf numFmtId="0" fontId="26" fillId="15" borderId="6" xfId="0" applyFont="1" applyFill="1" applyBorder="1"/>
    <xf numFmtId="3" fontId="33" fillId="15" borderId="2" xfId="0" applyNumberFormat="1" applyFont="1" applyFill="1" applyBorder="1"/>
    <xf numFmtId="3" fontId="33" fillId="15" borderId="10" xfId="0" applyNumberFormat="1" applyFont="1" applyFill="1" applyBorder="1"/>
    <xf numFmtId="3" fontId="33" fillId="15" borderId="1" xfId="0" applyNumberFormat="1" applyFont="1" applyFill="1" applyBorder="1"/>
    <xf numFmtId="0" fontId="37" fillId="9" borderId="0" xfId="0" applyFont="1" applyFill="1" applyAlignment="1">
      <alignment vertical="center"/>
    </xf>
    <xf numFmtId="0" fontId="26" fillId="9" borderId="0" xfId="0" applyFont="1" applyFill="1"/>
    <xf numFmtId="3" fontId="33" fillId="0" borderId="5" xfId="0" applyNumberFormat="1" applyFont="1" applyBorder="1"/>
    <xf numFmtId="0" fontId="37" fillId="3" borderId="0" xfId="0" applyFont="1" applyFill="1" applyAlignment="1">
      <alignment vertical="center"/>
    </xf>
    <xf numFmtId="2" fontId="27" fillId="0" borderId="0" xfId="8" applyNumberFormat="1" applyFont="1" applyFill="1" applyBorder="1"/>
    <xf numFmtId="4" fontId="26" fillId="0" borderId="5" xfId="0" applyNumberFormat="1" applyFont="1" applyBorder="1"/>
    <xf numFmtId="4" fontId="33" fillId="0" borderId="5" xfId="0" applyNumberFormat="1" applyFont="1" applyBorder="1"/>
    <xf numFmtId="4" fontId="26" fillId="0" borderId="7" xfId="0" applyNumberFormat="1" applyFont="1" applyBorder="1"/>
    <xf numFmtId="4" fontId="27" fillId="11" borderId="0" xfId="0" applyNumberFormat="1" applyFont="1" applyFill="1"/>
    <xf numFmtId="4" fontId="26" fillId="11" borderId="5" xfId="0" applyNumberFormat="1" applyFont="1" applyFill="1" applyBorder="1"/>
    <xf numFmtId="0" fontId="37" fillId="5" borderId="0" xfId="0" applyFont="1" applyFill="1" applyAlignment="1">
      <alignment vertical="center"/>
    </xf>
    <xf numFmtId="0" fontId="20" fillId="0" borderId="5" xfId="0" applyFont="1" applyBorder="1"/>
    <xf numFmtId="3" fontId="27" fillId="11" borderId="5" xfId="0" applyNumberFormat="1" applyFont="1" applyFill="1" applyBorder="1"/>
    <xf numFmtId="4" fontId="27" fillId="0" borderId="5" xfId="0" applyNumberFormat="1" applyFont="1" applyBorder="1"/>
    <xf numFmtId="0" fontId="20" fillId="7" borderId="0" xfId="0" applyFont="1" applyFill="1"/>
    <xf numFmtId="0" fontId="27" fillId="9" borderId="0" xfId="0" applyFont="1" applyFill="1"/>
    <xf numFmtId="4" fontId="27" fillId="11" borderId="5" xfId="0" applyNumberFormat="1" applyFont="1" applyFill="1" applyBorder="1"/>
    <xf numFmtId="4" fontId="27" fillId="11" borderId="7" xfId="0" applyNumberFormat="1" applyFont="1" applyFill="1" applyBorder="1"/>
    <xf numFmtId="4" fontId="22" fillId="5" borderId="0" xfId="0" applyNumberFormat="1" applyFont="1" applyFill="1"/>
    <xf numFmtId="43" fontId="44" fillId="0" borderId="5" xfId="0" applyNumberFormat="1" applyFont="1" applyBorder="1" applyAlignment="1">
      <alignment vertical="center"/>
    </xf>
    <xf numFmtId="0" fontId="63" fillId="17" borderId="3" xfId="9" applyFont="1" applyFill="1" applyBorder="1" applyAlignment="1">
      <alignment horizontal="center" vertical="center"/>
    </xf>
    <xf numFmtId="0" fontId="63" fillId="17" borderId="3" xfId="0" applyFont="1" applyFill="1" applyBorder="1" applyAlignment="1">
      <alignment vertical="center"/>
    </xf>
    <xf numFmtId="0" fontId="63" fillId="17" borderId="3" xfId="9" applyFont="1" applyFill="1" applyBorder="1" applyAlignment="1">
      <alignment horizontal="left" vertical="center"/>
    </xf>
    <xf numFmtId="0" fontId="63" fillId="17" borderId="3" xfId="9" applyFont="1" applyFill="1" applyBorder="1" applyAlignment="1">
      <alignment horizontal="left" vertical="center" wrapText="1"/>
    </xf>
    <xf numFmtId="0" fontId="75" fillId="17" borderId="3" xfId="0" applyFont="1" applyFill="1" applyBorder="1"/>
    <xf numFmtId="0" fontId="76" fillId="17" borderId="3" xfId="0" applyFont="1" applyFill="1" applyBorder="1"/>
    <xf numFmtId="43" fontId="76" fillId="17" borderId="3" xfId="0" applyNumberFormat="1" applyFont="1" applyFill="1" applyBorder="1"/>
    <xf numFmtId="43" fontId="76" fillId="17" borderId="11" xfId="0" applyNumberFormat="1" applyFont="1" applyFill="1" applyBorder="1"/>
    <xf numFmtId="43" fontId="76" fillId="17" borderId="4" xfId="0" applyNumberFormat="1" applyFont="1" applyFill="1" applyBorder="1"/>
    <xf numFmtId="0" fontId="77" fillId="0" borderId="0" xfId="0" applyFont="1"/>
    <xf numFmtId="0" fontId="78" fillId="0" borderId="0" xfId="0" applyFont="1"/>
    <xf numFmtId="43" fontId="78" fillId="0" borderId="0" xfId="0" applyNumberFormat="1" applyFont="1"/>
    <xf numFmtId="43" fontId="26" fillId="0" borderId="12" xfId="1" applyNumberFormat="1" applyFont="1" applyBorder="1" applyAlignment="1">
      <alignment vertical="center"/>
    </xf>
    <xf numFmtId="165" fontId="44" fillId="0" borderId="12" xfId="1" applyFont="1" applyFill="1" applyBorder="1" applyAlignment="1">
      <alignment vertical="center"/>
    </xf>
    <xf numFmtId="4" fontId="20" fillId="0" borderId="0" xfId="0" applyNumberFormat="1" applyFont="1"/>
    <xf numFmtId="43" fontId="22" fillId="5" borderId="0" xfId="0" applyNumberFormat="1" applyFont="1" applyFill="1"/>
    <xf numFmtId="169" fontId="20" fillId="0" borderId="0" xfId="0" applyNumberFormat="1" applyFont="1"/>
    <xf numFmtId="165" fontId="22" fillId="12" borderId="0" xfId="1" applyFont="1" applyFill="1" applyAlignment="1">
      <alignment vertical="center"/>
    </xf>
    <xf numFmtId="165" fontId="30" fillId="0" borderId="0" xfId="1" applyFont="1"/>
    <xf numFmtId="165" fontId="79" fillId="0" borderId="0" xfId="0" applyNumberFormat="1" applyFont="1"/>
    <xf numFmtId="165" fontId="26" fillId="0" borderId="0" xfId="1" applyFont="1"/>
    <xf numFmtId="168" fontId="0" fillId="0" borderId="0" xfId="1" applyNumberFormat="1" applyFont="1"/>
    <xf numFmtId="0" fontId="26" fillId="0" borderId="5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43" fontId="26" fillId="0" borderId="0" xfId="0" applyNumberFormat="1" applyFont="1" applyFill="1" applyAlignment="1">
      <alignment vertical="center" wrapText="1"/>
    </xf>
    <xf numFmtId="165" fontId="26" fillId="0" borderId="0" xfId="1" applyFont="1" applyFill="1" applyAlignment="1">
      <alignment vertical="center"/>
    </xf>
    <xf numFmtId="0" fontId="27" fillId="8" borderId="13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vertical="center" wrapText="1"/>
    </xf>
    <xf numFmtId="0" fontId="27" fillId="8" borderId="14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 wrapText="1"/>
    </xf>
    <xf numFmtId="0" fontId="27" fillId="8" borderId="5" xfId="0" applyFont="1" applyFill="1" applyBorder="1" applyAlignment="1">
      <alignment vertical="center" wrapText="1"/>
    </xf>
    <xf numFmtId="0" fontId="27" fillId="8" borderId="0" xfId="0" applyFont="1" applyFill="1" applyBorder="1" applyAlignment="1">
      <alignment vertical="center" wrapText="1"/>
    </xf>
    <xf numFmtId="0" fontId="27" fillId="8" borderId="0" xfId="0" applyFont="1" applyFill="1" applyAlignment="1">
      <alignment vertical="center"/>
    </xf>
    <xf numFmtId="0" fontId="7" fillId="0" borderId="0" xfId="35"/>
    <xf numFmtId="0" fontId="81" fillId="0" borderId="0" xfId="35" applyFont="1"/>
    <xf numFmtId="0" fontId="82" fillId="0" borderId="0" xfId="35" applyFont="1"/>
    <xf numFmtId="0" fontId="82" fillId="0" borderId="0" xfId="35" applyFont="1" applyAlignment="1">
      <alignment horizontal="center" vertical="center"/>
    </xf>
    <xf numFmtId="0" fontId="82" fillId="10" borderId="0" xfId="35" applyFont="1" applyFill="1" applyAlignment="1">
      <alignment horizontal="center" vertical="center"/>
    </xf>
    <xf numFmtId="0" fontId="82" fillId="8" borderId="0" xfId="35" applyFont="1" applyFill="1" applyAlignment="1">
      <alignment horizontal="center" vertical="center"/>
    </xf>
    <xf numFmtId="0" fontId="82" fillId="14" borderId="0" xfId="35" applyFont="1" applyFill="1" applyAlignment="1">
      <alignment horizontal="center" vertical="center"/>
    </xf>
    <xf numFmtId="0" fontId="82" fillId="11" borderId="0" xfId="35" applyFont="1" applyFill="1" applyAlignment="1">
      <alignment horizontal="center" vertical="center"/>
    </xf>
    <xf numFmtId="0" fontId="82" fillId="19" borderId="0" xfId="35" applyFont="1" applyFill="1" applyAlignment="1">
      <alignment horizontal="center" vertical="center"/>
    </xf>
    <xf numFmtId="0" fontId="82" fillId="20" borderId="0" xfId="35" applyFont="1" applyFill="1" applyAlignment="1">
      <alignment horizontal="center" vertical="center"/>
    </xf>
    <xf numFmtId="0" fontId="7" fillId="18" borderId="0" xfId="35" applyFill="1"/>
    <xf numFmtId="10" fontId="83" fillId="10" borderId="0" xfId="36" applyNumberFormat="1" applyFont="1" applyFill="1"/>
    <xf numFmtId="10" fontId="83" fillId="8" borderId="0" xfId="36" applyNumberFormat="1" applyFont="1" applyFill="1"/>
    <xf numFmtId="10" fontId="83" fillId="14" borderId="0" xfId="36" applyNumberFormat="1" applyFont="1" applyFill="1"/>
    <xf numFmtId="10" fontId="0" fillId="11" borderId="0" xfId="36" applyNumberFormat="1" applyFont="1" applyFill="1"/>
    <xf numFmtId="10" fontId="0" fillId="19" borderId="0" xfId="36" applyNumberFormat="1" applyFont="1" applyFill="1"/>
    <xf numFmtId="10" fontId="0" fillId="20" borderId="0" xfId="36" applyNumberFormat="1" applyFont="1" applyFill="1"/>
    <xf numFmtId="10" fontId="0" fillId="0" borderId="0" xfId="36" applyNumberFormat="1" applyFont="1"/>
    <xf numFmtId="10" fontId="80" fillId="10" borderId="0" xfId="36" applyNumberFormat="1" applyFont="1" applyFill="1"/>
    <xf numFmtId="10" fontId="0" fillId="8" borderId="0" xfId="36" applyNumberFormat="1" applyFont="1" applyFill="1"/>
    <xf numFmtId="10" fontId="0" fillId="14" borderId="0" xfId="36" applyNumberFormat="1" applyFont="1" applyFill="1"/>
    <xf numFmtId="10" fontId="0" fillId="10" borderId="0" xfId="36" applyNumberFormat="1" applyFont="1" applyFill="1"/>
    <xf numFmtId="10" fontId="83" fillId="11" borderId="0" xfId="36" applyNumberFormat="1" applyFont="1" applyFill="1"/>
    <xf numFmtId="10" fontId="83" fillId="19" borderId="0" xfId="36" applyNumberFormat="1" applyFont="1" applyFill="1"/>
    <xf numFmtId="10" fontId="80" fillId="14" borderId="0" xfId="36" applyNumberFormat="1" applyFont="1" applyFill="1"/>
    <xf numFmtId="10" fontId="80" fillId="11" borderId="0" xfId="36" applyNumberFormat="1" applyFont="1" applyFill="1"/>
    <xf numFmtId="0" fontId="7" fillId="21" borderId="0" xfId="35" applyFill="1"/>
    <xf numFmtId="0" fontId="7" fillId="15" borderId="0" xfId="35" applyFill="1"/>
    <xf numFmtId="0" fontId="7" fillId="22" borderId="0" xfId="35" applyFill="1"/>
    <xf numFmtId="0" fontId="7" fillId="7" borderId="0" xfId="35" applyFill="1"/>
    <xf numFmtId="0" fontId="80" fillId="21" borderId="0" xfId="35" applyFont="1" applyFill="1"/>
    <xf numFmtId="0" fontId="80" fillId="21" borderId="0" xfId="35" applyFont="1" applyFill="1" applyAlignment="1">
      <alignment horizontal="left" indent="1"/>
    </xf>
    <xf numFmtId="0" fontId="7" fillId="21" borderId="0" xfId="35" applyFill="1" applyAlignment="1">
      <alignment horizontal="left" indent="1"/>
    </xf>
    <xf numFmtId="0" fontId="80" fillId="0" borderId="0" xfId="35" applyFont="1"/>
    <xf numFmtId="0" fontId="81" fillId="21" borderId="0" xfId="35" applyFont="1" applyFill="1"/>
    <xf numFmtId="0" fontId="27" fillId="8" borderId="29" xfId="0" applyFont="1" applyFill="1" applyBorder="1" applyAlignment="1">
      <alignment vertical="center" wrapText="1"/>
    </xf>
    <xf numFmtId="0" fontId="27" fillId="8" borderId="23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vertical="center" wrapText="1"/>
    </xf>
    <xf numFmtId="0" fontId="27" fillId="8" borderId="20" xfId="0" applyFont="1" applyFill="1" applyBorder="1" applyAlignment="1">
      <alignment vertical="center" wrapText="1"/>
    </xf>
    <xf numFmtId="0" fontId="27" fillId="8" borderId="21" xfId="0" applyFont="1" applyFill="1" applyBorder="1" applyAlignment="1">
      <alignment vertical="center" wrapText="1"/>
    </xf>
    <xf numFmtId="0" fontId="6" fillId="21" borderId="0" xfId="35" applyFont="1" applyFill="1"/>
    <xf numFmtId="0" fontId="26" fillId="16" borderId="0" xfId="9" applyFont="1" applyFill="1" applyAlignment="1">
      <alignment horizontal="left" vertical="center"/>
    </xf>
    <xf numFmtId="0" fontId="43" fillId="0" borderId="13" xfId="9" applyFont="1" applyFill="1" applyBorder="1" applyAlignment="1">
      <alignment horizontal="center" vertical="center"/>
    </xf>
    <xf numFmtId="0" fontId="26" fillId="0" borderId="13" xfId="5" applyFont="1" applyFill="1" applyBorder="1" applyAlignment="1">
      <alignment horizontal="center" vertical="center"/>
    </xf>
    <xf numFmtId="165" fontId="43" fillId="0" borderId="13" xfId="1" applyNumberFormat="1" applyFont="1" applyFill="1" applyBorder="1" applyAlignment="1">
      <alignment vertical="center"/>
    </xf>
    <xf numFmtId="165" fontId="26" fillId="0" borderId="13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26" fillId="0" borderId="0" xfId="9" applyFont="1" applyFill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0" fillId="0" borderId="0" xfId="0" applyFont="1" applyFill="1"/>
    <xf numFmtId="0" fontId="26" fillId="0" borderId="0" xfId="0" applyFont="1" applyFill="1"/>
    <xf numFmtId="0" fontId="26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8" fillId="0" borderId="0" xfId="0" applyFont="1" applyFill="1"/>
    <xf numFmtId="0" fontId="49" fillId="0" borderId="0" xfId="0" applyFont="1" applyFill="1"/>
    <xf numFmtId="0" fontId="27" fillId="0" borderId="0" xfId="0" applyFont="1" applyFill="1"/>
    <xf numFmtId="0" fontId="44" fillId="0" borderId="0" xfId="0" applyFont="1" applyFill="1"/>
    <xf numFmtId="0" fontId="31" fillId="0" borderId="0" xfId="0" applyFont="1" applyFill="1"/>
    <xf numFmtId="0" fontId="32" fillId="0" borderId="0" xfId="0" applyFont="1" applyFill="1"/>
    <xf numFmtId="0" fontId="24" fillId="0" borderId="13" xfId="0" applyFont="1" applyFill="1" applyBorder="1" applyAlignment="1">
      <alignment horizontal="center" vertical="center"/>
    </xf>
    <xf numFmtId="0" fontId="44" fillId="0" borderId="13" xfId="9" applyFont="1" applyFill="1" applyBorder="1" applyAlignment="1">
      <alignment horizontal="center" vertical="center"/>
    </xf>
    <xf numFmtId="165" fontId="44" fillId="0" borderId="13" xfId="1" applyNumberFormat="1" applyFont="1" applyFill="1" applyBorder="1" applyAlignment="1">
      <alignment vertical="center"/>
    </xf>
    <xf numFmtId="165" fontId="44" fillId="0" borderId="5" xfId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44" fillId="0" borderId="13" xfId="9" applyFont="1" applyFill="1" applyBorder="1" applyAlignment="1">
      <alignment horizontal="center" vertical="center" wrapText="1"/>
    </xf>
    <xf numFmtId="165" fontId="44" fillId="0" borderId="13" xfId="1" applyNumberFormat="1" applyFont="1" applyFill="1" applyBorder="1" applyAlignment="1">
      <alignment horizontal="left" vertical="center" wrapText="1"/>
    </xf>
    <xf numFmtId="3" fontId="27" fillId="0" borderId="7" xfId="9" applyNumberFormat="1" applyFont="1" applyFill="1" applyBorder="1" applyAlignment="1">
      <alignment vertical="center"/>
    </xf>
    <xf numFmtId="0" fontId="42" fillId="0" borderId="13" xfId="9" applyFont="1" applyFill="1" applyBorder="1" applyAlignment="1">
      <alignment horizontal="center" vertical="center"/>
    </xf>
    <xf numFmtId="165" fontId="42" fillId="0" borderId="13" xfId="1" applyNumberFormat="1" applyFont="1" applyFill="1" applyBorder="1" applyAlignment="1">
      <alignment vertical="center"/>
    </xf>
    <xf numFmtId="165" fontId="26" fillId="0" borderId="13" xfId="1" applyNumberFormat="1" applyFont="1" applyFill="1" applyBorder="1" applyAlignment="1">
      <alignment horizontal="right"/>
    </xf>
    <xf numFmtId="0" fontId="26" fillId="0" borderId="3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6" fillId="7" borderId="0" xfId="35" applyFont="1" applyFill="1"/>
    <xf numFmtId="0" fontId="26" fillId="0" borderId="31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0" fontId="67" fillId="0" borderId="0" xfId="0" applyFont="1" applyFill="1"/>
    <xf numFmtId="0" fontId="22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165" fontId="26" fillId="0" borderId="0" xfId="0" applyNumberFormat="1" applyFont="1" applyFill="1" applyAlignment="1">
      <alignment horizontal="center" vertical="center"/>
    </xf>
    <xf numFmtId="165" fontId="24" fillId="0" borderId="13" xfId="1" applyNumberFormat="1" applyFont="1" applyFill="1" applyBorder="1" applyAlignment="1">
      <alignment vertical="center"/>
    </xf>
    <xf numFmtId="0" fontId="27" fillId="0" borderId="13" xfId="9" applyFont="1" applyFill="1" applyBorder="1" applyAlignment="1">
      <alignment horizontal="center" vertical="center" wrapText="1"/>
    </xf>
    <xf numFmtId="165" fontId="27" fillId="0" borderId="13" xfId="1" applyNumberFormat="1" applyFont="1" applyFill="1" applyBorder="1" applyAlignment="1">
      <alignment horizontal="left" vertical="center" wrapText="1"/>
    </xf>
    <xf numFmtId="165" fontId="54" fillId="0" borderId="13" xfId="1" applyNumberFormat="1" applyFont="1" applyFill="1" applyBorder="1" applyAlignment="1">
      <alignment horizontal="right" vertical="center"/>
    </xf>
    <xf numFmtId="165" fontId="32" fillId="0" borderId="13" xfId="1" applyNumberFormat="1" applyFont="1" applyFill="1" applyBorder="1" applyAlignment="1">
      <alignment vertical="center"/>
    </xf>
    <xf numFmtId="165" fontId="26" fillId="0" borderId="13" xfId="1" applyNumberFormat="1" applyFont="1" applyFill="1" applyBorder="1" applyAlignment="1">
      <alignment horizontal="center" vertical="center"/>
    </xf>
    <xf numFmtId="165" fontId="26" fillId="0" borderId="13" xfId="1" applyNumberFormat="1" applyFont="1" applyFill="1" applyBorder="1" applyAlignment="1">
      <alignment vertical="center"/>
    </xf>
    <xf numFmtId="0" fontId="26" fillId="0" borderId="13" xfId="9" applyFont="1" applyFill="1" applyBorder="1" applyAlignment="1">
      <alignment horizontal="center" vertical="center"/>
    </xf>
    <xf numFmtId="41" fontId="26" fillId="0" borderId="13" xfId="33" applyNumberFormat="1" applyFont="1" applyFill="1" applyBorder="1" applyAlignment="1">
      <alignment horizontal="center" vertical="center"/>
    </xf>
    <xf numFmtId="41" fontId="26" fillId="0" borderId="13" xfId="33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165" fontId="27" fillId="0" borderId="0" xfId="1" applyNumberFormat="1" applyFont="1" applyFill="1" applyAlignment="1">
      <alignment vertical="center"/>
    </xf>
    <xf numFmtId="165" fontId="26" fillId="0" borderId="0" xfId="1" applyNumberFormat="1" applyFont="1" applyFill="1" applyAlignment="1">
      <alignment vertical="center"/>
    </xf>
    <xf numFmtId="165" fontId="26" fillId="0" borderId="0" xfId="1" applyNumberFormat="1" applyFont="1" applyFill="1"/>
    <xf numFmtId="165" fontId="20" fillId="0" borderId="0" xfId="1" applyNumberFormat="1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6" fillId="18" borderId="0" xfId="35" applyFont="1" applyFill="1"/>
    <xf numFmtId="0" fontId="27" fillId="0" borderId="0" xfId="0" applyFont="1" applyFill="1" applyBorder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3" fontId="24" fillId="0" borderId="0" xfId="0" applyNumberFormat="1" applyFont="1" applyFill="1" applyAlignment="1">
      <alignment vertical="center"/>
    </xf>
    <xf numFmtId="165" fontId="27" fillId="0" borderId="0" xfId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0" fontId="38" fillId="0" borderId="0" xfId="0" applyFont="1" applyFill="1"/>
    <xf numFmtId="0" fontId="39" fillId="0" borderId="0" xfId="0" applyFont="1" applyFill="1"/>
    <xf numFmtId="0" fontId="27" fillId="0" borderId="1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right"/>
    </xf>
    <xf numFmtId="0" fontId="45" fillId="0" borderId="9" xfId="0" applyFont="1" applyFill="1" applyBorder="1" applyAlignment="1">
      <alignment horizontal="right"/>
    </xf>
    <xf numFmtId="0" fontId="45" fillId="0" borderId="6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45" fillId="0" borderId="8" xfId="0" applyFont="1" applyFill="1" applyBorder="1" applyAlignment="1">
      <alignment horizontal="center"/>
    </xf>
    <xf numFmtId="3" fontId="37" fillId="0" borderId="7" xfId="0" applyNumberFormat="1" applyFont="1" applyFill="1" applyBorder="1" applyAlignment="1">
      <alignment vertical="center"/>
    </xf>
    <xf numFmtId="3" fontId="24" fillId="0" borderId="5" xfId="0" applyNumberFormat="1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166" fontId="39" fillId="0" borderId="0" xfId="8" applyNumberFormat="1" applyFont="1" applyFill="1" applyAlignment="1">
      <alignment vertical="center"/>
    </xf>
    <xf numFmtId="165" fontId="26" fillId="0" borderId="0" xfId="1" applyFont="1" applyFill="1" applyBorder="1" applyAlignment="1">
      <alignment vertical="center" wrapText="1"/>
    </xf>
    <xf numFmtId="4" fontId="26" fillId="0" borderId="7" xfId="9" applyNumberFormat="1" applyFont="1" applyFill="1" applyBorder="1" applyAlignment="1">
      <alignment vertical="center"/>
    </xf>
    <xf numFmtId="166" fontId="48" fillId="0" borderId="0" xfId="8" applyNumberFormat="1" applyFont="1" applyFill="1" applyAlignment="1">
      <alignment vertical="center"/>
    </xf>
    <xf numFmtId="2" fontId="26" fillId="0" borderId="7" xfId="1" applyNumberFormat="1" applyFont="1" applyFill="1" applyBorder="1" applyAlignment="1">
      <alignment vertical="center"/>
    </xf>
    <xf numFmtId="3" fontId="44" fillId="0" borderId="7" xfId="9" applyNumberFormat="1" applyFont="1" applyFill="1" applyBorder="1" applyAlignment="1">
      <alignment vertical="center"/>
    </xf>
    <xf numFmtId="43" fontId="27" fillId="0" borderId="7" xfId="0" applyNumberFormat="1" applyFont="1" applyFill="1" applyBorder="1" applyAlignment="1">
      <alignment vertical="center" wrapText="1"/>
    </xf>
    <xf numFmtId="4" fontId="39" fillId="0" borderId="18" xfId="0" applyNumberFormat="1" applyFont="1" applyFill="1" applyBorder="1" applyAlignment="1">
      <alignment vertical="center"/>
    </xf>
    <xf numFmtId="165" fontId="38" fillId="0" borderId="0" xfId="1" applyFont="1" applyFill="1" applyAlignment="1">
      <alignment vertical="center"/>
    </xf>
    <xf numFmtId="165" fontId="39" fillId="0" borderId="0" xfId="1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5" fillId="0" borderId="0" xfId="0" applyFont="1" applyFill="1" applyAlignment="1">
      <alignment horizontal="right" vertical="center"/>
    </xf>
    <xf numFmtId="3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right" vertical="center"/>
    </xf>
    <xf numFmtId="165" fontId="26" fillId="0" borderId="12" xfId="1" applyFont="1" applyFill="1" applyBorder="1" applyAlignment="1">
      <alignment vertical="center"/>
    </xf>
    <xf numFmtId="43" fontId="26" fillId="0" borderId="4" xfId="1" applyNumberFormat="1" applyFont="1" applyFill="1" applyBorder="1" applyAlignment="1">
      <alignment vertical="center"/>
    </xf>
    <xf numFmtId="165" fontId="26" fillId="0" borderId="4" xfId="1" applyFont="1" applyFill="1" applyBorder="1" applyAlignment="1">
      <alignment vertical="center"/>
    </xf>
    <xf numFmtId="0" fontId="27" fillId="0" borderId="0" xfId="0" applyFont="1" applyFill="1" applyAlignment="1">
      <alignment horizontal="right"/>
    </xf>
    <xf numFmtId="168" fontId="44" fillId="0" borderId="0" xfId="1" applyNumberFormat="1" applyFont="1" applyFill="1" applyAlignment="1">
      <alignment horizontal="right"/>
    </xf>
    <xf numFmtId="165" fontId="64" fillId="0" borderId="0" xfId="0" applyNumberFormat="1" applyFont="1" applyFill="1" applyAlignment="1">
      <alignment vertical="center"/>
    </xf>
    <xf numFmtId="165" fontId="64" fillId="0" borderId="0" xfId="1" applyFont="1" applyFill="1" applyAlignment="1">
      <alignment vertical="center"/>
    </xf>
    <xf numFmtId="165" fontId="66" fillId="0" borderId="0" xfId="1" applyFont="1" applyFill="1" applyAlignment="1">
      <alignment vertical="center"/>
    </xf>
    <xf numFmtId="0" fontId="47" fillId="0" borderId="6" xfId="0" applyFont="1" applyFill="1" applyBorder="1" applyAlignment="1">
      <alignment horizontal="center"/>
    </xf>
    <xf numFmtId="0" fontId="47" fillId="0" borderId="9" xfId="0" applyFont="1" applyFill="1" applyBorder="1" applyAlignment="1">
      <alignment horizontal="center"/>
    </xf>
    <xf numFmtId="165" fontId="27" fillId="0" borderId="12" xfId="1" applyFont="1" applyFill="1" applyBorder="1" applyAlignment="1">
      <alignment vertical="center"/>
    </xf>
    <xf numFmtId="165" fontId="26" fillId="0" borderId="12" xfId="1" applyFont="1" applyFill="1" applyBorder="1"/>
    <xf numFmtId="165" fontId="27" fillId="0" borderId="12" xfId="1" applyFont="1" applyFill="1" applyBorder="1"/>
    <xf numFmtId="165" fontId="27" fillId="0" borderId="0" xfId="1" applyFont="1" applyFill="1"/>
    <xf numFmtId="165" fontId="45" fillId="0" borderId="0" xfId="1" applyFont="1" applyFill="1"/>
    <xf numFmtId="43" fontId="26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horizontal="right" vertical="center"/>
    </xf>
    <xf numFmtId="165" fontId="51" fillId="0" borderId="0" xfId="0" applyNumberFormat="1" applyFont="1" applyFill="1" applyAlignment="1">
      <alignment vertical="center"/>
    </xf>
    <xf numFmtId="165" fontId="65" fillId="0" borderId="0" xfId="1" applyFont="1" applyFill="1" applyAlignment="1">
      <alignment vertical="center"/>
    </xf>
    <xf numFmtId="165" fontId="65" fillId="0" borderId="0" xfId="1" applyNumberFormat="1" applyFont="1" applyFill="1" applyAlignment="1">
      <alignment vertical="center"/>
    </xf>
    <xf numFmtId="165" fontId="51" fillId="0" borderId="0" xfId="1" applyFont="1" applyFill="1" applyAlignment="1">
      <alignment vertical="center"/>
    </xf>
    <xf numFmtId="165" fontId="65" fillId="0" borderId="0" xfId="0" applyNumberFormat="1" applyFont="1" applyFill="1" applyAlignment="1">
      <alignment vertical="center"/>
    </xf>
    <xf numFmtId="165" fontId="26" fillId="0" borderId="12" xfId="1" applyFont="1" applyFill="1" applyBorder="1" applyAlignment="1">
      <alignment horizontal="center"/>
    </xf>
    <xf numFmtId="167" fontId="48" fillId="0" borderId="0" xfId="0" applyNumberFormat="1" applyFont="1" applyFill="1" applyAlignment="1">
      <alignment vertical="center"/>
    </xf>
    <xf numFmtId="165" fontId="27" fillId="0" borderId="5" xfId="1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45" fillId="0" borderId="8" xfId="0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vertical="center"/>
    </xf>
    <xf numFmtId="3" fontId="24" fillId="0" borderId="7" xfId="0" applyNumberFormat="1" applyFont="1" applyFill="1" applyBorder="1" applyAlignment="1">
      <alignment vertical="center"/>
    </xf>
    <xf numFmtId="164" fontId="26" fillId="0" borderId="5" xfId="1" applyNumberFormat="1" applyFont="1" applyFill="1" applyBorder="1" applyAlignment="1">
      <alignment horizontal="right" vertical="center"/>
    </xf>
    <xf numFmtId="173" fontId="26" fillId="0" borderId="5" xfId="1" applyNumberFormat="1" applyFont="1" applyFill="1" applyBorder="1" applyAlignment="1">
      <alignment horizontal="right" vertical="center"/>
    </xf>
    <xf numFmtId="173" fontId="26" fillId="0" borderId="0" xfId="1" applyNumberFormat="1" applyFont="1" applyFill="1" applyBorder="1" applyAlignment="1">
      <alignment horizontal="right" vertical="center"/>
    </xf>
    <xf numFmtId="173" fontId="42" fillId="0" borderId="7" xfId="9" applyNumberFormat="1" applyFont="1" applyFill="1" applyBorder="1" applyAlignment="1">
      <alignment vertical="center"/>
    </xf>
    <xf numFmtId="173" fontId="44" fillId="0" borderId="5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horizontal="right" vertical="center"/>
    </xf>
    <xf numFmtId="173" fontId="44" fillId="0" borderId="7" xfId="9" applyNumberFormat="1" applyFont="1" applyFill="1" applyBorder="1" applyAlignment="1">
      <alignment vertical="center"/>
    </xf>
    <xf numFmtId="173" fontId="27" fillId="0" borderId="5" xfId="1" applyNumberFormat="1" applyFont="1" applyFill="1" applyBorder="1" applyAlignment="1">
      <alignment horizontal="right" vertical="center"/>
    </xf>
    <xf numFmtId="173" fontId="27" fillId="0" borderId="0" xfId="1" applyNumberFormat="1" applyFont="1" applyFill="1" applyBorder="1" applyAlignment="1">
      <alignment horizontal="right" vertical="center"/>
    </xf>
    <xf numFmtId="173" fontId="43" fillId="0" borderId="7" xfId="9" applyNumberFormat="1" applyFont="1" applyFill="1" applyBorder="1" applyAlignment="1">
      <alignment vertical="center"/>
    </xf>
    <xf numFmtId="173" fontId="26" fillId="0" borderId="5" xfId="33" applyNumberFormat="1" applyFont="1" applyFill="1" applyBorder="1" applyAlignment="1">
      <alignment horizontal="center" vertical="center"/>
    </xf>
    <xf numFmtId="173" fontId="26" fillId="0" borderId="0" xfId="33" applyNumberFormat="1" applyFont="1" applyFill="1" applyBorder="1" applyAlignment="1">
      <alignment horizontal="center" vertical="center"/>
    </xf>
    <xf numFmtId="173" fontId="26" fillId="0" borderId="5" xfId="9" applyNumberFormat="1" applyFont="1" applyFill="1" applyBorder="1" applyAlignment="1">
      <alignment vertical="center"/>
    </xf>
    <xf numFmtId="173" fontId="26" fillId="0" borderId="0" xfId="9" applyNumberFormat="1" applyFont="1" applyFill="1" applyBorder="1" applyAlignment="1">
      <alignment vertical="center"/>
    </xf>
    <xf numFmtId="173" fontId="26" fillId="0" borderId="7" xfId="9" applyNumberFormat="1" applyFont="1" applyFill="1" applyBorder="1" applyAlignment="1">
      <alignment vertical="center"/>
    </xf>
    <xf numFmtId="173" fontId="44" fillId="0" borderId="5" xfId="9" applyNumberFormat="1" applyFont="1" applyFill="1" applyBorder="1" applyAlignment="1">
      <alignment vertical="center"/>
    </xf>
    <xf numFmtId="173" fontId="44" fillId="0" borderId="0" xfId="9" applyNumberFormat="1" applyFont="1" applyFill="1" applyBorder="1" applyAlignment="1">
      <alignment vertical="center"/>
    </xf>
    <xf numFmtId="173" fontId="32" fillId="0" borderId="5" xfId="9" applyNumberFormat="1" applyFont="1" applyFill="1" applyBorder="1" applyAlignment="1">
      <alignment vertical="center"/>
    </xf>
    <xf numFmtId="173" fontId="32" fillId="0" borderId="0" xfId="9" applyNumberFormat="1" applyFont="1" applyFill="1" applyBorder="1" applyAlignment="1">
      <alignment vertical="center"/>
    </xf>
    <xf numFmtId="173" fontId="26" fillId="0" borderId="5" xfId="0" applyNumberFormat="1" applyFont="1" applyFill="1" applyBorder="1" applyAlignment="1">
      <alignment vertical="center"/>
    </xf>
    <xf numFmtId="173" fontId="26" fillId="0" borderId="0" xfId="0" applyNumberFormat="1" applyFont="1" applyFill="1" applyBorder="1" applyAlignment="1">
      <alignment vertical="center"/>
    </xf>
    <xf numFmtId="173" fontId="26" fillId="0" borderId="7" xfId="0" applyNumberFormat="1" applyFont="1" applyFill="1" applyBorder="1" applyAlignment="1">
      <alignment vertical="center"/>
    </xf>
    <xf numFmtId="173" fontId="27" fillId="0" borderId="17" xfId="0" applyNumberFormat="1" applyFont="1" applyFill="1" applyBorder="1" applyAlignment="1">
      <alignment vertical="center"/>
    </xf>
    <xf numFmtId="173" fontId="27" fillId="0" borderId="18" xfId="0" applyNumberFormat="1" applyFont="1" applyFill="1" applyBorder="1" applyAlignment="1">
      <alignment vertical="center"/>
    </xf>
    <xf numFmtId="43" fontId="26" fillId="0" borderId="5" xfId="0" applyNumberFormat="1" applyFont="1" applyFill="1" applyBorder="1" applyAlignment="1">
      <alignment vertical="center" wrapText="1"/>
    </xf>
    <xf numFmtId="43" fontId="26" fillId="0" borderId="0" xfId="0" applyNumberFormat="1" applyFont="1" applyFill="1" applyBorder="1" applyAlignment="1">
      <alignment vertical="center" wrapText="1"/>
    </xf>
    <xf numFmtId="43" fontId="26" fillId="0" borderId="7" xfId="0" applyNumberFormat="1" applyFont="1" applyFill="1" applyBorder="1" applyAlignment="1">
      <alignment vertical="center" wrapText="1"/>
    </xf>
    <xf numFmtId="43" fontId="27" fillId="0" borderId="5" xfId="0" applyNumberFormat="1" applyFont="1" applyFill="1" applyBorder="1" applyAlignment="1">
      <alignment vertical="center" wrapText="1"/>
    </xf>
    <xf numFmtId="43" fontId="27" fillId="0" borderId="0" xfId="0" applyNumberFormat="1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4" fontId="27" fillId="0" borderId="5" xfId="9" applyNumberFormat="1" applyFont="1" applyFill="1" applyBorder="1" applyAlignment="1">
      <alignment vertical="center"/>
    </xf>
    <xf numFmtId="4" fontId="27" fillId="0" borderId="0" xfId="9" applyNumberFormat="1" applyFont="1" applyFill="1" applyBorder="1" applyAlignment="1">
      <alignment vertical="center"/>
    </xf>
    <xf numFmtId="4" fontId="44" fillId="0" borderId="5" xfId="9" applyNumberFormat="1" applyFont="1" applyFill="1" applyBorder="1" applyAlignment="1">
      <alignment vertical="center"/>
    </xf>
    <xf numFmtId="4" fontId="44" fillId="0" borderId="0" xfId="9" applyNumberFormat="1" applyFont="1" applyFill="1" applyBorder="1" applyAlignment="1">
      <alignment vertical="center"/>
    </xf>
    <xf numFmtId="2" fontId="26" fillId="0" borderId="5" xfId="0" applyNumberFormat="1" applyFont="1" applyFill="1" applyBorder="1" applyAlignment="1">
      <alignment vertical="center" wrapText="1"/>
    </xf>
    <xf numFmtId="2" fontId="26" fillId="0" borderId="0" xfId="0" applyNumberFormat="1" applyFont="1" applyFill="1" applyBorder="1" applyAlignment="1">
      <alignment vertical="center" wrapText="1"/>
    </xf>
    <xf numFmtId="3" fontId="27" fillId="0" borderId="5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5" fontId="44" fillId="0" borderId="17" xfId="1" applyFont="1" applyFill="1" applyBorder="1" applyAlignment="1">
      <alignment vertical="center"/>
    </xf>
    <xf numFmtId="165" fontId="44" fillId="0" borderId="18" xfId="1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4" fillId="0" borderId="10" xfId="0" applyFont="1" applyFill="1" applyBorder="1" applyAlignment="1">
      <alignment vertical="center"/>
    </xf>
    <xf numFmtId="0" fontId="44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wrapText="1"/>
    </xf>
    <xf numFmtId="0" fontId="44" fillId="0" borderId="2" xfId="0" applyFont="1" applyFill="1" applyBorder="1" applyAlignment="1">
      <alignment wrapText="1"/>
    </xf>
    <xf numFmtId="0" fontId="44" fillId="0" borderId="10" xfId="0" applyFont="1" applyFill="1" applyBorder="1" applyAlignment="1">
      <alignment wrapText="1"/>
    </xf>
    <xf numFmtId="3" fontId="39" fillId="0" borderId="0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166" fontId="39" fillId="0" borderId="7" xfId="8" applyNumberFormat="1" applyFont="1" applyFill="1" applyBorder="1" applyAlignment="1">
      <alignment vertical="center"/>
    </xf>
    <xf numFmtId="165" fontId="38" fillId="0" borderId="5" xfId="8" applyNumberFormat="1" applyFont="1" applyFill="1" applyBorder="1" applyAlignment="1">
      <alignment vertical="center"/>
    </xf>
    <xf numFmtId="165" fontId="38" fillId="0" borderId="0" xfId="8" applyNumberFormat="1" applyFont="1" applyFill="1" applyBorder="1" applyAlignment="1">
      <alignment vertical="center"/>
    </xf>
    <xf numFmtId="165" fontId="38" fillId="0" borderId="7" xfId="8" applyNumberFormat="1" applyFont="1" applyFill="1" applyBorder="1" applyAlignment="1">
      <alignment vertical="center"/>
    </xf>
    <xf numFmtId="0" fontId="24" fillId="3" borderId="7" xfId="0" applyFont="1" applyFill="1" applyBorder="1" applyAlignment="1">
      <alignment vertical="center"/>
    </xf>
    <xf numFmtId="0" fontId="32" fillId="7" borderId="7" xfId="9" applyFont="1" applyFill="1" applyBorder="1" applyAlignment="1">
      <alignment horizontal="left" vertical="center" wrapText="1"/>
    </xf>
    <xf numFmtId="0" fontId="32" fillId="0" borderId="7" xfId="9" applyFont="1" applyBorder="1" applyAlignment="1">
      <alignment horizontal="left" vertical="center" wrapText="1"/>
    </xf>
    <xf numFmtId="0" fontId="26" fillId="0" borderId="7" xfId="9" applyFont="1" applyBorder="1" applyAlignment="1">
      <alignment horizontal="left" vertical="center" wrapText="1"/>
    </xf>
    <xf numFmtId="0" fontId="44" fillId="2" borderId="7" xfId="9" applyFont="1" applyFill="1" applyBorder="1" applyAlignment="1">
      <alignment horizontal="left" vertical="center" wrapText="1"/>
    </xf>
    <xf numFmtId="0" fontId="44" fillId="13" borderId="7" xfId="9" applyFont="1" applyFill="1" applyBorder="1" applyAlignment="1">
      <alignment horizontal="left" vertical="center" wrapText="1"/>
    </xf>
    <xf numFmtId="0" fontId="26" fillId="17" borderId="7" xfId="9" applyFont="1" applyFill="1" applyBorder="1" applyAlignment="1">
      <alignment horizontal="left" vertical="center" wrapText="1"/>
    </xf>
    <xf numFmtId="0" fontId="27" fillId="0" borderId="7" xfId="9" applyFont="1" applyFill="1" applyBorder="1" applyAlignment="1">
      <alignment horizontal="left" vertical="center" wrapText="1"/>
    </xf>
    <xf numFmtId="0" fontId="27" fillId="7" borderId="7" xfId="9" applyFont="1" applyFill="1" applyBorder="1" applyAlignment="1">
      <alignment horizontal="left" vertical="center" wrapText="1"/>
    </xf>
    <xf numFmtId="0" fontId="44" fillId="7" borderId="7" xfId="9" applyFont="1" applyFill="1" applyBorder="1" applyAlignment="1">
      <alignment horizontal="left" vertical="center" wrapText="1"/>
    </xf>
    <xf numFmtId="0" fontId="32" fillId="0" borderId="7" xfId="9" applyFont="1" applyFill="1" applyBorder="1" applyAlignment="1">
      <alignment horizontal="left" vertical="center" wrapText="1"/>
    </xf>
    <xf numFmtId="0" fontId="26" fillId="0" borderId="7" xfId="9" applyFont="1" applyFill="1" applyBorder="1" applyAlignment="1">
      <alignment horizontal="left" vertical="center" wrapText="1"/>
    </xf>
    <xf numFmtId="0" fontId="26" fillId="5" borderId="7" xfId="9" applyFont="1" applyFill="1" applyBorder="1" applyAlignment="1">
      <alignment horizontal="left" vertical="center" wrapText="1"/>
    </xf>
    <xf numFmtId="0" fontId="55" fillId="0" borderId="7" xfId="0" applyFont="1" applyBorder="1"/>
    <xf numFmtId="0" fontId="27" fillId="8" borderId="19" xfId="0" applyFont="1" applyFill="1" applyBorder="1" applyAlignment="1">
      <alignment vertical="center"/>
    </xf>
    <xf numFmtId="0" fontId="27" fillId="0" borderId="33" xfId="0" applyFont="1" applyFill="1" applyBorder="1" applyAlignment="1">
      <alignment horizontal="center" vertical="center"/>
    </xf>
    <xf numFmtId="165" fontId="27" fillId="0" borderId="33" xfId="1" applyNumberFormat="1" applyFont="1" applyFill="1" applyBorder="1" applyAlignment="1">
      <alignment vertical="center"/>
    </xf>
    <xf numFmtId="0" fontId="27" fillId="0" borderId="8" xfId="0" applyFont="1" applyFill="1" applyBorder="1" applyAlignment="1">
      <alignment horizontal="centerContinuous" vertical="center"/>
    </xf>
    <xf numFmtId="0" fontId="27" fillId="0" borderId="6" xfId="0" applyFont="1" applyFill="1" applyBorder="1" applyAlignment="1">
      <alignment horizontal="centerContinuous" vertical="center"/>
    </xf>
    <xf numFmtId="0" fontId="27" fillId="0" borderId="9" xfId="0" applyFont="1" applyFill="1" applyBorder="1" applyAlignment="1">
      <alignment horizontal="centerContinuous" vertical="center"/>
    </xf>
    <xf numFmtId="0" fontId="27" fillId="0" borderId="8" xfId="0" applyFont="1" applyFill="1" applyBorder="1" applyAlignment="1">
      <alignment horizontal="centerContinuous" vertical="center" wrapText="1"/>
    </xf>
    <xf numFmtId="0" fontId="27" fillId="0" borderId="6" xfId="0" applyFont="1" applyFill="1" applyBorder="1" applyAlignment="1">
      <alignment horizontal="centerContinuous" vertical="center" wrapText="1"/>
    </xf>
    <xf numFmtId="0" fontId="27" fillId="0" borderId="9" xfId="0" applyFont="1" applyFill="1" applyBorder="1" applyAlignment="1">
      <alignment horizontal="centerContinuous" vertical="center" wrapText="1"/>
    </xf>
    <xf numFmtId="165" fontId="26" fillId="0" borderId="0" xfId="1" applyFont="1" applyFill="1" applyAlignment="1">
      <alignment horizontal="center"/>
    </xf>
    <xf numFmtId="165" fontId="22" fillId="0" borderId="0" xfId="1" applyFont="1" applyFill="1" applyAlignment="1">
      <alignment vertical="center"/>
    </xf>
    <xf numFmtId="165" fontId="17" fillId="3" borderId="3" xfId="0" applyNumberFormat="1" applyFont="1" applyFill="1" applyBorder="1" applyAlignment="1">
      <alignment horizontal="center"/>
    </xf>
    <xf numFmtId="43" fontId="20" fillId="0" borderId="0" xfId="0" applyNumberFormat="1" applyFont="1"/>
    <xf numFmtId="166" fontId="27" fillId="0" borderId="5" xfId="8" applyNumberFormat="1" applyFont="1" applyFill="1" applyBorder="1"/>
    <xf numFmtId="166" fontId="27" fillId="0" borderId="0" xfId="8" applyNumberFormat="1" applyFont="1" applyFill="1" applyBorder="1"/>
    <xf numFmtId="166" fontId="27" fillId="0" borderId="7" xfId="8" applyNumberFormat="1" applyFont="1" applyFill="1" applyBorder="1"/>
    <xf numFmtId="0" fontId="40" fillId="15" borderId="12" xfId="0" applyFont="1" applyFill="1" applyBorder="1" applyAlignment="1">
      <alignment horizontal="right" vertical="center"/>
    </xf>
    <xf numFmtId="0" fontId="40" fillId="9" borderId="13" xfId="0" applyFont="1" applyFill="1" applyBorder="1" applyAlignment="1">
      <alignment horizontal="right" vertical="center"/>
    </xf>
    <xf numFmtId="0" fontId="40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44" fillId="9" borderId="13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1" fillId="11" borderId="13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/>
    </xf>
    <xf numFmtId="0" fontId="74" fillId="17" borderId="12" xfId="0" applyFont="1" applyFill="1" applyBorder="1" applyAlignment="1">
      <alignment horizontal="center" vertical="center"/>
    </xf>
    <xf numFmtId="3" fontId="24" fillId="0" borderId="7" xfId="0" applyNumberFormat="1" applyFont="1" applyBorder="1" applyAlignment="1">
      <alignment vertical="center"/>
    </xf>
    <xf numFmtId="3" fontId="43" fillId="0" borderId="7" xfId="9" applyNumberFormat="1" applyFont="1" applyBorder="1" applyAlignment="1">
      <alignment vertical="center"/>
    </xf>
    <xf numFmtId="3" fontId="42" fillId="0" borderId="7" xfId="9" applyNumberFormat="1" applyFont="1" applyBorder="1" applyAlignment="1">
      <alignment vertical="center"/>
    </xf>
    <xf numFmtId="3" fontId="42" fillId="13" borderId="7" xfId="9" applyNumberFormat="1" applyFont="1" applyFill="1" applyBorder="1" applyAlignment="1">
      <alignment vertical="center"/>
    </xf>
    <xf numFmtId="165" fontId="42" fillId="0" borderId="7" xfId="1" applyFont="1" applyFill="1" applyBorder="1" applyAlignment="1">
      <alignment vertical="center"/>
    </xf>
    <xf numFmtId="3" fontId="44" fillId="0" borderId="7" xfId="9" applyNumberFormat="1" applyFont="1" applyBorder="1" applyAlignment="1">
      <alignment vertical="center"/>
    </xf>
    <xf numFmtId="3" fontId="27" fillId="8" borderId="19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0" fontId="43" fillId="0" borderId="13" xfId="9" applyFont="1" applyBorder="1" applyAlignment="1">
      <alignment horizontal="center" vertical="center"/>
    </xf>
    <xf numFmtId="3" fontId="43" fillId="0" borderId="13" xfId="9" applyNumberFormat="1" applyFont="1" applyBorder="1" applyAlignment="1">
      <alignment vertical="center"/>
    </xf>
    <xf numFmtId="0" fontId="42" fillId="0" borderId="13" xfId="9" applyFont="1" applyBorder="1" applyAlignment="1">
      <alignment horizontal="center" vertical="center"/>
    </xf>
    <xf numFmtId="3" fontId="42" fillId="0" borderId="13" xfId="9" applyNumberFormat="1" applyFont="1" applyBorder="1" applyAlignment="1">
      <alignment vertical="center"/>
    </xf>
    <xf numFmtId="3" fontId="44" fillId="0" borderId="13" xfId="9" applyNumberFormat="1" applyFont="1" applyBorder="1"/>
    <xf numFmtId="4" fontId="26" fillId="0" borderId="13" xfId="0" applyNumberFormat="1" applyFont="1" applyBorder="1"/>
    <xf numFmtId="3" fontId="26" fillId="0" borderId="13" xfId="9" applyNumberFormat="1" applyFont="1" applyBorder="1"/>
    <xf numFmtId="0" fontId="43" fillId="15" borderId="13" xfId="0" applyFont="1" applyFill="1" applyBorder="1" applyAlignment="1">
      <alignment vertical="center"/>
    </xf>
    <xf numFmtId="3" fontId="43" fillId="15" borderId="13" xfId="9" applyNumberFormat="1" applyFont="1" applyFill="1" applyBorder="1"/>
    <xf numFmtId="0" fontId="44" fillId="0" borderId="13" xfId="0" applyFont="1" applyBorder="1" applyAlignment="1">
      <alignment vertical="center"/>
    </xf>
    <xf numFmtId="3" fontId="44" fillId="0" borderId="13" xfId="0" applyNumberFormat="1" applyFont="1" applyBorder="1"/>
    <xf numFmtId="0" fontId="42" fillId="13" borderId="13" xfId="9" applyFont="1" applyFill="1" applyBorder="1" applyAlignment="1">
      <alignment horizontal="center" vertical="center"/>
    </xf>
    <xf numFmtId="3" fontId="42" fillId="13" borderId="13" xfId="9" applyNumberFormat="1" applyFont="1" applyFill="1" applyBorder="1" applyAlignment="1">
      <alignment vertical="center"/>
    </xf>
    <xf numFmtId="165" fontId="42" fillId="0" borderId="13" xfId="1" applyFont="1" applyFill="1" applyBorder="1" applyAlignment="1">
      <alignment vertical="center"/>
    </xf>
    <xf numFmtId="0" fontId="26" fillId="0" borderId="13" xfId="5" applyFont="1" applyBorder="1" applyAlignment="1">
      <alignment horizontal="left" vertical="center"/>
    </xf>
    <xf numFmtId="0" fontId="44" fillId="0" borderId="13" xfId="9" applyFont="1" applyBorder="1" applyAlignment="1">
      <alignment horizontal="center" vertical="center"/>
    </xf>
    <xf numFmtId="3" fontId="44" fillId="0" borderId="13" xfId="9" applyNumberFormat="1" applyFont="1" applyBorder="1" applyAlignment="1">
      <alignment vertical="center"/>
    </xf>
    <xf numFmtId="0" fontId="27" fillId="8" borderId="33" xfId="0" applyFont="1" applyFill="1" applyBorder="1" applyAlignment="1">
      <alignment horizontal="center" vertical="center"/>
    </xf>
    <xf numFmtId="3" fontId="27" fillId="8" borderId="33" xfId="0" applyNumberFormat="1" applyFont="1" applyFill="1" applyBorder="1" applyAlignment="1">
      <alignment vertical="center"/>
    </xf>
    <xf numFmtId="164" fontId="27" fillId="0" borderId="5" xfId="1" applyNumberFormat="1" applyFont="1" applyBorder="1" applyAlignment="1">
      <alignment horizontal="right" vertical="center"/>
    </xf>
    <xf numFmtId="164" fontId="26" fillId="0" borderId="5" xfId="1" applyNumberFormat="1" applyFont="1" applyBorder="1" applyAlignment="1">
      <alignment horizontal="right" vertical="center"/>
    </xf>
    <xf numFmtId="164" fontId="44" fillId="0" borderId="5" xfId="1" applyNumberFormat="1" applyFont="1" applyBorder="1" applyAlignment="1">
      <alignment horizontal="right" vertical="center"/>
    </xf>
    <xf numFmtId="165" fontId="69" fillId="0" borderId="7" xfId="1" applyFont="1" applyFill="1" applyBorder="1" applyAlignment="1">
      <alignment vertical="center"/>
    </xf>
    <xf numFmtId="164" fontId="43" fillId="15" borderId="5" xfId="1" applyNumberFormat="1" applyFont="1" applyFill="1" applyBorder="1" applyAlignment="1">
      <alignment horizontal="right" vertical="center"/>
    </xf>
    <xf numFmtId="164" fontId="44" fillId="0" borderId="5" xfId="1" applyNumberFormat="1" applyFont="1" applyFill="1" applyBorder="1" applyAlignment="1">
      <alignment horizontal="right" vertical="center"/>
    </xf>
    <xf numFmtId="164" fontId="26" fillId="13" borderId="5" xfId="1" applyNumberFormat="1" applyFont="1" applyFill="1" applyBorder="1" applyAlignment="1">
      <alignment horizontal="right" vertical="center"/>
    </xf>
    <xf numFmtId="3" fontId="27" fillId="8" borderId="17" xfId="0" applyNumberFormat="1" applyFont="1" applyFill="1" applyBorder="1" applyAlignment="1">
      <alignment vertical="center"/>
    </xf>
    <xf numFmtId="0" fontId="27" fillId="8" borderId="5" xfId="0" applyFont="1" applyFill="1" applyBorder="1" applyAlignment="1">
      <alignment horizontal="right"/>
    </xf>
    <xf numFmtId="0" fontId="27" fillId="8" borderId="7" xfId="0" applyFont="1" applyFill="1" applyBorder="1" applyAlignment="1">
      <alignment horizontal="right"/>
    </xf>
    <xf numFmtId="0" fontId="27" fillId="8" borderId="23" xfId="0" applyFont="1" applyFill="1" applyBorder="1" applyAlignment="1">
      <alignment vertical="center"/>
    </xf>
    <xf numFmtId="0" fontId="27" fillId="8" borderId="24" xfId="0" applyFont="1" applyFill="1" applyBorder="1" applyAlignment="1">
      <alignment vertical="center"/>
    </xf>
    <xf numFmtId="0" fontId="27" fillId="8" borderId="25" xfId="0" applyFont="1" applyFill="1" applyBorder="1" applyAlignment="1">
      <alignment vertical="center"/>
    </xf>
    <xf numFmtId="0" fontId="27" fillId="8" borderId="8" xfId="0" applyFont="1" applyFill="1" applyBorder="1" applyAlignment="1">
      <alignment horizontal="centerContinuous" vertical="center"/>
    </xf>
    <xf numFmtId="0" fontId="27" fillId="8" borderId="6" xfId="0" applyFont="1" applyFill="1" applyBorder="1" applyAlignment="1">
      <alignment horizontal="centerContinuous" vertical="center"/>
    </xf>
    <xf numFmtId="0" fontId="27" fillId="8" borderId="9" xfId="0" applyFont="1" applyFill="1" applyBorder="1" applyAlignment="1">
      <alignment horizontal="centerContinuous" vertical="center"/>
    </xf>
    <xf numFmtId="165" fontId="0" fillId="5" borderId="0" xfId="0" applyNumberFormat="1" applyFill="1"/>
    <xf numFmtId="0" fontId="27" fillId="8" borderId="3" xfId="0" applyFont="1" applyFill="1" applyBorder="1" applyAlignment="1">
      <alignment horizontal="centerContinuous" vertical="center"/>
    </xf>
    <xf numFmtId="4" fontId="33" fillId="0" borderId="0" xfId="0" applyNumberFormat="1" applyFont="1" applyBorder="1"/>
    <xf numFmtId="0" fontId="49" fillId="0" borderId="7" xfId="0" applyFont="1" applyFill="1" applyBorder="1" applyAlignment="1">
      <alignment horizontal="center" vertical="center"/>
    </xf>
    <xf numFmtId="3" fontId="37" fillId="0" borderId="10" xfId="0" applyNumberFormat="1" applyFont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4" fontId="51" fillId="3" borderId="5" xfId="0" applyNumberFormat="1" applyFont="1" applyFill="1" applyBorder="1" applyAlignment="1">
      <alignment vertical="center"/>
    </xf>
    <xf numFmtId="4" fontId="48" fillId="3" borderId="5" xfId="0" applyNumberFormat="1" applyFont="1" applyFill="1" applyBorder="1" applyAlignment="1">
      <alignment vertical="center"/>
    </xf>
    <xf numFmtId="4" fontId="39" fillId="3" borderId="5" xfId="0" applyNumberFormat="1" applyFont="1" applyFill="1" applyBorder="1" applyAlignment="1">
      <alignment vertical="center"/>
    </xf>
    <xf numFmtId="166" fontId="39" fillId="3" borderId="5" xfId="8" applyNumberFormat="1" applyFont="1" applyFill="1" applyBorder="1" applyAlignment="1">
      <alignment vertical="center"/>
    </xf>
    <xf numFmtId="166" fontId="39" fillId="15" borderId="5" xfId="8" applyNumberFormat="1" applyFont="1" applyFill="1" applyBorder="1" applyAlignment="1">
      <alignment vertical="center"/>
    </xf>
    <xf numFmtId="43" fontId="26" fillId="13" borderId="7" xfId="0" applyNumberFormat="1" applyFont="1" applyFill="1" applyBorder="1" applyAlignment="1">
      <alignment vertical="center" wrapText="1"/>
    </xf>
    <xf numFmtId="166" fontId="39" fillId="13" borderId="5" xfId="8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76" fillId="17" borderId="3" xfId="0" applyNumberFormat="1" applyFont="1" applyFill="1" applyBorder="1"/>
    <xf numFmtId="4" fontId="26" fillId="0" borderId="0" xfId="0" applyNumberFormat="1" applyFont="1" applyBorder="1"/>
    <xf numFmtId="0" fontId="34" fillId="8" borderId="11" xfId="0" applyFont="1" applyFill="1" applyBorder="1" applyAlignment="1">
      <alignment horizontal="centerContinuous" vertical="center"/>
    </xf>
    <xf numFmtId="0" fontId="34" fillId="8" borderId="3" xfId="0" applyFont="1" applyFill="1" applyBorder="1" applyAlignment="1">
      <alignment horizontal="centerContinuous" vertical="center"/>
    </xf>
    <xf numFmtId="0" fontId="34" fillId="8" borderId="4" xfId="0" applyFont="1" applyFill="1" applyBorder="1" applyAlignment="1">
      <alignment horizontal="centerContinuous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165" fontId="0" fillId="0" borderId="0" xfId="1" applyFont="1"/>
    <xf numFmtId="165" fontId="0" fillId="0" borderId="0" xfId="0" applyNumberFormat="1"/>
    <xf numFmtId="0" fontId="7" fillId="7" borderId="13" xfId="35" applyFill="1" applyBorder="1"/>
    <xf numFmtId="165" fontId="0" fillId="0" borderId="13" xfId="0" applyNumberFormat="1" applyBorder="1"/>
    <xf numFmtId="0" fontId="7" fillId="22" borderId="13" xfId="35" applyFill="1" applyBorder="1"/>
    <xf numFmtId="0" fontId="7" fillId="7" borderId="14" xfId="35" applyFill="1" applyBorder="1"/>
    <xf numFmtId="165" fontId="0" fillId="0" borderId="14" xfId="1" applyFont="1" applyBorder="1"/>
    <xf numFmtId="165" fontId="0" fillId="0" borderId="14" xfId="0" applyNumberFormat="1" applyBorder="1"/>
    <xf numFmtId="0" fontId="5" fillId="0" borderId="0" xfId="35" applyFont="1"/>
    <xf numFmtId="0" fontId="26" fillId="0" borderId="0" xfId="0" applyFont="1" applyFill="1" applyBorder="1"/>
    <xf numFmtId="43" fontId="26" fillId="13" borderId="5" xfId="0" applyNumberFormat="1" applyFont="1" applyFill="1" applyBorder="1" applyAlignment="1">
      <alignment vertical="center" wrapText="1"/>
    </xf>
    <xf numFmtId="43" fontId="32" fillId="13" borderId="7" xfId="0" applyNumberFormat="1" applyFont="1" applyFill="1" applyBorder="1" applyAlignment="1">
      <alignment vertical="center"/>
    </xf>
    <xf numFmtId="43" fontId="32" fillId="0" borderId="5" xfId="0" applyNumberFormat="1" applyFont="1" applyBorder="1" applyAlignment="1">
      <alignment vertical="center"/>
    </xf>
    <xf numFmtId="165" fontId="64" fillId="0" borderId="0" xfId="1" applyFont="1" applyBorder="1" applyAlignment="1">
      <alignment vertical="center"/>
    </xf>
    <xf numFmtId="0" fontId="43" fillId="15" borderId="7" xfId="0" applyFont="1" applyFill="1" applyBorder="1" applyAlignment="1">
      <alignment vertical="center"/>
    </xf>
    <xf numFmtId="171" fontId="43" fillId="15" borderId="0" xfId="1" applyNumberFormat="1" applyFont="1" applyFill="1" applyBorder="1" applyAlignment="1">
      <alignment horizontal="right" vertical="center"/>
    </xf>
    <xf numFmtId="165" fontId="43" fillId="15" borderId="0" xfId="1" applyFont="1" applyFill="1" applyBorder="1" applyAlignment="1">
      <alignment horizontal="right" vertical="center"/>
    </xf>
    <xf numFmtId="165" fontId="44" fillId="0" borderId="0" xfId="1" applyFont="1" applyBorder="1" applyAlignment="1">
      <alignment horizontal="right" vertical="center"/>
    </xf>
    <xf numFmtId="171" fontId="44" fillId="0" borderId="0" xfId="1" applyNumberFormat="1" applyFont="1" applyFill="1" applyBorder="1" applyAlignment="1">
      <alignment horizontal="right" vertical="center"/>
    </xf>
    <xf numFmtId="165" fontId="44" fillId="0" borderId="0" xfId="1" applyFont="1" applyFill="1" applyBorder="1" applyAlignment="1">
      <alignment horizontal="right" vertical="center"/>
    </xf>
    <xf numFmtId="166" fontId="39" fillId="3" borderId="0" xfId="8" applyNumberFormat="1" applyFont="1" applyFill="1" applyBorder="1" applyAlignment="1">
      <alignment vertical="center"/>
    </xf>
    <xf numFmtId="166" fontId="39" fillId="3" borderId="7" xfId="8" applyNumberFormat="1" applyFont="1" applyFill="1" applyBorder="1" applyAlignment="1">
      <alignment vertical="center"/>
    </xf>
    <xf numFmtId="166" fontId="39" fillId="15" borderId="0" xfId="8" applyNumberFormat="1" applyFont="1" applyFill="1" applyBorder="1" applyAlignment="1">
      <alignment vertical="center"/>
    </xf>
    <xf numFmtId="166" fontId="39" fillId="15" borderId="7" xfId="8" applyNumberFormat="1" applyFont="1" applyFill="1" applyBorder="1" applyAlignment="1">
      <alignment vertical="center"/>
    </xf>
    <xf numFmtId="166" fontId="39" fillId="13" borderId="0" xfId="8" applyNumberFormat="1" applyFont="1" applyFill="1" applyBorder="1" applyAlignment="1">
      <alignment vertical="center"/>
    </xf>
    <xf numFmtId="166" fontId="39" fillId="13" borderId="7" xfId="8" applyNumberFormat="1" applyFont="1" applyFill="1" applyBorder="1" applyAlignment="1">
      <alignment vertical="center"/>
    </xf>
    <xf numFmtId="166" fontId="73" fillId="0" borderId="0" xfId="33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/>
    </xf>
    <xf numFmtId="0" fontId="44" fillId="0" borderId="0" xfId="25" applyFont="1" applyFill="1" applyBorder="1" applyAlignment="1">
      <alignment horizontal="right"/>
    </xf>
    <xf numFmtId="165" fontId="26" fillId="0" borderId="0" xfId="1" applyFont="1" applyFill="1" applyBorder="1"/>
    <xf numFmtId="0" fontId="27" fillId="8" borderId="26" xfId="0" applyFont="1" applyFill="1" applyBorder="1" applyAlignment="1">
      <alignment horizontal="center" vertical="center"/>
    </xf>
    <xf numFmtId="0" fontId="27" fillId="8" borderId="27" xfId="0" applyFont="1" applyFill="1" applyBorder="1" applyAlignment="1">
      <alignment horizontal="center" vertical="center"/>
    </xf>
    <xf numFmtId="0" fontId="27" fillId="8" borderId="28" xfId="0" applyFont="1" applyFill="1" applyBorder="1" applyAlignment="1">
      <alignment horizontal="center" vertical="center"/>
    </xf>
    <xf numFmtId="165" fontId="27" fillId="0" borderId="7" xfId="1" applyFont="1" applyBorder="1"/>
    <xf numFmtId="0" fontId="34" fillId="8" borderId="8" xfId="0" applyFont="1" applyFill="1" applyBorder="1" applyAlignment="1">
      <alignment horizontal="center"/>
    </xf>
    <xf numFmtId="3" fontId="26" fillId="0" borderId="0" xfId="0" applyNumberFormat="1" applyFont="1" applyBorder="1"/>
    <xf numFmtId="165" fontId="26" fillId="0" borderId="5" xfId="1" applyFont="1" applyBorder="1"/>
    <xf numFmtId="3" fontId="27" fillId="0" borderId="0" xfId="0" applyNumberFormat="1" applyFont="1" applyBorder="1"/>
    <xf numFmtId="165" fontId="26" fillId="0" borderId="0" xfId="1" applyFont="1" applyBorder="1"/>
    <xf numFmtId="165" fontId="26" fillId="0" borderId="7" xfId="1" applyFont="1" applyBorder="1"/>
    <xf numFmtId="0" fontId="27" fillId="0" borderId="34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3" fontId="26" fillId="0" borderId="0" xfId="0" applyNumberFormat="1" applyFont="1" applyBorder="1" applyAlignment="1">
      <alignment vertical="center"/>
    </xf>
    <xf numFmtId="3" fontId="26" fillId="11" borderId="0" xfId="0" applyNumberFormat="1" applyFont="1" applyFill="1" applyBorder="1" applyAlignment="1">
      <alignment vertical="center"/>
    </xf>
    <xf numFmtId="3" fontId="27" fillId="11" borderId="0" xfId="0" applyNumberFormat="1" applyFont="1" applyFill="1" applyBorder="1"/>
    <xf numFmtId="0" fontId="20" fillId="0" borderId="0" xfId="0" applyFont="1" applyBorder="1"/>
    <xf numFmtId="4" fontId="26" fillId="11" borderId="0" xfId="0" applyNumberFormat="1" applyFont="1" applyFill="1" applyBorder="1"/>
    <xf numFmtId="3" fontId="26" fillId="15" borderId="0" xfId="0" applyNumberFormat="1" applyFont="1" applyFill="1" applyBorder="1"/>
    <xf numFmtId="43" fontId="26" fillId="0" borderId="5" xfId="0" applyNumberFormat="1" applyFont="1" applyBorder="1" applyAlignment="1">
      <alignment vertical="center" wrapText="1"/>
    </xf>
    <xf numFmtId="0" fontId="26" fillId="0" borderId="3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67" fillId="0" borderId="3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49" fillId="0" borderId="30" xfId="0" applyFont="1" applyFill="1" applyBorder="1" applyAlignment="1">
      <alignment horizontal="center" vertical="center"/>
    </xf>
    <xf numFmtId="0" fontId="49" fillId="0" borderId="36" xfId="0" applyFont="1" applyFill="1" applyBorder="1" applyAlignment="1">
      <alignment horizontal="center" vertical="center"/>
    </xf>
    <xf numFmtId="3" fontId="26" fillId="23" borderId="12" xfId="0" applyNumberFormat="1" applyFont="1" applyFill="1" applyBorder="1" applyAlignment="1">
      <alignment horizontal="center"/>
    </xf>
    <xf numFmtId="165" fontId="26" fillId="23" borderId="12" xfId="1" applyFont="1" applyFill="1" applyBorder="1" applyAlignment="1">
      <alignment horizontal="center"/>
    </xf>
    <xf numFmtId="165" fontId="48" fillId="0" borderId="0" xfId="1" applyFont="1" applyFill="1" applyBorder="1" applyAlignment="1">
      <alignment vertical="center"/>
    </xf>
    <xf numFmtId="0" fontId="22" fillId="0" borderId="0" xfId="0" applyFont="1" applyFill="1" applyBorder="1"/>
    <xf numFmtId="0" fontId="83" fillId="21" borderId="0" xfId="35" applyFont="1" applyFill="1"/>
    <xf numFmtId="0" fontId="27" fillId="8" borderId="37" xfId="0" applyFont="1" applyFill="1" applyBorder="1" applyAlignment="1">
      <alignment horizontal="centerContinuous" vertical="center"/>
    </xf>
    <xf numFmtId="170" fontId="26" fillId="0" borderId="5" xfId="1" applyNumberFormat="1" applyFont="1" applyFill="1" applyBorder="1"/>
    <xf numFmtId="170" fontId="26" fillId="0" borderId="0" xfId="1" applyNumberFormat="1" applyFont="1" applyFill="1" applyBorder="1"/>
    <xf numFmtId="170" fontId="26" fillId="0" borderId="0" xfId="0" applyNumberFormat="1" applyFont="1" applyFill="1" applyBorder="1"/>
    <xf numFmtId="4" fontId="26" fillId="0" borderId="7" xfId="0" applyNumberFormat="1" applyFont="1" applyFill="1" applyBorder="1"/>
    <xf numFmtId="4" fontId="33" fillId="0" borderId="5" xfId="0" applyNumberFormat="1" applyFont="1" applyFill="1" applyBorder="1"/>
    <xf numFmtId="3" fontId="22" fillId="0" borderId="0" xfId="0" applyNumberFormat="1" applyFont="1" applyFill="1" applyBorder="1"/>
    <xf numFmtId="0" fontId="30" fillId="0" borderId="0" xfId="0" applyFont="1" applyFill="1" applyBorder="1"/>
    <xf numFmtId="43" fontId="26" fillId="0" borderId="0" xfId="1" applyNumberFormat="1" applyFont="1" applyFill="1" applyBorder="1" applyAlignment="1">
      <alignment vertical="center"/>
    </xf>
    <xf numFmtId="165" fontId="30" fillId="0" borderId="0" xfId="1" applyFont="1" applyFill="1" applyBorder="1"/>
    <xf numFmtId="0" fontId="21" fillId="0" borderId="0" xfId="0" applyFont="1" applyFill="1" applyBorder="1"/>
    <xf numFmtId="0" fontId="29" fillId="0" borderId="0" xfId="0" applyFont="1" applyFill="1" applyBorder="1"/>
    <xf numFmtId="0" fontId="26" fillId="0" borderId="0" xfId="0" applyFont="1" applyBorder="1"/>
    <xf numFmtId="0" fontId="40" fillId="20" borderId="13" xfId="0" applyFont="1" applyFill="1" applyBorder="1" applyAlignment="1">
      <alignment horizontal="center" vertical="center"/>
    </xf>
    <xf numFmtId="3" fontId="33" fillId="0" borderId="0" xfId="0" applyNumberFormat="1" applyFont="1" applyBorder="1"/>
    <xf numFmtId="4" fontId="27" fillId="11" borderId="0" xfId="0" applyNumberFormat="1" applyFont="1" applyFill="1" applyBorder="1"/>
    <xf numFmtId="4" fontId="33" fillId="0" borderId="0" xfId="0" applyNumberFormat="1" applyFont="1" applyFill="1" applyBorder="1"/>
    <xf numFmtId="164" fontId="26" fillId="0" borderId="1" xfId="1" applyNumberFormat="1" applyFont="1" applyBorder="1"/>
    <xf numFmtId="164" fontId="26" fillId="0" borderId="2" xfId="1" applyNumberFormat="1" applyFont="1" applyBorder="1"/>
    <xf numFmtId="3" fontId="26" fillId="0" borderId="2" xfId="0" applyNumberFormat="1" applyFont="1" applyBorder="1"/>
    <xf numFmtId="3" fontId="26" fillId="0" borderId="10" xfId="0" applyNumberFormat="1" applyFont="1" applyBorder="1"/>
    <xf numFmtId="168" fontId="26" fillId="7" borderId="8" xfId="1" applyNumberFormat="1" applyFont="1" applyFill="1" applyBorder="1" applyAlignment="1">
      <alignment vertical="center"/>
    </xf>
    <xf numFmtId="168" fontId="26" fillId="7" borderId="6" xfId="1" applyNumberFormat="1" applyFont="1" applyFill="1" applyBorder="1" applyAlignment="1">
      <alignment vertical="center"/>
    </xf>
    <xf numFmtId="3" fontId="27" fillId="7" borderId="9" xfId="0" applyNumberFormat="1" applyFont="1" applyFill="1" applyBorder="1"/>
    <xf numFmtId="3" fontId="26" fillId="0" borderId="1" xfId="0" applyNumberFormat="1" applyFont="1" applyBorder="1"/>
    <xf numFmtId="4" fontId="27" fillId="0" borderId="10" xfId="0" applyNumberFormat="1" applyFont="1" applyBorder="1"/>
    <xf numFmtId="4" fontId="26" fillId="7" borderId="8" xfId="0" applyNumberFormat="1" applyFont="1" applyFill="1" applyBorder="1" applyAlignment="1">
      <alignment vertical="center"/>
    </xf>
    <xf numFmtId="4" fontId="26" fillId="7" borderId="6" xfId="0" applyNumberFormat="1" applyFont="1" applyFill="1" applyBorder="1" applyAlignment="1">
      <alignment vertical="center"/>
    </xf>
    <xf numFmtId="4" fontId="26" fillId="7" borderId="9" xfId="0" applyNumberFormat="1" applyFont="1" applyFill="1" applyBorder="1" applyAlignment="1">
      <alignment vertical="center"/>
    </xf>
    <xf numFmtId="2" fontId="27" fillId="0" borderId="1" xfId="0" applyNumberFormat="1" applyFont="1" applyBorder="1"/>
    <xf numFmtId="2" fontId="27" fillId="0" borderId="2" xfId="0" applyNumberFormat="1" applyFont="1" applyBorder="1"/>
    <xf numFmtId="2" fontId="27" fillId="0" borderId="10" xfId="0" applyNumberFormat="1" applyFont="1" applyBorder="1"/>
    <xf numFmtId="0" fontId="34" fillId="8" borderId="5" xfId="0" applyFont="1" applyFill="1" applyBorder="1" applyAlignment="1">
      <alignment horizontal="center"/>
    </xf>
    <xf numFmtId="0" fontId="34" fillId="8" borderId="0" xfId="0" applyFont="1" applyFill="1" applyBorder="1" applyAlignment="1">
      <alignment horizontal="center"/>
    </xf>
    <xf numFmtId="0" fontId="27" fillId="8" borderId="38" xfId="0" applyFont="1" applyFill="1" applyBorder="1" applyAlignment="1">
      <alignment horizontal="right"/>
    </xf>
    <xf numFmtId="3" fontId="26" fillId="15" borderId="1" xfId="0" applyNumberFormat="1" applyFont="1" applyFill="1" applyBorder="1"/>
    <xf numFmtId="164" fontId="26" fillId="15" borderId="5" xfId="1" applyNumberFormat="1" applyFont="1" applyFill="1" applyBorder="1"/>
    <xf numFmtId="164" fontId="26" fillId="15" borderId="0" xfId="1" applyNumberFormat="1" applyFont="1" applyFill="1" applyBorder="1"/>
    <xf numFmtId="3" fontId="26" fillId="15" borderId="23" xfId="0" applyNumberFormat="1" applyFont="1" applyFill="1" applyBorder="1"/>
    <xf numFmtId="3" fontId="26" fillId="15" borderId="24" xfId="0" applyNumberFormat="1" applyFont="1" applyFill="1" applyBorder="1"/>
    <xf numFmtId="4" fontId="27" fillId="15" borderId="25" xfId="0" applyNumberFormat="1" applyFont="1" applyFill="1" applyBorder="1"/>
    <xf numFmtId="3" fontId="27" fillId="15" borderId="0" xfId="0" applyNumberFormat="1" applyFont="1" applyFill="1" applyBorder="1"/>
    <xf numFmtId="2" fontId="27" fillId="15" borderId="5" xfId="8" applyNumberFormat="1" applyFont="1" applyFill="1" applyBorder="1"/>
    <xf numFmtId="2" fontId="27" fillId="15" borderId="0" xfId="8" applyNumberFormat="1" applyFont="1" applyFill="1" applyBorder="1"/>
    <xf numFmtId="2" fontId="27" fillId="15" borderId="7" xfId="8" applyNumberFormat="1" applyFont="1" applyFill="1" applyBorder="1"/>
    <xf numFmtId="3" fontId="27" fillId="0" borderId="2" xfId="0" applyNumberFormat="1" applyFont="1" applyBorder="1"/>
    <xf numFmtId="3" fontId="33" fillId="0" borderId="2" xfId="0" applyNumberFormat="1" applyFont="1" applyBorder="1"/>
    <xf numFmtId="3" fontId="33" fillId="0" borderId="10" xfId="0" applyNumberFormat="1" applyFont="1" applyBorder="1"/>
    <xf numFmtId="3" fontId="33" fillId="0" borderId="1" xfId="0" applyNumberFormat="1" applyFont="1" applyBorder="1"/>
    <xf numFmtId="0" fontId="26" fillId="0" borderId="10" xfId="0" applyFont="1" applyBorder="1"/>
    <xf numFmtId="0" fontId="20" fillId="0" borderId="7" xfId="0" applyFont="1" applyBorder="1"/>
    <xf numFmtId="3" fontId="27" fillId="5" borderId="0" xfId="0" applyNumberFormat="1" applyFont="1" applyFill="1" applyBorder="1"/>
    <xf numFmtId="3" fontId="26" fillId="5" borderId="0" xfId="0" applyNumberFormat="1" applyFont="1" applyFill="1" applyBorder="1"/>
    <xf numFmtId="3" fontId="27" fillId="7" borderId="6" xfId="0" applyNumberFormat="1" applyFont="1" applyFill="1" applyBorder="1"/>
    <xf numFmtId="3" fontId="26" fillId="7" borderId="6" xfId="0" applyNumberFormat="1" applyFont="1" applyFill="1" applyBorder="1"/>
    <xf numFmtId="0" fontId="26" fillId="7" borderId="12" xfId="0" applyFont="1" applyFill="1" applyBorder="1" applyAlignment="1">
      <alignment horizontal="center"/>
    </xf>
    <xf numFmtId="0" fontId="27" fillId="7" borderId="3" xfId="0" applyFont="1" applyFill="1" applyBorder="1"/>
    <xf numFmtId="0" fontId="26" fillId="7" borderId="3" xfId="0" applyFont="1" applyFill="1" applyBorder="1"/>
    <xf numFmtId="0" fontId="26" fillId="7" borderId="3" xfId="0" applyFont="1" applyFill="1" applyBorder="1" applyAlignment="1">
      <alignment horizontal="right" vertical="top"/>
    </xf>
    <xf numFmtId="3" fontId="26" fillId="7" borderId="3" xfId="0" applyNumberFormat="1" applyFont="1" applyFill="1" applyBorder="1"/>
    <xf numFmtId="168" fontId="26" fillId="7" borderId="11" xfId="1" applyNumberFormat="1" applyFont="1" applyFill="1" applyBorder="1" applyAlignment="1">
      <alignment vertical="center"/>
    </xf>
    <xf numFmtId="168" fontId="26" fillId="7" borderId="3" xfId="1" applyNumberFormat="1" applyFont="1" applyFill="1" applyBorder="1" applyAlignment="1">
      <alignment vertical="center"/>
    </xf>
    <xf numFmtId="3" fontId="27" fillId="7" borderId="3" xfId="0" applyNumberFormat="1" applyFont="1" applyFill="1" applyBorder="1"/>
    <xf numFmtId="4" fontId="26" fillId="7" borderId="11" xfId="1" applyNumberFormat="1" applyFont="1" applyFill="1" applyBorder="1"/>
    <xf numFmtId="4" fontId="26" fillId="7" borderId="3" xfId="1" applyNumberFormat="1" applyFont="1" applyFill="1" applyBorder="1"/>
    <xf numFmtId="3" fontId="27" fillId="7" borderId="11" xfId="0" applyNumberFormat="1" applyFont="1" applyFill="1" applyBorder="1"/>
    <xf numFmtId="3" fontId="27" fillId="7" borderId="4" xfId="0" applyNumberFormat="1" applyFont="1" applyFill="1" applyBorder="1"/>
    <xf numFmtId="165" fontId="26" fillId="7" borderId="11" xfId="1" applyFont="1" applyFill="1" applyBorder="1"/>
    <xf numFmtId="165" fontId="26" fillId="7" borderId="3" xfId="1" applyFont="1" applyFill="1" applyBorder="1"/>
    <xf numFmtId="165" fontId="26" fillId="7" borderId="4" xfId="1" applyFont="1" applyFill="1" applyBorder="1"/>
    <xf numFmtId="4" fontId="33" fillId="0" borderId="7" xfId="0" applyNumberFormat="1" applyFont="1" applyFill="1" applyBorder="1"/>
    <xf numFmtId="4" fontId="26" fillId="11" borderId="8" xfId="0" applyNumberFormat="1" applyFont="1" applyFill="1" applyBorder="1"/>
    <xf numFmtId="4" fontId="26" fillId="11" borderId="6" xfId="0" applyNumberFormat="1" applyFont="1" applyFill="1" applyBorder="1"/>
    <xf numFmtId="4" fontId="26" fillId="11" borderId="9" xfId="0" applyNumberFormat="1" applyFont="1" applyFill="1" applyBorder="1"/>
    <xf numFmtId="4" fontId="27" fillId="11" borderId="9" xfId="0" applyNumberFormat="1" applyFont="1" applyFill="1" applyBorder="1"/>
    <xf numFmtId="3" fontId="26" fillId="24" borderId="0" xfId="0" applyNumberFormat="1" applyFont="1" applyFill="1"/>
    <xf numFmtId="3" fontId="26" fillId="24" borderId="5" xfId="0" applyNumberFormat="1" applyFont="1" applyFill="1" applyBorder="1"/>
    <xf numFmtId="3" fontId="26" fillId="24" borderId="0" xfId="0" applyNumberFormat="1" applyFont="1" applyFill="1" applyBorder="1" applyAlignment="1">
      <alignment vertical="center"/>
    </xf>
    <xf numFmtId="3" fontId="26" fillId="24" borderId="1" xfId="0" applyNumberFormat="1" applyFont="1" applyFill="1" applyBorder="1"/>
    <xf numFmtId="3" fontId="26" fillId="24" borderId="2" xfId="0" applyNumberFormat="1" applyFont="1" applyFill="1" applyBorder="1"/>
    <xf numFmtId="3" fontId="27" fillId="24" borderId="10" xfId="0" applyNumberFormat="1" applyFont="1" applyFill="1" applyBorder="1"/>
    <xf numFmtId="3" fontId="27" fillId="24" borderId="0" xfId="0" applyNumberFormat="1" applyFont="1" applyFill="1"/>
    <xf numFmtId="4" fontId="27" fillId="24" borderId="5" xfId="0" applyNumberFormat="1" applyFont="1" applyFill="1" applyBorder="1"/>
    <xf numFmtId="4" fontId="33" fillId="24" borderId="0" xfId="0" applyNumberFormat="1" applyFont="1" applyFill="1"/>
    <xf numFmtId="4" fontId="33" fillId="24" borderId="7" xfId="0" applyNumberFormat="1" applyFont="1" applyFill="1" applyBorder="1"/>
    <xf numFmtId="3" fontId="33" fillId="24" borderId="0" xfId="0" applyNumberFormat="1" applyFont="1" applyFill="1"/>
    <xf numFmtId="3" fontId="33" fillId="24" borderId="5" xfId="0" applyNumberFormat="1" applyFont="1" applyFill="1" applyBorder="1"/>
    <xf numFmtId="3" fontId="33" fillId="24" borderId="0" xfId="0" applyNumberFormat="1" applyFont="1" applyFill="1" applyBorder="1"/>
    <xf numFmtId="3" fontId="33" fillId="24" borderId="1" xfId="0" applyNumberFormat="1" applyFont="1" applyFill="1" applyBorder="1"/>
    <xf numFmtId="3" fontId="33" fillId="24" borderId="2" xfId="0" applyNumberFormat="1" applyFont="1" applyFill="1" applyBorder="1"/>
    <xf numFmtId="3" fontId="33" fillId="24" borderId="10" xfId="0" applyNumberFormat="1" applyFont="1" applyFill="1" applyBorder="1"/>
    <xf numFmtId="0" fontId="26" fillId="24" borderId="30" xfId="0" applyFont="1" applyFill="1" applyBorder="1" applyAlignment="1">
      <alignment horizontal="center" vertical="center"/>
    </xf>
    <xf numFmtId="0" fontId="7" fillId="5" borderId="13" xfId="35" applyFill="1" applyBorder="1"/>
    <xf numFmtId="0" fontId="5" fillId="5" borderId="13" xfId="35" applyFont="1" applyFill="1" applyBorder="1"/>
    <xf numFmtId="0" fontId="7" fillId="5" borderId="14" xfId="35" applyFill="1" applyBorder="1"/>
    <xf numFmtId="0" fontId="85" fillId="22" borderId="39" xfId="35" applyFont="1" applyFill="1" applyBorder="1"/>
    <xf numFmtId="0" fontId="85" fillId="22" borderId="39" xfId="35" applyFont="1" applyFill="1" applyBorder="1" applyAlignment="1">
      <alignment horizontal="center" vertical="center"/>
    </xf>
    <xf numFmtId="0" fontId="85" fillId="22" borderId="40" xfId="35" applyFont="1" applyFill="1" applyBorder="1" applyAlignment="1">
      <alignment horizontal="center" vertical="center"/>
    </xf>
    <xf numFmtId="0" fontId="85" fillId="5" borderId="12" xfId="35" applyFont="1" applyFill="1" applyBorder="1"/>
    <xf numFmtId="0" fontId="85" fillId="7" borderId="12" xfId="35" applyFont="1" applyFill="1" applyBorder="1"/>
    <xf numFmtId="165" fontId="86" fillId="0" borderId="12" xfId="1" applyFont="1" applyBorder="1"/>
    <xf numFmtId="165" fontId="86" fillId="0" borderId="41" xfId="0" applyNumberFormat="1" applyFont="1" applyBorder="1"/>
    <xf numFmtId="0" fontId="85" fillId="5" borderId="12" xfId="35" applyFont="1" applyFill="1" applyBorder="1" applyAlignment="1">
      <alignment horizontal="right"/>
    </xf>
    <xf numFmtId="0" fontId="85" fillId="22" borderId="12" xfId="35" applyFont="1" applyFill="1" applyBorder="1"/>
    <xf numFmtId="0" fontId="85" fillId="5" borderId="12" xfId="35" applyFont="1" applyFill="1" applyBorder="1" applyAlignment="1">
      <alignment vertical="center" wrapText="1"/>
    </xf>
    <xf numFmtId="0" fontId="85" fillId="5" borderId="39" xfId="35" applyFont="1" applyFill="1" applyBorder="1" applyAlignment="1">
      <alignment vertical="center" wrapText="1"/>
    </xf>
    <xf numFmtId="165" fontId="86" fillId="0" borderId="41" xfId="1" applyNumberFormat="1" applyFont="1" applyBorder="1"/>
    <xf numFmtId="165" fontId="85" fillId="22" borderId="41" xfId="35" applyNumberFormat="1" applyFont="1" applyFill="1" applyBorder="1"/>
    <xf numFmtId="43" fontId="0" fillId="0" borderId="0" xfId="0" applyNumberFormat="1"/>
    <xf numFmtId="0" fontId="18" fillId="3" borderId="12" xfId="0" applyFont="1" applyFill="1" applyBorder="1"/>
    <xf numFmtId="165" fontId="18" fillId="3" borderId="12" xfId="1" applyFont="1" applyFill="1" applyBorder="1" applyAlignment="1">
      <alignment horizontal="center"/>
    </xf>
    <xf numFmtId="165" fontId="26" fillId="0" borderId="0" xfId="0" applyNumberFormat="1" applyFont="1" applyFill="1"/>
    <xf numFmtId="43" fontId="26" fillId="0" borderId="0" xfId="0" applyNumberFormat="1" applyFont="1" applyFill="1" applyBorder="1" applyAlignment="1">
      <alignment horizontal="center" vertical="center"/>
    </xf>
    <xf numFmtId="174" fontId="26" fillId="0" borderId="11" xfId="1" applyNumberFormat="1" applyFont="1" applyBorder="1" applyAlignment="1">
      <alignment vertical="center"/>
    </xf>
    <xf numFmtId="175" fontId="33" fillId="24" borderId="0" xfId="0" applyNumberFormat="1" applyFont="1" applyFill="1"/>
    <xf numFmtId="174" fontId="65" fillId="0" borderId="0" xfId="1" applyNumberFormat="1" applyFont="1" applyFill="1" applyAlignment="1">
      <alignment vertical="center"/>
    </xf>
    <xf numFmtId="175" fontId="26" fillId="7" borderId="4" xfId="1" applyNumberFormat="1" applyFont="1" applyFill="1" applyBorder="1"/>
    <xf numFmtId="174" fontId="86" fillId="0" borderId="12" xfId="1" applyNumberFormat="1" applyFont="1" applyBorder="1"/>
    <xf numFmtId="174" fontId="85" fillId="22" borderId="12" xfId="35" applyNumberFormat="1" applyFont="1" applyFill="1" applyBorder="1"/>
    <xf numFmtId="174" fontId="26" fillId="0" borderId="12" xfId="1" applyNumberFormat="1" applyFont="1" applyFill="1" applyBorder="1" applyAlignment="1">
      <alignment vertical="center"/>
    </xf>
    <xf numFmtId="165" fontId="27" fillId="0" borderId="12" xfId="1" applyNumberFormat="1" applyFont="1" applyFill="1" applyBorder="1" applyAlignment="1">
      <alignment horizontal="center"/>
    </xf>
    <xf numFmtId="4" fontId="27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43" fontId="51" fillId="0" borderId="0" xfId="0" applyNumberFormat="1" applyFont="1" applyFill="1" applyAlignment="1">
      <alignment vertical="center"/>
    </xf>
    <xf numFmtId="0" fontId="51" fillId="0" borderId="0" xfId="0" applyFont="1" applyFill="1" applyAlignment="1">
      <alignment vertical="center"/>
    </xf>
    <xf numFmtId="3" fontId="51" fillId="0" borderId="0" xfId="0" applyNumberFormat="1" applyFont="1" applyFill="1" applyAlignment="1">
      <alignment vertical="center"/>
    </xf>
    <xf numFmtId="165" fontId="27" fillId="0" borderId="12" xfId="1" applyNumberFormat="1" applyFont="1" applyFill="1" applyBorder="1" applyAlignment="1">
      <alignment vertical="center"/>
    </xf>
    <xf numFmtId="175" fontId="27" fillId="0" borderId="0" xfId="0" applyNumberFormat="1" applyFont="1" applyFill="1" applyAlignment="1">
      <alignment vertical="center"/>
    </xf>
    <xf numFmtId="174" fontId="44" fillId="0" borderId="17" xfId="1" applyNumberFormat="1" applyFont="1" applyFill="1" applyBorder="1" applyAlignment="1">
      <alignment vertical="center"/>
    </xf>
    <xf numFmtId="174" fontId="44" fillId="0" borderId="18" xfId="1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7" xfId="0" applyFont="1" applyFill="1" applyBorder="1" applyAlignment="1">
      <alignment horizontal="left"/>
    </xf>
    <xf numFmtId="0" fontId="27" fillId="8" borderId="13" xfId="0" applyFont="1" applyFill="1" applyBorder="1" applyAlignment="1">
      <alignment horizontal="center" vertical="center" wrapText="1"/>
    </xf>
    <xf numFmtId="4" fontId="27" fillId="0" borderId="7" xfId="0" applyNumberFormat="1" applyFont="1" applyFill="1" applyBorder="1" applyAlignment="1">
      <alignment vertical="center"/>
    </xf>
    <xf numFmtId="164" fontId="26" fillId="0" borderId="5" xfId="0" applyNumberFormat="1" applyFont="1" applyFill="1" applyBorder="1" applyAlignment="1">
      <alignment horizontal="left" vertical="center" wrapText="1"/>
    </xf>
    <xf numFmtId="0" fontId="44" fillId="0" borderId="7" xfId="9" applyFont="1" applyFill="1" applyBorder="1" applyAlignment="1">
      <alignment horizontal="left" vertical="center" wrapText="1"/>
    </xf>
    <xf numFmtId="165" fontId="26" fillId="0" borderId="0" xfId="0" applyNumberFormat="1" applyFont="1" applyFill="1" applyAlignment="1">
      <alignment vertical="center"/>
    </xf>
    <xf numFmtId="175" fontId="26" fillId="0" borderId="13" xfId="0" applyNumberFormat="1" applyFont="1" applyBorder="1"/>
    <xf numFmtId="0" fontId="31" fillId="0" borderId="0" xfId="0" applyFont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0" borderId="13" xfId="5" applyFont="1" applyBorder="1" applyAlignment="1">
      <alignment horizontal="center" vertical="center"/>
    </xf>
    <xf numFmtId="43" fontId="22" fillId="0" borderId="0" xfId="0" applyNumberFormat="1" applyFont="1" applyFill="1" applyAlignment="1">
      <alignment vertical="center"/>
    </xf>
    <xf numFmtId="43" fontId="23" fillId="0" borderId="0" xfId="0" applyNumberFormat="1" applyFont="1" applyFill="1" applyAlignment="1">
      <alignment vertical="center"/>
    </xf>
    <xf numFmtId="43" fontId="32" fillId="0" borderId="0" xfId="0" applyNumberFormat="1" applyFont="1" applyFill="1" applyBorder="1" applyAlignment="1">
      <alignment vertical="center" wrapText="1"/>
    </xf>
    <xf numFmtId="174" fontId="39" fillId="0" borderId="0" xfId="0" applyNumberFormat="1" applyFont="1" applyFill="1" applyAlignment="1">
      <alignment vertical="center"/>
    </xf>
    <xf numFmtId="174" fontId="38" fillId="0" borderId="0" xfId="0" applyNumberFormat="1" applyFont="1" applyFill="1" applyAlignment="1">
      <alignment vertical="center"/>
    </xf>
    <xf numFmtId="43" fontId="39" fillId="0" borderId="0" xfId="0" applyNumberFormat="1" applyFont="1" applyFill="1" applyAlignment="1">
      <alignment vertical="center"/>
    </xf>
    <xf numFmtId="0" fontId="26" fillId="0" borderId="0" xfId="5" applyNumberFormat="1" applyFont="1"/>
    <xf numFmtId="175" fontId="39" fillId="0" borderId="0" xfId="0" applyNumberFormat="1" applyFont="1" applyFill="1" applyAlignment="1">
      <alignment vertical="center"/>
    </xf>
    <xf numFmtId="174" fontId="38" fillId="0" borderId="5" xfId="8" applyNumberFormat="1" applyFont="1" applyFill="1" applyBorder="1" applyAlignment="1">
      <alignment vertical="center"/>
    </xf>
    <xf numFmtId="177" fontId="38" fillId="0" borderId="0" xfId="8" applyNumberFormat="1" applyFont="1" applyFill="1" applyBorder="1" applyAlignment="1">
      <alignment vertical="center"/>
    </xf>
    <xf numFmtId="165" fontId="18" fillId="0" borderId="13" xfId="1" applyNumberFormat="1" applyFont="1" applyFill="1" applyBorder="1" applyAlignment="1">
      <alignment horizontal="center"/>
    </xf>
    <xf numFmtId="165" fontId="55" fillId="0" borderId="13" xfId="1" applyNumberFormat="1" applyFont="1" applyFill="1" applyBorder="1" applyAlignment="1">
      <alignment horizontal="right" vertical="center"/>
    </xf>
    <xf numFmtId="165" fontId="55" fillId="0" borderId="7" xfId="1" applyFont="1" applyFill="1" applyBorder="1" applyAlignment="1">
      <alignment vertical="center"/>
    </xf>
    <xf numFmtId="0" fontId="44" fillId="0" borderId="0" xfId="9" applyFont="1" applyFill="1" applyAlignment="1">
      <alignment horizontal="left" vertical="center" wrapText="1"/>
    </xf>
    <xf numFmtId="165" fontId="36" fillId="0" borderId="13" xfId="1" applyNumberFormat="1" applyFont="1" applyFill="1" applyBorder="1" applyAlignment="1">
      <alignment horizontal="right" vertical="center"/>
    </xf>
    <xf numFmtId="0" fontId="26" fillId="0" borderId="15" xfId="0" applyFont="1" applyBorder="1"/>
    <xf numFmtId="0" fontId="27" fillId="8" borderId="8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176" fontId="0" fillId="0" borderId="0" xfId="0" applyNumberFormat="1"/>
    <xf numFmtId="174" fontId="26" fillId="0" borderId="7" xfId="1" applyNumberFormat="1" applyFont="1" applyFill="1" applyBorder="1" applyAlignment="1">
      <alignment vertical="center"/>
    </xf>
    <xf numFmtId="0" fontId="26" fillId="0" borderId="7" xfId="0" applyFont="1" applyFill="1" applyBorder="1"/>
    <xf numFmtId="0" fontId="26" fillId="0" borderId="0" xfId="0" applyFont="1" applyFill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4" fontId="44" fillId="0" borderId="7" xfId="9" applyNumberFormat="1" applyFont="1" applyFill="1" applyBorder="1" applyAlignment="1">
      <alignment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27" fillId="0" borderId="7" xfId="9" applyFont="1" applyBorder="1" applyAlignment="1">
      <alignment horizontal="left" vertical="center" wrapText="1"/>
    </xf>
    <xf numFmtId="0" fontId="27" fillId="0" borderId="13" xfId="5" applyFont="1" applyFill="1" applyBorder="1" applyAlignment="1">
      <alignment horizontal="center" vertical="center"/>
    </xf>
    <xf numFmtId="166" fontId="65" fillId="0" borderId="0" xfId="8" applyNumberFormat="1" applyFont="1" applyFill="1" applyAlignment="1">
      <alignment vertical="center"/>
    </xf>
    <xf numFmtId="165" fontId="41" fillId="0" borderId="5" xfId="8" applyNumberFormat="1" applyFont="1" applyFill="1" applyBorder="1" applyAlignment="1">
      <alignment vertical="center"/>
    </xf>
    <xf numFmtId="165" fontId="41" fillId="0" borderId="0" xfId="8" applyNumberFormat="1" applyFont="1" applyFill="1" applyBorder="1" applyAlignment="1">
      <alignment vertical="center"/>
    </xf>
    <xf numFmtId="165" fontId="41" fillId="0" borderId="7" xfId="8" applyNumberFormat="1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170" fontId="26" fillId="0" borderId="5" xfId="0" applyNumberFormat="1" applyFont="1" applyFill="1" applyBorder="1" applyAlignment="1">
      <alignment horizontal="left" vertical="center" wrapText="1"/>
    </xf>
    <xf numFmtId="170" fontId="26" fillId="0" borderId="0" xfId="0" applyNumberFormat="1" applyFont="1" applyFill="1" applyBorder="1" applyAlignment="1">
      <alignment vertical="center" wrapText="1"/>
    </xf>
    <xf numFmtId="0" fontId="51" fillId="7" borderId="5" xfId="0" applyFont="1" applyFill="1" applyBorder="1" applyAlignment="1">
      <alignment vertical="center"/>
    </xf>
    <xf numFmtId="0" fontId="26" fillId="0" borderId="30" xfId="0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65" fontId="26" fillId="0" borderId="13" xfId="1" applyFont="1" applyFill="1" applyBorder="1" applyAlignment="1">
      <alignment horizontal="right" vertical="center"/>
    </xf>
    <xf numFmtId="173" fontId="26" fillId="0" borderId="7" xfId="9" applyNumberFormat="1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44" fillId="0" borderId="13" xfId="5" applyFont="1" applyBorder="1" applyAlignment="1">
      <alignment horizontal="center" vertical="center"/>
    </xf>
    <xf numFmtId="165" fontId="44" fillId="0" borderId="13" xfId="1" applyFont="1" applyFill="1" applyBorder="1" applyAlignment="1">
      <alignment horizontal="right" vertical="center"/>
    </xf>
    <xf numFmtId="173" fontId="27" fillId="0" borderId="7" xfId="9" applyNumberFormat="1" applyFont="1" applyBorder="1" applyAlignment="1">
      <alignment vertical="center"/>
    </xf>
    <xf numFmtId="2" fontId="27" fillId="0" borderId="0" xfId="0" applyNumberFormat="1" applyFont="1" applyAlignment="1">
      <alignment vertical="center" wrapText="1"/>
    </xf>
    <xf numFmtId="2" fontId="27" fillId="0" borderId="7" xfId="1" applyNumberFormat="1" applyFont="1" applyFill="1" applyBorder="1" applyAlignment="1">
      <alignment vertical="center"/>
    </xf>
    <xf numFmtId="0" fontId="27" fillId="0" borderId="30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173" fontId="26" fillId="0" borderId="0" xfId="9" applyNumberFormat="1" applyFont="1" applyAlignment="1">
      <alignment vertical="center"/>
    </xf>
    <xf numFmtId="165" fontId="26" fillId="0" borderId="13" xfId="1" applyFont="1" applyFill="1" applyBorder="1" applyAlignment="1">
      <alignment vertical="center"/>
    </xf>
    <xf numFmtId="165" fontId="32" fillId="0" borderId="0" xfId="8" applyNumberFormat="1" applyFont="1" applyFill="1" applyBorder="1" applyAlignment="1">
      <alignment vertical="center"/>
    </xf>
    <xf numFmtId="165" fontId="32" fillId="0" borderId="7" xfId="8" applyNumberFormat="1" applyFont="1" applyFill="1" applyBorder="1" applyAlignment="1">
      <alignment vertical="center"/>
    </xf>
    <xf numFmtId="0" fontId="27" fillId="0" borderId="0" xfId="9" applyFont="1" applyAlignment="1">
      <alignment horizontal="center" vertical="center"/>
    </xf>
    <xf numFmtId="173" fontId="26" fillId="0" borderId="5" xfId="1" applyNumberFormat="1" applyFont="1" applyFill="1" applyBorder="1" applyAlignment="1">
      <alignment horizontal="center" vertical="center"/>
    </xf>
    <xf numFmtId="173" fontId="26" fillId="0" borderId="0" xfId="1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26" fillId="5" borderId="13" xfId="5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vertical="center" wrapText="1"/>
    </xf>
    <xf numFmtId="2" fontId="27" fillId="0" borderId="0" xfId="0" applyNumberFormat="1" applyFont="1" applyFill="1" applyBorder="1" applyAlignment="1">
      <alignment vertical="center" wrapText="1"/>
    </xf>
    <xf numFmtId="173" fontId="26" fillId="5" borderId="5" xfId="1" applyNumberFormat="1" applyFont="1" applyFill="1" applyBorder="1" applyAlignment="1">
      <alignment horizontal="right" vertical="center"/>
    </xf>
    <xf numFmtId="43" fontId="26" fillId="5" borderId="0" xfId="0" applyNumberFormat="1" applyFont="1" applyFill="1" applyBorder="1" applyAlignment="1">
      <alignment vertical="center" wrapText="1"/>
    </xf>
    <xf numFmtId="0" fontId="26" fillId="5" borderId="5" xfId="0" applyFont="1" applyFill="1" applyBorder="1" applyAlignment="1">
      <alignment vertical="center"/>
    </xf>
    <xf numFmtId="173" fontId="42" fillId="0" borderId="7" xfId="9" applyNumberFormat="1" applyFont="1" applyBorder="1" applyAlignment="1">
      <alignment vertical="center"/>
    </xf>
    <xf numFmtId="0" fontId="44" fillId="5" borderId="5" xfId="0" applyFont="1" applyFill="1" applyBorder="1" applyAlignment="1">
      <alignment vertical="center"/>
    </xf>
    <xf numFmtId="0" fontId="44" fillId="5" borderId="0" xfId="0" applyFont="1" applyFill="1" applyAlignment="1">
      <alignment vertical="center"/>
    </xf>
    <xf numFmtId="0" fontId="44" fillId="5" borderId="0" xfId="9" applyFont="1" applyFill="1" applyAlignment="1">
      <alignment horizontal="left" vertical="center" wrapText="1"/>
    </xf>
    <xf numFmtId="0" fontId="44" fillId="5" borderId="7" xfId="9" applyFont="1" applyFill="1" applyBorder="1" applyAlignment="1">
      <alignment horizontal="left" vertical="center" wrapText="1"/>
    </xf>
    <xf numFmtId="0" fontId="43" fillId="5" borderId="13" xfId="9" applyFont="1" applyFill="1" applyBorder="1" applyAlignment="1">
      <alignment horizontal="center" vertical="center"/>
    </xf>
    <xf numFmtId="165" fontId="43" fillId="5" borderId="13" xfId="1" applyNumberFormat="1" applyFont="1" applyFill="1" applyBorder="1" applyAlignment="1">
      <alignment vertical="center"/>
    </xf>
    <xf numFmtId="43" fontId="26" fillId="5" borderId="5" xfId="0" applyNumberFormat="1" applyFont="1" applyFill="1" applyBorder="1" applyAlignment="1">
      <alignment vertical="center" wrapText="1"/>
    </xf>
    <xf numFmtId="165" fontId="44" fillId="0" borderId="5" xfId="8" applyNumberFormat="1" applyFont="1" applyFill="1" applyBorder="1" applyAlignment="1">
      <alignment vertical="center"/>
    </xf>
    <xf numFmtId="165" fontId="44" fillId="0" borderId="0" xfId="8" applyNumberFormat="1" applyFont="1" applyFill="1" applyBorder="1" applyAlignment="1">
      <alignment vertical="center"/>
    </xf>
    <xf numFmtId="165" fontId="44" fillId="0" borderId="7" xfId="8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165" fontId="0" fillId="0" borderId="12" xfId="1" applyFont="1" applyBorder="1" applyAlignment="1">
      <alignment vertical="center"/>
    </xf>
    <xf numFmtId="165" fontId="16" fillId="0" borderId="12" xfId="1" applyFont="1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2" fontId="27" fillId="5" borderId="5" xfId="0" applyNumberFormat="1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/>
    </xf>
    <xf numFmtId="0" fontId="44" fillId="5" borderId="0" xfId="9" applyFont="1" applyFill="1" applyAlignment="1">
      <alignment horizontal="left" vertical="center"/>
    </xf>
    <xf numFmtId="173" fontId="42" fillId="0" borderId="0" xfId="9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horizontal="left" vertical="center" wrapText="1"/>
    </xf>
    <xf numFmtId="0" fontId="27" fillId="0" borderId="0" xfId="5" applyFont="1"/>
    <xf numFmtId="0" fontId="26" fillId="0" borderId="0" xfId="5" applyFont="1" applyAlignment="1">
      <alignment horizontal="left"/>
    </xf>
    <xf numFmtId="170" fontId="26" fillId="0" borderId="0" xfId="0" applyNumberFormat="1" applyFont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44" fillId="0" borderId="0" xfId="9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vertical="center"/>
    </xf>
    <xf numFmtId="0" fontId="27" fillId="0" borderId="0" xfId="9" applyFont="1" applyFill="1" applyAlignment="1">
      <alignment horizontal="left" vertical="center" wrapText="1"/>
    </xf>
    <xf numFmtId="165" fontId="26" fillId="6" borderId="7" xfId="1" applyFont="1" applyFill="1" applyBorder="1" applyAlignment="1">
      <alignment vertical="center"/>
    </xf>
    <xf numFmtId="165" fontId="39" fillId="0" borderId="0" xfId="1" applyNumberFormat="1" applyFont="1" applyFill="1" applyAlignment="1">
      <alignment vertical="center"/>
    </xf>
    <xf numFmtId="165" fontId="26" fillId="23" borderId="0" xfId="1" applyFont="1" applyFill="1" applyBorder="1" applyAlignment="1">
      <alignment horizontal="center"/>
    </xf>
    <xf numFmtId="165" fontId="26" fillId="0" borderId="0" xfId="1" applyFont="1" applyFill="1" applyBorder="1" applyAlignment="1">
      <alignment horizontal="center"/>
    </xf>
    <xf numFmtId="3" fontId="26" fillId="0" borderId="0" xfId="0" applyNumberFormat="1" applyFont="1" applyFill="1" applyAlignment="1">
      <alignment horizontal="center" vertical="center"/>
    </xf>
    <xf numFmtId="4" fontId="88" fillId="6" borderId="0" xfId="0" applyNumberFormat="1" applyFont="1" applyFill="1" applyAlignment="1">
      <alignment vertical="center"/>
    </xf>
    <xf numFmtId="43" fontId="26" fillId="6" borderId="0" xfId="0" applyNumberFormat="1" applyFont="1" applyFill="1" applyAlignment="1">
      <alignment vertical="center" wrapText="1"/>
    </xf>
    <xf numFmtId="0" fontId="26" fillId="6" borderId="0" xfId="0" applyFont="1" applyFill="1" applyAlignment="1">
      <alignment horizontal="center" vertical="center"/>
    </xf>
    <xf numFmtId="43" fontId="22" fillId="6" borderId="0" xfId="0" applyNumberFormat="1" applyFont="1" applyFill="1" applyAlignment="1">
      <alignment vertical="center"/>
    </xf>
    <xf numFmtId="165" fontId="27" fillId="6" borderId="0" xfId="1" applyNumberFormat="1" applyFont="1" applyFill="1" applyAlignment="1">
      <alignment vertical="center"/>
    </xf>
    <xf numFmtId="165" fontId="26" fillId="6" borderId="12" xfId="1" applyFont="1" applyFill="1" applyBorder="1" applyAlignment="1">
      <alignment vertical="center"/>
    </xf>
    <xf numFmtId="0" fontId="27" fillId="0" borderId="5" xfId="0" applyFont="1" applyFill="1" applyBorder="1" applyAlignment="1">
      <alignment horizontal="center" vertical="center"/>
    </xf>
    <xf numFmtId="0" fontId="26" fillId="7" borderId="7" xfId="9" applyFont="1" applyFill="1" applyBorder="1" applyAlignment="1">
      <alignment horizontal="left" vertical="center" wrapText="1"/>
    </xf>
    <xf numFmtId="0" fontId="26" fillId="7" borderId="13" xfId="9" applyFont="1" applyFill="1" applyBorder="1" applyAlignment="1">
      <alignment horizontal="center" vertical="center"/>
    </xf>
    <xf numFmtId="165" fontId="42" fillId="7" borderId="13" xfId="1" applyNumberFormat="1" applyFont="1" applyFill="1" applyBorder="1" applyAlignment="1">
      <alignment vertical="center"/>
    </xf>
    <xf numFmtId="173" fontId="26" fillId="7" borderId="5" xfId="1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7" fillId="3" borderId="7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center" vertical="center"/>
    </xf>
    <xf numFmtId="165" fontId="37" fillId="0" borderId="13" xfId="1" applyNumberFormat="1" applyFont="1" applyFill="1" applyBorder="1" applyAlignment="1">
      <alignment vertical="center"/>
    </xf>
    <xf numFmtId="3" fontId="37" fillId="0" borderId="5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89" fillId="7" borderId="5" xfId="0" applyFont="1" applyFill="1" applyBorder="1" applyAlignment="1">
      <alignment vertical="center"/>
    </xf>
    <xf numFmtId="0" fontId="87" fillId="3" borderId="5" xfId="0" applyFont="1" applyFill="1" applyBorder="1" applyAlignment="1">
      <alignment vertical="center"/>
    </xf>
    <xf numFmtId="170" fontId="27" fillId="0" borderId="5" xfId="0" applyNumberFormat="1" applyFont="1" applyFill="1" applyBorder="1" applyAlignment="1">
      <alignment horizontal="left" vertical="center" wrapText="1"/>
    </xf>
    <xf numFmtId="170" fontId="27" fillId="0" borderId="0" xfId="0" applyNumberFormat="1" applyFont="1" applyFill="1" applyBorder="1" applyAlignment="1">
      <alignment vertical="center" wrapText="1"/>
    </xf>
    <xf numFmtId="164" fontId="27" fillId="0" borderId="0" xfId="0" applyNumberFormat="1" applyFont="1" applyFill="1" applyBorder="1" applyAlignment="1">
      <alignment vertical="center" wrapText="1"/>
    </xf>
    <xf numFmtId="165" fontId="27" fillId="0" borderId="0" xfId="1" applyFont="1" applyFill="1" applyBorder="1" applyAlignment="1">
      <alignment vertical="center" wrapText="1"/>
    </xf>
    <xf numFmtId="164" fontId="27" fillId="0" borderId="5" xfId="0" applyNumberFormat="1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vertical="center"/>
    </xf>
    <xf numFmtId="0" fontId="27" fillId="5" borderId="0" xfId="9" applyFont="1" applyFill="1" applyAlignment="1">
      <alignment horizontal="left" vertical="center"/>
    </xf>
    <xf numFmtId="0" fontId="27" fillId="5" borderId="7" xfId="9" applyFont="1" applyFill="1" applyBorder="1" applyAlignment="1">
      <alignment horizontal="left" vertical="center" wrapText="1"/>
    </xf>
    <xf numFmtId="0" fontId="27" fillId="5" borderId="13" xfId="5" applyFont="1" applyFill="1" applyBorder="1" applyAlignment="1">
      <alignment horizontal="center" vertical="center"/>
    </xf>
    <xf numFmtId="165" fontId="36" fillId="5" borderId="13" xfId="1" applyNumberFormat="1" applyFont="1" applyFill="1" applyBorder="1" applyAlignment="1">
      <alignment horizontal="right" vertical="center"/>
    </xf>
    <xf numFmtId="173" fontId="27" fillId="5" borderId="5" xfId="1" applyNumberFormat="1" applyFont="1" applyFill="1" applyBorder="1" applyAlignment="1">
      <alignment horizontal="right" vertical="center"/>
    </xf>
    <xf numFmtId="173" fontId="27" fillId="5" borderId="0" xfId="1" applyNumberFormat="1" applyFont="1" applyFill="1" applyBorder="1" applyAlignment="1">
      <alignment horizontal="right" vertical="center"/>
    </xf>
    <xf numFmtId="173" fontId="43" fillId="5" borderId="7" xfId="9" applyNumberFormat="1" applyFont="1" applyFill="1" applyBorder="1" applyAlignment="1">
      <alignment vertical="center"/>
    </xf>
    <xf numFmtId="170" fontId="27" fillId="5" borderId="5" xfId="0" applyNumberFormat="1" applyFont="1" applyFill="1" applyBorder="1" applyAlignment="1">
      <alignment horizontal="left" vertical="center" wrapText="1"/>
    </xf>
    <xf numFmtId="170" fontId="27" fillId="5" borderId="0" xfId="0" applyNumberFormat="1" applyFont="1" applyFill="1" applyBorder="1" applyAlignment="1">
      <alignment vertical="center" wrapText="1"/>
    </xf>
    <xf numFmtId="164" fontId="27" fillId="5" borderId="0" xfId="0" applyNumberFormat="1" applyFont="1" applyFill="1" applyBorder="1" applyAlignment="1">
      <alignment vertical="center" wrapText="1"/>
    </xf>
    <xf numFmtId="165" fontId="27" fillId="5" borderId="0" xfId="1" applyFont="1" applyFill="1" applyBorder="1" applyAlignment="1">
      <alignment vertical="center" wrapText="1"/>
    </xf>
    <xf numFmtId="165" fontId="27" fillId="5" borderId="7" xfId="1" applyFont="1" applyFill="1" applyBorder="1" applyAlignment="1">
      <alignment vertical="center"/>
    </xf>
    <xf numFmtId="166" fontId="65" fillId="5" borderId="0" xfId="8" applyNumberFormat="1" applyFont="1" applyFill="1" applyAlignment="1">
      <alignment vertical="center"/>
    </xf>
    <xf numFmtId="165" fontId="41" fillId="5" borderId="0" xfId="8" applyNumberFormat="1" applyFont="1" applyFill="1" applyBorder="1" applyAlignment="1">
      <alignment vertical="center"/>
    </xf>
    <xf numFmtId="165" fontId="41" fillId="5" borderId="7" xfId="8" applyNumberFormat="1" applyFont="1" applyFill="1" applyBorder="1" applyAlignment="1">
      <alignment vertical="center"/>
    </xf>
    <xf numFmtId="165" fontId="65" fillId="5" borderId="0" xfId="1" applyFont="1" applyFill="1" applyAlignment="1">
      <alignment vertical="center"/>
    </xf>
    <xf numFmtId="0" fontId="27" fillId="5" borderId="30" xfId="0" applyFont="1" applyFill="1" applyBorder="1" applyAlignment="1">
      <alignment horizontal="center" vertical="center"/>
    </xf>
    <xf numFmtId="0" fontId="52" fillId="5" borderId="30" xfId="0" applyFont="1" applyFill="1" applyBorder="1" applyAlignment="1">
      <alignment horizontal="center" vertical="center"/>
    </xf>
    <xf numFmtId="0" fontId="52" fillId="5" borderId="0" xfId="0" applyFont="1" applyFill="1" applyAlignment="1">
      <alignment vertical="center"/>
    </xf>
    <xf numFmtId="165" fontId="54" fillId="5" borderId="13" xfId="1" applyNumberFormat="1" applyFont="1" applyFill="1" applyBorder="1" applyAlignment="1">
      <alignment horizontal="right" vertical="center"/>
    </xf>
    <xf numFmtId="173" fontId="26" fillId="5" borderId="0" xfId="1" applyNumberFormat="1" applyFont="1" applyFill="1" applyBorder="1" applyAlignment="1">
      <alignment horizontal="right" vertical="center"/>
    </xf>
    <xf numFmtId="170" fontId="26" fillId="5" borderId="0" xfId="0" applyNumberFormat="1" applyFont="1" applyFill="1" applyBorder="1" applyAlignment="1">
      <alignment vertical="center" wrapText="1"/>
    </xf>
    <xf numFmtId="165" fontId="26" fillId="5" borderId="7" xfId="1" applyFont="1" applyFill="1" applyBorder="1" applyAlignment="1">
      <alignment vertical="center"/>
    </xf>
    <xf numFmtId="165" fontId="38" fillId="5" borderId="0" xfId="8" applyNumberFormat="1" applyFont="1" applyFill="1" applyBorder="1" applyAlignment="1">
      <alignment vertical="center"/>
    </xf>
    <xf numFmtId="165" fontId="38" fillId="5" borderId="7" xfId="8" applyNumberFormat="1" applyFont="1" applyFill="1" applyBorder="1" applyAlignment="1">
      <alignment vertical="center"/>
    </xf>
    <xf numFmtId="165" fontId="39" fillId="5" borderId="0" xfId="1" applyFont="1" applyFill="1" applyAlignment="1">
      <alignment vertical="center"/>
    </xf>
    <xf numFmtId="0" fontId="26" fillId="5" borderId="30" xfId="0" applyFont="1" applyFill="1" applyBorder="1" applyAlignment="1">
      <alignment horizontal="center" vertical="center"/>
    </xf>
    <xf numFmtId="0" fontId="49" fillId="5" borderId="30" xfId="0" applyFont="1" applyFill="1" applyBorder="1" applyAlignment="1">
      <alignment horizontal="center" vertical="center"/>
    </xf>
    <xf numFmtId="166" fontId="39" fillId="6" borderId="0" xfId="8" applyNumberFormat="1" applyFont="1" applyFill="1" applyAlignment="1">
      <alignment vertical="center"/>
    </xf>
    <xf numFmtId="165" fontId="39" fillId="25" borderId="0" xfId="1" applyFont="1" applyFill="1" applyAlignment="1">
      <alignment vertical="center"/>
    </xf>
    <xf numFmtId="165" fontId="51" fillId="0" borderId="7" xfId="1" applyFont="1" applyFill="1" applyBorder="1" applyAlignment="1">
      <alignment vertical="center"/>
    </xf>
    <xf numFmtId="43" fontId="27" fillId="12" borderId="0" xfId="0" applyNumberFormat="1" applyFont="1" applyFill="1" applyBorder="1" applyAlignment="1">
      <alignment vertical="center" wrapText="1"/>
    </xf>
    <xf numFmtId="165" fontId="27" fillId="12" borderId="7" xfId="1" applyFont="1" applyFill="1" applyBorder="1" applyAlignment="1">
      <alignment vertical="center"/>
    </xf>
    <xf numFmtId="43" fontId="27" fillId="26" borderId="5" xfId="0" applyNumberFormat="1" applyFont="1" applyFill="1" applyBorder="1" applyAlignment="1">
      <alignment vertical="center" wrapText="1"/>
    </xf>
    <xf numFmtId="43" fontId="27" fillId="26" borderId="0" xfId="0" applyNumberFormat="1" applyFont="1" applyFill="1" applyBorder="1" applyAlignment="1">
      <alignment vertical="center" wrapText="1"/>
    </xf>
    <xf numFmtId="43" fontId="27" fillId="26" borderId="7" xfId="0" applyNumberFormat="1" applyFont="1" applyFill="1" applyBorder="1" applyAlignment="1">
      <alignment vertical="center" wrapText="1"/>
    </xf>
    <xf numFmtId="43" fontId="27" fillId="12" borderId="5" xfId="0" applyNumberFormat="1" applyFont="1" applyFill="1" applyBorder="1" applyAlignment="1">
      <alignment vertical="center" wrapText="1"/>
    </xf>
    <xf numFmtId="165" fontId="27" fillId="12" borderId="7" xfId="1" applyNumberFormat="1" applyFont="1" applyFill="1" applyBorder="1" applyAlignment="1">
      <alignment vertical="center"/>
    </xf>
    <xf numFmtId="0" fontId="26" fillId="0" borderId="7" xfId="9" applyFont="1" applyFill="1" applyBorder="1" applyAlignment="1">
      <alignment horizontal="center" vertical="center"/>
    </xf>
    <xf numFmtId="0" fontId="26" fillId="0" borderId="0" xfId="9" applyFont="1" applyBorder="1" applyAlignment="1">
      <alignment horizontal="left" vertical="center" wrapText="1"/>
    </xf>
    <xf numFmtId="0" fontId="26" fillId="5" borderId="13" xfId="9" applyFont="1" applyFill="1" applyBorder="1" applyAlignment="1">
      <alignment horizontal="center" vertical="center"/>
    </xf>
    <xf numFmtId="165" fontId="26" fillId="5" borderId="13" xfId="1" applyFont="1" applyFill="1" applyBorder="1" applyAlignment="1">
      <alignment vertical="center"/>
    </xf>
    <xf numFmtId="173" fontId="26" fillId="5" borderId="7" xfId="9" applyNumberFormat="1" applyFont="1" applyFill="1" applyBorder="1" applyAlignment="1">
      <alignment vertical="center"/>
    </xf>
    <xf numFmtId="0" fontId="63" fillId="0" borderId="5" xfId="0" applyFont="1" applyFill="1" applyBorder="1" applyAlignment="1">
      <alignment vertical="center"/>
    </xf>
    <xf numFmtId="173" fontId="42" fillId="5" borderId="7" xfId="9" applyNumberFormat="1" applyFont="1" applyFill="1" applyBorder="1" applyAlignment="1">
      <alignment vertical="center"/>
    </xf>
    <xf numFmtId="0" fontId="49" fillId="5" borderId="0" xfId="0" applyFont="1" applyFill="1" applyAlignment="1">
      <alignment vertical="center"/>
    </xf>
    <xf numFmtId="165" fontId="27" fillId="0" borderId="0" xfId="1" applyFont="1" applyFill="1" applyAlignment="1">
      <alignment vertical="center" wrapText="1"/>
    </xf>
    <xf numFmtId="167" fontId="27" fillId="0" borderId="0" xfId="0" applyNumberFormat="1" applyFont="1" applyFill="1" applyAlignment="1">
      <alignment vertical="center" wrapText="1"/>
    </xf>
    <xf numFmtId="165" fontId="0" fillId="0" borderId="12" xfId="0" applyNumberFormat="1" applyBorder="1" applyAlignment="1">
      <alignment vertical="center"/>
    </xf>
    <xf numFmtId="170" fontId="26" fillId="0" borderId="13" xfId="1" applyNumberFormat="1" applyFont="1" applyFill="1" applyBorder="1"/>
    <xf numFmtId="4" fontId="26" fillId="0" borderId="0" xfId="0" applyNumberFormat="1" applyFont="1" applyFill="1" applyBorder="1" applyAlignment="1"/>
    <xf numFmtId="0" fontId="49" fillId="0" borderId="0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vertical="center"/>
    </xf>
    <xf numFmtId="0" fontId="26" fillId="5" borderId="0" xfId="0" applyFont="1" applyFill="1" applyBorder="1"/>
    <xf numFmtId="0" fontId="20" fillId="5" borderId="0" xfId="0" applyFont="1" applyFill="1" applyBorder="1"/>
    <xf numFmtId="170" fontId="55" fillId="0" borderId="13" xfId="1" applyNumberFormat="1" applyFont="1" applyBorder="1"/>
    <xf numFmtId="0" fontId="37" fillId="0" borderId="5" xfId="0" applyFont="1" applyBorder="1" applyAlignment="1">
      <alignment vertical="center"/>
    </xf>
    <xf numFmtId="170" fontId="26" fillId="0" borderId="13" xfId="1" applyNumberFormat="1" applyFont="1" applyFill="1" applyBorder="1" applyAlignment="1">
      <alignment horizontal="right"/>
    </xf>
    <xf numFmtId="0" fontId="37" fillId="20" borderId="5" xfId="0" applyFont="1" applyFill="1" applyBorder="1" applyAlignment="1">
      <alignment vertical="center"/>
    </xf>
    <xf numFmtId="0" fontId="26" fillId="20" borderId="0" xfId="0" applyFont="1" applyFill="1" applyBorder="1"/>
    <xf numFmtId="170" fontId="26" fillId="0" borderId="13" xfId="0" applyNumberFormat="1" applyFont="1" applyBorder="1"/>
    <xf numFmtId="170" fontId="26" fillId="0" borderId="13" xfId="0" applyNumberFormat="1" applyFont="1" applyBorder="1" applyAlignment="1">
      <alignment horizontal="right"/>
    </xf>
    <xf numFmtId="0" fontId="26" fillId="0" borderId="0" xfId="9" applyFont="1" applyBorder="1" applyAlignment="1">
      <alignment horizontal="left" vertical="center"/>
    </xf>
    <xf numFmtId="0" fontId="32" fillId="0" borderId="0" xfId="9" applyFont="1" applyBorder="1" applyAlignment="1">
      <alignment horizontal="left" vertical="center" wrapText="1"/>
    </xf>
    <xf numFmtId="170" fontId="26" fillId="0" borderId="13" xfId="0" applyNumberFormat="1" applyFont="1" applyBorder="1" applyAlignment="1">
      <alignment horizontal="right" vertical="center"/>
    </xf>
    <xf numFmtId="3" fontId="27" fillId="0" borderId="0" xfId="0" applyNumberFormat="1" applyFont="1" applyBorder="1" applyAlignment="1">
      <alignment vertical="center"/>
    </xf>
    <xf numFmtId="43" fontId="30" fillId="0" borderId="0" xfId="0" applyNumberFormat="1" applyFont="1" applyFill="1" applyBorder="1"/>
    <xf numFmtId="0" fontId="49" fillId="0" borderId="0" xfId="0" applyFont="1"/>
    <xf numFmtId="0" fontId="27" fillId="8" borderId="1" xfId="0" applyFont="1" applyFill="1" applyBorder="1" applyAlignment="1">
      <alignment vertical="center"/>
    </xf>
    <xf numFmtId="0" fontId="27" fillId="8" borderId="2" xfId="0" applyFont="1" applyFill="1" applyBorder="1" applyAlignment="1">
      <alignment vertical="center"/>
    </xf>
    <xf numFmtId="0" fontId="27" fillId="8" borderId="10" xfId="0" applyFont="1" applyFill="1" applyBorder="1" applyAlignment="1">
      <alignment vertical="center"/>
    </xf>
    <xf numFmtId="0" fontId="44" fillId="8" borderId="11" xfId="0" applyFont="1" applyFill="1" applyBorder="1" applyAlignment="1">
      <alignment horizontal="centerContinuous" vertical="center"/>
    </xf>
    <xf numFmtId="0" fontId="44" fillId="8" borderId="3" xfId="0" applyFont="1" applyFill="1" applyBorder="1" applyAlignment="1">
      <alignment horizontal="centerContinuous" vertical="center"/>
    </xf>
    <xf numFmtId="0" fontId="44" fillId="8" borderId="4" xfId="0" applyFont="1" applyFill="1" applyBorder="1" applyAlignment="1">
      <alignment horizontal="centerContinuous" vertical="center"/>
    </xf>
    <xf numFmtId="0" fontId="44" fillId="10" borderId="11" xfId="0" applyFont="1" applyFill="1" applyBorder="1" applyAlignment="1">
      <alignment horizontal="centerContinuous" wrapText="1"/>
    </xf>
    <xf numFmtId="0" fontId="44" fillId="10" borderId="3" xfId="0" applyFont="1" applyFill="1" applyBorder="1" applyAlignment="1">
      <alignment horizontal="centerContinuous" wrapText="1"/>
    </xf>
    <xf numFmtId="0" fontId="44" fillId="10" borderId="4" xfId="0" applyFont="1" applyFill="1" applyBorder="1" applyAlignment="1">
      <alignment horizontal="centerContinuous" wrapText="1"/>
    </xf>
    <xf numFmtId="0" fontId="32" fillId="10" borderId="5" xfId="0" applyFont="1" applyFill="1" applyBorder="1" applyAlignment="1">
      <alignment horizontal="centerContinuous" vertical="center"/>
    </xf>
    <xf numFmtId="0" fontId="32" fillId="10" borderId="0" xfId="0" applyFont="1" applyFill="1" applyAlignment="1">
      <alignment horizontal="centerContinuous"/>
    </xf>
    <xf numFmtId="0" fontId="32" fillId="10" borderId="7" xfId="0" applyFont="1" applyFill="1" applyBorder="1" applyAlignment="1">
      <alignment horizontal="centerContinuous"/>
    </xf>
    <xf numFmtId="0" fontId="34" fillId="10" borderId="8" xfId="0" applyFont="1" applyFill="1" applyBorder="1" applyAlignment="1">
      <alignment horizontal="center"/>
    </xf>
    <xf numFmtId="0" fontId="34" fillId="10" borderId="6" xfId="0" applyFont="1" applyFill="1" applyBorder="1" applyAlignment="1">
      <alignment horizontal="center"/>
    </xf>
    <xf numFmtId="0" fontId="47" fillId="10" borderId="9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44" fillId="0" borderId="5" xfId="0" applyFont="1" applyBorder="1"/>
    <xf numFmtId="0" fontId="26" fillId="0" borderId="13" xfId="0" applyFont="1" applyBorder="1" applyAlignment="1">
      <alignment horizontal="right" shrinkToFit="1"/>
    </xf>
    <xf numFmtId="3" fontId="44" fillId="0" borderId="13" xfId="9" applyNumberFormat="1" applyFont="1" applyBorder="1" applyAlignment="1">
      <alignment shrinkToFit="1"/>
    </xf>
    <xf numFmtId="164" fontId="44" fillId="0" borderId="0" xfId="1" applyNumberFormat="1" applyFont="1" applyBorder="1" applyAlignment="1">
      <alignment horizontal="right" vertical="center" shrinkToFit="1"/>
    </xf>
    <xf numFmtId="165" fontId="44" fillId="0" borderId="0" xfId="1" applyFont="1" applyBorder="1" applyAlignment="1">
      <alignment horizontal="right" vertical="center" shrinkToFit="1"/>
    </xf>
    <xf numFmtId="165" fontId="44" fillId="0" borderId="7" xfId="1" applyFont="1" applyFill="1" applyBorder="1" applyAlignment="1">
      <alignment vertical="center" shrinkToFit="1"/>
    </xf>
    <xf numFmtId="43" fontId="44" fillId="0" borderId="0" xfId="0" applyNumberFormat="1" applyFont="1" applyAlignment="1">
      <alignment vertical="center" shrinkToFit="1"/>
    </xf>
    <xf numFmtId="165" fontId="44" fillId="0" borderId="7" xfId="1" applyFont="1" applyBorder="1" applyAlignment="1">
      <alignment vertical="center" shrinkToFit="1"/>
    </xf>
    <xf numFmtId="166" fontId="39" fillId="3" borderId="5" xfId="8" applyNumberFormat="1" applyFont="1" applyFill="1" applyBorder="1" applyAlignment="1">
      <alignment vertical="center" shrinkToFit="1"/>
    </xf>
    <xf numFmtId="166" fontId="39" fillId="3" borderId="0" xfId="8" applyNumberFormat="1" applyFont="1" applyFill="1" applyBorder="1" applyAlignment="1">
      <alignment vertical="center" shrinkToFit="1"/>
    </xf>
    <xf numFmtId="166" fontId="39" fillId="3" borderId="7" xfId="8" applyNumberFormat="1" applyFont="1" applyFill="1" applyBorder="1" applyAlignment="1">
      <alignment vertical="center" shrinkToFit="1"/>
    </xf>
    <xf numFmtId="43" fontId="64" fillId="0" borderId="5" xfId="0" applyNumberFormat="1" applyFont="1" applyBorder="1" applyAlignment="1">
      <alignment vertical="center" shrinkToFit="1"/>
    </xf>
    <xf numFmtId="43" fontId="64" fillId="0" borderId="0" xfId="0" applyNumberFormat="1" applyFont="1" applyAlignment="1">
      <alignment vertical="center" shrinkToFit="1"/>
    </xf>
    <xf numFmtId="43" fontId="64" fillId="0" borderId="7" xfId="0" applyNumberFormat="1" applyFont="1" applyBorder="1" applyAlignment="1">
      <alignment vertical="center" shrinkToFit="1"/>
    </xf>
    <xf numFmtId="165" fontId="64" fillId="0" borderId="0" xfId="1" applyFont="1" applyBorder="1" applyAlignment="1">
      <alignment vertical="center" shrinkToFit="1"/>
    </xf>
    <xf numFmtId="43" fontId="32" fillId="0" borderId="7" xfId="0" applyNumberFormat="1" applyFont="1" applyBorder="1" applyAlignment="1">
      <alignment vertical="center" shrinkToFit="1"/>
    </xf>
    <xf numFmtId="165" fontId="26" fillId="0" borderId="5" xfId="1" applyFont="1" applyBorder="1" applyAlignment="1">
      <alignment vertical="center" shrinkToFit="1"/>
    </xf>
    <xf numFmtId="43" fontId="26" fillId="0" borderId="0" xfId="0" applyNumberFormat="1" applyFont="1" applyAlignment="1">
      <alignment vertical="center" shrinkToFit="1"/>
    </xf>
    <xf numFmtId="43" fontId="26" fillId="0" borderId="7" xfId="0" applyNumberFormat="1" applyFont="1" applyBorder="1" applyAlignment="1">
      <alignment vertical="center" shrinkToFit="1"/>
    </xf>
    <xf numFmtId="171" fontId="26" fillId="0" borderId="0" xfId="1" applyNumberFormat="1" applyFont="1" applyBorder="1" applyAlignment="1">
      <alignment horizontal="right" vertical="center" shrinkToFit="1"/>
    </xf>
    <xf numFmtId="165" fontId="42" fillId="0" borderId="7" xfId="1" applyFont="1" applyFill="1" applyBorder="1" applyAlignment="1">
      <alignment vertical="center" shrinkToFit="1"/>
    </xf>
    <xf numFmtId="165" fontId="26" fillId="0" borderId="7" xfId="1" applyFont="1" applyBorder="1" applyAlignment="1">
      <alignment vertical="center" shrinkToFit="1"/>
    </xf>
    <xf numFmtId="165" fontId="26" fillId="0" borderId="0" xfId="1" applyFont="1" applyBorder="1" applyAlignment="1">
      <alignment vertical="center" shrinkToFit="1"/>
    </xf>
    <xf numFmtId="4" fontId="26" fillId="0" borderId="13" xfId="0" applyNumberFormat="1" applyFont="1" applyBorder="1" applyAlignment="1">
      <alignment shrinkToFit="1"/>
    </xf>
    <xf numFmtId="165" fontId="26" fillId="0" borderId="0" xfId="1" applyFont="1" applyBorder="1" applyAlignment="1">
      <alignment horizontal="right" vertical="center" shrinkToFit="1"/>
    </xf>
    <xf numFmtId="0" fontId="31" fillId="15" borderId="5" xfId="0" applyFont="1" applyFill="1" applyBorder="1" applyAlignment="1">
      <alignment horizontal="center" vertical="center"/>
    </xf>
    <xf numFmtId="43" fontId="43" fillId="15" borderId="0" xfId="0" applyNumberFormat="1" applyFont="1" applyFill="1" applyAlignment="1">
      <alignment vertical="center" shrinkToFit="1"/>
    </xf>
    <xf numFmtId="165" fontId="43" fillId="15" borderId="7" xfId="1" applyFont="1" applyFill="1" applyBorder="1" applyAlignment="1">
      <alignment vertical="center" shrinkToFit="1"/>
    </xf>
    <xf numFmtId="166" fontId="39" fillId="15" borderId="5" xfId="8" applyNumberFormat="1" applyFont="1" applyFill="1" applyBorder="1" applyAlignment="1">
      <alignment vertical="center" shrinkToFit="1"/>
    </xf>
    <xf numFmtId="166" fontId="39" fillId="15" borderId="0" xfId="8" applyNumberFormat="1" applyFont="1" applyFill="1" applyBorder="1" applyAlignment="1">
      <alignment vertical="center" shrinkToFit="1"/>
    </xf>
    <xf numFmtId="166" fontId="39" fillId="15" borderId="7" xfId="8" applyNumberFormat="1" applyFont="1" applyFill="1" applyBorder="1" applyAlignment="1">
      <alignment vertical="center" shrinkToFit="1"/>
    </xf>
    <xf numFmtId="0" fontId="43" fillId="15" borderId="0" xfId="0" applyFont="1" applyFill="1" applyAlignment="1">
      <alignment vertical="center" shrinkToFit="1"/>
    </xf>
    <xf numFmtId="43" fontId="43" fillId="15" borderId="5" xfId="0" applyNumberFormat="1" applyFont="1" applyFill="1" applyBorder="1" applyAlignment="1">
      <alignment vertical="center" shrinkToFit="1"/>
    </xf>
    <xf numFmtId="43" fontId="43" fillId="15" borderId="7" xfId="0" applyNumberFormat="1" applyFont="1" applyFill="1" applyBorder="1" applyAlignment="1">
      <alignment vertical="center" shrinkToFit="1"/>
    </xf>
    <xf numFmtId="0" fontId="43" fillId="15" borderId="7" xfId="0" applyFont="1" applyFill="1" applyBorder="1" applyAlignment="1">
      <alignment vertical="center" shrinkToFit="1"/>
    </xf>
    <xf numFmtId="0" fontId="43" fillId="15" borderId="5" xfId="0" applyFont="1" applyFill="1" applyBorder="1" applyAlignment="1">
      <alignment vertical="center" shrinkToFit="1"/>
    </xf>
    <xf numFmtId="165" fontId="43" fillId="15" borderId="5" xfId="1" applyFont="1" applyFill="1" applyBorder="1" applyAlignment="1">
      <alignment vertical="center" shrinkToFit="1"/>
    </xf>
    <xf numFmtId="165" fontId="43" fillId="15" borderId="0" xfId="1" applyFont="1" applyFill="1" applyBorder="1" applyAlignment="1">
      <alignment vertical="center" shrinkToFit="1"/>
    </xf>
    <xf numFmtId="165" fontId="26" fillId="0" borderId="7" xfId="1" applyFont="1" applyFill="1" applyBorder="1" applyAlignment="1">
      <alignment vertical="center" shrinkToFit="1"/>
    </xf>
    <xf numFmtId="165" fontId="27" fillId="0" borderId="7" xfId="1" applyFont="1" applyBorder="1" applyAlignment="1">
      <alignment vertical="center" shrinkToFit="1"/>
    </xf>
    <xf numFmtId="0" fontId="26" fillId="0" borderId="13" xfId="0" applyFont="1" applyBorder="1" applyAlignment="1">
      <alignment horizontal="center" vertical="center"/>
    </xf>
    <xf numFmtId="0" fontId="43" fillId="15" borderId="13" xfId="0" applyFont="1" applyFill="1" applyBorder="1" applyAlignment="1">
      <alignment vertical="center" shrinkToFit="1"/>
    </xf>
    <xf numFmtId="164" fontId="43" fillId="15" borderId="0" xfId="1" applyNumberFormat="1" applyFont="1" applyFill="1" applyBorder="1" applyAlignment="1">
      <alignment horizontal="right" vertical="center" shrinkToFit="1"/>
    </xf>
    <xf numFmtId="171" fontId="43" fillId="15" borderId="0" xfId="1" applyNumberFormat="1" applyFont="1" applyFill="1" applyBorder="1" applyAlignment="1">
      <alignment horizontal="right" vertical="center" shrinkToFit="1"/>
    </xf>
    <xf numFmtId="165" fontId="43" fillId="15" borderId="0" xfId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/>
    </xf>
    <xf numFmtId="0" fontId="43" fillId="0" borderId="5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/>
    <xf numFmtId="0" fontId="71" fillId="0" borderId="0" xfId="0" applyFont="1" applyAlignment="1">
      <alignment vertical="center"/>
    </xf>
    <xf numFmtId="164" fontId="43" fillId="0" borderId="0" xfId="1" applyNumberFormat="1" applyFont="1" applyFill="1" applyBorder="1" applyAlignment="1">
      <alignment horizontal="right" vertical="center"/>
    </xf>
    <xf numFmtId="171" fontId="43" fillId="0" borderId="0" xfId="1" applyNumberFormat="1" applyFont="1" applyFill="1" applyBorder="1" applyAlignment="1">
      <alignment horizontal="right" vertical="center"/>
    </xf>
    <xf numFmtId="165" fontId="43" fillId="0" borderId="0" xfId="1" applyFont="1" applyFill="1" applyBorder="1" applyAlignment="1">
      <alignment horizontal="right" vertical="center"/>
    </xf>
    <xf numFmtId="165" fontId="43" fillId="0" borderId="7" xfId="1" applyFont="1" applyFill="1" applyBorder="1" applyAlignment="1">
      <alignment vertical="center"/>
    </xf>
    <xf numFmtId="43" fontId="43" fillId="0" borderId="0" xfId="0" applyNumberFormat="1" applyFont="1" applyAlignment="1">
      <alignment vertical="center" wrapText="1"/>
    </xf>
    <xf numFmtId="43" fontId="43" fillId="0" borderId="0" xfId="0" applyNumberFormat="1" applyFont="1" applyAlignment="1">
      <alignment vertical="center" shrinkToFit="1"/>
    </xf>
    <xf numFmtId="165" fontId="43" fillId="0" borderId="7" xfId="1" applyFont="1" applyFill="1" applyBorder="1" applyAlignment="1">
      <alignment vertical="center" shrinkToFit="1"/>
    </xf>
    <xf numFmtId="166" fontId="39" fillId="0" borderId="5" xfId="8" applyNumberFormat="1" applyFont="1" applyFill="1" applyBorder="1" applyAlignment="1">
      <alignment vertical="center" shrinkToFit="1"/>
    </xf>
    <xf numFmtId="166" fontId="39" fillId="0" borderId="0" xfId="8" applyNumberFormat="1" applyFont="1" applyFill="1" applyBorder="1" applyAlignment="1">
      <alignment vertical="center" shrinkToFit="1"/>
    </xf>
    <xf numFmtId="166" fontId="39" fillId="0" borderId="7" xfId="8" applyNumberFormat="1" applyFont="1" applyFill="1" applyBorder="1" applyAlignment="1">
      <alignment vertical="center" shrinkToFit="1"/>
    </xf>
    <xf numFmtId="0" fontId="43" fillId="0" borderId="0" xfId="0" applyFont="1" applyAlignment="1">
      <alignment vertical="center" shrinkToFit="1"/>
    </xf>
    <xf numFmtId="43" fontId="43" fillId="0" borderId="5" xfId="0" applyNumberFormat="1" applyFont="1" applyBorder="1" applyAlignment="1">
      <alignment vertical="center" shrinkToFit="1"/>
    </xf>
    <xf numFmtId="43" fontId="43" fillId="0" borderId="7" xfId="0" applyNumberFormat="1" applyFont="1" applyBorder="1" applyAlignment="1">
      <alignment vertical="center" shrinkToFit="1"/>
    </xf>
    <xf numFmtId="0" fontId="43" fillId="0" borderId="7" xfId="0" applyFont="1" applyBorder="1" applyAlignment="1">
      <alignment vertical="center" shrinkToFit="1"/>
    </xf>
    <xf numFmtId="0" fontId="43" fillId="0" borderId="5" xfId="0" applyFont="1" applyBorder="1" applyAlignment="1">
      <alignment vertical="center" shrinkToFit="1"/>
    </xf>
    <xf numFmtId="165" fontId="43" fillId="0" borderId="5" xfId="1" applyFont="1" applyFill="1" applyBorder="1" applyAlignment="1">
      <alignment vertical="center" shrinkToFit="1"/>
    </xf>
    <xf numFmtId="165" fontId="43" fillId="0" borderId="0" xfId="1" applyFont="1" applyFill="1" applyBorder="1" applyAlignment="1">
      <alignment vertical="center" shrinkToFit="1"/>
    </xf>
    <xf numFmtId="165" fontId="26" fillId="0" borderId="0" xfId="1" applyFont="1" applyFill="1" applyBorder="1" applyAlignment="1">
      <alignment horizontal="right" vertical="center"/>
    </xf>
    <xf numFmtId="4" fontId="26" fillId="0" borderId="0" xfId="0" applyNumberFormat="1" applyFont="1" applyAlignment="1">
      <alignment shrinkToFit="1"/>
    </xf>
    <xf numFmtId="0" fontId="17" fillId="0" borderId="0" xfId="0" applyFont="1" applyAlignment="1">
      <alignment shrinkToFit="1"/>
    </xf>
    <xf numFmtId="164" fontId="26" fillId="0" borderId="0" xfId="1" applyNumberFormat="1" applyFont="1" applyBorder="1" applyAlignment="1">
      <alignment horizontal="right" vertical="center" shrinkToFit="1"/>
    </xf>
    <xf numFmtId="165" fontId="26" fillId="0" borderId="0" xfId="1" applyFont="1" applyFill="1" applyBorder="1" applyAlignment="1">
      <alignment horizontal="right" vertical="center" shrinkToFit="1"/>
    </xf>
    <xf numFmtId="43" fontId="44" fillId="0" borderId="5" xfId="0" applyNumberFormat="1" applyFont="1" applyBorder="1" applyAlignment="1">
      <alignment vertical="center" shrinkToFit="1"/>
    </xf>
    <xf numFmtId="43" fontId="44" fillId="0" borderId="7" xfId="0" applyNumberFormat="1" applyFont="1" applyBorder="1" applyAlignment="1">
      <alignment vertical="center" shrinkToFit="1"/>
    </xf>
    <xf numFmtId="0" fontId="31" fillId="13" borderId="5" xfId="0" applyFont="1" applyFill="1" applyBorder="1" applyAlignment="1">
      <alignment horizontal="center" vertical="center"/>
    </xf>
    <xf numFmtId="165" fontId="26" fillId="0" borderId="0" xfId="1" applyFont="1" applyBorder="1" applyAlignment="1">
      <alignment vertical="center" wrapText="1"/>
    </xf>
    <xf numFmtId="0" fontId="27" fillId="0" borderId="0" xfId="5" applyFont="1" applyAlignment="1">
      <alignment vertical="center"/>
    </xf>
    <xf numFmtId="0" fontId="26" fillId="0" borderId="0" xfId="5" applyFont="1"/>
    <xf numFmtId="0" fontId="26" fillId="0" borderId="0" xfId="5" applyFont="1" applyAlignment="1">
      <alignment horizontal="left" vertical="center"/>
    </xf>
    <xf numFmtId="49" fontId="26" fillId="0" borderId="0" xfId="5" applyNumberFormat="1" applyFont="1" applyAlignment="1">
      <alignment vertical="center"/>
    </xf>
    <xf numFmtId="3" fontId="44" fillId="0" borderId="5" xfId="9" applyNumberFormat="1" applyFont="1" applyBorder="1" applyAlignment="1">
      <alignment vertical="center"/>
    </xf>
    <xf numFmtId="0" fontId="92" fillId="0" borderId="0" xfId="0" applyFont="1"/>
    <xf numFmtId="165" fontId="44" fillId="8" borderId="18" xfId="1" applyFont="1" applyFill="1" applyBorder="1" applyAlignment="1">
      <alignment vertical="center" shrinkToFit="1"/>
    </xf>
    <xf numFmtId="165" fontId="26" fillId="0" borderId="11" xfId="1" applyFont="1" applyBorder="1" applyAlignment="1">
      <alignment vertical="center" shrinkToFit="1"/>
    </xf>
    <xf numFmtId="165" fontId="26" fillId="0" borderId="12" xfId="1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3" fontId="26" fillId="0" borderId="12" xfId="0" applyNumberFormat="1" applyFont="1" applyBorder="1" applyAlignment="1">
      <alignment vertical="center" shrinkToFit="1"/>
    </xf>
    <xf numFmtId="165" fontId="42" fillId="0" borderId="0" xfId="0" applyNumberFormat="1" applyFont="1" applyAlignment="1">
      <alignment vertical="center"/>
    </xf>
    <xf numFmtId="165" fontId="42" fillId="0" borderId="12" xfId="0" applyNumberFormat="1" applyFont="1" applyBorder="1" applyAlignment="1">
      <alignment vertical="center" shrinkToFit="1"/>
    </xf>
    <xf numFmtId="0" fontId="42" fillId="0" borderId="0" xfId="0" applyFont="1" applyAlignment="1">
      <alignment vertical="center" shrinkToFit="1"/>
    </xf>
    <xf numFmtId="165" fontId="44" fillId="12" borderId="0" xfId="1" applyFont="1" applyFill="1" applyAlignment="1">
      <alignment vertical="center" shrinkToFit="1"/>
    </xf>
    <xf numFmtId="165" fontId="26" fillId="0" borderId="0" xfId="1" applyFont="1" applyAlignment="1">
      <alignment shrinkToFit="1"/>
    </xf>
    <xf numFmtId="165" fontId="0" fillId="0" borderId="13" xfId="1" applyNumberFormat="1" applyFont="1" applyFill="1" applyBorder="1" applyAlignment="1">
      <alignment vertical="center"/>
    </xf>
    <xf numFmtId="0" fontId="98" fillId="0" borderId="38" xfId="0" applyFont="1" applyFill="1" applyBorder="1" applyAlignment="1">
      <alignment horizontal="center" vertical="center" wrapText="1"/>
    </xf>
    <xf numFmtId="2" fontId="0" fillId="0" borderId="0" xfId="0" applyNumberFormat="1"/>
    <xf numFmtId="0" fontId="98" fillId="0" borderId="0" xfId="0" applyFont="1" applyBorder="1" applyAlignment="1">
      <alignment vertical="center" wrapText="1"/>
    </xf>
    <xf numFmtId="3" fontId="98" fillId="0" borderId="0" xfId="0" applyNumberFormat="1" applyFont="1" applyBorder="1" applyAlignment="1">
      <alignment vertical="center" wrapText="1"/>
    </xf>
    <xf numFmtId="0" fontId="98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3" fontId="98" fillId="0" borderId="0" xfId="0" applyNumberFormat="1" applyFont="1" applyBorder="1" applyAlignment="1">
      <alignment vertical="center"/>
    </xf>
    <xf numFmtId="175" fontId="101" fillId="6" borderId="0" xfId="0" applyNumberFormat="1" applyFont="1" applyFill="1" applyBorder="1" applyAlignment="1">
      <alignment vertical="center"/>
    </xf>
    <xf numFmtId="3" fontId="57" fillId="0" borderId="0" xfId="0" applyNumberFormat="1" applyFont="1"/>
    <xf numFmtId="175" fontId="16" fillId="0" borderId="0" xfId="0" applyNumberFormat="1" applyFont="1"/>
    <xf numFmtId="175" fontId="16" fillId="6" borderId="0" xfId="0" applyNumberFormat="1" applyFont="1" applyFill="1"/>
    <xf numFmtId="0" fontId="57" fillId="0" borderId="0" xfId="0" applyFont="1"/>
    <xf numFmtId="3" fontId="0" fillId="0" borderId="0" xfId="0" applyNumberFormat="1" applyAlignment="1">
      <alignment horizontal="center"/>
    </xf>
    <xf numFmtId="3" fontId="0" fillId="0" borderId="0" xfId="0" applyNumberFormat="1" applyBorder="1"/>
    <xf numFmtId="0" fontId="55" fillId="0" borderId="0" xfId="0" applyFont="1" applyBorder="1" applyAlignment="1">
      <alignment vertical="center" wrapText="1"/>
    </xf>
    <xf numFmtId="3" fontId="55" fillId="0" borderId="0" xfId="0" applyNumberFormat="1" applyFont="1" applyBorder="1" applyAlignment="1">
      <alignment horizontal="right" vertical="center" wrapText="1"/>
    </xf>
    <xf numFmtId="3" fontId="100" fillId="0" borderId="0" xfId="0" applyNumberFormat="1" applyFont="1" applyBorder="1" applyAlignment="1">
      <alignment horizontal="right" vertical="center" wrapText="1"/>
    </xf>
    <xf numFmtId="0" fontId="55" fillId="0" borderId="0" xfId="0" applyFont="1" applyBorder="1" applyAlignment="1">
      <alignment horizontal="right" vertical="center" wrapText="1"/>
    </xf>
    <xf numFmtId="0" fontId="55" fillId="0" borderId="0" xfId="0" applyFont="1" applyBorder="1" applyAlignment="1">
      <alignment horizontal="center" vertical="center" wrapText="1"/>
    </xf>
    <xf numFmtId="4" fontId="57" fillId="0" borderId="0" xfId="0" applyNumberFormat="1" applyFont="1"/>
    <xf numFmtId="165" fontId="44" fillId="0" borderId="7" xfId="1" applyNumberFormat="1" applyFont="1" applyFill="1" applyBorder="1" applyAlignment="1">
      <alignment vertical="center"/>
    </xf>
    <xf numFmtId="0" fontId="55" fillId="0" borderId="12" xfId="0" applyFont="1" applyBorder="1" applyAlignment="1">
      <alignment vertical="center" wrapText="1"/>
    </xf>
    <xf numFmtId="0" fontId="55" fillId="0" borderId="53" xfId="0" applyFont="1" applyBorder="1" applyAlignment="1">
      <alignment vertical="center" wrapText="1"/>
    </xf>
    <xf numFmtId="0" fontId="55" fillId="0" borderId="12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center" vertical="center" wrapText="1"/>
    </xf>
    <xf numFmtId="3" fontId="102" fillId="0" borderId="12" xfId="0" applyNumberFormat="1" applyFont="1" applyBorder="1" applyAlignment="1">
      <alignment horizontal="center" vertical="center" wrapText="1"/>
    </xf>
    <xf numFmtId="3" fontId="105" fillId="0" borderId="54" xfId="0" applyNumberFormat="1" applyFont="1" applyFill="1" applyBorder="1"/>
    <xf numFmtId="0" fontId="55" fillId="0" borderId="12" xfId="0" applyFont="1" applyBorder="1" applyAlignment="1">
      <alignment horizontal="justify" vertical="center" wrapText="1"/>
    </xf>
    <xf numFmtId="3" fontId="103" fillId="0" borderId="54" xfId="0" applyNumberFormat="1" applyFont="1" applyFill="1" applyBorder="1" applyAlignment="1">
      <alignment horizontal="right" vertical="center" wrapText="1"/>
    </xf>
    <xf numFmtId="3" fontId="105" fillId="0" borderId="54" xfId="0" applyNumberFormat="1" applyFont="1" applyFill="1" applyBorder="1" applyAlignment="1">
      <alignment horizontal="right"/>
    </xf>
    <xf numFmtId="3" fontId="103" fillId="0" borderId="55" xfId="0" applyNumberFormat="1" applyFont="1" applyBorder="1" applyAlignment="1">
      <alignment horizontal="center" vertical="center" wrapText="1"/>
    </xf>
    <xf numFmtId="0" fontId="55" fillId="0" borderId="12" xfId="0" applyFont="1" applyBorder="1" applyAlignment="1">
      <alignment horizontal="left" vertical="center" wrapText="1"/>
    </xf>
    <xf numFmtId="0" fontId="51" fillId="0" borderId="54" xfId="0" applyFont="1" applyFill="1" applyBorder="1" applyAlignment="1">
      <alignment horizontal="center" vertical="center" wrapText="1"/>
    </xf>
    <xf numFmtId="3" fontId="105" fillId="0" borderId="56" xfId="0" applyNumberFormat="1" applyFont="1" applyFill="1" applyBorder="1" applyAlignment="1">
      <alignment vertical="center"/>
    </xf>
    <xf numFmtId="3" fontId="51" fillId="0" borderId="55" xfId="0" applyNumberFormat="1" applyFont="1" applyBorder="1" applyAlignment="1">
      <alignment horizontal="center" vertical="center" wrapText="1"/>
    </xf>
    <xf numFmtId="165" fontId="0" fillId="13" borderId="12" xfId="1" applyNumberFormat="1" applyFont="1" applyFill="1" applyBorder="1" applyAlignment="1">
      <alignment vertical="center"/>
    </xf>
    <xf numFmtId="165" fontId="42" fillId="4" borderId="13" xfId="1" applyNumberFormat="1" applyFont="1" applyFill="1" applyBorder="1" applyAlignment="1">
      <alignment vertical="center"/>
    </xf>
    <xf numFmtId="0" fontId="26" fillId="4" borderId="30" xfId="0" applyFont="1" applyFill="1" applyBorder="1" applyAlignment="1">
      <alignment horizontal="center" vertical="center"/>
    </xf>
    <xf numFmtId="171" fontId="26" fillId="0" borderId="7" xfId="9" applyNumberFormat="1" applyFont="1" applyFill="1" applyBorder="1" applyAlignment="1">
      <alignment vertical="center"/>
    </xf>
    <xf numFmtId="43" fontId="52" fillId="0" borderId="0" xfId="0" applyNumberFormat="1" applyFont="1" applyFill="1" applyAlignment="1">
      <alignment vertical="center"/>
    </xf>
    <xf numFmtId="165" fontId="52" fillId="0" borderId="0" xfId="0" applyNumberFormat="1" applyFont="1" applyFill="1" applyAlignment="1">
      <alignment vertical="center"/>
    </xf>
    <xf numFmtId="165" fontId="52" fillId="26" borderId="0" xfId="0" applyNumberFormat="1" applyFont="1" applyFill="1" applyAlignment="1">
      <alignment vertical="center"/>
    </xf>
    <xf numFmtId="0" fontId="52" fillId="26" borderId="0" xfId="0" applyFont="1" applyFill="1" applyAlignment="1">
      <alignment vertical="center"/>
    </xf>
    <xf numFmtId="165" fontId="49" fillId="0" borderId="0" xfId="0" applyNumberFormat="1" applyFont="1" applyFill="1" applyAlignment="1">
      <alignment vertical="center"/>
    </xf>
    <xf numFmtId="0" fontId="22" fillId="26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90" fillId="0" borderId="0" xfId="0" applyFont="1" applyFill="1" applyAlignment="1">
      <alignment vertical="center"/>
    </xf>
    <xf numFmtId="0" fontId="106" fillId="0" borderId="0" xfId="0" applyFont="1" applyFill="1" applyAlignment="1">
      <alignment vertical="center"/>
    </xf>
    <xf numFmtId="0" fontId="107" fillId="0" borderId="0" xfId="0" applyFont="1" applyFill="1" applyAlignment="1">
      <alignment vertical="center"/>
    </xf>
    <xf numFmtId="43" fontId="90" fillId="26" borderId="0" xfId="0" applyNumberFormat="1" applyFont="1" applyFill="1" applyAlignment="1">
      <alignment vertical="center"/>
    </xf>
    <xf numFmtId="0" fontId="90" fillId="26" borderId="0" xfId="0" applyFont="1" applyFill="1" applyAlignment="1">
      <alignment vertical="center"/>
    </xf>
    <xf numFmtId="165" fontId="107" fillId="26" borderId="0" xfId="0" applyNumberFormat="1" applyFont="1" applyFill="1" applyAlignment="1">
      <alignment vertical="center"/>
    </xf>
    <xf numFmtId="0" fontId="107" fillId="26" borderId="0" xfId="0" applyFont="1" applyFill="1" applyAlignment="1">
      <alignment vertical="center"/>
    </xf>
    <xf numFmtId="0" fontId="107" fillId="5" borderId="0" xfId="0" applyFont="1" applyFill="1" applyAlignment="1">
      <alignment vertical="center"/>
    </xf>
    <xf numFmtId="165" fontId="90" fillId="26" borderId="0" xfId="0" applyNumberFormat="1" applyFont="1" applyFill="1" applyAlignment="1">
      <alignment vertical="center"/>
    </xf>
    <xf numFmtId="0" fontId="107" fillId="0" borderId="0" xfId="0" applyFont="1" applyAlignment="1">
      <alignment vertical="center"/>
    </xf>
    <xf numFmtId="0" fontId="107" fillId="0" borderId="0" xfId="0" applyFont="1" applyAlignment="1">
      <alignment horizontal="center" vertical="center"/>
    </xf>
    <xf numFmtId="0" fontId="106" fillId="5" borderId="0" xfId="0" applyFont="1" applyFill="1" applyAlignment="1">
      <alignment vertical="center"/>
    </xf>
    <xf numFmtId="0" fontId="106" fillId="0" borderId="0" xfId="0" applyFont="1" applyAlignment="1">
      <alignment vertical="center"/>
    </xf>
    <xf numFmtId="0" fontId="108" fillId="0" borderId="0" xfId="0" applyFont="1" applyFill="1" applyAlignment="1">
      <alignment vertical="center"/>
    </xf>
    <xf numFmtId="0" fontId="49" fillId="0" borderId="0" xfId="0" applyFont="1" applyFill="1" applyAlignment="1">
      <alignment vertical="center" wrapText="1"/>
    </xf>
    <xf numFmtId="0" fontId="106" fillId="0" borderId="0" xfId="0" applyFont="1" applyFill="1" applyAlignment="1">
      <alignment horizontal="right" vertical="center"/>
    </xf>
    <xf numFmtId="174" fontId="49" fillId="0" borderId="0" xfId="0" applyNumberFormat="1" applyFont="1" applyFill="1" applyAlignment="1">
      <alignment vertical="center"/>
    </xf>
    <xf numFmtId="174" fontId="52" fillId="0" borderId="0" xfId="0" applyNumberFormat="1" applyFont="1" applyFill="1" applyAlignment="1">
      <alignment vertical="center"/>
    </xf>
    <xf numFmtId="0" fontId="55" fillId="0" borderId="54" xfId="0" applyFont="1" applyBorder="1" applyAlignment="1">
      <alignment horizontal="center" vertical="center" wrapText="1"/>
    </xf>
    <xf numFmtId="3" fontId="55" fillId="0" borderId="12" xfId="0" applyNumberFormat="1" applyFont="1" applyBorder="1" applyAlignment="1">
      <alignment horizontal="right" vertical="center" wrapText="1"/>
    </xf>
    <xf numFmtId="3" fontId="100" fillId="0" borderId="54" xfId="0" applyNumberFormat="1" applyFont="1" applyBorder="1" applyAlignment="1">
      <alignment horizontal="right" vertical="center" wrapText="1"/>
    </xf>
    <xf numFmtId="0" fontId="55" fillId="0" borderId="12" xfId="0" applyFont="1" applyBorder="1" applyAlignment="1">
      <alignment horizontal="right" vertical="center" wrapText="1"/>
    </xf>
    <xf numFmtId="0" fontId="55" fillId="0" borderId="65" xfId="0" applyFont="1" applyBorder="1" applyAlignment="1">
      <alignment horizontal="center" vertical="center" wrapText="1"/>
    </xf>
    <xf numFmtId="3" fontId="55" fillId="0" borderId="55" xfId="0" applyNumberFormat="1" applyFont="1" applyBorder="1" applyAlignment="1">
      <alignment horizontal="right" vertical="center" wrapText="1"/>
    </xf>
    <xf numFmtId="3" fontId="55" fillId="0" borderId="56" xfId="0" applyNumberFormat="1" applyFont="1" applyBorder="1" applyAlignment="1">
      <alignment horizontal="right" vertical="center" wrapText="1"/>
    </xf>
    <xf numFmtId="0" fontId="98" fillId="0" borderId="50" xfId="0" applyFont="1" applyBorder="1" applyAlignment="1">
      <alignment horizontal="center" vertical="center" wrapText="1"/>
    </xf>
    <xf numFmtId="0" fontId="98" fillId="0" borderId="51" xfId="0" applyFont="1" applyBorder="1" applyAlignment="1">
      <alignment horizontal="center" vertical="center" wrapText="1"/>
    </xf>
    <xf numFmtId="0" fontId="98" fillId="0" borderId="5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98" fillId="0" borderId="12" xfId="0" applyFont="1" applyBorder="1" applyAlignment="1">
      <alignment vertical="center" wrapText="1"/>
    </xf>
    <xf numFmtId="0" fontId="0" fillId="0" borderId="66" xfId="0" applyBorder="1"/>
    <xf numFmtId="0" fontId="98" fillId="0" borderId="46" xfId="0" applyFont="1" applyFill="1" applyBorder="1" applyAlignment="1">
      <alignment vertical="center" wrapText="1"/>
    </xf>
    <xf numFmtId="0" fontId="55" fillId="0" borderId="50" xfId="0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 wrapText="1"/>
    </xf>
    <xf numFmtId="0" fontId="55" fillId="0" borderId="52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165" fontId="67" fillId="0" borderId="0" xfId="0" applyNumberFormat="1" applyFont="1" applyFill="1" applyAlignment="1">
      <alignment vertical="center"/>
    </xf>
    <xf numFmtId="174" fontId="67" fillId="0" borderId="0" xfId="0" applyNumberFormat="1" applyFont="1" applyFill="1" applyAlignment="1">
      <alignment vertical="center"/>
    </xf>
    <xf numFmtId="165" fontId="106" fillId="0" borderId="0" xfId="0" applyNumberFormat="1" applyFont="1" applyFill="1" applyAlignment="1">
      <alignment vertical="center"/>
    </xf>
    <xf numFmtId="165" fontId="20" fillId="0" borderId="0" xfId="0" applyNumberFormat="1" applyFont="1" applyFill="1" applyAlignment="1">
      <alignment vertical="center"/>
    </xf>
    <xf numFmtId="0" fontId="106" fillId="12" borderId="0" xfId="0" applyFont="1" applyFill="1" applyAlignment="1">
      <alignment vertical="center"/>
    </xf>
    <xf numFmtId="165" fontId="27" fillId="12" borderId="11" xfId="1" applyFont="1" applyFill="1" applyBorder="1" applyAlignment="1">
      <alignment vertical="center"/>
    </xf>
    <xf numFmtId="165" fontId="27" fillId="12" borderId="4" xfId="1" applyFont="1" applyFill="1" applyBorder="1" applyAlignment="1">
      <alignment vertical="center"/>
    </xf>
    <xf numFmtId="165" fontId="27" fillId="12" borderId="3" xfId="1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6" fillId="0" borderId="4" xfId="9" applyFont="1" applyBorder="1" applyAlignment="1">
      <alignment horizontal="left" vertical="center" wrapText="1"/>
    </xf>
    <xf numFmtId="0" fontId="26" fillId="0" borderId="12" xfId="9" applyFont="1" applyFill="1" applyBorder="1" applyAlignment="1">
      <alignment horizontal="center" vertical="center"/>
    </xf>
    <xf numFmtId="165" fontId="26" fillId="0" borderId="12" xfId="1" applyNumberFormat="1" applyFont="1" applyFill="1" applyBorder="1" applyAlignment="1">
      <alignment vertical="center"/>
    </xf>
    <xf numFmtId="173" fontId="26" fillId="0" borderId="11" xfId="9" applyNumberFormat="1" applyFont="1" applyFill="1" applyBorder="1" applyAlignment="1">
      <alignment vertical="center"/>
    </xf>
    <xf numFmtId="173" fontId="26" fillId="0" borderId="3" xfId="9" applyNumberFormat="1" applyFont="1" applyFill="1" applyBorder="1" applyAlignment="1">
      <alignment vertical="center"/>
    </xf>
    <xf numFmtId="173" fontId="26" fillId="0" borderId="4" xfId="9" applyNumberFormat="1" applyFont="1" applyFill="1" applyBorder="1" applyAlignment="1">
      <alignment vertical="center"/>
    </xf>
    <xf numFmtId="43" fontId="27" fillId="12" borderId="11" xfId="0" applyNumberFormat="1" applyFont="1" applyFill="1" applyBorder="1" applyAlignment="1">
      <alignment vertical="center" wrapText="1"/>
    </xf>
    <xf numFmtId="43" fontId="27" fillId="12" borderId="3" xfId="0" applyNumberFormat="1" applyFont="1" applyFill="1" applyBorder="1" applyAlignment="1">
      <alignment vertical="center" wrapText="1"/>
    </xf>
    <xf numFmtId="43" fontId="27" fillId="12" borderId="4" xfId="0" applyNumberFormat="1" applyFont="1" applyFill="1" applyBorder="1" applyAlignment="1">
      <alignment vertical="center" wrapText="1"/>
    </xf>
    <xf numFmtId="165" fontId="44" fillId="0" borderId="12" xfId="1" applyNumberFormat="1" applyFont="1" applyFill="1" applyBorder="1" applyAlignment="1">
      <alignment vertical="center"/>
    </xf>
    <xf numFmtId="173" fontId="32" fillId="0" borderId="11" xfId="9" applyNumberFormat="1" applyFont="1" applyFill="1" applyBorder="1" applyAlignment="1">
      <alignment vertical="center"/>
    </xf>
    <xf numFmtId="173" fontId="32" fillId="0" borderId="3" xfId="9" applyNumberFormat="1" applyFont="1" applyFill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3" xfId="9" applyFont="1" applyFill="1" applyBorder="1" applyAlignment="1">
      <alignment horizontal="left" vertical="center"/>
    </xf>
    <xf numFmtId="0" fontId="37" fillId="0" borderId="4" xfId="9" applyFont="1" applyBorder="1" applyAlignment="1">
      <alignment horizontal="left" vertical="center" wrapText="1"/>
    </xf>
    <xf numFmtId="0" fontId="26" fillId="0" borderId="4" xfId="9" applyFont="1" applyFill="1" applyBorder="1" applyAlignment="1">
      <alignment horizontal="center" vertical="center"/>
    </xf>
    <xf numFmtId="0" fontId="27" fillId="0" borderId="3" xfId="9" applyFont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173" fontId="44" fillId="0" borderId="11" xfId="9" applyNumberFormat="1" applyFont="1" applyFill="1" applyBorder="1" applyAlignment="1">
      <alignment vertical="center"/>
    </xf>
    <xf numFmtId="173" fontId="44" fillId="0" borderId="3" xfId="9" applyNumberFormat="1" applyFont="1" applyFill="1" applyBorder="1" applyAlignment="1">
      <alignment vertical="center"/>
    </xf>
    <xf numFmtId="165" fontId="27" fillId="26" borderId="11" xfId="1" applyFont="1" applyFill="1" applyBorder="1" applyAlignment="1">
      <alignment vertical="center"/>
    </xf>
    <xf numFmtId="165" fontId="27" fillId="26" borderId="3" xfId="1" applyFont="1" applyFill="1" applyBorder="1" applyAlignment="1">
      <alignment vertical="center"/>
    </xf>
    <xf numFmtId="165" fontId="27" fillId="26" borderId="4" xfId="1" applyFont="1" applyFill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4" xfId="9" applyFont="1" applyBorder="1" applyAlignment="1">
      <alignment horizontal="left" vertical="center" wrapText="1"/>
    </xf>
    <xf numFmtId="0" fontId="42" fillId="0" borderId="12" xfId="9" applyFont="1" applyFill="1" applyBorder="1" applyAlignment="1">
      <alignment horizontal="center" vertical="center"/>
    </xf>
    <xf numFmtId="165" fontId="42" fillId="0" borderId="12" xfId="1" applyNumberFormat="1" applyFont="1" applyFill="1" applyBorder="1" applyAlignment="1">
      <alignment vertical="center"/>
    </xf>
    <xf numFmtId="173" fontId="26" fillId="0" borderId="11" xfId="1" applyNumberFormat="1" applyFont="1" applyFill="1" applyBorder="1" applyAlignment="1">
      <alignment horizontal="right" vertical="center"/>
    </xf>
    <xf numFmtId="173" fontId="26" fillId="0" borderId="3" xfId="1" applyNumberFormat="1" applyFont="1" applyFill="1" applyBorder="1" applyAlignment="1">
      <alignment horizontal="right" vertical="center"/>
    </xf>
    <xf numFmtId="173" fontId="42" fillId="0" borderId="4" xfId="9" applyNumberFormat="1" applyFont="1" applyFill="1" applyBorder="1" applyAlignment="1">
      <alignment vertical="center"/>
    </xf>
    <xf numFmtId="0" fontId="44" fillId="2" borderId="11" xfId="0" applyFont="1" applyFill="1" applyBorder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4" xfId="9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vertical="center"/>
    </xf>
    <xf numFmtId="0" fontId="44" fillId="2" borderId="3" xfId="9" applyFont="1" applyFill="1" applyBorder="1" applyAlignment="1">
      <alignment horizontal="left" vertical="center" wrapText="1"/>
    </xf>
    <xf numFmtId="0" fontId="26" fillId="0" borderId="11" xfId="0" applyFont="1" applyBorder="1" applyAlignment="1">
      <alignment vertical="center"/>
    </xf>
    <xf numFmtId="0" fontId="26" fillId="0" borderId="12" xfId="9" applyFont="1" applyBorder="1" applyAlignment="1">
      <alignment horizontal="center" vertical="center"/>
    </xf>
    <xf numFmtId="173" fontId="42" fillId="0" borderId="4" xfId="9" applyNumberFormat="1" applyFont="1" applyBorder="1" applyAlignment="1">
      <alignment vertical="center"/>
    </xf>
    <xf numFmtId="165" fontId="36" fillId="0" borderId="12" xfId="1" applyNumberFormat="1" applyFont="1" applyFill="1" applyBorder="1" applyAlignment="1">
      <alignment horizontal="right" vertical="center"/>
    </xf>
    <xf numFmtId="173" fontId="27" fillId="0" borderId="11" xfId="1" applyNumberFormat="1" applyFont="1" applyFill="1" applyBorder="1" applyAlignment="1">
      <alignment horizontal="right" vertical="center"/>
    </xf>
    <xf numFmtId="173" fontId="27" fillId="0" borderId="3" xfId="1" applyNumberFormat="1" applyFont="1" applyFill="1" applyBorder="1" applyAlignment="1">
      <alignment horizontal="right" vertical="center"/>
    </xf>
    <xf numFmtId="173" fontId="43" fillId="0" borderId="4" xfId="9" applyNumberFormat="1" applyFont="1" applyFill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4" xfId="9" applyFont="1" applyBorder="1" applyAlignment="1">
      <alignment horizontal="left" vertical="center" wrapText="1"/>
    </xf>
    <xf numFmtId="166" fontId="51" fillId="0" borderId="0" xfId="8" applyNumberFormat="1" applyFont="1" applyFill="1" applyAlignment="1">
      <alignment vertical="center"/>
    </xf>
    <xf numFmtId="0" fontId="44" fillId="0" borderId="11" xfId="0" applyFont="1" applyBorder="1" applyAlignment="1">
      <alignment vertical="center"/>
    </xf>
    <xf numFmtId="0" fontId="27" fillId="0" borderId="12" xfId="5" applyFont="1" applyFill="1" applyBorder="1" applyAlignment="1">
      <alignment horizontal="center" vertical="center"/>
    </xf>
    <xf numFmtId="165" fontId="36" fillId="0" borderId="12" xfId="1" applyNumberFormat="1" applyFont="1" applyFill="1" applyBorder="1" applyAlignment="1">
      <alignment horizontal="right"/>
    </xf>
    <xf numFmtId="0" fontId="26" fillId="0" borderId="3" xfId="9" applyFont="1" applyFill="1" applyBorder="1" applyAlignment="1">
      <alignment horizontal="left" vertical="center"/>
    </xf>
    <xf numFmtId="0" fontId="26" fillId="0" borderId="12" xfId="5" applyFont="1" applyFill="1" applyBorder="1" applyAlignment="1">
      <alignment horizontal="center" vertical="center"/>
    </xf>
    <xf numFmtId="165" fontId="54" fillId="0" borderId="12" xfId="1" applyNumberFormat="1" applyFont="1" applyFill="1" applyBorder="1" applyAlignment="1">
      <alignment horizontal="right"/>
    </xf>
    <xf numFmtId="165" fontId="43" fillId="0" borderId="12" xfId="1" applyNumberFormat="1" applyFont="1" applyFill="1" applyBorder="1" applyAlignment="1">
      <alignment vertical="center"/>
    </xf>
    <xf numFmtId="0" fontId="43" fillId="0" borderId="12" xfId="9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vertical="center"/>
    </xf>
    <xf numFmtId="0" fontId="27" fillId="0" borderId="4" xfId="9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vertical="center"/>
    </xf>
    <xf numFmtId="0" fontId="27" fillId="2" borderId="3" xfId="9" applyFont="1" applyFill="1" applyBorder="1" applyAlignment="1">
      <alignment horizontal="left" vertical="center" wrapText="1"/>
    </xf>
    <xf numFmtId="0" fontId="27" fillId="2" borderId="4" xfId="9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vertical="center"/>
    </xf>
    <xf numFmtId="165" fontId="26" fillId="0" borderId="12" xfId="1" applyNumberFormat="1" applyFont="1" applyFill="1" applyBorder="1" applyAlignment="1">
      <alignment horizontal="right"/>
    </xf>
    <xf numFmtId="0" fontId="32" fillId="0" borderId="0" xfId="9" applyFont="1" applyAlignment="1">
      <alignment horizontal="left" vertical="center" wrapText="1"/>
    </xf>
    <xf numFmtId="0" fontId="27" fillId="8" borderId="2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43" fontId="27" fillId="26" borderId="11" xfId="0" applyNumberFormat="1" applyFont="1" applyFill="1" applyBorder="1" applyAlignment="1">
      <alignment vertical="center" wrapText="1"/>
    </xf>
    <xf numFmtId="43" fontId="27" fillId="26" borderId="3" xfId="0" applyNumberFormat="1" applyFont="1" applyFill="1" applyBorder="1" applyAlignment="1">
      <alignment vertical="center" wrapText="1"/>
    </xf>
    <xf numFmtId="43" fontId="27" fillId="26" borderId="4" xfId="0" applyNumberFormat="1" applyFont="1" applyFill="1" applyBorder="1" applyAlignment="1">
      <alignment vertical="center" wrapText="1"/>
    </xf>
    <xf numFmtId="0" fontId="0" fillId="0" borderId="3" xfId="0" applyBorder="1"/>
    <xf numFmtId="0" fontId="26" fillId="0" borderId="4" xfId="9" applyFont="1" applyFill="1" applyBorder="1" applyAlignment="1">
      <alignment horizontal="left" vertical="center" wrapText="1"/>
    </xf>
    <xf numFmtId="173" fontId="27" fillId="0" borderId="11" xfId="9" applyNumberFormat="1" applyFont="1" applyFill="1" applyBorder="1" applyAlignment="1">
      <alignment vertical="center"/>
    </xf>
    <xf numFmtId="173" fontId="27" fillId="0" borderId="3" xfId="9" applyNumberFormat="1" applyFont="1" applyFill="1" applyBorder="1" applyAlignment="1">
      <alignment vertical="center"/>
    </xf>
    <xf numFmtId="0" fontId="44" fillId="7" borderId="11" xfId="0" applyFont="1" applyFill="1" applyBorder="1" applyAlignment="1">
      <alignment vertical="center"/>
    </xf>
    <xf numFmtId="0" fontId="52" fillId="0" borderId="3" xfId="0" applyFont="1" applyFill="1" applyBorder="1" applyAlignment="1">
      <alignment vertical="center"/>
    </xf>
    <xf numFmtId="0" fontId="44" fillId="7" borderId="3" xfId="9" applyFont="1" applyFill="1" applyBorder="1" applyAlignment="1">
      <alignment horizontal="left" vertical="center" wrapText="1"/>
    </xf>
    <xf numFmtId="0" fontId="44" fillId="7" borderId="4" xfId="9" applyFont="1" applyFill="1" applyBorder="1" applyAlignment="1">
      <alignment horizontal="left" vertical="center" wrapText="1"/>
    </xf>
    <xf numFmtId="43" fontId="26" fillId="0" borderId="11" xfId="0" applyNumberFormat="1" applyFont="1" applyFill="1" applyBorder="1" applyAlignment="1">
      <alignment vertical="center" wrapText="1"/>
    </xf>
    <xf numFmtId="43" fontId="26" fillId="0" borderId="3" xfId="0" applyNumberFormat="1" applyFont="1" applyFill="1" applyBorder="1" applyAlignment="1">
      <alignment vertical="center" wrapText="1"/>
    </xf>
    <xf numFmtId="4" fontId="27" fillId="0" borderId="4" xfId="9" applyNumberFormat="1" applyFont="1" applyFill="1" applyBorder="1" applyAlignment="1">
      <alignment vertical="center"/>
    </xf>
    <xf numFmtId="0" fontId="32" fillId="2" borderId="3" xfId="0" applyFont="1" applyFill="1" applyBorder="1" applyAlignment="1">
      <alignment vertical="center"/>
    </xf>
    <xf numFmtId="0" fontId="32" fillId="2" borderId="3" xfId="9" applyFont="1" applyFill="1" applyBorder="1" applyAlignment="1">
      <alignment horizontal="left" vertical="center" wrapText="1"/>
    </xf>
    <xf numFmtId="0" fontId="32" fillId="2" borderId="4" xfId="9" applyFont="1" applyFill="1" applyBorder="1" applyAlignment="1">
      <alignment horizontal="left" vertical="center" wrapText="1"/>
    </xf>
    <xf numFmtId="43" fontId="51" fillId="26" borderId="4" xfId="0" applyNumberFormat="1" applyFont="1" applyFill="1" applyBorder="1" applyAlignment="1">
      <alignment vertical="center" wrapText="1"/>
    </xf>
    <xf numFmtId="2" fontId="27" fillId="26" borderId="11" xfId="0" applyNumberFormat="1" applyFont="1" applyFill="1" applyBorder="1" applyAlignment="1">
      <alignment vertical="center" wrapText="1"/>
    </xf>
    <xf numFmtId="2" fontId="27" fillId="26" borderId="3" xfId="0" applyNumberFormat="1" applyFont="1" applyFill="1" applyBorder="1" applyAlignment="1">
      <alignment vertical="center" wrapText="1"/>
    </xf>
    <xf numFmtId="2" fontId="27" fillId="26" borderId="4" xfId="1" applyNumberFormat="1" applyFont="1" applyFill="1" applyBorder="1" applyAlignment="1">
      <alignment vertical="center"/>
    </xf>
    <xf numFmtId="0" fontId="32" fillId="0" borderId="3" xfId="0" applyFont="1" applyBorder="1" applyAlignment="1">
      <alignment vertical="center"/>
    </xf>
    <xf numFmtId="165" fontId="26" fillId="0" borderId="12" xfId="1" applyNumberFormat="1" applyFont="1" applyFill="1" applyBorder="1" applyAlignment="1">
      <alignment horizontal="right" vertical="center"/>
    </xf>
    <xf numFmtId="0" fontId="32" fillId="0" borderId="4" xfId="9" applyFont="1" applyFill="1" applyBorder="1" applyAlignment="1">
      <alignment horizontal="left" vertical="center" wrapText="1"/>
    </xf>
    <xf numFmtId="0" fontId="27" fillId="5" borderId="11" xfId="0" applyFont="1" applyFill="1" applyBorder="1" applyAlignment="1">
      <alignment vertical="center"/>
    </xf>
    <xf numFmtId="0" fontId="27" fillId="5" borderId="3" xfId="9" applyFont="1" applyFill="1" applyBorder="1" applyAlignment="1">
      <alignment horizontal="left" vertical="center"/>
    </xf>
    <xf numFmtId="0" fontId="27" fillId="5" borderId="4" xfId="9" applyFont="1" applyFill="1" applyBorder="1" applyAlignment="1">
      <alignment horizontal="left" vertical="center" wrapText="1"/>
    </xf>
    <xf numFmtId="0" fontId="27" fillId="5" borderId="12" xfId="5" applyFont="1" applyFill="1" applyBorder="1" applyAlignment="1">
      <alignment horizontal="center" vertical="center"/>
    </xf>
    <xf numFmtId="165" fontId="36" fillId="5" borderId="12" xfId="1" applyNumberFormat="1" applyFont="1" applyFill="1" applyBorder="1" applyAlignment="1">
      <alignment horizontal="right" vertical="center"/>
    </xf>
    <xf numFmtId="173" fontId="27" fillId="5" borderId="11" xfId="1" applyNumberFormat="1" applyFont="1" applyFill="1" applyBorder="1" applyAlignment="1">
      <alignment horizontal="right" vertical="center"/>
    </xf>
    <xf numFmtId="173" fontId="27" fillId="5" borderId="3" xfId="1" applyNumberFormat="1" applyFont="1" applyFill="1" applyBorder="1" applyAlignment="1">
      <alignment horizontal="right" vertical="center"/>
    </xf>
    <xf numFmtId="173" fontId="43" fillId="5" borderId="4" xfId="9" applyNumberFormat="1" applyFont="1" applyFill="1" applyBorder="1" applyAlignment="1">
      <alignment vertical="center"/>
    </xf>
    <xf numFmtId="170" fontId="27" fillId="26" borderId="3" xfId="0" applyNumberFormat="1" applyFont="1" applyFill="1" applyBorder="1" applyAlignment="1">
      <alignment horizontal="left" vertical="center" wrapText="1"/>
    </xf>
    <xf numFmtId="170" fontId="27" fillId="26" borderId="3" xfId="0" applyNumberFormat="1" applyFont="1" applyFill="1" applyBorder="1" applyAlignment="1">
      <alignment vertical="center" wrapText="1"/>
    </xf>
    <xf numFmtId="164" fontId="27" fillId="26" borderId="3" xfId="0" applyNumberFormat="1" applyFont="1" applyFill="1" applyBorder="1" applyAlignment="1">
      <alignment vertical="center" wrapText="1"/>
    </xf>
    <xf numFmtId="165" fontId="27" fillId="26" borderId="3" xfId="1" applyFont="1" applyFill="1" applyBorder="1" applyAlignment="1">
      <alignment vertical="center" wrapText="1"/>
    </xf>
    <xf numFmtId="170" fontId="27" fillId="26" borderId="11" xfId="0" applyNumberFormat="1" applyFont="1" applyFill="1" applyBorder="1" applyAlignment="1">
      <alignment horizontal="left" vertical="center" wrapText="1"/>
    </xf>
    <xf numFmtId="164" fontId="27" fillId="26" borderId="11" xfId="0" applyNumberFormat="1" applyFont="1" applyFill="1" applyBorder="1" applyAlignment="1">
      <alignment horizontal="left" vertical="center" wrapText="1"/>
    </xf>
    <xf numFmtId="0" fontId="42" fillId="0" borderId="12" xfId="9" applyFont="1" applyBorder="1" applyAlignment="1">
      <alignment horizontal="center" vertical="center"/>
    </xf>
    <xf numFmtId="165" fontId="42" fillId="0" borderId="12" xfId="1" applyFont="1" applyFill="1" applyBorder="1" applyAlignment="1">
      <alignment vertical="center"/>
    </xf>
    <xf numFmtId="0" fontId="27" fillId="0" borderId="3" xfId="9" applyFont="1" applyBorder="1" applyAlignment="1">
      <alignment horizontal="left" vertical="center" wrapText="1"/>
    </xf>
    <xf numFmtId="165" fontId="38" fillId="12" borderId="5" xfId="8" applyNumberFormat="1" applyFont="1" applyFill="1" applyBorder="1" applyAlignment="1">
      <alignment vertical="center"/>
    </xf>
    <xf numFmtId="165" fontId="44" fillId="12" borderId="5" xfId="8" applyNumberFormat="1" applyFont="1" applyFill="1" applyBorder="1" applyAlignment="1">
      <alignment vertical="center"/>
    </xf>
    <xf numFmtId="165" fontId="41" fillId="12" borderId="5" xfId="8" applyNumberFormat="1" applyFont="1" applyFill="1" applyBorder="1" applyAlignment="1">
      <alignment vertical="center"/>
    </xf>
    <xf numFmtId="165" fontId="38" fillId="26" borderId="5" xfId="8" applyNumberFormat="1" applyFont="1" applyFill="1" applyBorder="1" applyAlignment="1">
      <alignment vertical="center"/>
    </xf>
    <xf numFmtId="165" fontId="41" fillId="26" borderId="5" xfId="8" applyNumberFormat="1" applyFont="1" applyFill="1" applyBorder="1" applyAlignment="1">
      <alignment vertical="center"/>
    </xf>
    <xf numFmtId="165" fontId="32" fillId="26" borderId="5" xfId="8" applyNumberFormat="1" applyFont="1" applyFill="1" applyBorder="1" applyAlignment="1">
      <alignment vertical="center"/>
    </xf>
    <xf numFmtId="43" fontId="90" fillId="0" borderId="0" xfId="0" applyNumberFormat="1" applyFont="1" applyFill="1" applyAlignment="1">
      <alignment vertical="center"/>
    </xf>
    <xf numFmtId="43" fontId="20" fillId="0" borderId="0" xfId="0" applyNumberFormat="1" applyFont="1" applyFill="1" applyAlignment="1">
      <alignment vertical="center"/>
    </xf>
    <xf numFmtId="173" fontId="42" fillId="0" borderId="3" xfId="9" applyNumberFormat="1" applyFont="1" applyFill="1" applyBorder="1" applyAlignment="1">
      <alignment vertical="center"/>
    </xf>
    <xf numFmtId="173" fontId="42" fillId="0" borderId="3" xfId="9" applyNumberFormat="1" applyFont="1" applyBorder="1" applyAlignment="1">
      <alignment vertical="center"/>
    </xf>
    <xf numFmtId="43" fontId="27" fillId="12" borderId="1" xfId="0" applyNumberFormat="1" applyFont="1" applyFill="1" applyBorder="1" applyAlignment="1">
      <alignment vertical="center" wrapText="1"/>
    </xf>
    <xf numFmtId="43" fontId="27" fillId="12" borderId="2" xfId="0" applyNumberFormat="1" applyFont="1" applyFill="1" applyBorder="1" applyAlignment="1">
      <alignment vertical="center" wrapText="1"/>
    </xf>
    <xf numFmtId="43" fontId="27" fillId="12" borderId="10" xfId="0" applyNumberFormat="1" applyFont="1" applyFill="1" applyBorder="1" applyAlignment="1">
      <alignment vertical="center" wrapText="1"/>
    </xf>
    <xf numFmtId="165" fontId="44" fillId="0" borderId="11" xfId="1" applyFont="1" applyFill="1" applyBorder="1" applyAlignment="1">
      <alignment vertical="center"/>
    </xf>
    <xf numFmtId="165" fontId="44" fillId="0" borderId="3" xfId="1" applyFont="1" applyFill="1" applyBorder="1" applyAlignment="1">
      <alignment vertical="center"/>
    </xf>
    <xf numFmtId="0" fontId="0" fillId="12" borderId="0" xfId="0" applyFill="1"/>
    <xf numFmtId="0" fontId="55" fillId="12" borderId="12" xfId="0" applyFont="1" applyFill="1" applyBorder="1" applyAlignment="1">
      <alignment horizontal="center" vertical="center" wrapText="1"/>
    </xf>
    <xf numFmtId="0" fontId="55" fillId="12" borderId="12" xfId="0" applyFont="1" applyFill="1" applyBorder="1" applyAlignment="1">
      <alignment vertical="center" wrapText="1"/>
    </xf>
    <xf numFmtId="4" fontId="55" fillId="12" borderId="4" xfId="0" applyNumberFormat="1" applyFont="1" applyFill="1" applyBorder="1" applyAlignment="1">
      <alignment horizontal="center" vertical="center" wrapText="1"/>
    </xf>
    <xf numFmtId="4" fontId="55" fillId="12" borderId="12" xfId="0" applyNumberFormat="1" applyFont="1" applyFill="1" applyBorder="1" applyAlignment="1">
      <alignment horizontal="center" vertical="center" wrapText="1"/>
    </xf>
    <xf numFmtId="0" fontId="55" fillId="12" borderId="14" xfId="0" applyFont="1" applyFill="1" applyBorder="1" applyAlignment="1">
      <alignment vertical="center" wrapText="1"/>
    </xf>
    <xf numFmtId="0" fontId="51" fillId="12" borderId="54" xfId="0" applyFont="1" applyFill="1" applyBorder="1" applyAlignment="1">
      <alignment horizontal="center" vertical="center" wrapText="1"/>
    </xf>
    <xf numFmtId="0" fontId="55" fillId="12" borderId="53" xfId="0" applyFont="1" applyFill="1" applyBorder="1" applyAlignment="1">
      <alignment vertical="center" wrapText="1"/>
    </xf>
    <xf numFmtId="0" fontId="55" fillId="12" borderId="12" xfId="0" applyFont="1" applyFill="1" applyBorder="1" applyAlignment="1">
      <alignment horizontal="left" vertical="center" wrapText="1"/>
    </xf>
    <xf numFmtId="0" fontId="55" fillId="12" borderId="12" xfId="0" applyFont="1" applyFill="1" applyBorder="1" applyAlignment="1">
      <alignment horizontal="justify" vertical="center" wrapText="1"/>
    </xf>
    <xf numFmtId="168" fontId="55" fillId="12" borderId="12" xfId="1" applyNumberFormat="1" applyFont="1" applyFill="1" applyBorder="1" applyAlignment="1">
      <alignment horizontal="center" vertical="center" wrapText="1"/>
    </xf>
    <xf numFmtId="168" fontId="55" fillId="12" borderId="12" xfId="0" applyNumberFormat="1" applyFont="1" applyFill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3" fontId="26" fillId="0" borderId="13" xfId="9" applyNumberFormat="1" applyFont="1" applyBorder="1" applyAlignment="1">
      <alignment shrinkToFit="1"/>
    </xf>
    <xf numFmtId="0" fontId="32" fillId="15" borderId="5" xfId="0" applyFont="1" applyFill="1" applyBorder="1" applyAlignment="1">
      <alignment horizontal="center" vertical="center"/>
    </xf>
    <xf numFmtId="165" fontId="46" fillId="0" borderId="13" xfId="1" applyFont="1" applyBorder="1"/>
    <xf numFmtId="39" fontId="26" fillId="0" borderId="13" xfId="37" applyNumberFormat="1" applyFont="1" applyFill="1" applyBorder="1" applyAlignment="1">
      <alignment vertical="center" shrinkToFit="1"/>
    </xf>
    <xf numFmtId="3" fontId="43" fillId="15" borderId="13" xfId="9" applyNumberFormat="1" applyFont="1" applyFill="1" applyBorder="1" applyAlignment="1">
      <alignment shrinkToFit="1"/>
    </xf>
    <xf numFmtId="3" fontId="43" fillId="0" borderId="13" xfId="9" applyNumberFormat="1" applyFont="1" applyBorder="1"/>
    <xf numFmtId="164" fontId="43" fillId="0" borderId="5" xfId="1" applyNumberFormat="1" applyFont="1" applyFill="1" applyBorder="1" applyAlignment="1">
      <alignment horizontal="right" vertical="center"/>
    </xf>
    <xf numFmtId="39" fontId="46" fillId="0" borderId="13" xfId="37" applyNumberFormat="1" applyFont="1" applyFill="1" applyBorder="1" applyAlignment="1">
      <alignment vertical="center"/>
    </xf>
    <xf numFmtId="165" fontId="46" fillId="0" borderId="13" xfId="1" applyFont="1" applyFill="1" applyBorder="1" applyAlignment="1">
      <alignment vertical="center" shrinkToFit="1"/>
    </xf>
    <xf numFmtId="10" fontId="39" fillId="3" borderId="5" xfId="8" applyNumberFormat="1" applyFont="1" applyFill="1" applyBorder="1" applyAlignment="1">
      <alignment vertical="center" shrinkToFit="1"/>
    </xf>
    <xf numFmtId="10" fontId="39" fillId="3" borderId="0" xfId="8" applyNumberFormat="1" applyFont="1" applyFill="1" applyBorder="1" applyAlignment="1">
      <alignment vertical="center" shrinkToFit="1"/>
    </xf>
    <xf numFmtId="165" fontId="26" fillId="0" borderId="13" xfId="1" applyFont="1" applyFill="1" applyBorder="1" applyAlignment="1">
      <alignment vertical="center" shrinkToFit="1"/>
    </xf>
    <xf numFmtId="164" fontId="26" fillId="0" borderId="5" xfId="1" applyNumberFormat="1" applyFont="1" applyBorder="1" applyAlignment="1">
      <alignment horizontal="right" vertical="center" shrinkToFit="1"/>
    </xf>
    <xf numFmtId="0" fontId="17" fillId="0" borderId="13" xfId="0" applyFont="1" applyBorder="1" applyAlignment="1">
      <alignment shrinkToFit="1"/>
    </xf>
    <xf numFmtId="164" fontId="26" fillId="0" borderId="5" xfId="1" applyNumberFormat="1" applyFont="1" applyFill="1" applyBorder="1" applyAlignment="1">
      <alignment horizontal="right" vertical="center" shrinkToFit="1"/>
    </xf>
    <xf numFmtId="0" fontId="32" fillId="13" borderId="5" xfId="0" applyFont="1" applyFill="1" applyBorder="1" applyAlignment="1">
      <alignment horizontal="center" vertical="center"/>
    </xf>
    <xf numFmtId="49" fontId="26" fillId="0" borderId="0" xfId="9" applyNumberFormat="1" applyFont="1" applyAlignment="1">
      <alignment horizontal="left" vertical="center"/>
    </xf>
    <xf numFmtId="49" fontId="32" fillId="0" borderId="0" xfId="9" applyNumberFormat="1" applyFont="1" applyAlignment="1">
      <alignment horizontal="left" vertical="center"/>
    </xf>
    <xf numFmtId="165" fontId="26" fillId="0" borderId="13" xfId="1" applyFont="1" applyBorder="1" applyAlignment="1">
      <alignment vertical="center"/>
    </xf>
    <xf numFmtId="0" fontId="64" fillId="0" borderId="5" xfId="0" applyFont="1" applyBorder="1" applyAlignment="1">
      <alignment vertical="center"/>
    </xf>
    <xf numFmtId="49" fontId="26" fillId="0" borderId="0" xfId="5" applyNumberFormat="1" applyFont="1"/>
    <xf numFmtId="0" fontId="44" fillId="13" borderId="0" xfId="9" applyFont="1" applyFill="1" applyAlignment="1">
      <alignment horizontal="left" vertical="center"/>
    </xf>
    <xf numFmtId="43" fontId="27" fillId="13" borderId="0" xfId="0" applyNumberFormat="1" applyFont="1" applyFill="1" applyAlignment="1">
      <alignment vertical="center" wrapText="1"/>
    </xf>
    <xf numFmtId="165" fontId="27" fillId="13" borderId="7" xfId="1" applyFont="1" applyFill="1" applyBorder="1" applyAlignment="1">
      <alignment vertical="center"/>
    </xf>
    <xf numFmtId="43" fontId="32" fillId="13" borderId="5" xfId="0" applyNumberFormat="1" applyFont="1" applyFill="1" applyBorder="1" applyAlignment="1">
      <alignment vertical="center"/>
    </xf>
    <xf numFmtId="43" fontId="32" fillId="13" borderId="0" xfId="0" applyNumberFormat="1" applyFont="1" applyFill="1" applyAlignment="1">
      <alignment vertical="center"/>
    </xf>
    <xf numFmtId="165" fontId="27" fillId="13" borderId="5" xfId="1" applyFont="1" applyFill="1" applyBorder="1" applyAlignment="1">
      <alignment vertical="center"/>
    </xf>
    <xf numFmtId="165" fontId="27" fillId="13" borderId="0" xfId="1" applyFont="1" applyFill="1" applyBorder="1" applyAlignment="1">
      <alignment vertical="center"/>
    </xf>
    <xf numFmtId="3" fontId="26" fillId="0" borderId="7" xfId="9" applyNumberFormat="1" applyFont="1" applyBorder="1" applyAlignment="1">
      <alignment vertical="center"/>
    </xf>
    <xf numFmtId="0" fontId="26" fillId="0" borderId="7" xfId="1" applyNumberFormat="1" applyFont="1" applyBorder="1" applyAlignment="1">
      <alignment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165" fontId="26" fillId="0" borderId="12" xfId="0" applyNumberFormat="1" applyFont="1" applyBorder="1" applyAlignment="1">
      <alignment vertical="center" shrinkToFit="1"/>
    </xf>
    <xf numFmtId="165" fontId="42" fillId="0" borderId="11" xfId="0" applyNumberFormat="1" applyFont="1" applyBorder="1" applyAlignment="1">
      <alignment vertical="center" shrinkToFit="1"/>
    </xf>
    <xf numFmtId="165" fontId="27" fillId="0" borderId="0" xfId="1" applyFont="1" applyBorder="1" applyAlignment="1">
      <alignment vertical="center" shrinkToFit="1"/>
    </xf>
    <xf numFmtId="165" fontId="90" fillId="0" borderId="0" xfId="0" applyNumberFormat="1" applyFont="1" applyFill="1" applyAlignment="1">
      <alignment vertical="center"/>
    </xf>
    <xf numFmtId="165" fontId="107" fillId="0" borderId="0" xfId="0" applyNumberFormat="1" applyFont="1" applyFill="1" applyAlignment="1">
      <alignment vertical="center"/>
    </xf>
    <xf numFmtId="4" fontId="102" fillId="12" borderId="12" xfId="0" applyNumberFormat="1" applyFont="1" applyFill="1" applyBorder="1" applyAlignment="1">
      <alignment horizontal="center" vertical="center" wrapText="1"/>
    </xf>
    <xf numFmtId="4" fontId="105" fillId="12" borderId="54" xfId="0" applyNumberFormat="1" applyFont="1" applyFill="1" applyBorder="1"/>
    <xf numFmtId="4" fontId="103" fillId="12" borderId="54" xfId="0" applyNumberFormat="1" applyFont="1" applyFill="1" applyBorder="1" applyAlignment="1">
      <alignment horizontal="right" vertical="center" wrapText="1"/>
    </xf>
    <xf numFmtId="4" fontId="105" fillId="12" borderId="54" xfId="0" applyNumberFormat="1" applyFont="1" applyFill="1" applyBorder="1" applyAlignment="1">
      <alignment horizontal="right"/>
    </xf>
    <xf numFmtId="4" fontId="51" fillId="12" borderId="55" xfId="0" applyNumberFormat="1" applyFont="1" applyFill="1" applyBorder="1" applyAlignment="1">
      <alignment horizontal="center" vertical="center" wrapText="1"/>
    </xf>
    <xf numFmtId="165" fontId="41" fillId="0" borderId="0" xfId="1" applyFont="1" applyFill="1" applyAlignment="1">
      <alignment vertical="center"/>
    </xf>
    <xf numFmtId="165" fontId="41" fillId="5" borderId="0" xfId="1" applyFont="1" applyFill="1" applyAlignment="1">
      <alignment vertical="center"/>
    </xf>
    <xf numFmtId="165" fontId="38" fillId="5" borderId="0" xfId="1" applyFont="1" applyFill="1" applyAlignment="1">
      <alignment vertical="center"/>
    </xf>
    <xf numFmtId="165" fontId="44" fillId="6" borderId="0" xfId="1" applyFont="1" applyFill="1" applyAlignment="1">
      <alignment vertical="center"/>
    </xf>
    <xf numFmtId="165" fontId="38" fillId="0" borderId="0" xfId="1" applyNumberFormat="1" applyFont="1" applyFill="1" applyAlignment="1">
      <alignment vertical="center"/>
    </xf>
    <xf numFmtId="175" fontId="98" fillId="0" borderId="12" xfId="0" applyNumberFormat="1" applyFont="1" applyBorder="1" applyAlignment="1">
      <alignment horizontal="center" vertical="center" wrapText="1"/>
    </xf>
    <xf numFmtId="175" fontId="98" fillId="0" borderId="48" xfId="0" applyNumberFormat="1" applyFont="1" applyBorder="1" applyAlignment="1">
      <alignment horizontal="center" vertical="center" wrapText="1"/>
    </xf>
    <xf numFmtId="0" fontId="98" fillId="0" borderId="12" xfId="0" applyFont="1" applyBorder="1" applyAlignment="1">
      <alignment horizontal="center" vertical="center" wrapText="1"/>
    </xf>
    <xf numFmtId="175" fontId="89" fillId="0" borderId="46" xfId="0" applyNumberFormat="1" applyFont="1" applyBorder="1" applyAlignment="1">
      <alignment horizontal="center" vertical="center" wrapText="1"/>
    </xf>
    <xf numFmtId="175" fontId="89" fillId="0" borderId="47" xfId="0" applyNumberFormat="1" applyFont="1" applyBorder="1" applyAlignment="1">
      <alignment horizontal="center" vertical="center" wrapText="1"/>
    </xf>
    <xf numFmtId="4" fontId="55" fillId="0" borderId="12" xfId="0" applyNumberFormat="1" applyFont="1" applyFill="1" applyBorder="1" applyAlignment="1">
      <alignment horizontal="center" vertical="center" wrapText="1"/>
    </xf>
    <xf numFmtId="4" fontId="55" fillId="0" borderId="48" xfId="0" applyNumberFormat="1" applyFont="1" applyFill="1" applyBorder="1" applyAlignment="1">
      <alignment horizontal="center" vertical="center" wrapText="1"/>
    </xf>
    <xf numFmtId="165" fontId="55" fillId="0" borderId="12" xfId="1" applyFont="1" applyBorder="1" applyAlignment="1">
      <alignment horizontal="center" vertical="center" wrapText="1"/>
    </xf>
    <xf numFmtId="165" fontId="55" fillId="0" borderId="48" xfId="1" applyFont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165" fontId="55" fillId="0" borderId="48" xfId="1" applyFont="1" applyFill="1" applyBorder="1" applyAlignment="1">
      <alignment horizontal="center" vertical="center" wrapText="1"/>
    </xf>
    <xf numFmtId="4" fontId="55" fillId="0" borderId="12" xfId="0" applyNumberFormat="1" applyFont="1" applyBorder="1" applyAlignment="1">
      <alignment horizontal="center" vertical="center" wrapText="1"/>
    </xf>
    <xf numFmtId="4" fontId="51" fillId="0" borderId="46" xfId="0" applyNumberFormat="1" applyFont="1" applyBorder="1" applyAlignment="1">
      <alignment horizontal="center" vertical="center" wrapText="1"/>
    </xf>
    <xf numFmtId="4" fontId="51" fillId="0" borderId="47" xfId="0" applyNumberFormat="1" applyFont="1" applyBorder="1" applyAlignment="1">
      <alignment horizontal="center" vertical="center" wrapText="1"/>
    </xf>
    <xf numFmtId="3" fontId="55" fillId="0" borderId="48" xfId="0" applyNumberFormat="1" applyFont="1" applyBorder="1" applyAlignment="1">
      <alignment horizontal="center" vertical="center" wrapText="1"/>
    </xf>
    <xf numFmtId="3" fontId="55" fillId="0" borderId="46" xfId="0" applyNumberFormat="1" applyFont="1" applyBorder="1" applyAlignment="1">
      <alignment horizontal="center" vertical="center" wrapText="1"/>
    </xf>
    <xf numFmtId="3" fontId="55" fillId="0" borderId="47" xfId="0" applyNumberFormat="1" applyFont="1" applyBorder="1" applyAlignment="1">
      <alignment horizontal="center" vertical="center" wrapText="1"/>
    </xf>
    <xf numFmtId="165" fontId="43" fillId="0" borderId="14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6" fillId="16" borderId="30" xfId="0" applyFont="1" applyFill="1" applyBorder="1" applyAlignment="1">
      <alignment horizontal="center" vertical="center"/>
    </xf>
    <xf numFmtId="0" fontId="49" fillId="16" borderId="30" xfId="0" applyFont="1" applyFill="1" applyBorder="1" applyAlignment="1">
      <alignment horizontal="center" vertical="center"/>
    </xf>
    <xf numFmtId="3" fontId="43" fillId="0" borderId="5" xfId="9" applyNumberFormat="1" applyFont="1" applyBorder="1" applyAlignment="1">
      <alignment vertical="center"/>
    </xf>
    <xf numFmtId="3" fontId="43" fillId="15" borderId="5" xfId="9" applyNumberFormat="1" applyFont="1" applyFill="1" applyBorder="1"/>
    <xf numFmtId="3" fontId="42" fillId="13" borderId="5" xfId="9" applyNumberFormat="1" applyFont="1" applyFill="1" applyBorder="1" applyAlignment="1">
      <alignment vertical="center"/>
    </xf>
    <xf numFmtId="3" fontId="42" fillId="0" borderId="5" xfId="9" applyNumberFormat="1" applyFont="1" applyBorder="1" applyAlignment="1">
      <alignment vertical="center"/>
    </xf>
    <xf numFmtId="175" fontId="26" fillId="15" borderId="13" xfId="0" applyNumberFormat="1" applyFont="1" applyFill="1" applyBorder="1"/>
    <xf numFmtId="175" fontId="26" fillId="0" borderId="13" xfId="0" applyNumberFormat="1" applyFont="1" applyFill="1" applyBorder="1"/>
    <xf numFmtId="4" fontId="0" fillId="0" borderId="0" xfId="0" applyNumberFormat="1"/>
    <xf numFmtId="165" fontId="86" fillId="0" borderId="14" xfId="1" applyFont="1" applyBorder="1"/>
    <xf numFmtId="165" fontId="86" fillId="0" borderId="13" xfId="1" applyFont="1" applyBorder="1"/>
    <xf numFmtId="10" fontId="26" fillId="0" borderId="0" xfId="8" applyNumberFormat="1" applyFont="1" applyFill="1" applyAlignment="1">
      <alignment vertical="center"/>
    </xf>
    <xf numFmtId="10" fontId="27" fillId="0" borderId="0" xfId="8" applyNumberFormat="1" applyFont="1" applyFill="1" applyAlignment="1">
      <alignment vertical="center"/>
    </xf>
    <xf numFmtId="0" fontId="44" fillId="2" borderId="0" xfId="0" applyFont="1" applyFill="1" applyBorder="1" applyAlignment="1">
      <alignment vertical="center"/>
    </xf>
    <xf numFmtId="0" fontId="26" fillId="12" borderId="0" xfId="0" applyFont="1" applyFill="1" applyAlignment="1">
      <alignment horizontal="left" vertical="center"/>
    </xf>
    <xf numFmtId="0" fontId="26" fillId="12" borderId="13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32" fillId="12" borderId="5" xfId="0" applyFont="1" applyFill="1" applyBorder="1" applyAlignment="1">
      <alignment vertical="center"/>
    </xf>
    <xf numFmtId="0" fontId="32" fillId="12" borderId="0" xfId="0" applyFont="1" applyFill="1" applyAlignment="1">
      <alignment vertical="center"/>
    </xf>
    <xf numFmtId="0" fontId="26" fillId="12" borderId="0" xfId="9" applyFont="1" applyFill="1" applyAlignment="1">
      <alignment horizontal="left" vertical="center"/>
    </xf>
    <xf numFmtId="0" fontId="32" fillId="12" borderId="0" xfId="9" applyFont="1" applyFill="1" applyAlignment="1">
      <alignment horizontal="left" vertical="center" wrapText="1"/>
    </xf>
    <xf numFmtId="0" fontId="42" fillId="12" borderId="13" xfId="9" applyFont="1" applyFill="1" applyBorder="1" applyAlignment="1">
      <alignment horizontal="center" vertical="center"/>
    </xf>
    <xf numFmtId="165" fontId="42" fillId="12" borderId="13" xfId="1" applyFont="1" applyFill="1" applyBorder="1" applyAlignment="1">
      <alignment vertical="center"/>
    </xf>
    <xf numFmtId="175" fontId="26" fillId="12" borderId="13" xfId="0" applyNumberFormat="1" applyFont="1" applyFill="1" applyBorder="1"/>
    <xf numFmtId="164" fontId="26" fillId="12" borderId="5" xfId="1" applyNumberFormat="1" applyFont="1" applyFill="1" applyBorder="1" applyAlignment="1">
      <alignment horizontal="right" vertical="center"/>
    </xf>
    <xf numFmtId="164" fontId="26" fillId="12" borderId="0" xfId="1" applyNumberFormat="1" applyFont="1" applyFill="1" applyBorder="1" applyAlignment="1">
      <alignment horizontal="right" vertical="center"/>
    </xf>
    <xf numFmtId="165" fontId="42" fillId="12" borderId="7" xfId="1" applyFont="1" applyFill="1" applyBorder="1" applyAlignment="1">
      <alignment vertical="center"/>
    </xf>
    <xf numFmtId="43" fontId="26" fillId="12" borderId="0" xfId="0" applyNumberFormat="1" applyFont="1" applyFill="1" applyAlignment="1">
      <alignment vertical="center" wrapText="1"/>
    </xf>
    <xf numFmtId="165" fontId="26" fillId="12" borderId="7" xfId="1" applyFont="1" applyFill="1" applyBorder="1" applyAlignment="1">
      <alignment vertical="center"/>
    </xf>
    <xf numFmtId="166" fontId="39" fillId="12" borderId="0" xfId="8" applyNumberFormat="1" applyFont="1" applyFill="1" applyAlignment="1">
      <alignment vertical="center"/>
    </xf>
    <xf numFmtId="166" fontId="39" fillId="12" borderId="7" xfId="8" applyNumberFormat="1" applyFont="1" applyFill="1" applyBorder="1" applyAlignment="1">
      <alignment vertical="center"/>
    </xf>
    <xf numFmtId="43" fontId="64" fillId="12" borderId="0" xfId="0" applyNumberFormat="1" applyFont="1" applyFill="1" applyAlignment="1">
      <alignment vertical="center"/>
    </xf>
    <xf numFmtId="43" fontId="64" fillId="12" borderId="7" xfId="0" applyNumberFormat="1" applyFont="1" applyFill="1" applyBorder="1" applyAlignment="1">
      <alignment vertical="center"/>
    </xf>
    <xf numFmtId="43" fontId="64" fillId="12" borderId="5" xfId="0" applyNumberFormat="1" applyFont="1" applyFill="1" applyBorder="1" applyAlignment="1">
      <alignment vertical="center"/>
    </xf>
    <xf numFmtId="165" fontId="64" fillId="12" borderId="0" xfId="1" applyFont="1" applyFill="1" applyBorder="1" applyAlignment="1">
      <alignment vertical="center"/>
    </xf>
    <xf numFmtId="43" fontId="32" fillId="12" borderId="7" xfId="0" applyNumberFormat="1" applyFont="1" applyFill="1" applyBorder="1" applyAlignment="1">
      <alignment vertical="center"/>
    </xf>
    <xf numFmtId="165" fontId="26" fillId="12" borderId="5" xfId="1" applyFont="1" applyFill="1" applyBorder="1" applyAlignment="1">
      <alignment vertical="center"/>
    </xf>
    <xf numFmtId="165" fontId="26" fillId="12" borderId="0" xfId="1" applyFont="1" applyFill="1" applyBorder="1" applyAlignment="1">
      <alignment vertical="center"/>
    </xf>
    <xf numFmtId="0" fontId="26" fillId="12" borderId="0" xfId="0" applyFont="1" applyFill="1" applyAlignment="1">
      <alignment vertical="center"/>
    </xf>
    <xf numFmtId="0" fontId="49" fillId="12" borderId="13" xfId="0" applyFont="1" applyFill="1" applyBorder="1" applyAlignment="1">
      <alignment horizontal="center" vertical="center"/>
    </xf>
    <xf numFmtId="0" fontId="20" fillId="12" borderId="0" xfId="0" applyFont="1" applyFill="1" applyAlignment="1">
      <alignment vertical="center"/>
    </xf>
    <xf numFmtId="164" fontId="26" fillId="6" borderId="5" xfId="1" applyNumberFormat="1" applyFont="1" applyFill="1" applyBorder="1" applyAlignment="1">
      <alignment horizontal="right" vertical="center"/>
    </xf>
    <xf numFmtId="0" fontId="26" fillId="6" borderId="0" xfId="0" applyFont="1" applyFill="1" applyAlignment="1">
      <alignment horizontal="left" vertical="center"/>
    </xf>
    <xf numFmtId="0" fontId="26" fillId="6" borderId="13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49" fontId="26" fillId="6" borderId="0" xfId="9" applyNumberFormat="1" applyFont="1" applyFill="1" applyAlignment="1">
      <alignment horizontal="left" vertical="center"/>
    </xf>
    <xf numFmtId="0" fontId="26" fillId="6" borderId="0" xfId="9" applyFont="1" applyFill="1" applyAlignment="1">
      <alignment horizontal="left" vertical="center"/>
    </xf>
    <xf numFmtId="0" fontId="26" fillId="6" borderId="13" xfId="9" applyFont="1" applyFill="1" applyBorder="1" applyAlignment="1">
      <alignment horizontal="center" vertical="center"/>
    </xf>
    <xf numFmtId="165" fontId="26" fillId="6" borderId="13" xfId="1" applyFont="1" applyFill="1" applyBorder="1" applyAlignment="1">
      <alignment vertical="center"/>
    </xf>
    <xf numFmtId="175" fontId="26" fillId="6" borderId="13" xfId="0" applyNumberFormat="1" applyFont="1" applyFill="1" applyBorder="1"/>
    <xf numFmtId="164" fontId="26" fillId="6" borderId="0" xfId="1" applyNumberFormat="1" applyFont="1" applyFill="1" applyBorder="1" applyAlignment="1">
      <alignment horizontal="right" vertical="center"/>
    </xf>
    <xf numFmtId="166" fontId="39" fillId="6" borderId="7" xfId="8" applyNumberFormat="1" applyFont="1" applyFill="1" applyBorder="1" applyAlignment="1">
      <alignment vertical="center"/>
    </xf>
    <xf numFmtId="43" fontId="64" fillId="6" borderId="5" xfId="0" applyNumberFormat="1" applyFont="1" applyFill="1" applyBorder="1" applyAlignment="1">
      <alignment vertical="center"/>
    </xf>
    <xf numFmtId="43" fontId="64" fillId="6" borderId="0" xfId="0" applyNumberFormat="1" applyFont="1" applyFill="1" applyAlignment="1">
      <alignment vertical="center"/>
    </xf>
    <xf numFmtId="43" fontId="64" fillId="6" borderId="7" xfId="0" applyNumberFormat="1" applyFont="1" applyFill="1" applyBorder="1" applyAlignment="1">
      <alignment vertical="center"/>
    </xf>
    <xf numFmtId="165" fontId="64" fillId="6" borderId="0" xfId="1" applyFont="1" applyFill="1" applyBorder="1" applyAlignment="1">
      <alignment vertical="center"/>
    </xf>
    <xf numFmtId="43" fontId="32" fillId="6" borderId="7" xfId="0" applyNumberFormat="1" applyFont="1" applyFill="1" applyBorder="1" applyAlignment="1">
      <alignment vertical="center"/>
    </xf>
    <xf numFmtId="165" fontId="26" fillId="6" borderId="5" xfId="1" applyFont="1" applyFill="1" applyBorder="1" applyAlignment="1">
      <alignment vertical="center"/>
    </xf>
    <xf numFmtId="165" fontId="26" fillId="6" borderId="0" xfId="1" applyFont="1" applyFill="1" applyBorder="1" applyAlignment="1">
      <alignment vertical="center"/>
    </xf>
    <xf numFmtId="0" fontId="26" fillId="6" borderId="30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55" fillId="12" borderId="12" xfId="0" applyFont="1" applyFill="1" applyBorder="1" applyAlignment="1">
      <alignment vertical="center" wrapText="1"/>
    </xf>
    <xf numFmtId="0" fontId="55" fillId="12" borderId="12" xfId="0" applyFont="1" applyFill="1" applyBorder="1" applyAlignment="1">
      <alignment horizontal="center" vertical="center" wrapText="1"/>
    </xf>
    <xf numFmtId="0" fontId="99" fillId="12" borderId="57" xfId="0" applyFont="1" applyFill="1" applyBorder="1" applyAlignment="1">
      <alignment horizontal="center" vertical="center" wrapText="1"/>
    </xf>
    <xf numFmtId="0" fontId="99" fillId="12" borderId="58" xfId="0" applyFont="1" applyFill="1" applyBorder="1" applyAlignment="1">
      <alignment horizontal="center" vertical="center" wrapText="1"/>
    </xf>
    <xf numFmtId="0" fontId="99" fillId="12" borderId="53" xfId="0" applyFont="1" applyFill="1" applyBorder="1" applyAlignment="1">
      <alignment horizontal="center" vertical="center" wrapText="1"/>
    </xf>
    <xf numFmtId="0" fontId="99" fillId="12" borderId="1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55" fillId="0" borderId="49" xfId="0" applyFont="1" applyBorder="1" applyAlignment="1">
      <alignment horizontal="center" vertical="center" wrapText="1"/>
    </xf>
    <xf numFmtId="0" fontId="96" fillId="6" borderId="13" xfId="35" applyFont="1" applyFill="1" applyBorder="1"/>
    <xf numFmtId="0" fontId="97" fillId="6" borderId="0" xfId="0" applyFont="1" applyFill="1"/>
    <xf numFmtId="165" fontId="97" fillId="6" borderId="0" xfId="0" applyNumberFormat="1" applyFont="1" applyFill="1"/>
    <xf numFmtId="0" fontId="55" fillId="0" borderId="0" xfId="0" applyFont="1" applyBorder="1" applyAlignment="1">
      <alignment horizontal="justify" vertical="center" wrapText="1"/>
    </xf>
    <xf numFmtId="3" fontId="55" fillId="0" borderId="0" xfId="0" applyNumberFormat="1" applyFont="1" applyBorder="1" applyAlignment="1">
      <alignment horizontal="center" vertical="center" wrapText="1"/>
    </xf>
    <xf numFmtId="3" fontId="104" fillId="0" borderId="0" xfId="0" applyNumberFormat="1" applyFont="1" applyBorder="1" applyAlignment="1">
      <alignment horizontal="center" vertical="center" wrapText="1"/>
    </xf>
    <xf numFmtId="3" fontId="99" fillId="0" borderId="0" xfId="0" applyNumberFormat="1" applyFont="1" applyBorder="1" applyAlignment="1">
      <alignment horizontal="center" vertical="center" wrapText="1"/>
    </xf>
    <xf numFmtId="0" fontId="92" fillId="0" borderId="0" xfId="0" applyFont="1" applyBorder="1"/>
    <xf numFmtId="165" fontId="27" fillId="0" borderId="13" xfId="1" applyNumberFormat="1" applyFont="1" applyFill="1" applyBorder="1" applyAlignment="1">
      <alignment vertical="center"/>
    </xf>
    <xf numFmtId="173" fontId="27" fillId="0" borderId="0" xfId="9" applyNumberFormat="1" applyFont="1" applyFill="1" applyBorder="1" applyAlignment="1">
      <alignment vertical="center"/>
    </xf>
    <xf numFmtId="0" fontId="26" fillId="6" borderId="0" xfId="0" applyFont="1" applyFill="1" applyAlignment="1">
      <alignment horizontal="left"/>
    </xf>
    <xf numFmtId="0" fontId="26" fillId="6" borderId="7" xfId="0" applyFont="1" applyFill="1" applyBorder="1" applyAlignment="1">
      <alignment horizontal="left"/>
    </xf>
    <xf numFmtId="41" fontId="26" fillId="6" borderId="13" xfId="33" applyNumberFormat="1" applyFont="1" applyFill="1" applyBorder="1" applyAlignment="1">
      <alignment horizontal="center" vertical="center"/>
    </xf>
    <xf numFmtId="165" fontId="26" fillId="6" borderId="13" xfId="1" applyNumberFormat="1" applyFont="1" applyFill="1" applyBorder="1" applyAlignment="1">
      <alignment horizontal="center" vertical="center"/>
    </xf>
    <xf numFmtId="173" fontId="26" fillId="6" borderId="5" xfId="33" applyNumberFormat="1" applyFont="1" applyFill="1" applyBorder="1" applyAlignment="1">
      <alignment horizontal="center" vertical="center"/>
    </xf>
    <xf numFmtId="173" fontId="26" fillId="6" borderId="0" xfId="33" applyNumberFormat="1" applyFont="1" applyFill="1" applyBorder="1" applyAlignment="1">
      <alignment horizontal="center" vertical="center"/>
    </xf>
    <xf numFmtId="170" fontId="26" fillId="0" borderId="5" xfId="9" applyNumberFormat="1" applyFont="1" applyFill="1" applyBorder="1" applyAlignment="1">
      <alignment vertical="center"/>
    </xf>
    <xf numFmtId="170" fontId="26" fillId="0" borderId="0" xfId="9" applyNumberFormat="1" applyFont="1" applyFill="1" applyBorder="1" applyAlignment="1">
      <alignment vertical="center"/>
    </xf>
    <xf numFmtId="169" fontId="26" fillId="0" borderId="0" xfId="9" applyNumberFormat="1" applyFont="1" applyFill="1" applyBorder="1" applyAlignment="1">
      <alignment vertical="center"/>
    </xf>
    <xf numFmtId="0" fontId="26" fillId="0" borderId="0" xfId="5" applyNumberFormat="1" applyFont="1" applyFill="1"/>
    <xf numFmtId="0" fontId="26" fillId="0" borderId="0" xfId="5" applyFont="1" applyFill="1"/>
    <xf numFmtId="0" fontId="27" fillId="0" borderId="0" xfId="5" applyFont="1" applyFill="1"/>
    <xf numFmtId="0" fontId="26" fillId="0" borderId="0" xfId="5" applyFont="1" applyFill="1" applyAlignment="1">
      <alignment horizontal="left"/>
    </xf>
    <xf numFmtId="0" fontId="42" fillId="0" borderId="5" xfId="9" applyFont="1" applyFill="1" applyBorder="1" applyAlignment="1">
      <alignment horizontal="center" vertical="center"/>
    </xf>
    <xf numFmtId="0" fontId="54" fillId="0" borderId="13" xfId="5" applyFont="1" applyFill="1" applyBorder="1" applyAlignment="1">
      <alignment horizontal="right"/>
    </xf>
    <xf numFmtId="0" fontId="54" fillId="0" borderId="0" xfId="5" applyFont="1" applyFill="1" applyBorder="1" applyAlignment="1">
      <alignment horizontal="right"/>
    </xf>
    <xf numFmtId="0" fontId="26" fillId="0" borderId="0" xfId="0" applyNumberFormat="1" applyFont="1" applyFill="1" applyAlignment="1">
      <alignment vertical="center" wrapText="1"/>
    </xf>
    <xf numFmtId="170" fontId="26" fillId="0" borderId="0" xfId="0" applyNumberFormat="1" applyFont="1" applyFill="1" applyAlignment="1">
      <alignment vertical="center" wrapText="1"/>
    </xf>
    <xf numFmtId="0" fontId="27" fillId="0" borderId="11" xfId="0" applyFont="1" applyFill="1" applyBorder="1" applyAlignment="1">
      <alignment vertical="center"/>
    </xf>
    <xf numFmtId="175" fontId="26" fillId="0" borderId="13" xfId="0" applyNumberFormat="1" applyFont="1" applyBorder="1" applyAlignment="1">
      <alignment vertical="center"/>
    </xf>
    <xf numFmtId="165" fontId="26" fillId="0" borderId="7" xfId="1" applyFont="1" applyFill="1" applyBorder="1" applyAlignment="1">
      <alignment vertical="center"/>
    </xf>
    <xf numFmtId="0" fontId="71" fillId="15" borderId="0" xfId="0" applyFont="1" applyFill="1" applyAlignment="1">
      <alignment vertical="center"/>
    </xf>
    <xf numFmtId="0" fontId="26" fillId="0" borderId="13" xfId="5" applyFont="1" applyFill="1" applyBorder="1" applyAlignment="1">
      <alignment horizontal="center" vertical="center"/>
    </xf>
    <xf numFmtId="0" fontId="26" fillId="0" borderId="0" xfId="9" applyFont="1" applyFill="1" applyAlignment="1">
      <alignment horizontal="left" vertical="center"/>
    </xf>
    <xf numFmtId="165" fontId="54" fillId="0" borderId="13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horizontal="center" vertical="center"/>
    </xf>
    <xf numFmtId="173" fontId="26" fillId="0" borderId="5" xfId="1" applyNumberFormat="1" applyFont="1" applyFill="1" applyBorder="1" applyAlignment="1">
      <alignment horizontal="right" vertical="center"/>
    </xf>
    <xf numFmtId="173" fontId="26" fillId="0" borderId="0" xfId="1" applyNumberFormat="1" applyFont="1" applyFill="1" applyBorder="1" applyAlignment="1">
      <alignment horizontal="right" vertical="center"/>
    </xf>
    <xf numFmtId="173" fontId="26" fillId="0" borderId="5" xfId="9" applyNumberFormat="1" applyFont="1" applyFill="1" applyBorder="1" applyAlignment="1">
      <alignment vertical="center"/>
    </xf>
    <xf numFmtId="173" fontId="26" fillId="0" borderId="0" xfId="9" applyNumberFormat="1" applyFont="1" applyFill="1" applyBorder="1" applyAlignment="1">
      <alignment vertical="center"/>
    </xf>
    <xf numFmtId="0" fontId="26" fillId="0" borderId="7" xfId="9" applyFont="1" applyFill="1" applyBorder="1" applyAlignment="1">
      <alignment horizontal="left" vertical="center" wrapText="1"/>
    </xf>
    <xf numFmtId="0" fontId="43" fillId="15" borderId="13" xfId="0" applyFont="1" applyFill="1" applyBorder="1" applyAlignment="1">
      <alignment vertical="center"/>
    </xf>
    <xf numFmtId="165" fontId="27" fillId="0" borderId="12" xfId="1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165" fontId="26" fillId="0" borderId="12" xfId="1" applyNumberFormat="1" applyFont="1" applyFill="1" applyBorder="1" applyAlignment="1">
      <alignment vertical="center"/>
    </xf>
    <xf numFmtId="173" fontId="26" fillId="0" borderId="11" xfId="9" applyNumberFormat="1" applyFont="1" applyFill="1" applyBorder="1" applyAlignment="1">
      <alignment vertical="center"/>
    </xf>
    <xf numFmtId="173" fontId="26" fillId="0" borderId="3" xfId="9" applyNumberFormat="1" applyFont="1" applyFill="1" applyBorder="1" applyAlignment="1">
      <alignment vertical="center"/>
    </xf>
    <xf numFmtId="168" fontId="26" fillId="0" borderId="13" xfId="1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43" fillId="0" borderId="13" xfId="0" applyFont="1" applyFill="1" applyBorder="1" applyAlignment="1">
      <alignment vertical="center"/>
    </xf>
    <xf numFmtId="0" fontId="44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horizontal="right"/>
    </xf>
    <xf numFmtId="0" fontId="43" fillId="0" borderId="13" xfId="0" applyFont="1" applyFill="1" applyBorder="1" applyAlignment="1">
      <alignment vertical="center" shrinkToFit="1"/>
    </xf>
    <xf numFmtId="173" fontId="27" fillId="0" borderId="5" xfId="9" applyNumberFormat="1" applyFont="1" applyFill="1" applyBorder="1" applyAlignment="1">
      <alignment vertical="center"/>
    </xf>
    <xf numFmtId="173" fontId="26" fillId="0" borderId="7" xfId="33" applyNumberFormat="1" applyFont="1" applyFill="1" applyBorder="1" applyAlignment="1">
      <alignment horizontal="center" vertical="center"/>
    </xf>
    <xf numFmtId="173" fontId="26" fillId="6" borderId="7" xfId="33" applyNumberFormat="1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99" fillId="0" borderId="12" xfId="0" applyFont="1" applyBorder="1" applyAlignment="1">
      <alignment horizontal="center" vertical="center" wrapText="1"/>
    </xf>
    <xf numFmtId="178" fontId="0" fillId="5" borderId="0" xfId="0" applyNumberFormat="1" applyFill="1"/>
    <xf numFmtId="2" fontId="0" fillId="5" borderId="0" xfId="0" applyNumberFormat="1" applyFill="1"/>
    <xf numFmtId="165" fontId="18" fillId="0" borderId="14" xfId="1" applyNumberFormat="1" applyFont="1" applyFill="1" applyBorder="1" applyAlignment="1">
      <alignment horizontal="center"/>
    </xf>
    <xf numFmtId="0" fontId="99" fillId="27" borderId="72" xfId="0" applyFont="1" applyFill="1" applyBorder="1" applyAlignment="1">
      <alignment horizontal="center" vertical="center"/>
    </xf>
    <xf numFmtId="0" fontId="99" fillId="27" borderId="73" xfId="0" applyFont="1" applyFill="1" applyBorder="1" applyAlignment="1">
      <alignment horizontal="center" vertical="center" wrapText="1"/>
    </xf>
    <xf numFmtId="0" fontId="99" fillId="28" borderId="69" xfId="0" applyFont="1" applyFill="1" applyBorder="1" applyAlignment="1">
      <alignment vertical="center"/>
    </xf>
    <xf numFmtId="0" fontId="99" fillId="0" borderId="69" xfId="0" applyFont="1" applyBorder="1" applyAlignment="1">
      <alignment vertical="center"/>
    </xf>
    <xf numFmtId="0" fontId="99" fillId="29" borderId="74" xfId="0" applyFont="1" applyFill="1" applyBorder="1" applyAlignment="1">
      <alignment vertical="center"/>
    </xf>
    <xf numFmtId="4" fontId="99" fillId="29" borderId="75" xfId="0" applyNumberFormat="1" applyFont="1" applyFill="1" applyBorder="1" applyAlignment="1">
      <alignment horizontal="center" vertical="center"/>
    </xf>
    <xf numFmtId="4" fontId="99" fillId="29" borderId="75" xfId="0" applyNumberFormat="1" applyFont="1" applyFill="1" applyBorder="1" applyAlignment="1">
      <alignment horizontal="right" vertical="center"/>
    </xf>
    <xf numFmtId="4" fontId="99" fillId="30" borderId="75" xfId="0" applyNumberFormat="1" applyFont="1" applyFill="1" applyBorder="1" applyAlignment="1">
      <alignment horizontal="right" vertical="center"/>
    </xf>
    <xf numFmtId="0" fontId="99" fillId="30" borderId="76" xfId="0" applyFont="1" applyFill="1" applyBorder="1" applyAlignment="1">
      <alignment horizontal="center" vertical="center" wrapText="1"/>
    </xf>
    <xf numFmtId="165" fontId="86" fillId="0" borderId="12" xfId="1" applyNumberFormat="1" applyFont="1" applyBorder="1"/>
    <xf numFmtId="0" fontId="100" fillId="0" borderId="67" xfId="0" applyFont="1" applyBorder="1" applyAlignment="1">
      <alignment vertical="center"/>
    </xf>
    <xf numFmtId="4" fontId="100" fillId="0" borderId="79" xfId="0" applyNumberFormat="1" applyFont="1" applyBorder="1" applyAlignment="1">
      <alignment horizontal="right" vertical="center"/>
    </xf>
    <xf numFmtId="0" fontId="100" fillId="0" borderId="79" xfId="0" applyFont="1" applyBorder="1" applyAlignment="1">
      <alignment vertical="center"/>
    </xf>
    <xf numFmtId="4" fontId="100" fillId="0" borderId="70" xfId="0" applyNumberFormat="1" applyFont="1" applyBorder="1" applyAlignment="1">
      <alignment horizontal="right" vertical="center"/>
    </xf>
    <xf numFmtId="0" fontId="100" fillId="0" borderId="69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100" fillId="0" borderId="72" xfId="0" applyFont="1" applyBorder="1" applyAlignment="1">
      <alignment vertical="center"/>
    </xf>
    <xf numFmtId="4" fontId="100" fillId="0" borderId="72" xfId="0" applyNumberFormat="1" applyFont="1" applyBorder="1" applyAlignment="1">
      <alignment horizontal="right" vertical="center"/>
    </xf>
    <xf numFmtId="4" fontId="100" fillId="0" borderId="73" xfId="0" applyNumberFormat="1" applyFont="1" applyBorder="1" applyAlignment="1">
      <alignment horizontal="right" vertical="center"/>
    </xf>
    <xf numFmtId="4" fontId="100" fillId="0" borderId="72" xfId="0" applyNumberFormat="1" applyFont="1" applyBorder="1" applyAlignment="1">
      <alignment vertical="center"/>
    </xf>
    <xf numFmtId="4" fontId="100" fillId="0" borderId="69" xfId="0" applyNumberFormat="1" applyFont="1" applyBorder="1" applyAlignment="1">
      <alignment horizontal="right" vertical="center"/>
    </xf>
    <xf numFmtId="4" fontId="109" fillId="31" borderId="74" xfId="0" applyNumberFormat="1" applyFont="1" applyFill="1" applyBorder="1" applyAlignment="1">
      <alignment horizontal="center" vertical="center"/>
    </xf>
    <xf numFmtId="4" fontId="109" fillId="31" borderId="75" xfId="0" applyNumberFormat="1" applyFont="1" applyFill="1" applyBorder="1" applyAlignment="1">
      <alignment horizontal="center" vertical="center"/>
    </xf>
    <xf numFmtId="0" fontId="100" fillId="0" borderId="72" xfId="0" applyFont="1" applyBorder="1" applyAlignment="1">
      <alignment horizontal="right" vertical="center"/>
    </xf>
    <xf numFmtId="0" fontId="100" fillId="0" borderId="73" xfId="0" applyFont="1" applyBorder="1" applyAlignment="1">
      <alignment horizontal="right" vertical="center"/>
    </xf>
    <xf numFmtId="0" fontId="109" fillId="31" borderId="75" xfId="0" applyFont="1" applyFill="1" applyBorder="1" applyAlignment="1">
      <alignment horizontal="right" vertical="center"/>
    </xf>
    <xf numFmtId="0" fontId="109" fillId="31" borderId="75" xfId="0" applyFont="1" applyFill="1" applyBorder="1" applyAlignment="1">
      <alignment horizontal="center" vertical="center"/>
    </xf>
    <xf numFmtId="4" fontId="109" fillId="31" borderId="74" xfId="0" applyNumberFormat="1" applyFont="1" applyFill="1" applyBorder="1" applyAlignment="1">
      <alignment horizontal="right" vertical="center"/>
    </xf>
    <xf numFmtId="4" fontId="100" fillId="0" borderId="74" xfId="0" applyNumberFormat="1" applyFont="1" applyBorder="1" applyAlignment="1">
      <alignment horizontal="right" vertical="center"/>
    </xf>
    <xf numFmtId="0" fontId="100" fillId="0" borderId="75" xfId="0" applyFont="1" applyBorder="1" applyAlignment="1">
      <alignment vertical="center"/>
    </xf>
    <xf numFmtId="4" fontId="100" fillId="0" borderId="76" xfId="0" applyNumberFormat="1" applyFont="1" applyBorder="1" applyAlignment="1">
      <alignment horizontal="right" vertical="center"/>
    </xf>
    <xf numFmtId="4" fontId="109" fillId="0" borderId="86" xfId="0" applyNumberFormat="1" applyFont="1" applyBorder="1" applyAlignment="1">
      <alignment horizontal="right" vertical="center"/>
    </xf>
    <xf numFmtId="0" fontId="109" fillId="0" borderId="87" xfId="0" applyFont="1" applyBorder="1" applyAlignment="1">
      <alignment horizontal="right" vertical="center"/>
    </xf>
    <xf numFmtId="0" fontId="97" fillId="6" borderId="12" xfId="0" applyFont="1" applyFill="1" applyBorder="1" applyAlignment="1">
      <alignment vertical="center" wrapText="1"/>
    </xf>
    <xf numFmtId="165" fontId="97" fillId="6" borderId="12" xfId="1" applyFont="1" applyFill="1" applyBorder="1" applyAlignment="1">
      <alignment vertical="center"/>
    </xf>
    <xf numFmtId="0" fontId="97" fillId="6" borderId="12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97" fillId="6" borderId="4" xfId="0" applyFont="1" applyFill="1" applyBorder="1" applyAlignment="1">
      <alignment vertical="center"/>
    </xf>
    <xf numFmtId="174" fontId="0" fillId="0" borderId="12" xfId="1" applyNumberFormat="1" applyFont="1" applyBorder="1" applyAlignment="1">
      <alignment vertical="center"/>
    </xf>
    <xf numFmtId="165" fontId="97" fillId="6" borderId="13" xfId="1" applyFont="1" applyFill="1" applyBorder="1" applyAlignment="1">
      <alignment vertical="center"/>
    </xf>
    <xf numFmtId="2" fontId="97" fillId="6" borderId="0" xfId="0" applyNumberFormat="1" applyFont="1" applyFill="1"/>
    <xf numFmtId="165" fontId="110" fillId="6" borderId="0" xfId="0" applyNumberFormat="1" applyFont="1" applyFill="1"/>
    <xf numFmtId="0" fontId="109" fillId="0" borderId="67" xfId="0" applyFont="1" applyBorder="1" applyAlignment="1">
      <alignment horizontal="center" vertical="center"/>
    </xf>
    <xf numFmtId="0" fontId="109" fillId="0" borderId="79" xfId="0" applyFont="1" applyBorder="1" applyAlignment="1">
      <alignment horizontal="center" vertical="center"/>
    </xf>
    <xf numFmtId="0" fontId="109" fillId="0" borderId="79" xfId="0" applyFont="1" applyBorder="1" applyAlignment="1">
      <alignment horizontal="center" vertical="center" wrapText="1"/>
    </xf>
    <xf numFmtId="0" fontId="109" fillId="0" borderId="70" xfId="0" applyFont="1" applyBorder="1" applyAlignment="1">
      <alignment horizontal="center" vertical="center"/>
    </xf>
    <xf numFmtId="0" fontId="100" fillId="0" borderId="72" xfId="0" applyFont="1" applyBorder="1" applyAlignment="1">
      <alignment horizontal="center" vertical="center"/>
    </xf>
    <xf numFmtId="4" fontId="109" fillId="0" borderId="75" xfId="0" applyNumberFormat="1" applyFont="1" applyBorder="1" applyAlignment="1">
      <alignment horizontal="right" vertical="center"/>
    </xf>
    <xf numFmtId="0" fontId="109" fillId="0" borderId="75" xfId="0" applyFont="1" applyBorder="1" applyAlignment="1">
      <alignment horizontal="right" vertical="center"/>
    </xf>
    <xf numFmtId="4" fontId="109" fillId="0" borderId="76" xfId="0" applyNumberFormat="1" applyFont="1" applyBorder="1" applyAlignment="1">
      <alignment horizontal="right" vertical="center"/>
    </xf>
    <xf numFmtId="0" fontId="100" fillId="0" borderId="92" xfId="0" applyFont="1" applyBorder="1" applyAlignment="1">
      <alignment vertical="center"/>
    </xf>
    <xf numFmtId="0" fontId="0" fillId="0" borderId="92" xfId="0" applyBorder="1" applyAlignment="1">
      <alignment vertical="center"/>
    </xf>
    <xf numFmtId="0" fontId="100" fillId="0" borderId="96" xfId="0" applyFont="1" applyBorder="1" applyAlignment="1">
      <alignment vertical="center" wrapText="1"/>
    </xf>
    <xf numFmtId="0" fontId="100" fillId="0" borderId="97" xfId="0" applyFont="1" applyBorder="1" applyAlignment="1">
      <alignment vertical="center"/>
    </xf>
    <xf numFmtId="0" fontId="100" fillId="0" borderId="0" xfId="0" applyFont="1" applyBorder="1" applyAlignment="1">
      <alignment vertical="center"/>
    </xf>
    <xf numFmtId="0" fontId="100" fillId="0" borderId="96" xfId="0" applyFont="1" applyBorder="1" applyAlignment="1">
      <alignment vertical="center"/>
    </xf>
    <xf numFmtId="3" fontId="113" fillId="6" borderId="4" xfId="0" applyNumberFormat="1" applyFont="1" applyFill="1" applyBorder="1" applyAlignment="1">
      <alignment horizontal="right" vertical="center"/>
    </xf>
    <xf numFmtId="0" fontId="114" fillId="0" borderId="69" xfId="0" applyFont="1" applyBorder="1" applyAlignment="1">
      <alignment vertical="center" wrapText="1"/>
    </xf>
    <xf numFmtId="0" fontId="115" fillId="31" borderId="74" xfId="0" applyFont="1" applyFill="1" applyBorder="1" applyAlignment="1">
      <alignment horizontal="center" vertical="center" wrapText="1"/>
    </xf>
    <xf numFmtId="3" fontId="115" fillId="31" borderId="75" xfId="0" applyNumberFormat="1" applyFont="1" applyFill="1" applyBorder="1" applyAlignment="1">
      <alignment horizontal="right" vertical="center" wrapText="1"/>
    </xf>
    <xf numFmtId="0" fontId="55" fillId="0" borderId="14" xfId="0" applyFont="1" applyFill="1" applyBorder="1" applyAlignment="1">
      <alignment horizontal="justify" vertical="center" wrapText="1"/>
    </xf>
    <xf numFmtId="3" fontId="99" fillId="0" borderId="12" xfId="0" applyNumberFormat="1" applyFont="1" applyBorder="1" applyAlignment="1">
      <alignment horizontal="right" vertical="center"/>
    </xf>
    <xf numFmtId="3" fontId="99" fillId="0" borderId="12" xfId="0" applyNumberFormat="1" applyFont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horizontal="justify" vertical="center" wrapText="1"/>
    </xf>
    <xf numFmtId="3" fontId="113" fillId="6" borderId="12" xfId="0" applyNumberFormat="1" applyFont="1" applyFill="1" applyBorder="1" applyAlignment="1">
      <alignment horizontal="right" vertical="center"/>
    </xf>
    <xf numFmtId="0" fontId="99" fillId="27" borderId="12" xfId="0" applyFont="1" applyFill="1" applyBorder="1" applyAlignment="1">
      <alignment horizontal="center" vertical="center"/>
    </xf>
    <xf numFmtId="0" fontId="99" fillId="27" borderId="12" xfId="0" applyFont="1" applyFill="1" applyBorder="1" applyAlignment="1">
      <alignment horizontal="center" vertical="center" wrapText="1"/>
    </xf>
    <xf numFmtId="0" fontId="99" fillId="0" borderId="12" xfId="0" applyFont="1" applyBorder="1" applyAlignment="1">
      <alignment vertical="center"/>
    </xf>
    <xf numFmtId="0" fontId="99" fillId="29" borderId="12" xfId="0" applyFont="1" applyFill="1" applyBorder="1" applyAlignment="1">
      <alignment vertical="center"/>
    </xf>
    <xf numFmtId="0" fontId="99" fillId="28" borderId="12" xfId="0" applyFont="1" applyFill="1" applyBorder="1" applyAlignment="1">
      <alignment vertical="center"/>
    </xf>
    <xf numFmtId="165" fontId="0" fillId="0" borderId="12" xfId="1" applyFont="1" applyBorder="1"/>
    <xf numFmtId="165" fontId="16" fillId="0" borderId="12" xfId="1" applyFont="1" applyBorder="1"/>
    <xf numFmtId="0" fontId="105" fillId="0" borderId="0" xfId="0" applyFont="1"/>
    <xf numFmtId="0" fontId="99" fillId="0" borderId="86" xfId="0" applyFont="1" applyFill="1" applyBorder="1" applyAlignment="1">
      <alignment vertical="center"/>
    </xf>
    <xf numFmtId="4" fontId="57" fillId="0" borderId="101" xfId="0" applyNumberFormat="1" applyFont="1" applyBorder="1" applyAlignment="1">
      <alignment horizontal="center" vertical="center"/>
    </xf>
    <xf numFmtId="0" fontId="0" fillId="0" borderId="88" xfId="0" applyBorder="1"/>
    <xf numFmtId="4" fontId="0" fillId="0" borderId="101" xfId="0" applyNumberFormat="1" applyBorder="1"/>
    <xf numFmtId="4" fontId="105" fillId="6" borderId="105" xfId="0" applyNumberFormat="1" applyFont="1" applyFill="1" applyBorder="1"/>
    <xf numFmtId="4" fontId="105" fillId="6" borderId="106" xfId="0" applyNumberFormat="1" applyFont="1" applyFill="1" applyBorder="1"/>
    <xf numFmtId="4" fontId="105" fillId="6" borderId="102" xfId="0" applyNumberFormat="1" applyFont="1" applyFill="1" applyBorder="1"/>
    <xf numFmtId="4" fontId="105" fillId="6" borderId="103" xfId="0" applyNumberFormat="1" applyFont="1" applyFill="1" applyBorder="1"/>
    <xf numFmtId="165" fontId="15" fillId="0" borderId="12" xfId="1" applyFont="1" applyBorder="1"/>
    <xf numFmtId="2" fontId="105" fillId="8" borderId="12" xfId="0" applyNumberFormat="1" applyFont="1" applyFill="1" applyBorder="1"/>
    <xf numFmtId="0" fontId="57" fillId="0" borderId="0" xfId="0" applyFont="1" applyAlignment="1">
      <alignment horizontal="center" vertical="center"/>
    </xf>
    <xf numFmtId="4" fontId="97" fillId="6" borderId="0" xfId="0" applyNumberFormat="1" applyFont="1" applyFill="1"/>
    <xf numFmtId="165" fontId="97" fillId="6" borderId="0" xfId="1" applyFont="1" applyFill="1"/>
    <xf numFmtId="165" fontId="97" fillId="6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105" fillId="6" borderId="0" xfId="0" applyFont="1" applyFill="1" applyAlignment="1">
      <alignment horizontal="left" vertical="center"/>
    </xf>
    <xf numFmtId="43" fontId="105" fillId="6" borderId="0" xfId="0" applyNumberFormat="1" applyFont="1" applyFill="1"/>
    <xf numFmtId="0" fontId="105" fillId="0" borderId="0" xfId="0" applyFont="1" applyAlignment="1">
      <alignment horizontal="left" vertical="center"/>
    </xf>
    <xf numFmtId="165" fontId="0" fillId="0" borderId="107" xfId="1" applyFont="1" applyBorder="1"/>
    <xf numFmtId="0" fontId="105" fillId="0" borderId="0" xfId="0" applyFont="1" applyAlignment="1">
      <alignment horizontal="center"/>
    </xf>
    <xf numFmtId="0" fontId="97" fillId="0" borderId="0" xfId="0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97" fillId="0" borderId="0" xfId="0" applyFont="1" applyAlignment="1">
      <alignment horizontal="left" vertical="center"/>
    </xf>
    <xf numFmtId="4" fontId="109" fillId="31" borderId="76" xfId="0" applyNumberFormat="1" applyFont="1" applyFill="1" applyBorder="1" applyAlignment="1">
      <alignment horizontal="right" vertical="center"/>
    </xf>
    <xf numFmtId="4" fontId="109" fillId="6" borderId="76" xfId="0" applyNumberFormat="1" applyFont="1" applyFill="1" applyBorder="1" applyAlignment="1">
      <alignment horizontal="right" vertical="center"/>
    </xf>
    <xf numFmtId="43" fontId="0" fillId="0" borderId="0" xfId="0" applyNumberFormat="1" applyFill="1"/>
    <xf numFmtId="165" fontId="0" fillId="0" borderId="0" xfId="0" applyNumberFormat="1" applyFill="1"/>
    <xf numFmtId="4" fontId="97" fillId="6" borderId="0" xfId="0" applyNumberFormat="1" applyFont="1" applyFill="1" applyAlignment="1">
      <alignment horizontal="right" vertical="center"/>
    </xf>
    <xf numFmtId="0" fontId="51" fillId="6" borderId="0" xfId="0" applyFont="1" applyFill="1" applyBorder="1" applyAlignment="1">
      <alignment vertical="center"/>
    </xf>
    <xf numFmtId="2" fontId="100" fillId="0" borderId="96" xfId="0" applyNumberFormat="1" applyFont="1" applyBorder="1" applyAlignment="1">
      <alignment vertical="center"/>
    </xf>
    <xf numFmtId="2" fontId="100" fillId="0" borderId="72" xfId="0" applyNumberFormat="1" applyFont="1" applyBorder="1" applyAlignment="1">
      <alignment horizontal="center" vertical="center"/>
    </xf>
    <xf numFmtId="0" fontId="109" fillId="6" borderId="72" xfId="0" applyFont="1" applyFill="1" applyBorder="1" applyAlignment="1">
      <alignment vertical="center" wrapText="1"/>
    </xf>
    <xf numFmtId="4" fontId="112" fillId="6" borderId="72" xfId="0" applyNumberFormat="1" applyFont="1" applyFill="1" applyBorder="1" applyAlignment="1">
      <alignment horizontal="right" vertical="center"/>
    </xf>
    <xf numFmtId="0" fontId="112" fillId="6" borderId="72" xfId="0" applyFont="1" applyFill="1" applyBorder="1" applyAlignment="1">
      <alignment horizontal="center" vertical="center"/>
    </xf>
    <xf numFmtId="4" fontId="112" fillId="6" borderId="73" xfId="0" applyNumberFormat="1" applyFont="1" applyFill="1" applyBorder="1" applyAlignment="1">
      <alignment horizontal="right" vertical="center"/>
    </xf>
    <xf numFmtId="0" fontId="112" fillId="6" borderId="96" xfId="0" applyFont="1" applyFill="1" applyBorder="1" applyAlignment="1">
      <alignment vertical="center" wrapText="1"/>
    </xf>
    <xf numFmtId="0" fontId="112" fillId="6" borderId="72" xfId="0" applyFont="1" applyFill="1" applyBorder="1" applyAlignment="1">
      <alignment horizontal="right" vertical="center"/>
    </xf>
    <xf numFmtId="0" fontId="112" fillId="6" borderId="72" xfId="0" applyFont="1" applyFill="1" applyBorder="1" applyAlignment="1">
      <alignment vertical="center" wrapText="1"/>
    </xf>
    <xf numFmtId="0" fontId="112" fillId="6" borderId="72" xfId="0" applyFont="1" applyFill="1" applyBorder="1" applyAlignment="1">
      <alignment vertical="center"/>
    </xf>
    <xf numFmtId="0" fontId="105" fillId="6" borderId="0" xfId="0" applyFont="1" applyFill="1" applyAlignment="1">
      <alignment horizontal="center" vertical="center"/>
    </xf>
    <xf numFmtId="2" fontId="109" fillId="0" borderId="75" xfId="0" applyNumberFormat="1" applyFont="1" applyBorder="1" applyAlignment="1">
      <alignment horizontal="right" vertical="center"/>
    </xf>
    <xf numFmtId="4" fontId="99" fillId="0" borderId="72" xfId="0" applyNumberFormat="1" applyFont="1" applyFill="1" applyBorder="1" applyAlignment="1">
      <alignment horizontal="right" vertical="center"/>
    </xf>
    <xf numFmtId="2" fontId="99" fillId="0" borderId="72" xfId="0" applyNumberFormat="1" applyFont="1" applyFill="1" applyBorder="1" applyAlignment="1">
      <alignment horizontal="right" vertical="center"/>
    </xf>
    <xf numFmtId="0" fontId="99" fillId="0" borderId="72" xfId="0" applyFont="1" applyFill="1" applyBorder="1" applyAlignment="1">
      <alignment horizontal="right" vertical="center"/>
    </xf>
    <xf numFmtId="2" fontId="99" fillId="0" borderId="73" xfId="0" applyNumberFormat="1" applyFont="1" applyFill="1" applyBorder="1" applyAlignment="1">
      <alignment horizontal="right" vertical="center" wrapText="1"/>
    </xf>
    <xf numFmtId="4" fontId="99" fillId="0" borderId="72" xfId="0" applyNumberFormat="1" applyFont="1" applyFill="1" applyBorder="1" applyAlignment="1">
      <alignment horizontal="center" vertical="center"/>
    </xf>
    <xf numFmtId="0" fontId="99" fillId="0" borderId="72" xfId="0" applyFont="1" applyFill="1" applyBorder="1" applyAlignment="1">
      <alignment horizontal="center" vertical="center"/>
    </xf>
    <xf numFmtId="0" fontId="99" fillId="19" borderId="76" xfId="0" applyFont="1" applyFill="1" applyBorder="1" applyAlignment="1">
      <alignment horizontal="right" vertical="center" wrapText="1"/>
    </xf>
    <xf numFmtId="3" fontId="114" fillId="0" borderId="72" xfId="0" applyNumberFormat="1" applyFont="1" applyFill="1" applyBorder="1" applyAlignment="1">
      <alignment horizontal="right" vertical="center" wrapText="1"/>
    </xf>
    <xf numFmtId="3" fontId="114" fillId="0" borderId="73" xfId="0" applyNumberFormat="1" applyFont="1" applyFill="1" applyBorder="1" applyAlignment="1">
      <alignment horizontal="right" vertical="center" wrapText="1"/>
    </xf>
    <xf numFmtId="0" fontId="114" fillId="0" borderId="72" xfId="0" applyFont="1" applyFill="1" applyBorder="1" applyAlignment="1">
      <alignment horizontal="right" vertical="center" wrapText="1"/>
    </xf>
    <xf numFmtId="0" fontId="32" fillId="0" borderId="13" xfId="5" applyFont="1" applyFill="1" applyBorder="1" applyAlignment="1">
      <alignment horizontal="right"/>
    </xf>
    <xf numFmtId="4" fontId="100" fillId="6" borderId="69" xfId="0" applyNumberFormat="1" applyFont="1" applyFill="1" applyBorder="1" applyAlignment="1">
      <alignment horizontal="right" vertical="center"/>
    </xf>
    <xf numFmtId="4" fontId="100" fillId="6" borderId="67" xfId="0" applyNumberFormat="1" applyFont="1" applyFill="1" applyBorder="1" applyAlignment="1">
      <alignment horizontal="right" vertical="center"/>
    </xf>
    <xf numFmtId="174" fontId="0" fillId="0" borderId="0" xfId="0" applyNumberFormat="1"/>
    <xf numFmtId="175" fontId="109" fillId="0" borderId="88" xfId="0" applyNumberFormat="1" applyFont="1" applyBorder="1" applyAlignment="1">
      <alignment horizontal="right" vertical="center"/>
    </xf>
    <xf numFmtId="174" fontId="97" fillId="6" borderId="12" xfId="1" applyNumberFormat="1" applyFont="1" applyFill="1" applyBorder="1" applyAlignment="1">
      <alignment vertical="center"/>
    </xf>
    <xf numFmtId="176" fontId="105" fillId="6" borderId="0" xfId="0" applyNumberFormat="1" applyFont="1" applyFill="1"/>
    <xf numFmtId="0" fontId="116" fillId="5" borderId="42" xfId="35" applyFont="1" applyFill="1" applyBorder="1" applyAlignment="1">
      <alignment horizontal="right"/>
    </xf>
    <xf numFmtId="0" fontId="116" fillId="7" borderId="42" xfId="35" applyFont="1" applyFill="1" applyBorder="1"/>
    <xf numFmtId="165" fontId="117" fillId="0" borderId="42" xfId="1" applyNumberFormat="1" applyFont="1" applyBorder="1"/>
    <xf numFmtId="165" fontId="117" fillId="0" borderId="43" xfId="1" applyNumberFormat="1" applyFont="1" applyBorder="1"/>
    <xf numFmtId="0" fontId="116" fillId="5" borderId="12" xfId="35" applyFont="1" applyFill="1" applyBorder="1" applyAlignment="1">
      <alignment horizontal="right"/>
    </xf>
    <xf numFmtId="0" fontId="116" fillId="7" borderId="12" xfId="35" applyFont="1" applyFill="1" applyBorder="1"/>
    <xf numFmtId="165" fontId="117" fillId="0" borderId="12" xfId="1" applyNumberFormat="1" applyFont="1" applyBorder="1"/>
    <xf numFmtId="165" fontId="117" fillId="0" borderId="12" xfId="1" applyFont="1" applyBorder="1"/>
    <xf numFmtId="165" fontId="117" fillId="0" borderId="41" xfId="1" applyNumberFormat="1" applyFont="1" applyBorder="1"/>
    <xf numFmtId="165" fontId="0" fillId="0" borderId="13" xfId="1" applyNumberFormat="1" applyFont="1" applyBorder="1"/>
    <xf numFmtId="3" fontId="103" fillId="0" borderId="54" xfId="0" applyNumberFormat="1" applyFont="1" applyFill="1" applyBorder="1"/>
    <xf numFmtId="3" fontId="103" fillId="0" borderId="54" xfId="0" applyNumberFormat="1" applyFont="1" applyFill="1" applyBorder="1" applyAlignment="1">
      <alignment horizontal="right"/>
    </xf>
    <xf numFmtId="3" fontId="103" fillId="0" borderId="56" xfId="0" applyNumberFormat="1" applyFont="1" applyFill="1" applyBorder="1" applyAlignment="1">
      <alignment vertical="center"/>
    </xf>
    <xf numFmtId="4" fontId="102" fillId="0" borderId="12" xfId="0" applyNumberFormat="1" applyFont="1" applyBorder="1" applyAlignment="1">
      <alignment horizontal="center" vertical="center" wrapText="1"/>
    </xf>
    <xf numFmtId="169" fontId="55" fillId="0" borderId="12" xfId="0" applyNumberFormat="1" applyFont="1" applyBorder="1" applyAlignment="1">
      <alignment horizontal="center" vertical="center" wrapText="1"/>
    </xf>
    <xf numFmtId="0" fontId="26" fillId="6" borderId="0" xfId="5" applyFont="1" applyFill="1"/>
    <xf numFmtId="0" fontId="31" fillId="32" borderId="5" xfId="0" applyFont="1" applyFill="1" applyBorder="1" applyAlignment="1">
      <alignment horizontal="center" vertical="center"/>
    </xf>
    <xf numFmtId="0" fontId="32" fillId="32" borderId="5" xfId="0" applyFont="1" applyFill="1" applyBorder="1" applyAlignment="1">
      <alignment horizontal="center" vertical="center"/>
    </xf>
    <xf numFmtId="0" fontId="26" fillId="32" borderId="5" xfId="0" applyFont="1" applyFill="1" applyBorder="1" applyAlignment="1">
      <alignment horizontal="center" vertical="center"/>
    </xf>
    <xf numFmtId="0" fontId="31" fillId="32" borderId="13" xfId="0" applyFont="1" applyFill="1" applyBorder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32" fillId="0" borderId="13" xfId="5" applyFont="1" applyFill="1" applyBorder="1" applyAlignment="1">
      <alignment horizontal="center" vertical="center"/>
    </xf>
    <xf numFmtId="0" fontId="26" fillId="16" borderId="0" xfId="5" applyFont="1" applyFill="1"/>
    <xf numFmtId="165" fontId="32" fillId="0" borderId="13" xfId="1" applyNumberFormat="1" applyFont="1" applyFill="1" applyBorder="1" applyAlignment="1">
      <alignment horizontal="right" vertical="center"/>
    </xf>
    <xf numFmtId="173" fontId="32" fillId="0" borderId="0" xfId="1" applyNumberFormat="1" applyFont="1" applyFill="1" applyBorder="1" applyAlignment="1">
      <alignment horizontal="right" vertical="center"/>
    </xf>
    <xf numFmtId="0" fontId="32" fillId="0" borderId="13" xfId="5" applyFont="1" applyBorder="1" applyAlignment="1">
      <alignment horizontal="center" vertical="center"/>
    </xf>
    <xf numFmtId="165" fontId="32" fillId="0" borderId="13" xfId="1" applyFont="1" applyFill="1" applyBorder="1" applyAlignment="1">
      <alignment horizontal="right" vertical="center"/>
    </xf>
    <xf numFmtId="173" fontId="32" fillId="0" borderId="5" xfId="1" applyNumberFormat="1" applyFont="1" applyFill="1" applyBorder="1" applyAlignment="1">
      <alignment horizontal="right" vertical="center"/>
    </xf>
    <xf numFmtId="165" fontId="32" fillId="0" borderId="13" xfId="1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left"/>
    </xf>
    <xf numFmtId="0" fontId="27" fillId="17" borderId="0" xfId="0" applyFont="1" applyFill="1" applyAlignment="1">
      <alignment vertical="center"/>
    </xf>
    <xf numFmtId="43" fontId="32" fillId="0" borderId="5" xfId="0" applyNumberFormat="1" applyFont="1" applyFill="1" applyBorder="1" applyAlignment="1">
      <alignment vertical="center" wrapText="1"/>
    </xf>
    <xf numFmtId="165" fontId="54" fillId="0" borderId="14" xfId="1" applyNumberFormat="1" applyFont="1" applyFill="1" applyBorder="1" applyAlignment="1">
      <alignment horizontal="right" vertical="center"/>
    </xf>
    <xf numFmtId="0" fontId="27" fillId="8" borderId="13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165" fontId="42" fillId="6" borderId="13" xfId="1" applyNumberFormat="1" applyFont="1" applyFill="1" applyBorder="1" applyAlignment="1">
      <alignment vertical="center"/>
    </xf>
    <xf numFmtId="0" fontId="26" fillId="6" borderId="13" xfId="5" applyFont="1" applyFill="1" applyBorder="1" applyAlignment="1">
      <alignment horizontal="right"/>
    </xf>
    <xf numFmtId="0" fontId="26" fillId="6" borderId="0" xfId="5" applyFont="1" applyFill="1" applyAlignment="1">
      <alignment horizontal="right"/>
    </xf>
    <xf numFmtId="165" fontId="54" fillId="6" borderId="13" xfId="1" applyNumberFormat="1" applyFont="1" applyFill="1" applyBorder="1" applyAlignment="1">
      <alignment horizontal="right" vertical="center"/>
    </xf>
    <xf numFmtId="0" fontId="52" fillId="7" borderId="0" xfId="0" applyFont="1" applyFill="1" applyAlignment="1">
      <alignment vertical="center"/>
    </xf>
    <xf numFmtId="43" fontId="26" fillId="0" borderId="8" xfId="0" applyNumberFormat="1" applyFont="1" applyFill="1" applyBorder="1" applyAlignment="1">
      <alignment vertical="center" wrapText="1"/>
    </xf>
    <xf numFmtId="43" fontId="26" fillId="0" borderId="6" xfId="0" applyNumberFormat="1" applyFont="1" applyFill="1" applyBorder="1" applyAlignment="1">
      <alignment vertical="center" wrapText="1"/>
    </xf>
    <xf numFmtId="0" fontId="44" fillId="2" borderId="5" xfId="0" applyFont="1" applyFill="1" applyBorder="1" applyAlignment="1">
      <alignment vertical="center"/>
    </xf>
    <xf numFmtId="0" fontId="27" fillId="0" borderId="3" xfId="9" applyFont="1" applyFill="1" applyBorder="1" applyAlignment="1">
      <alignment horizontal="left" vertical="center" wrapText="1"/>
    </xf>
    <xf numFmtId="0" fontId="27" fillId="0" borderId="12" xfId="9" applyFont="1" applyFill="1" applyBorder="1" applyAlignment="1">
      <alignment horizontal="center" vertical="center"/>
    </xf>
    <xf numFmtId="165" fontId="27" fillId="0" borderId="11" xfId="1" applyFont="1" applyFill="1" applyBorder="1" applyAlignment="1">
      <alignment vertical="center"/>
    </xf>
    <xf numFmtId="165" fontId="27" fillId="0" borderId="3" xfId="1" applyFont="1" applyFill="1" applyBorder="1" applyAlignment="1">
      <alignment vertical="center"/>
    </xf>
    <xf numFmtId="165" fontId="27" fillId="0" borderId="4" xfId="1" applyFont="1" applyFill="1" applyBorder="1" applyAlignment="1">
      <alignment vertical="center"/>
    </xf>
    <xf numFmtId="0" fontId="44" fillId="7" borderId="0" xfId="9" applyFont="1" applyFill="1" applyAlignment="1">
      <alignment horizontal="left" vertical="center"/>
    </xf>
    <xf numFmtId="0" fontId="44" fillId="2" borderId="3" xfId="9" applyFont="1" applyFill="1" applyBorder="1" applyAlignment="1">
      <alignment horizontal="left" vertical="center"/>
    </xf>
    <xf numFmtId="165" fontId="44" fillId="0" borderId="4" xfId="1" applyFont="1" applyFill="1" applyBorder="1" applyAlignment="1">
      <alignment vertical="center"/>
    </xf>
    <xf numFmtId="0" fontId="44" fillId="2" borderId="12" xfId="9" applyFont="1" applyFill="1" applyBorder="1" applyAlignment="1">
      <alignment horizontal="center" vertical="center"/>
    </xf>
    <xf numFmtId="165" fontId="44" fillId="2" borderId="12" xfId="1" applyNumberFormat="1" applyFont="1" applyFill="1" applyBorder="1" applyAlignment="1">
      <alignment vertical="center"/>
    </xf>
    <xf numFmtId="173" fontId="44" fillId="2" borderId="11" xfId="1" applyNumberFormat="1" applyFont="1" applyFill="1" applyBorder="1" applyAlignment="1">
      <alignment horizontal="right" vertical="center"/>
    </xf>
    <xf numFmtId="173" fontId="44" fillId="2" borderId="3" xfId="1" applyNumberFormat="1" applyFont="1" applyFill="1" applyBorder="1" applyAlignment="1">
      <alignment horizontal="right" vertical="center"/>
    </xf>
    <xf numFmtId="173" fontId="44" fillId="2" borderId="3" xfId="9" applyNumberFormat="1" applyFont="1" applyFill="1" applyBorder="1" applyAlignment="1">
      <alignment vertical="center"/>
    </xf>
    <xf numFmtId="165" fontId="44" fillId="2" borderId="11" xfId="1" applyFont="1" applyFill="1" applyBorder="1" applyAlignment="1">
      <alignment vertical="center"/>
    </xf>
    <xf numFmtId="165" fontId="44" fillId="2" borderId="3" xfId="1" applyFont="1" applyFill="1" applyBorder="1" applyAlignment="1">
      <alignment vertical="center"/>
    </xf>
    <xf numFmtId="165" fontId="44" fillId="2" borderId="4" xfId="1" applyFont="1" applyFill="1" applyBorder="1" applyAlignment="1">
      <alignment vertical="center"/>
    </xf>
    <xf numFmtId="0" fontId="44" fillId="33" borderId="11" xfId="0" applyFont="1" applyFill="1" applyBorder="1" applyAlignment="1">
      <alignment vertical="center"/>
    </xf>
    <xf numFmtId="0" fontId="44" fillId="33" borderId="3" xfId="0" applyFont="1" applyFill="1" applyBorder="1" applyAlignment="1">
      <alignment vertical="center"/>
    </xf>
    <xf numFmtId="0" fontId="44" fillId="33" borderId="3" xfId="9" applyFont="1" applyFill="1" applyBorder="1" applyAlignment="1">
      <alignment horizontal="left" vertical="center" wrapText="1"/>
    </xf>
    <xf numFmtId="0" fontId="44" fillId="33" borderId="4" xfId="9" applyFont="1" applyFill="1" applyBorder="1" applyAlignment="1">
      <alignment horizontal="left" vertical="center" wrapText="1"/>
    </xf>
    <xf numFmtId="0" fontId="44" fillId="33" borderId="12" xfId="9" applyFont="1" applyFill="1" applyBorder="1" applyAlignment="1">
      <alignment horizontal="center" vertical="center"/>
    </xf>
    <xf numFmtId="165" fontId="44" fillId="33" borderId="12" xfId="1" applyNumberFormat="1" applyFont="1" applyFill="1" applyBorder="1" applyAlignment="1">
      <alignment vertical="center"/>
    </xf>
    <xf numFmtId="173" fontId="44" fillId="33" borderId="11" xfId="1" applyNumberFormat="1" applyFont="1" applyFill="1" applyBorder="1" applyAlignment="1">
      <alignment horizontal="right" vertical="center"/>
    </xf>
    <xf numFmtId="173" fontId="44" fillId="33" borderId="3" xfId="1" applyNumberFormat="1" applyFont="1" applyFill="1" applyBorder="1" applyAlignment="1">
      <alignment horizontal="right" vertical="center"/>
    </xf>
    <xf numFmtId="173" fontId="44" fillId="33" borderId="3" xfId="9" applyNumberFormat="1" applyFont="1" applyFill="1" applyBorder="1" applyAlignment="1">
      <alignment vertical="center"/>
    </xf>
    <xf numFmtId="165" fontId="44" fillId="33" borderId="11" xfId="1" applyFont="1" applyFill="1" applyBorder="1" applyAlignment="1">
      <alignment vertical="center"/>
    </xf>
    <xf numFmtId="165" fontId="44" fillId="33" borderId="3" xfId="1" applyFont="1" applyFill="1" applyBorder="1" applyAlignment="1">
      <alignment vertical="center"/>
    </xf>
    <xf numFmtId="165" fontId="44" fillId="33" borderId="4" xfId="1" applyFont="1" applyFill="1" applyBorder="1" applyAlignment="1">
      <alignment vertical="center"/>
    </xf>
    <xf numFmtId="0" fontId="41" fillId="5" borderId="0" xfId="0" applyFont="1" applyFill="1" applyAlignment="1">
      <alignment vertical="center"/>
    </xf>
    <xf numFmtId="0" fontId="26" fillId="0" borderId="7" xfId="9" applyFont="1" applyFill="1" applyBorder="1" applyAlignment="1">
      <alignment horizontal="left" vertical="center"/>
    </xf>
    <xf numFmtId="0" fontId="26" fillId="0" borderId="7" xfId="9" applyFont="1" applyBorder="1" applyAlignment="1">
      <alignment horizontal="left" vertical="center"/>
    </xf>
    <xf numFmtId="0" fontId="26" fillId="0" borderId="0" xfId="9" applyFont="1" applyFill="1" applyBorder="1" applyAlignment="1">
      <alignment horizontal="left" vertical="center"/>
    </xf>
    <xf numFmtId="173" fontId="44" fillId="2" borderId="4" xfId="9" applyNumberFormat="1" applyFont="1" applyFill="1" applyBorder="1" applyAlignment="1">
      <alignment vertical="center"/>
    </xf>
    <xf numFmtId="43" fontId="44" fillId="2" borderId="11" xfId="0" applyNumberFormat="1" applyFont="1" applyFill="1" applyBorder="1" applyAlignment="1">
      <alignment vertical="center" wrapText="1"/>
    </xf>
    <xf numFmtId="43" fontId="44" fillId="2" borderId="3" xfId="0" applyNumberFormat="1" applyFont="1" applyFill="1" applyBorder="1" applyAlignment="1">
      <alignment vertical="center" wrapText="1"/>
    </xf>
    <xf numFmtId="43" fontId="44" fillId="2" borderId="4" xfId="0" applyNumberFormat="1" applyFont="1" applyFill="1" applyBorder="1" applyAlignment="1">
      <alignment vertical="center" wrapText="1"/>
    </xf>
    <xf numFmtId="164" fontId="26" fillId="2" borderId="12" xfId="1" applyNumberFormat="1" applyFont="1" applyFill="1" applyBorder="1" applyAlignment="1">
      <alignment horizontal="center" vertical="center"/>
    </xf>
    <xf numFmtId="165" fontId="43" fillId="2" borderId="12" xfId="1" applyNumberFormat="1" applyFont="1" applyFill="1" applyBorder="1" applyAlignment="1">
      <alignment vertical="center"/>
    </xf>
    <xf numFmtId="173" fontId="27" fillId="2" borderId="11" xfId="1" applyNumberFormat="1" applyFont="1" applyFill="1" applyBorder="1" applyAlignment="1">
      <alignment horizontal="right" vertical="center"/>
    </xf>
    <xf numFmtId="173" fontId="27" fillId="2" borderId="3" xfId="1" applyNumberFormat="1" applyFont="1" applyFill="1" applyBorder="1" applyAlignment="1">
      <alignment horizontal="right" vertical="center"/>
    </xf>
    <xf numFmtId="173" fontId="43" fillId="2" borderId="4" xfId="9" applyNumberFormat="1" applyFont="1" applyFill="1" applyBorder="1" applyAlignment="1">
      <alignment vertical="center"/>
    </xf>
    <xf numFmtId="0" fontId="27" fillId="2" borderId="12" xfId="9" applyFont="1" applyFill="1" applyBorder="1" applyAlignment="1">
      <alignment horizontal="left" vertical="center" wrapText="1"/>
    </xf>
    <xf numFmtId="0" fontId="42" fillId="2" borderId="12" xfId="9" applyFont="1" applyFill="1" applyBorder="1" applyAlignment="1">
      <alignment horizontal="center" vertical="center"/>
    </xf>
    <xf numFmtId="165" fontId="42" fillId="2" borderId="12" xfId="1" applyNumberFormat="1" applyFont="1" applyFill="1" applyBorder="1" applyAlignment="1">
      <alignment vertical="center"/>
    </xf>
    <xf numFmtId="173" fontId="26" fillId="2" borderId="11" xfId="1" applyNumberFormat="1" applyFont="1" applyFill="1" applyBorder="1" applyAlignment="1">
      <alignment horizontal="right" vertical="center"/>
    </xf>
    <xf numFmtId="173" fontId="26" fillId="2" borderId="3" xfId="1" applyNumberFormat="1" applyFont="1" applyFill="1" applyBorder="1" applyAlignment="1">
      <alignment horizontal="right" vertical="center"/>
    </xf>
    <xf numFmtId="173" fontId="42" fillId="2" borderId="4" xfId="9" applyNumberFormat="1" applyFont="1" applyFill="1" applyBorder="1" applyAlignment="1">
      <alignment vertical="center"/>
    </xf>
    <xf numFmtId="4" fontId="44" fillId="2" borderId="11" xfId="9" applyNumberFormat="1" applyFont="1" applyFill="1" applyBorder="1" applyAlignment="1">
      <alignment vertical="center"/>
    </xf>
    <xf numFmtId="4" fontId="44" fillId="2" borderId="3" xfId="9" applyNumberFormat="1" applyFont="1" applyFill="1" applyBorder="1" applyAlignment="1">
      <alignment vertical="center"/>
    </xf>
    <xf numFmtId="4" fontId="44" fillId="2" borderId="4" xfId="9" applyNumberFormat="1" applyFont="1" applyFill="1" applyBorder="1" applyAlignment="1">
      <alignment vertical="center"/>
    </xf>
    <xf numFmtId="0" fontId="32" fillId="2" borderId="12" xfId="9" applyFont="1" applyFill="1" applyBorder="1" applyAlignment="1">
      <alignment horizontal="center" vertical="center"/>
    </xf>
    <xf numFmtId="165" fontId="32" fillId="2" borderId="12" xfId="1" applyNumberFormat="1" applyFont="1" applyFill="1" applyBorder="1" applyAlignment="1">
      <alignment vertical="center"/>
    </xf>
    <xf numFmtId="173" fontId="32" fillId="2" borderId="11" xfId="1" applyNumberFormat="1" applyFont="1" applyFill="1" applyBorder="1" applyAlignment="1">
      <alignment horizontal="right" vertical="center"/>
    </xf>
    <xf numFmtId="173" fontId="32" fillId="2" borderId="3" xfId="1" applyNumberFormat="1" applyFont="1" applyFill="1" applyBorder="1" applyAlignment="1">
      <alignment horizontal="right" vertical="center"/>
    </xf>
    <xf numFmtId="173" fontId="32" fillId="2" borderId="4" xfId="9" applyNumberFormat="1" applyFont="1" applyFill="1" applyBorder="1" applyAlignment="1">
      <alignment vertical="center"/>
    </xf>
    <xf numFmtId="166" fontId="39" fillId="2" borderId="0" xfId="8" applyNumberFormat="1" applyFont="1" applyFill="1" applyAlignment="1">
      <alignment vertical="center"/>
    </xf>
    <xf numFmtId="165" fontId="44" fillId="2" borderId="5" xfId="8" applyNumberFormat="1" applyFont="1" applyFill="1" applyBorder="1" applyAlignment="1">
      <alignment vertical="center"/>
    </xf>
    <xf numFmtId="165" fontId="44" fillId="2" borderId="0" xfId="8" applyNumberFormat="1" applyFont="1" applyFill="1" applyBorder="1" applyAlignment="1">
      <alignment vertical="center"/>
    </xf>
    <xf numFmtId="165" fontId="44" fillId="2" borderId="7" xfId="8" applyNumberFormat="1" applyFont="1" applyFill="1" applyBorder="1" applyAlignment="1">
      <alignment vertical="center"/>
    </xf>
    <xf numFmtId="165" fontId="38" fillId="2" borderId="0" xfId="1" applyFont="1" applyFill="1" applyAlignment="1">
      <alignment vertical="center"/>
    </xf>
    <xf numFmtId="165" fontId="39" fillId="2" borderId="0" xfId="1" applyFont="1" applyFill="1" applyAlignment="1">
      <alignment vertical="center"/>
    </xf>
    <xf numFmtId="0" fontId="27" fillId="2" borderId="30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 vertical="center"/>
    </xf>
    <xf numFmtId="0" fontId="43" fillId="2" borderId="12" xfId="9" applyFont="1" applyFill="1" applyBorder="1" applyAlignment="1">
      <alignment horizontal="center" vertical="center"/>
    </xf>
    <xf numFmtId="173" fontId="43" fillId="2" borderId="3" xfId="9" applyNumberFormat="1" applyFont="1" applyFill="1" applyBorder="1" applyAlignment="1">
      <alignment vertical="center"/>
    </xf>
    <xf numFmtId="165" fontId="38" fillId="2" borderId="5" xfId="8" applyNumberFormat="1" applyFont="1" applyFill="1" applyBorder="1" applyAlignment="1">
      <alignment vertical="center"/>
    </xf>
    <xf numFmtId="165" fontId="38" fillId="2" borderId="0" xfId="8" applyNumberFormat="1" applyFont="1" applyFill="1" applyBorder="1" applyAlignment="1">
      <alignment vertical="center"/>
    </xf>
    <xf numFmtId="165" fontId="38" fillId="2" borderId="7" xfId="8" applyNumberFormat="1" applyFont="1" applyFill="1" applyBorder="1" applyAlignment="1">
      <alignment vertical="center"/>
    </xf>
    <xf numFmtId="43" fontId="44" fillId="2" borderId="11" xfId="1" applyNumberFormat="1" applyFont="1" applyFill="1" applyBorder="1" applyAlignment="1">
      <alignment vertical="center"/>
    </xf>
    <xf numFmtId="43" fontId="44" fillId="0" borderId="5" xfId="1" applyNumberFormat="1" applyFont="1" applyFill="1" applyBorder="1" applyAlignment="1">
      <alignment vertical="center"/>
    </xf>
    <xf numFmtId="0" fontId="26" fillId="2" borderId="12" xfId="9" applyFont="1" applyFill="1" applyBorder="1" applyAlignment="1">
      <alignment horizontal="center" vertical="center"/>
    </xf>
    <xf numFmtId="165" fontId="26" fillId="2" borderId="12" xfId="1" applyNumberFormat="1" applyFont="1" applyFill="1" applyBorder="1" applyAlignment="1">
      <alignment vertical="center"/>
    </xf>
    <xf numFmtId="173" fontId="26" fillId="2" borderId="11" xfId="9" applyNumberFormat="1" applyFont="1" applyFill="1" applyBorder="1" applyAlignment="1">
      <alignment vertical="center"/>
    </xf>
    <xf numFmtId="173" fontId="26" fillId="2" borderId="3" xfId="9" applyNumberFormat="1" applyFont="1" applyFill="1" applyBorder="1" applyAlignment="1">
      <alignment vertical="center"/>
    </xf>
    <xf numFmtId="173" fontId="26" fillId="2" borderId="4" xfId="9" applyNumberFormat="1" applyFont="1" applyFill="1" applyBorder="1" applyAlignment="1">
      <alignment vertical="center"/>
    </xf>
    <xf numFmtId="0" fontId="44" fillId="2" borderId="13" xfId="9" applyFont="1" applyFill="1" applyBorder="1" applyAlignment="1">
      <alignment horizontal="center" vertical="center"/>
    </xf>
    <xf numFmtId="165" fontId="44" fillId="2" borderId="13" xfId="1" applyNumberFormat="1" applyFont="1" applyFill="1" applyBorder="1" applyAlignment="1">
      <alignment vertical="center"/>
    </xf>
    <xf numFmtId="173" fontId="44" fillId="2" borderId="5" xfId="9" applyNumberFormat="1" applyFont="1" applyFill="1" applyBorder="1" applyAlignment="1">
      <alignment vertical="center"/>
    </xf>
    <xf numFmtId="173" fontId="44" fillId="2" borderId="0" xfId="9" applyNumberFormat="1" applyFont="1" applyFill="1" applyBorder="1" applyAlignment="1">
      <alignment vertical="center"/>
    </xf>
    <xf numFmtId="4" fontId="39" fillId="2" borderId="0" xfId="0" applyNumberFormat="1" applyFont="1" applyFill="1" applyAlignment="1">
      <alignment vertical="center"/>
    </xf>
    <xf numFmtId="4" fontId="39" fillId="2" borderId="0" xfId="0" applyNumberFormat="1" applyFont="1" applyFill="1" applyBorder="1" applyAlignment="1">
      <alignment vertical="center"/>
    </xf>
    <xf numFmtId="0" fontId="26" fillId="34" borderId="11" xfId="0" applyFont="1" applyFill="1" applyBorder="1" applyAlignment="1">
      <alignment vertical="center"/>
    </xf>
    <xf numFmtId="0" fontId="27" fillId="34" borderId="3" xfId="0" applyFont="1" applyFill="1" applyBorder="1" applyAlignment="1">
      <alignment vertical="center"/>
    </xf>
    <xf numFmtId="0" fontId="26" fillId="34" borderId="3" xfId="9" applyFont="1" applyFill="1" applyBorder="1" applyAlignment="1">
      <alignment horizontal="left" vertical="center"/>
    </xf>
    <xf numFmtId="0" fontId="26" fillId="34" borderId="4" xfId="9" applyFont="1" applyFill="1" applyBorder="1" applyAlignment="1">
      <alignment horizontal="left" vertical="center" wrapText="1"/>
    </xf>
    <xf numFmtId="0" fontId="26" fillId="34" borderId="12" xfId="9" applyFont="1" applyFill="1" applyBorder="1" applyAlignment="1">
      <alignment horizontal="center" vertical="center"/>
    </xf>
    <xf numFmtId="165" fontId="26" fillId="34" borderId="12" xfId="1" applyNumberFormat="1" applyFont="1" applyFill="1" applyBorder="1" applyAlignment="1">
      <alignment vertical="center"/>
    </xf>
    <xf numFmtId="173" fontId="44" fillId="34" borderId="11" xfId="9" applyNumberFormat="1" applyFont="1" applyFill="1" applyBorder="1" applyAlignment="1">
      <alignment vertical="center"/>
    </xf>
    <xf numFmtId="173" fontId="44" fillId="34" borderId="3" xfId="9" applyNumberFormat="1" applyFont="1" applyFill="1" applyBorder="1" applyAlignment="1">
      <alignment vertical="center"/>
    </xf>
    <xf numFmtId="173" fontId="26" fillId="34" borderId="3" xfId="9" applyNumberFormat="1" applyFont="1" applyFill="1" applyBorder="1" applyAlignment="1">
      <alignment vertical="center"/>
    </xf>
    <xf numFmtId="173" fontId="26" fillId="34" borderId="4" xfId="9" applyNumberFormat="1" applyFont="1" applyFill="1" applyBorder="1" applyAlignment="1">
      <alignment vertical="center"/>
    </xf>
    <xf numFmtId="165" fontId="27" fillId="34" borderId="11" xfId="1" applyFont="1" applyFill="1" applyBorder="1" applyAlignment="1">
      <alignment vertical="center"/>
    </xf>
    <xf numFmtId="165" fontId="27" fillId="34" borderId="3" xfId="1" applyFont="1" applyFill="1" applyBorder="1" applyAlignment="1">
      <alignment vertical="center"/>
    </xf>
    <xf numFmtId="165" fontId="27" fillId="34" borderId="4" xfId="1" applyFont="1" applyFill="1" applyBorder="1" applyAlignment="1">
      <alignment vertical="center"/>
    </xf>
    <xf numFmtId="0" fontId="27" fillId="34" borderId="3" xfId="9" applyFont="1" applyFill="1" applyBorder="1" applyAlignment="1">
      <alignment horizontal="left" vertical="center"/>
    </xf>
    <xf numFmtId="0" fontId="20" fillId="34" borderId="3" xfId="0" applyFont="1" applyFill="1" applyBorder="1" applyAlignment="1">
      <alignment vertical="center"/>
    </xf>
    <xf numFmtId="165" fontId="44" fillId="34" borderId="12" xfId="1" applyNumberFormat="1" applyFont="1" applyFill="1" applyBorder="1" applyAlignment="1">
      <alignment vertical="center"/>
    </xf>
    <xf numFmtId="0" fontId="26" fillId="34" borderId="8" xfId="0" applyFont="1" applyFill="1" applyBorder="1" applyAlignment="1">
      <alignment vertical="center"/>
    </xf>
    <xf numFmtId="0" fontId="27" fillId="34" borderId="6" xfId="9" applyFont="1" applyFill="1" applyBorder="1" applyAlignment="1">
      <alignment horizontal="left" vertical="center"/>
    </xf>
    <xf numFmtId="0" fontId="26" fillId="34" borderId="9" xfId="9" applyFont="1" applyFill="1" applyBorder="1" applyAlignment="1">
      <alignment horizontal="left" vertical="center" wrapText="1"/>
    </xf>
    <xf numFmtId="0" fontId="26" fillId="34" borderId="14" xfId="9" applyFont="1" applyFill="1" applyBorder="1" applyAlignment="1">
      <alignment horizontal="center" vertical="center"/>
    </xf>
    <xf numFmtId="165" fontId="26" fillId="34" borderId="14" xfId="1" applyNumberFormat="1" applyFont="1" applyFill="1" applyBorder="1" applyAlignment="1">
      <alignment vertical="center"/>
    </xf>
    <xf numFmtId="173" fontId="26" fillId="34" borderId="8" xfId="9" applyNumberFormat="1" applyFont="1" applyFill="1" applyBorder="1" applyAlignment="1">
      <alignment vertical="center"/>
    </xf>
    <xf numFmtId="173" fontId="26" fillId="34" borderId="6" xfId="9" applyNumberFormat="1" applyFont="1" applyFill="1" applyBorder="1" applyAlignment="1">
      <alignment vertical="center"/>
    </xf>
    <xf numFmtId="165" fontId="44" fillId="34" borderId="11" xfId="1" applyFont="1" applyFill="1" applyBorder="1" applyAlignment="1">
      <alignment vertical="center"/>
    </xf>
    <xf numFmtId="165" fontId="44" fillId="34" borderId="3" xfId="1" applyFont="1" applyFill="1" applyBorder="1" applyAlignment="1">
      <alignment vertical="center"/>
    </xf>
    <xf numFmtId="165" fontId="44" fillId="34" borderId="4" xfId="1" applyFont="1" applyFill="1" applyBorder="1" applyAlignment="1">
      <alignment vertical="center"/>
    </xf>
    <xf numFmtId="0" fontId="41" fillId="0" borderId="0" xfId="9" applyFont="1" applyAlignment="1">
      <alignment horizontal="left" vertical="center"/>
    </xf>
    <xf numFmtId="0" fontId="26" fillId="0" borderId="13" xfId="0" applyFont="1" applyBorder="1" applyAlignment="1">
      <alignment horizontal="right"/>
    </xf>
    <xf numFmtId="173" fontId="32" fillId="5" borderId="0" xfId="1" applyNumberFormat="1" applyFont="1" applyFill="1" applyBorder="1" applyAlignment="1">
      <alignment horizontal="right" vertical="center"/>
    </xf>
    <xf numFmtId="43" fontId="26" fillId="5" borderId="8" xfId="0" applyNumberFormat="1" applyFont="1" applyFill="1" applyBorder="1" applyAlignment="1">
      <alignment vertical="center" wrapText="1"/>
    </xf>
    <xf numFmtId="43" fontId="26" fillId="5" borderId="6" xfId="0" applyNumberFormat="1" applyFont="1" applyFill="1" applyBorder="1" applyAlignment="1">
      <alignment vertical="center" wrapText="1"/>
    </xf>
    <xf numFmtId="0" fontId="27" fillId="8" borderId="0" xfId="0" applyFont="1" applyFill="1" applyBorder="1" applyAlignment="1">
      <alignment vertical="center"/>
    </xf>
    <xf numFmtId="0" fontId="27" fillId="8" borderId="109" xfId="0" applyFont="1" applyFill="1" applyBorder="1" applyAlignment="1">
      <alignment vertical="center" wrapText="1"/>
    </xf>
    <xf numFmtId="164" fontId="26" fillId="15" borderId="14" xfId="1" applyNumberFormat="1" applyFont="1" applyFill="1" applyBorder="1"/>
    <xf numFmtId="164" fontId="26" fillId="0" borderId="13" xfId="1" applyNumberFormat="1" applyFont="1" applyBorder="1"/>
    <xf numFmtId="164" fontId="26" fillId="0" borderId="13" xfId="1" applyNumberFormat="1" applyFont="1" applyFill="1" applyBorder="1" applyAlignment="1">
      <alignment horizontal="center"/>
    </xf>
    <xf numFmtId="164" fontId="26" fillId="0" borderId="13" xfId="1" applyNumberFormat="1" applyFont="1" applyFill="1" applyBorder="1"/>
    <xf numFmtId="3" fontId="26" fillId="0" borderId="13" xfId="0" applyNumberFormat="1" applyFont="1" applyBorder="1"/>
    <xf numFmtId="0" fontId="26" fillId="0" borderId="13" xfId="0" applyFont="1" applyBorder="1" applyAlignment="1">
      <alignment horizontal="center" vertical="top"/>
    </xf>
    <xf numFmtId="0" fontId="26" fillId="11" borderId="13" xfId="0" applyFont="1" applyFill="1" applyBorder="1" applyAlignment="1">
      <alignment horizontal="right"/>
    </xf>
    <xf numFmtId="3" fontId="26" fillId="11" borderId="13" xfId="0" applyNumberFormat="1" applyFont="1" applyFill="1" applyBorder="1"/>
    <xf numFmtId="0" fontId="26" fillId="0" borderId="13" xfId="0" applyFont="1" applyBorder="1" applyAlignment="1">
      <alignment horizontal="right" vertical="top"/>
    </xf>
    <xf numFmtId="3" fontId="26" fillId="0" borderId="13" xfId="0" applyNumberFormat="1" applyFont="1" applyBorder="1" applyAlignment="1">
      <alignment horizontal="right"/>
    </xf>
    <xf numFmtId="4" fontId="26" fillId="0" borderId="13" xfId="0" applyNumberFormat="1" applyFont="1" applyBorder="1" applyAlignment="1">
      <alignment horizontal="right"/>
    </xf>
    <xf numFmtId="0" fontId="26" fillId="11" borderId="13" xfId="0" applyFont="1" applyFill="1" applyBorder="1" applyAlignment="1">
      <alignment horizontal="right" vertical="top"/>
    </xf>
    <xf numFmtId="3" fontId="26" fillId="11" borderId="13" xfId="0" applyNumberFormat="1" applyFont="1" applyFill="1" applyBorder="1" applyAlignment="1">
      <alignment horizontal="right"/>
    </xf>
    <xf numFmtId="0" fontId="26" fillId="11" borderId="14" xfId="0" applyFont="1" applyFill="1" applyBorder="1" applyAlignment="1">
      <alignment horizontal="right" vertical="top"/>
    </xf>
    <xf numFmtId="3" fontId="26" fillId="11" borderId="14" xfId="0" applyNumberFormat="1" applyFont="1" applyFill="1" applyBorder="1" applyAlignment="1">
      <alignment horizontal="right"/>
    </xf>
    <xf numFmtId="0" fontId="26" fillId="7" borderId="14" xfId="0" applyFont="1" applyFill="1" applyBorder="1"/>
    <xf numFmtId="0" fontId="27" fillId="7" borderId="6" xfId="0" applyFont="1" applyFill="1" applyBorder="1"/>
    <xf numFmtId="0" fontId="26" fillId="7" borderId="6" xfId="0" applyFont="1" applyFill="1" applyBorder="1"/>
    <xf numFmtId="0" fontId="26" fillId="7" borderId="14" xfId="0" applyFont="1" applyFill="1" applyBorder="1" applyAlignment="1">
      <alignment horizontal="right" vertical="top"/>
    </xf>
    <xf numFmtId="3" fontId="26" fillId="7" borderId="14" xfId="0" applyNumberFormat="1" applyFont="1" applyFill="1" applyBorder="1"/>
    <xf numFmtId="0" fontId="31" fillId="24" borderId="15" xfId="0" applyFont="1" applyFill="1" applyBorder="1" applyAlignment="1">
      <alignment horizontal="center" vertical="center"/>
    </xf>
    <xf numFmtId="0" fontId="26" fillId="24" borderId="2" xfId="0" applyFont="1" applyFill="1" applyBorder="1"/>
    <xf numFmtId="0" fontId="26" fillId="24" borderId="15" xfId="0" applyFont="1" applyFill="1" applyBorder="1" applyAlignment="1">
      <alignment horizontal="right"/>
    </xf>
    <xf numFmtId="3" fontId="26" fillId="24" borderId="15" xfId="0" applyNumberFormat="1" applyFont="1" applyFill="1" applyBorder="1"/>
    <xf numFmtId="0" fontId="31" fillId="0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vertical="center"/>
    </xf>
    <xf numFmtId="0" fontId="26" fillId="0" borderId="6" xfId="0" applyFont="1" applyFill="1" applyBorder="1"/>
    <xf numFmtId="164" fontId="26" fillId="0" borderId="14" xfId="1" applyNumberFormat="1" applyFont="1" applyFill="1" applyBorder="1" applyAlignment="1">
      <alignment horizontal="center"/>
    </xf>
    <xf numFmtId="170" fontId="26" fillId="0" borderId="14" xfId="0" applyNumberFormat="1" applyFont="1" applyBorder="1"/>
    <xf numFmtId="4" fontId="26" fillId="0" borderId="8" xfId="0" applyNumberFormat="1" applyFont="1" applyBorder="1"/>
    <xf numFmtId="4" fontId="26" fillId="0" borderId="6" xfId="0" applyNumberFormat="1" applyFont="1" applyBorder="1"/>
    <xf numFmtId="4" fontId="26" fillId="0" borderId="9" xfId="0" applyNumberFormat="1" applyFont="1" applyBorder="1"/>
    <xf numFmtId="165" fontId="26" fillId="0" borderId="8" xfId="1" applyFont="1" applyBorder="1"/>
    <xf numFmtId="165" fontId="26" fillId="0" borderId="6" xfId="1" applyFont="1" applyBorder="1"/>
    <xf numFmtId="0" fontId="31" fillId="11" borderId="15" xfId="0" applyFont="1" applyFill="1" applyBorder="1" applyAlignment="1">
      <alignment horizontal="center" vertical="center"/>
    </xf>
    <xf numFmtId="0" fontId="40" fillId="11" borderId="15" xfId="0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vertical="center"/>
    </xf>
    <xf numFmtId="0" fontId="26" fillId="11" borderId="2" xfId="0" applyFont="1" applyFill="1" applyBorder="1"/>
    <xf numFmtId="164" fontId="26" fillId="0" borderId="15" xfId="1" applyNumberFormat="1" applyFont="1" applyFill="1" applyBorder="1"/>
    <xf numFmtId="170" fontId="26" fillId="0" borderId="15" xfId="1" applyNumberFormat="1" applyFont="1" applyFill="1" applyBorder="1"/>
    <xf numFmtId="170" fontId="26" fillId="0" borderId="1" xfId="1" applyNumberFormat="1" applyFont="1" applyFill="1" applyBorder="1"/>
    <xf numFmtId="170" fontId="26" fillId="0" borderId="2" xfId="1" applyNumberFormat="1" applyFont="1" applyFill="1" applyBorder="1"/>
    <xf numFmtId="170" fontId="26" fillId="0" borderId="2" xfId="0" applyNumberFormat="1" applyFont="1" applyFill="1" applyBorder="1"/>
    <xf numFmtId="165" fontId="26" fillId="0" borderId="1" xfId="1" applyFont="1" applyBorder="1"/>
    <xf numFmtId="165" fontId="26" fillId="0" borderId="2" xfId="1" applyFont="1" applyBorder="1"/>
    <xf numFmtId="165" fontId="27" fillId="0" borderId="10" xfId="1" applyFont="1" applyBorder="1"/>
    <xf numFmtId="165" fontId="27" fillId="0" borderId="9" xfId="1" applyFont="1" applyBorder="1"/>
    <xf numFmtId="166" fontId="27" fillId="7" borderId="8" xfId="8" applyNumberFormat="1" applyFont="1" applyFill="1" applyBorder="1"/>
    <xf numFmtId="166" fontId="27" fillId="7" borderId="6" xfId="8" applyNumberFormat="1" applyFont="1" applyFill="1" applyBorder="1"/>
    <xf numFmtId="166" fontId="27" fillId="7" borderId="9" xfId="8" applyNumberFormat="1" applyFont="1" applyFill="1" applyBorder="1"/>
    <xf numFmtId="166" fontId="27" fillId="24" borderId="1" xfId="8" applyNumberFormat="1" applyFont="1" applyFill="1" applyBorder="1"/>
    <xf numFmtId="166" fontId="27" fillId="24" borderId="2" xfId="8" applyNumberFormat="1" applyFont="1" applyFill="1" applyBorder="1"/>
    <xf numFmtId="166" fontId="27" fillId="24" borderId="10" xfId="8" applyNumberFormat="1" applyFont="1" applyFill="1" applyBorder="1"/>
    <xf numFmtId="43" fontId="76" fillId="17" borderId="12" xfId="0" applyNumberFormat="1" applyFont="1" applyFill="1" applyBorder="1"/>
    <xf numFmtId="0" fontId="20" fillId="11" borderId="34" xfId="0" applyFont="1" applyFill="1" applyBorder="1"/>
    <xf numFmtId="0" fontId="20" fillId="11" borderId="30" xfId="0" applyFont="1" applyFill="1" applyBorder="1"/>
    <xf numFmtId="0" fontId="26" fillId="0" borderId="110" xfId="0" applyFont="1" applyFill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/>
    </xf>
    <xf numFmtId="0" fontId="27" fillId="0" borderId="1" xfId="0" applyFont="1" applyBorder="1"/>
    <xf numFmtId="0" fontId="27" fillId="7" borderId="7" xfId="25" applyFont="1" applyFill="1" applyBorder="1" applyAlignment="1">
      <alignment horizontal="right"/>
    </xf>
    <xf numFmtId="169" fontId="27" fillId="0" borderId="5" xfId="0" applyNumberFormat="1" applyFont="1" applyBorder="1"/>
    <xf numFmtId="3" fontId="27" fillId="24" borderId="5" xfId="0" applyNumberFormat="1" applyFont="1" applyFill="1" applyBorder="1"/>
    <xf numFmtId="0" fontId="20" fillId="24" borderId="7" xfId="0" applyFont="1" applyFill="1" applyBorder="1"/>
    <xf numFmtId="0" fontId="27" fillId="11" borderId="7" xfId="25" applyFont="1" applyFill="1" applyBorder="1" applyAlignment="1">
      <alignment horizontal="right"/>
    </xf>
    <xf numFmtId="0" fontId="27" fillId="7" borderId="4" xfId="25" applyFont="1" applyFill="1" applyBorder="1" applyAlignment="1">
      <alignment horizontal="right"/>
    </xf>
    <xf numFmtId="0" fontId="20" fillId="0" borderId="4" xfId="0" applyFont="1" applyBorder="1"/>
    <xf numFmtId="165" fontId="20" fillId="0" borderId="0" xfId="1" applyFont="1"/>
    <xf numFmtId="2" fontId="0" fillId="5" borderId="0" xfId="0" applyNumberFormat="1" applyFill="1" applyAlignment="1">
      <alignment vertical="center"/>
    </xf>
    <xf numFmtId="165" fontId="26" fillId="2" borderId="0" xfId="8" applyNumberFormat="1" applyFont="1" applyFill="1" applyBorder="1" applyAlignment="1">
      <alignment vertical="center"/>
    </xf>
    <xf numFmtId="0" fontId="51" fillId="0" borderId="0" xfId="0" applyFont="1" applyFill="1" applyAlignment="1">
      <alignment horizontal="right" vertical="center"/>
    </xf>
    <xf numFmtId="3" fontId="26" fillId="0" borderId="0" xfId="0" applyNumberFormat="1" applyFont="1" applyFill="1" applyAlignment="1">
      <alignment horizontal="right"/>
    </xf>
    <xf numFmtId="3" fontId="26" fillId="0" borderId="0" xfId="0" applyNumberFormat="1" applyFont="1" applyFill="1" applyAlignment="1">
      <alignment horizontal="right" vertical="center"/>
    </xf>
    <xf numFmtId="3" fontId="51" fillId="0" borderId="0" xfId="0" applyNumberFormat="1" applyFont="1" applyFill="1" applyAlignment="1">
      <alignment horizontal="right" vertical="center"/>
    </xf>
    <xf numFmtId="165" fontId="97" fillId="6" borderId="12" xfId="0" applyNumberFormat="1" applyFont="1" applyFill="1" applyBorder="1"/>
    <xf numFmtId="43" fontId="97" fillId="6" borderId="12" xfId="0" applyNumberFormat="1" applyFont="1" applyFill="1" applyBorder="1"/>
    <xf numFmtId="165" fontId="85" fillId="22" borderId="12" xfId="35" applyNumberFormat="1" applyFont="1" applyFill="1" applyBorder="1"/>
    <xf numFmtId="3" fontId="20" fillId="5" borderId="0" xfId="0" applyNumberFormat="1" applyFont="1" applyFill="1"/>
    <xf numFmtId="0" fontId="26" fillId="8" borderId="14" xfId="0" applyFont="1" applyFill="1" applyBorder="1" applyAlignment="1">
      <alignment vertical="center" wrapText="1"/>
    </xf>
    <xf numFmtId="0" fontId="32" fillId="9" borderId="13" xfId="0" applyFont="1" applyFill="1" applyBorder="1" applyAlignment="1">
      <alignment horizontal="center" vertical="center"/>
    </xf>
    <xf numFmtId="0" fontId="26" fillId="8" borderId="29" xfId="0" applyFont="1" applyFill="1" applyBorder="1" applyAlignment="1">
      <alignment vertical="center" wrapText="1"/>
    </xf>
    <xf numFmtId="3" fontId="20" fillId="0" borderId="0" xfId="0" applyNumberFormat="1" applyFont="1" applyFill="1"/>
    <xf numFmtId="0" fontId="31" fillId="15" borderId="12" xfId="0" applyFont="1" applyFill="1" applyBorder="1" applyAlignment="1">
      <alignment horizontal="right" vertical="center"/>
    </xf>
    <xf numFmtId="0" fontId="31" fillId="9" borderId="13" xfId="0" applyFont="1" applyFill="1" applyBorder="1" applyAlignment="1">
      <alignment horizontal="right" vertical="center"/>
    </xf>
    <xf numFmtId="0" fontId="120" fillId="17" borderId="12" xfId="0" applyFont="1" applyFill="1" applyBorder="1" applyAlignment="1">
      <alignment horizontal="center" vertical="center"/>
    </xf>
    <xf numFmtId="0" fontId="23" fillId="5" borderId="0" xfId="0" applyFont="1" applyFill="1"/>
    <xf numFmtId="0" fontId="20" fillId="0" borderId="0" xfId="0" applyFont="1"/>
    <xf numFmtId="0" fontId="26" fillId="0" borderId="0" xfId="0" applyFont="1"/>
    <xf numFmtId="0" fontId="3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7" fillId="6" borderId="0" xfId="0" applyFont="1" applyFill="1" applyAlignment="1">
      <alignment horizontal="right" vertical="center"/>
    </xf>
    <xf numFmtId="0" fontId="27" fillId="0" borderId="0" xfId="0" applyFont="1" applyAlignment="1">
      <alignment horizontal="right"/>
    </xf>
    <xf numFmtId="165" fontId="26" fillId="0" borderId="12" xfId="1" applyFont="1" applyBorder="1" applyAlignment="1">
      <alignment vertical="center"/>
    </xf>
    <xf numFmtId="43" fontId="26" fillId="0" borderId="12" xfId="1" applyNumberFormat="1" applyFont="1" applyBorder="1" applyAlignment="1">
      <alignment vertical="center"/>
    </xf>
    <xf numFmtId="0" fontId="27" fillId="8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1" fillId="11" borderId="13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/>
    </xf>
    <xf numFmtId="0" fontId="26" fillId="0" borderId="0" xfId="0" applyFont="1" applyFill="1" applyBorder="1"/>
    <xf numFmtId="170" fontId="26" fillId="0" borderId="0" xfId="0" applyNumberFormat="1" applyFont="1" applyFill="1" applyBorder="1"/>
    <xf numFmtId="0" fontId="31" fillId="20" borderId="1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 vertical="center"/>
    </xf>
    <xf numFmtId="0" fontId="27" fillId="7" borderId="7" xfId="25" applyFont="1" applyFill="1" applyBorder="1" applyAlignment="1">
      <alignment horizontal="right"/>
    </xf>
    <xf numFmtId="0" fontId="26" fillId="7" borderId="14" xfId="0" applyFont="1" applyFill="1" applyBorder="1"/>
    <xf numFmtId="0" fontId="31" fillId="24" borderId="15" xfId="0" applyFont="1" applyFill="1" applyBorder="1" applyAlignment="1">
      <alignment horizontal="center" vertical="center"/>
    </xf>
    <xf numFmtId="43" fontId="26" fillId="0" borderId="7" xfId="0" applyNumberFormat="1" applyFont="1" applyBorder="1" applyAlignment="1">
      <alignment vertical="center" wrapText="1"/>
    </xf>
    <xf numFmtId="166" fontId="39" fillId="0" borderId="5" xfId="8" applyNumberFormat="1" applyFont="1" applyFill="1" applyBorder="1" applyAlignment="1">
      <alignment vertical="center"/>
    </xf>
    <xf numFmtId="165" fontId="32" fillId="0" borderId="7" xfId="1" applyFont="1" applyFill="1" applyBorder="1" applyAlignment="1">
      <alignment vertical="center"/>
    </xf>
    <xf numFmtId="0" fontId="26" fillId="16" borderId="7" xfId="9" applyFont="1" applyFill="1" applyBorder="1" applyAlignment="1">
      <alignment horizontal="left" vertical="center"/>
    </xf>
    <xf numFmtId="0" fontId="32" fillId="0" borderId="7" xfId="0" applyFont="1" applyBorder="1"/>
    <xf numFmtId="0" fontId="40" fillId="0" borderId="1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8" borderId="0" xfId="0" applyFont="1" applyFill="1" applyBorder="1" applyAlignment="1">
      <alignment vertical="center"/>
    </xf>
    <xf numFmtId="0" fontId="122" fillId="0" borderId="0" xfId="0" applyFont="1" applyBorder="1"/>
    <xf numFmtId="0" fontId="31" fillId="8" borderId="1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/>
    <xf numFmtId="164" fontId="26" fillId="8" borderId="13" xfId="1" applyNumberFormat="1" applyFont="1" applyFill="1" applyBorder="1"/>
    <xf numFmtId="170" fontId="26" fillId="8" borderId="13" xfId="1" applyNumberFormat="1" applyFont="1" applyFill="1" applyBorder="1"/>
    <xf numFmtId="165" fontId="27" fillId="7" borderId="8" xfId="1" applyFont="1" applyFill="1" applyBorder="1" applyAlignment="1">
      <alignment vertical="center"/>
    </xf>
    <xf numFmtId="165" fontId="27" fillId="7" borderId="9" xfId="1" applyFont="1" applyFill="1" applyBorder="1" applyAlignment="1">
      <alignment vertical="center"/>
    </xf>
    <xf numFmtId="170" fontId="26" fillId="8" borderId="0" xfId="1" applyNumberFormat="1" applyFont="1" applyFill="1" applyBorder="1"/>
    <xf numFmtId="0" fontId="40" fillId="8" borderId="13" xfId="0" applyFont="1" applyFill="1" applyBorder="1" applyAlignment="1">
      <alignment horizontal="center" vertical="center"/>
    </xf>
    <xf numFmtId="165" fontId="26" fillId="8" borderId="5" xfId="1" applyFont="1" applyFill="1" applyBorder="1"/>
    <xf numFmtId="165" fontId="26" fillId="0" borderId="5" xfId="1" applyFont="1" applyFill="1" applyBorder="1"/>
    <xf numFmtId="165" fontId="27" fillId="7" borderId="6" xfId="1" applyFont="1" applyFill="1" applyBorder="1" applyAlignment="1">
      <alignment vertical="center"/>
    </xf>
    <xf numFmtId="165" fontId="27" fillId="0" borderId="7" xfId="1" applyFont="1" applyFill="1" applyBorder="1"/>
    <xf numFmtId="4" fontId="26" fillId="8" borderId="7" xfId="0" applyNumberFormat="1" applyFont="1" applyFill="1" applyBorder="1"/>
    <xf numFmtId="0" fontId="26" fillId="8" borderId="0" xfId="0" applyFont="1" applyFill="1" applyBorder="1"/>
    <xf numFmtId="170" fontId="26" fillId="8" borderId="0" xfId="0" applyNumberFormat="1" applyFont="1" applyFill="1" applyBorder="1"/>
    <xf numFmtId="0" fontId="27" fillId="0" borderId="0" xfId="0" applyFont="1" applyFill="1" applyBorder="1"/>
    <xf numFmtId="0" fontId="26" fillId="0" borderId="0" xfId="0" applyFont="1" applyFill="1" applyBorder="1"/>
    <xf numFmtId="0" fontId="27" fillId="0" borderId="0" xfId="0" applyFont="1" applyFill="1" applyBorder="1"/>
    <xf numFmtId="170" fontId="26" fillId="0" borderId="13" xfId="0" applyNumberFormat="1" applyFont="1" applyBorder="1"/>
    <xf numFmtId="43" fontId="121" fillId="0" borderId="13" xfId="0" applyNumberFormat="1" applyFont="1" applyFill="1" applyBorder="1"/>
    <xf numFmtId="0" fontId="20" fillId="0" borderId="0" xfId="0" applyFont="1"/>
    <xf numFmtId="4" fontId="33" fillId="0" borderId="7" xfId="0" applyNumberFormat="1" applyFont="1" applyBorder="1"/>
    <xf numFmtId="3" fontId="33" fillId="0" borderId="7" xfId="0" applyNumberFormat="1" applyFont="1" applyBorder="1"/>
    <xf numFmtId="3" fontId="33" fillId="0" borderId="5" xfId="0" applyNumberFormat="1" applyFont="1" applyBorder="1"/>
    <xf numFmtId="4" fontId="26" fillId="0" borderId="5" xfId="0" applyNumberFormat="1" applyFont="1" applyBorder="1"/>
    <xf numFmtId="4" fontId="33" fillId="0" borderId="5" xfId="0" applyNumberFormat="1" applyFont="1" applyBorder="1"/>
    <xf numFmtId="4" fontId="26" fillId="0" borderId="7" xfId="0" applyNumberFormat="1" applyFont="1" applyBorder="1"/>
    <xf numFmtId="4" fontId="27" fillId="0" borderId="5" xfId="0" applyNumberFormat="1" applyFont="1" applyBorder="1"/>
    <xf numFmtId="0" fontId="20" fillId="0" borderId="0" xfId="0" applyFont="1" applyFill="1"/>
    <xf numFmtId="0" fontId="26" fillId="0" borderId="30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166" fontId="27" fillId="0" borderId="5" xfId="8" applyNumberFormat="1" applyFont="1" applyFill="1" applyBorder="1"/>
    <xf numFmtId="166" fontId="27" fillId="0" borderId="0" xfId="8" applyNumberFormat="1" applyFont="1" applyFill="1" applyBorder="1"/>
    <xf numFmtId="166" fontId="27" fillId="0" borderId="7" xfId="8" applyNumberFormat="1" applyFont="1" applyFill="1" applyBorder="1"/>
    <xf numFmtId="4" fontId="33" fillId="0" borderId="0" xfId="0" applyNumberFormat="1" applyFont="1" applyBorder="1"/>
    <xf numFmtId="4" fontId="26" fillId="0" borderId="0" xfId="0" applyNumberFormat="1" applyFont="1" applyBorder="1"/>
    <xf numFmtId="0" fontId="26" fillId="0" borderId="0" xfId="0" applyFont="1" applyFill="1" applyBorder="1"/>
    <xf numFmtId="165" fontId="26" fillId="0" borderId="0" xfId="1" applyFont="1" applyFill="1" applyBorder="1"/>
    <xf numFmtId="0" fontId="26" fillId="0" borderId="34" xfId="0" applyFont="1" applyFill="1" applyBorder="1" applyAlignment="1">
      <alignment horizontal="center" vertical="center"/>
    </xf>
    <xf numFmtId="170" fontId="26" fillId="0" borderId="0" xfId="1" applyNumberFormat="1" applyFont="1" applyFill="1" applyBorder="1"/>
    <xf numFmtId="170" fontId="26" fillId="0" borderId="0" xfId="0" applyNumberFormat="1" applyFont="1" applyFill="1" applyBorder="1"/>
    <xf numFmtId="4" fontId="26" fillId="0" borderId="7" xfId="0" applyNumberFormat="1" applyFont="1" applyFill="1" applyBorder="1"/>
    <xf numFmtId="0" fontId="26" fillId="0" borderId="0" xfId="0" applyFont="1" applyBorder="1"/>
    <xf numFmtId="3" fontId="33" fillId="0" borderId="0" xfId="0" applyNumberFormat="1" applyFont="1" applyBorder="1"/>
    <xf numFmtId="3" fontId="27" fillId="5" borderId="0" xfId="0" applyNumberFormat="1" applyFont="1" applyFill="1" applyBorder="1"/>
    <xf numFmtId="3" fontId="26" fillId="5" borderId="0" xfId="0" applyNumberFormat="1" applyFont="1" applyFill="1" applyBorder="1"/>
    <xf numFmtId="0" fontId="31" fillId="0" borderId="13" xfId="0" applyFont="1" applyFill="1" applyBorder="1" applyAlignment="1">
      <alignment horizontal="center" vertical="center"/>
    </xf>
    <xf numFmtId="170" fontId="26" fillId="0" borderId="13" xfId="1" applyNumberFormat="1" applyFont="1" applyFill="1" applyBorder="1"/>
    <xf numFmtId="165" fontId="26" fillId="8" borderId="0" xfId="1" applyFont="1" applyFill="1" applyBorder="1"/>
    <xf numFmtId="165" fontId="27" fillId="8" borderId="7" xfId="1" applyFont="1" applyFill="1" applyBorder="1"/>
    <xf numFmtId="0" fontId="31" fillId="2" borderId="13" xfId="0" applyFont="1" applyFill="1" applyBorder="1" applyAlignment="1">
      <alignment horizontal="center" vertical="center"/>
    </xf>
    <xf numFmtId="0" fontId="27" fillId="0" borderId="7" xfId="25" applyFont="1" applyFill="1" applyBorder="1" applyAlignment="1">
      <alignment horizontal="right"/>
    </xf>
    <xf numFmtId="165" fontId="42" fillId="0" borderId="7" xfId="1" applyFont="1" applyFill="1" applyBorder="1" applyAlignment="1">
      <alignment vertical="center" shrinkToFit="1"/>
    </xf>
    <xf numFmtId="171" fontId="26" fillId="0" borderId="0" xfId="1" applyNumberFormat="1" applyFont="1" applyBorder="1" applyAlignment="1">
      <alignment horizontal="right" vertical="center" shrinkToFit="1"/>
    </xf>
    <xf numFmtId="165" fontId="26" fillId="0" borderId="0" xfId="1" applyFont="1" applyBorder="1" applyAlignment="1">
      <alignment horizontal="right" vertical="center" shrinkToFit="1"/>
    </xf>
    <xf numFmtId="164" fontId="26" fillId="0" borderId="5" xfId="1" applyNumberFormat="1" applyFont="1" applyBorder="1" applyAlignment="1">
      <alignment horizontal="right" vertical="center"/>
    </xf>
    <xf numFmtId="171" fontId="26" fillId="0" borderId="0" xfId="1" applyNumberFormat="1" applyFont="1" applyBorder="1" applyAlignment="1">
      <alignment horizontal="right" vertical="center" shrinkToFit="1"/>
    </xf>
    <xf numFmtId="165" fontId="26" fillId="0" borderId="0" xfId="1" applyFont="1" applyBorder="1" applyAlignment="1">
      <alignment horizontal="right" vertical="center" shrinkToFit="1"/>
    </xf>
    <xf numFmtId="164" fontId="26" fillId="0" borderId="0" xfId="1" applyNumberFormat="1" applyFont="1" applyBorder="1" applyAlignment="1">
      <alignment horizontal="right" vertical="center"/>
    </xf>
    <xf numFmtId="164" fontId="26" fillId="0" borderId="5" xfId="1" applyNumberFormat="1" applyFont="1" applyBorder="1" applyAlignment="1">
      <alignment horizontal="right" vertical="center"/>
    </xf>
    <xf numFmtId="165" fontId="26" fillId="0" borderId="0" xfId="1" applyFont="1" applyBorder="1" applyAlignment="1">
      <alignment horizontal="right" vertical="center"/>
    </xf>
    <xf numFmtId="171" fontId="26" fillId="0" borderId="0" xfId="1" applyNumberFormat="1" applyFont="1" applyBorder="1" applyAlignment="1">
      <alignment horizontal="right" vertical="center" shrinkToFit="1"/>
    </xf>
    <xf numFmtId="171" fontId="26" fillId="0" borderId="0" xfId="1" applyNumberFormat="1" applyFont="1" applyBorder="1" applyAlignment="1">
      <alignment horizontal="right" vertical="center" shrinkToFit="1"/>
    </xf>
    <xf numFmtId="165" fontId="26" fillId="0" borderId="0" xfId="1" applyFont="1" applyBorder="1" applyAlignment="1">
      <alignment horizontal="right" vertical="center" shrinkToFit="1"/>
    </xf>
    <xf numFmtId="164" fontId="26" fillId="0" borderId="5" xfId="1" applyNumberFormat="1" applyFont="1" applyBorder="1" applyAlignment="1">
      <alignment horizontal="right" vertical="center"/>
    </xf>
    <xf numFmtId="165" fontId="26" fillId="0" borderId="0" xfId="1" applyFont="1" applyBorder="1" applyAlignment="1">
      <alignment horizontal="right" vertical="center"/>
    </xf>
    <xf numFmtId="164" fontId="43" fillId="0" borderId="5" xfId="1" applyNumberFormat="1" applyFont="1" applyFill="1" applyBorder="1" applyAlignment="1">
      <alignment horizontal="right" vertical="center"/>
    </xf>
    <xf numFmtId="165" fontId="43" fillId="0" borderId="0" xfId="1" applyFont="1" applyFill="1" applyBorder="1" applyAlignment="1">
      <alignment horizontal="right" vertical="center"/>
    </xf>
    <xf numFmtId="171" fontId="26" fillId="0" borderId="0" xfId="1" applyNumberFormat="1" applyFont="1" applyBorder="1" applyAlignment="1">
      <alignment horizontal="right" vertical="center" shrinkToFit="1"/>
    </xf>
    <xf numFmtId="165" fontId="26" fillId="0" borderId="0" xfId="1" applyFont="1" applyBorder="1" applyAlignment="1">
      <alignment horizontal="right" vertical="center" shrinkToFit="1"/>
    </xf>
    <xf numFmtId="164" fontId="26" fillId="0" borderId="5" xfId="1" applyNumberFormat="1" applyFont="1" applyFill="1" applyBorder="1" applyAlignment="1">
      <alignment horizontal="right" vertical="center"/>
    </xf>
    <xf numFmtId="164" fontId="26" fillId="0" borderId="5" xfId="1" applyNumberFormat="1" applyFont="1" applyBorder="1" applyAlignment="1">
      <alignment horizontal="right" vertical="center"/>
    </xf>
    <xf numFmtId="165" fontId="26" fillId="0" borderId="0" xfId="1" applyFont="1" applyBorder="1" applyAlignment="1">
      <alignment horizontal="right" vertical="center"/>
    </xf>
    <xf numFmtId="171" fontId="26" fillId="0" borderId="0" xfId="1" applyNumberFormat="1" applyFont="1" applyBorder="1" applyAlignment="1">
      <alignment horizontal="right" vertical="center" shrinkToFit="1"/>
    </xf>
    <xf numFmtId="165" fontId="26" fillId="0" borderId="0" xfId="1" applyFont="1" applyBorder="1" applyAlignment="1">
      <alignment horizontal="right" vertical="center" shrinkToFit="1"/>
    </xf>
    <xf numFmtId="43" fontId="26" fillId="0" borderId="0" xfId="0" applyNumberFormat="1" applyFont="1" applyAlignment="1">
      <alignment vertical="center" shrinkToFit="1"/>
    </xf>
    <xf numFmtId="165" fontId="26" fillId="0" borderId="0" xfId="1" applyFont="1" applyFill="1" applyBorder="1" applyAlignment="1">
      <alignment horizontal="right" vertical="center"/>
    </xf>
    <xf numFmtId="170" fontId="26" fillId="0" borderId="0" xfId="0" applyNumberFormat="1" applyFont="1" applyFill="1" applyBorder="1"/>
    <xf numFmtId="170" fontId="26" fillId="0" borderId="0" xfId="1" applyNumberFormat="1" applyFont="1" applyFill="1" applyBorder="1"/>
    <xf numFmtId="170" fontId="26" fillId="0" borderId="0" xfId="0" applyNumberFormat="1" applyFont="1" applyFill="1" applyBorder="1"/>
    <xf numFmtId="170" fontId="26" fillId="0" borderId="0" xfId="1" applyNumberFormat="1" applyFont="1" applyFill="1" applyBorder="1"/>
    <xf numFmtId="170" fontId="26" fillId="0" borderId="0" xfId="0" applyNumberFormat="1" applyFont="1" applyFill="1" applyBorder="1"/>
    <xf numFmtId="170" fontId="26" fillId="0" borderId="0" xfId="1" applyNumberFormat="1" applyFont="1" applyFill="1" applyBorder="1"/>
    <xf numFmtId="170" fontId="26" fillId="0" borderId="0" xfId="0" applyNumberFormat="1" applyFont="1" applyFill="1" applyBorder="1"/>
    <xf numFmtId="0" fontId="16" fillId="0" borderId="15" xfId="0" applyFont="1" applyBorder="1" applyAlignment="1">
      <alignment horizontal="center" vertical="center"/>
    </xf>
    <xf numFmtId="0" fontId="32" fillId="6" borderId="7" xfId="0" applyFont="1" applyFill="1" applyBorder="1" applyAlignment="1">
      <alignment horizontal="left"/>
    </xf>
    <xf numFmtId="165" fontId="26" fillId="6" borderId="13" xfId="1" applyNumberFormat="1" applyFont="1" applyFill="1" applyBorder="1" applyAlignment="1">
      <alignment vertical="center" wrapText="1"/>
    </xf>
    <xf numFmtId="165" fontId="54" fillId="6" borderId="13" xfId="1" applyNumberFormat="1" applyFont="1" applyFill="1" applyBorder="1" applyAlignment="1">
      <alignment vertical="center"/>
    </xf>
    <xf numFmtId="0" fontId="109" fillId="0" borderId="78" xfId="0" applyFont="1" applyBorder="1" applyAlignment="1">
      <alignment horizontal="center" vertical="center"/>
    </xf>
    <xf numFmtId="0" fontId="109" fillId="0" borderId="72" xfId="0" applyFont="1" applyBorder="1" applyAlignment="1">
      <alignment horizontal="center" vertical="center"/>
    </xf>
    <xf numFmtId="0" fontId="109" fillId="0" borderId="7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23" fillId="0" borderId="13" xfId="5" applyFont="1" applyFill="1" applyBorder="1" applyAlignment="1">
      <alignment horizontal="center" vertical="center"/>
    </xf>
    <xf numFmtId="165" fontId="123" fillId="6" borderId="13" xfId="1" applyNumberFormat="1" applyFont="1" applyFill="1" applyBorder="1" applyAlignment="1">
      <alignment horizontal="right" vertical="center"/>
    </xf>
    <xf numFmtId="173" fontId="26" fillId="6" borderId="5" xfId="1" applyNumberFormat="1" applyFont="1" applyFill="1" applyBorder="1" applyAlignment="1">
      <alignment horizontal="right" vertical="center"/>
    </xf>
    <xf numFmtId="173" fontId="26" fillId="6" borderId="0" xfId="1" applyNumberFormat="1" applyFont="1" applyFill="1" applyBorder="1" applyAlignment="1">
      <alignment horizontal="right" vertical="center"/>
    </xf>
    <xf numFmtId="173" fontId="42" fillId="6" borderId="7" xfId="9" applyNumberFormat="1" applyFont="1" applyFill="1" applyBorder="1" applyAlignment="1">
      <alignment vertical="center"/>
    </xf>
    <xf numFmtId="0" fontId="26" fillId="6" borderId="7" xfId="0" applyFont="1" applyFill="1" applyBorder="1"/>
    <xf numFmtId="0" fontId="27" fillId="6" borderId="11" xfId="0" applyFont="1" applyFill="1" applyBorder="1" applyAlignment="1">
      <alignment vertical="center"/>
    </xf>
    <xf numFmtId="0" fontId="27" fillId="6" borderId="3" xfId="0" applyFont="1" applyFill="1" applyBorder="1" applyAlignment="1">
      <alignment vertical="center"/>
    </xf>
    <xf numFmtId="0" fontId="27" fillId="6" borderId="3" xfId="9" applyFont="1" applyFill="1" applyBorder="1" applyAlignment="1">
      <alignment horizontal="left" vertical="center" wrapText="1"/>
    </xf>
    <xf numFmtId="0" fontId="27" fillId="6" borderId="4" xfId="9" applyFont="1" applyFill="1" applyBorder="1" applyAlignment="1">
      <alignment horizontal="left" vertical="center" wrapText="1"/>
    </xf>
    <xf numFmtId="0" fontId="27" fillId="6" borderId="12" xfId="9" applyFont="1" applyFill="1" applyBorder="1" applyAlignment="1">
      <alignment horizontal="center" vertical="center"/>
    </xf>
    <xf numFmtId="165" fontId="27" fillId="6" borderId="12" xfId="1" applyNumberFormat="1" applyFont="1" applyFill="1" applyBorder="1" applyAlignment="1">
      <alignment vertical="center"/>
    </xf>
    <xf numFmtId="173" fontId="27" fillId="6" borderId="11" xfId="1" applyNumberFormat="1" applyFont="1" applyFill="1" applyBorder="1" applyAlignment="1">
      <alignment horizontal="right" vertical="center"/>
    </xf>
    <xf numFmtId="173" fontId="27" fillId="6" borderId="3" xfId="1" applyNumberFormat="1" applyFont="1" applyFill="1" applyBorder="1" applyAlignment="1">
      <alignment horizontal="right" vertical="center"/>
    </xf>
    <xf numFmtId="173" fontId="27" fillId="6" borderId="3" xfId="9" applyNumberFormat="1" applyFont="1" applyFill="1" applyBorder="1" applyAlignment="1">
      <alignment vertical="center"/>
    </xf>
    <xf numFmtId="0" fontId="26" fillId="6" borderId="7" xfId="9" applyFont="1" applyFill="1" applyBorder="1" applyAlignment="1">
      <alignment horizontal="left" vertical="center" wrapText="1"/>
    </xf>
    <xf numFmtId="0" fontId="123" fillId="6" borderId="0" xfId="5" applyFont="1" applyFill="1"/>
    <xf numFmtId="0" fontId="27" fillId="6" borderId="0" xfId="9" applyFont="1" applyFill="1" applyAlignment="1">
      <alignment horizontal="left" vertical="center"/>
    </xf>
    <xf numFmtId="0" fontId="123" fillId="6" borderId="7" xfId="9" applyFont="1" applyFill="1" applyBorder="1" applyAlignment="1">
      <alignment horizontal="left" vertical="center" wrapText="1"/>
    </xf>
    <xf numFmtId="2" fontId="0" fillId="0" borderId="12" xfId="0" applyNumberFormat="1" applyFont="1" applyBorder="1" applyAlignment="1">
      <alignment horizontal="right" vertical="center"/>
    </xf>
    <xf numFmtId="2" fontId="100" fillId="0" borderId="72" xfId="0" applyNumberFormat="1" applyFont="1" applyBorder="1" applyAlignment="1">
      <alignment horizontal="right" vertical="center"/>
    </xf>
    <xf numFmtId="2" fontId="100" fillId="0" borderId="96" xfId="0" applyNumberFormat="1" applyFont="1" applyBorder="1" applyAlignment="1">
      <alignment horizontal="right" vertical="center"/>
    </xf>
    <xf numFmtId="2" fontId="100" fillId="0" borderId="72" xfId="0" applyNumberFormat="1" applyFont="1" applyBorder="1" applyAlignment="1">
      <alignment horizontal="right" vertical="center" wrapText="1"/>
    </xf>
    <xf numFmtId="0" fontId="100" fillId="0" borderId="96" xfId="0" applyFont="1" applyBorder="1" applyAlignment="1">
      <alignment horizontal="right" vertical="center"/>
    </xf>
    <xf numFmtId="4" fontId="100" fillId="0" borderId="96" xfId="0" applyNumberFormat="1" applyFont="1" applyBorder="1" applyAlignment="1">
      <alignment horizontal="right" vertical="center"/>
    </xf>
    <xf numFmtId="0" fontId="100" fillId="6" borderId="96" xfId="0" applyFont="1" applyFill="1" applyBorder="1" applyAlignment="1">
      <alignment horizontal="right" vertical="center"/>
    </xf>
    <xf numFmtId="0" fontId="100" fillId="0" borderId="72" xfId="0" applyFont="1" applyBorder="1" applyAlignment="1">
      <alignment horizontal="right" vertical="center" wrapText="1"/>
    </xf>
    <xf numFmtId="2" fontId="100" fillId="0" borderId="72" xfId="0" applyNumberFormat="1" applyFont="1" applyBorder="1" applyAlignment="1">
      <alignment vertical="center"/>
    </xf>
    <xf numFmtId="2" fontId="0" fillId="0" borderId="72" xfId="0" applyNumberFormat="1" applyBorder="1" applyAlignment="1">
      <alignment vertical="center"/>
    </xf>
    <xf numFmtId="2" fontId="100" fillId="0" borderId="92" xfId="0" applyNumberFormat="1" applyFont="1" applyBorder="1" applyAlignment="1">
      <alignment vertical="center"/>
    </xf>
    <xf numFmtId="2" fontId="100" fillId="0" borderId="73" xfId="0" applyNumberFormat="1" applyFont="1" applyBorder="1" applyAlignment="1">
      <alignment horizontal="right" vertical="center"/>
    </xf>
    <xf numFmtId="0" fontId="112" fillId="6" borderId="96" xfId="0" applyFont="1" applyFill="1" applyBorder="1" applyAlignment="1">
      <alignment horizontal="right" vertical="center"/>
    </xf>
    <xf numFmtId="0" fontId="112" fillId="6" borderId="111" xfId="0" applyFont="1" applyFill="1" applyBorder="1" applyAlignment="1">
      <alignment horizontal="right" vertical="center"/>
    </xf>
    <xf numFmtId="0" fontId="31" fillId="12" borderId="5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vertical="center"/>
    </xf>
    <xf numFmtId="0" fontId="26" fillId="12" borderId="7" xfId="9" applyFont="1" applyFill="1" applyBorder="1" applyAlignment="1">
      <alignment horizontal="left" vertical="center" wrapText="1"/>
    </xf>
    <xf numFmtId="165" fontId="26" fillId="12" borderId="13" xfId="1" applyNumberFormat="1" applyFont="1" applyFill="1" applyBorder="1" applyAlignment="1">
      <alignment vertical="center"/>
    </xf>
    <xf numFmtId="0" fontId="26" fillId="12" borderId="5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left" vertical="center" wrapText="1"/>
    </xf>
    <xf numFmtId="0" fontId="26" fillId="12" borderId="7" xfId="0" applyFont="1" applyFill="1" applyBorder="1" applyAlignment="1">
      <alignment horizontal="left"/>
    </xf>
    <xf numFmtId="41" fontId="26" fillId="12" borderId="13" xfId="33" applyNumberFormat="1" applyFont="1" applyFill="1" applyBorder="1" applyAlignment="1">
      <alignment horizontal="center" vertical="center"/>
    </xf>
    <xf numFmtId="165" fontId="26" fillId="12" borderId="13" xfId="1" applyNumberFormat="1" applyFont="1" applyFill="1" applyBorder="1" applyAlignment="1">
      <alignment horizontal="center" vertical="center"/>
    </xf>
    <xf numFmtId="173" fontId="26" fillId="12" borderId="5" xfId="33" applyNumberFormat="1" applyFont="1" applyFill="1" applyBorder="1" applyAlignment="1">
      <alignment horizontal="center" vertical="center"/>
    </xf>
    <xf numFmtId="173" fontId="26" fillId="12" borderId="0" xfId="33" applyNumberFormat="1" applyFont="1" applyFill="1" applyBorder="1" applyAlignment="1">
      <alignment horizontal="center" vertical="center"/>
    </xf>
    <xf numFmtId="173" fontId="26" fillId="12" borderId="7" xfId="33" applyNumberFormat="1" applyFont="1" applyFill="1" applyBorder="1" applyAlignment="1">
      <alignment horizontal="center" vertical="center"/>
    </xf>
    <xf numFmtId="0" fontId="26" fillId="12" borderId="13" xfId="5" applyFont="1" applyFill="1" applyBorder="1" applyAlignment="1">
      <alignment horizontal="center" vertical="center"/>
    </xf>
    <xf numFmtId="173" fontId="26" fillId="12" borderId="5" xfId="1" applyNumberFormat="1" applyFont="1" applyFill="1" applyBorder="1" applyAlignment="1">
      <alignment horizontal="right" vertical="center"/>
    </xf>
    <xf numFmtId="173" fontId="26" fillId="12" borderId="0" xfId="1" applyNumberFormat="1" applyFont="1" applyFill="1" applyBorder="1" applyAlignment="1">
      <alignment horizontal="right" vertical="center"/>
    </xf>
    <xf numFmtId="173" fontId="42" fillId="12" borderId="7" xfId="9" applyNumberFormat="1" applyFont="1" applyFill="1" applyBorder="1" applyAlignment="1">
      <alignment vertical="center"/>
    </xf>
    <xf numFmtId="0" fontId="26" fillId="15" borderId="0" xfId="9" applyFont="1" applyFill="1" applyAlignment="1">
      <alignment horizontal="left" vertical="center"/>
    </xf>
    <xf numFmtId="0" fontId="26" fillId="15" borderId="7" xfId="9" applyFont="1" applyFill="1" applyBorder="1" applyAlignment="1">
      <alignment horizontal="left" vertical="center" wrapText="1"/>
    </xf>
    <xf numFmtId="43" fontId="27" fillId="10" borderId="2" xfId="33" applyFont="1" applyFill="1" applyBorder="1" applyAlignment="1">
      <alignment horizontal="center" vertical="center"/>
    </xf>
    <xf numFmtId="0" fontId="26" fillId="0" borderId="10" xfId="23" applyBorder="1" applyAlignment="1">
      <alignment horizontal="center" vertical="center"/>
    </xf>
    <xf numFmtId="0" fontId="26" fillId="0" borderId="6" xfId="23" applyBorder="1" applyAlignment="1">
      <alignment horizontal="center" vertical="center"/>
    </xf>
    <xf numFmtId="0" fontId="26" fillId="0" borderId="9" xfId="23" applyBorder="1" applyAlignment="1">
      <alignment horizontal="center" vertical="center"/>
    </xf>
    <xf numFmtId="0" fontId="27" fillId="10" borderId="3" xfId="23" applyFont="1" applyFill="1" applyBorder="1" applyAlignment="1">
      <alignment horizontal="center" vertical="center"/>
    </xf>
    <xf numFmtId="0" fontId="26" fillId="10" borderId="3" xfId="23" applyFill="1" applyBorder="1" applyAlignment="1">
      <alignment horizontal="center" vertical="center"/>
    </xf>
    <xf numFmtId="0" fontId="26" fillId="10" borderId="4" xfId="23" applyFill="1" applyBorder="1" applyAlignment="1">
      <alignment horizontal="center" vertical="center"/>
    </xf>
    <xf numFmtId="0" fontId="58" fillId="0" borderId="0" xfId="23" applyFont="1" applyAlignment="1">
      <alignment horizontal="left" vertical="center"/>
    </xf>
    <xf numFmtId="0" fontId="26" fillId="10" borderId="15" xfId="23" applyFill="1" applyBorder="1" applyAlignment="1">
      <alignment horizontal="center" vertical="center" wrapText="1"/>
    </xf>
    <xf numFmtId="0" fontId="26" fillId="10" borderId="13" xfId="23" applyFill="1" applyBorder="1" applyAlignment="1">
      <alignment horizontal="center" vertical="center" wrapText="1"/>
    </xf>
    <xf numFmtId="0" fontId="26" fillId="10" borderId="14" xfId="23" applyFill="1" applyBorder="1" applyAlignment="1">
      <alignment horizontal="center" vertical="center" wrapText="1"/>
    </xf>
    <xf numFmtId="0" fontId="26" fillId="10" borderId="1" xfId="23" applyFill="1" applyBorder="1" applyAlignment="1">
      <alignment horizontal="center" vertical="center" wrapText="1"/>
    </xf>
    <xf numFmtId="0" fontId="26" fillId="0" borderId="2" xfId="23" applyBorder="1" applyAlignment="1">
      <alignment horizontal="center" vertical="center" wrapText="1"/>
    </xf>
    <xf numFmtId="0" fontId="26" fillId="0" borderId="5" xfId="23" applyBorder="1" applyAlignment="1">
      <alignment horizontal="center" vertical="center" wrapText="1"/>
    </xf>
    <xf numFmtId="0" fontId="26" fillId="0" borderId="0" xfId="23" applyAlignment="1">
      <alignment horizontal="center" vertical="center" wrapText="1"/>
    </xf>
    <xf numFmtId="0" fontId="26" fillId="0" borderId="8" xfId="23" applyBorder="1" applyAlignment="1">
      <alignment horizontal="center" vertical="center" wrapText="1"/>
    </xf>
    <xf numFmtId="0" fontId="26" fillId="0" borderId="6" xfId="23" applyBorder="1" applyAlignment="1">
      <alignment horizontal="center" vertical="center" wrapText="1"/>
    </xf>
    <xf numFmtId="0" fontId="26" fillId="10" borderId="10" xfId="23" applyFill="1" applyBorder="1" applyAlignment="1">
      <alignment horizontal="center" vertical="center" wrapText="1"/>
    </xf>
    <xf numFmtId="0" fontId="26" fillId="10" borderId="7" xfId="23" applyFill="1" applyBorder="1" applyAlignment="1">
      <alignment horizontal="center" vertical="center" wrapText="1"/>
    </xf>
    <xf numFmtId="43" fontId="27" fillId="10" borderId="2" xfId="33" applyFont="1" applyFill="1" applyBorder="1" applyAlignment="1">
      <alignment horizontal="right" vertical="center" wrapText="1"/>
    </xf>
    <xf numFmtId="43" fontId="27" fillId="10" borderId="0" xfId="33" applyFont="1" applyFill="1" applyBorder="1" applyAlignment="1">
      <alignment horizontal="right" vertical="center" wrapText="1"/>
    </xf>
    <xf numFmtId="0" fontId="26" fillId="10" borderId="0" xfId="23" applyFill="1" applyAlignment="1">
      <alignment horizontal="right" vertical="center" wrapText="1"/>
    </xf>
    <xf numFmtId="167" fontId="27" fillId="10" borderId="2" xfId="33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82" fillId="18" borderId="0" xfId="35" applyFont="1" applyFill="1" applyAlignment="1">
      <alignment horizontal="center"/>
    </xf>
    <xf numFmtId="165" fontId="27" fillId="0" borderId="15" xfId="1" applyNumberFormat="1" applyFont="1" applyFill="1" applyBorder="1" applyAlignment="1">
      <alignment horizontal="center" vertical="center" wrapText="1"/>
    </xf>
    <xf numFmtId="165" fontId="27" fillId="0" borderId="13" xfId="1" applyNumberFormat="1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horizontal="center" vertical="center"/>
    </xf>
    <xf numFmtId="0" fontId="27" fillId="8" borderId="109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/>
    </xf>
    <xf numFmtId="0" fontId="27" fillId="8" borderId="45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vertical="center" wrapText="1"/>
    </xf>
    <xf numFmtId="49" fontId="26" fillId="0" borderId="0" xfId="9" applyNumberFormat="1" applyFont="1" applyAlignment="1">
      <alignment horizontal="left" vertical="center" wrapText="1"/>
    </xf>
    <xf numFmtId="49" fontId="26" fillId="0" borderId="7" xfId="9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horizontal="right" vertical="center" wrapText="1"/>
    </xf>
    <xf numFmtId="0" fontId="27" fillId="8" borderId="13" xfId="0" applyFont="1" applyFill="1" applyBorder="1" applyAlignment="1">
      <alignment horizontal="right" vertical="center" wrapText="1"/>
    </xf>
    <xf numFmtId="0" fontId="27" fillId="8" borderId="14" xfId="0" applyFont="1" applyFill="1" applyBorder="1" applyAlignment="1">
      <alignment horizontal="right" vertical="center" wrapText="1"/>
    </xf>
    <xf numFmtId="0" fontId="63" fillId="10" borderId="8" xfId="0" applyFont="1" applyFill="1" applyBorder="1" applyAlignment="1">
      <alignment horizontal="center" wrapText="1"/>
    </xf>
    <xf numFmtId="0" fontId="63" fillId="10" borderId="6" xfId="0" applyFont="1" applyFill="1" applyBorder="1" applyAlignment="1">
      <alignment horizontal="center" wrapText="1"/>
    </xf>
    <xf numFmtId="0" fontId="63" fillId="10" borderId="9" xfId="0" applyFont="1" applyFill="1" applyBorder="1" applyAlignment="1">
      <alignment horizontal="center" wrapText="1"/>
    </xf>
    <xf numFmtId="0" fontId="27" fillId="10" borderId="1" xfId="0" applyFont="1" applyFill="1" applyBorder="1" applyAlignment="1">
      <alignment horizontal="center"/>
    </xf>
    <xf numFmtId="0" fontId="27" fillId="10" borderId="2" xfId="0" applyFont="1" applyFill="1" applyBorder="1" applyAlignment="1">
      <alignment horizontal="center"/>
    </xf>
    <xf numFmtId="0" fontId="27" fillId="10" borderId="10" xfId="0" applyFont="1" applyFill="1" applyBorder="1" applyAlignment="1">
      <alignment horizontal="center"/>
    </xf>
    <xf numFmtId="0" fontId="27" fillId="10" borderId="0" xfId="0" applyFont="1" applyFill="1" applyAlignment="1">
      <alignment horizontal="center"/>
    </xf>
    <xf numFmtId="0" fontId="27" fillId="10" borderId="7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2" fontId="100" fillId="0" borderId="68" xfId="0" applyNumberFormat="1" applyFont="1" applyBorder="1" applyAlignment="1">
      <alignment horizontal="right" vertical="center"/>
    </xf>
    <xf numFmtId="2" fontId="100" fillId="0" borderId="78" xfId="0" applyNumberFormat="1" applyFont="1" applyBorder="1" applyAlignment="1">
      <alignment horizontal="right" vertical="center"/>
    </xf>
    <xf numFmtId="2" fontId="100" fillId="0" borderId="69" xfId="0" applyNumberFormat="1" applyFont="1" applyBorder="1" applyAlignment="1">
      <alignment horizontal="right" vertical="center"/>
    </xf>
    <xf numFmtId="0" fontId="100" fillId="0" borderId="81" xfId="0" applyFont="1" applyBorder="1" applyAlignment="1">
      <alignment horizontal="right" vertical="center"/>
    </xf>
    <xf numFmtId="0" fontId="100" fillId="0" borderId="82" xfId="0" applyFont="1" applyBorder="1" applyAlignment="1">
      <alignment horizontal="right" vertical="center"/>
    </xf>
    <xf numFmtId="0" fontId="100" fillId="0" borderId="83" xfId="0" applyFont="1" applyBorder="1" applyAlignment="1">
      <alignment horizontal="right" vertical="center"/>
    </xf>
    <xf numFmtId="0" fontId="100" fillId="0" borderId="84" xfId="0" applyFont="1" applyBorder="1" applyAlignment="1">
      <alignment horizontal="right" vertical="center"/>
    </xf>
    <xf numFmtId="0" fontId="100" fillId="0" borderId="78" xfId="0" applyFont="1" applyBorder="1" applyAlignment="1">
      <alignment horizontal="right" vertical="center"/>
    </xf>
    <xf numFmtId="0" fontId="100" fillId="0" borderId="69" xfId="0" applyFont="1" applyBorder="1" applyAlignment="1">
      <alignment horizontal="right" vertical="center"/>
    </xf>
    <xf numFmtId="0" fontId="100" fillId="0" borderId="85" xfId="0" applyFont="1" applyBorder="1" applyAlignment="1">
      <alignment horizontal="right" vertical="center"/>
    </xf>
    <xf numFmtId="0" fontId="111" fillId="0" borderId="0" xfId="0" applyFont="1" applyAlignment="1">
      <alignment horizontal="center" vertical="center"/>
    </xf>
    <xf numFmtId="0" fontId="111" fillId="0" borderId="108" xfId="0" applyFont="1" applyBorder="1" applyAlignment="1">
      <alignment horizontal="left" vertical="center"/>
    </xf>
    <xf numFmtId="0" fontId="100" fillId="0" borderId="95" xfId="0" applyFont="1" applyBorder="1" applyAlignment="1">
      <alignment horizontal="center" vertical="center"/>
    </xf>
    <xf numFmtId="0" fontId="100" fillId="0" borderId="78" xfId="0" applyFont="1" applyBorder="1" applyAlignment="1">
      <alignment horizontal="center" vertical="center"/>
    </xf>
    <xf numFmtId="0" fontId="100" fillId="0" borderId="89" xfId="0" applyFont="1" applyBorder="1" applyAlignment="1">
      <alignment horizontal="center" vertical="center"/>
    </xf>
    <xf numFmtId="0" fontId="109" fillId="0" borderId="90" xfId="0" applyFont="1" applyBorder="1" applyAlignment="1">
      <alignment horizontal="center" vertical="center"/>
    </xf>
    <xf numFmtId="0" fontId="109" fillId="0" borderId="9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0" fillId="0" borderId="84" xfId="0" applyFont="1" applyBorder="1" applyAlignment="1">
      <alignment horizontal="center" vertical="center"/>
    </xf>
    <xf numFmtId="0" fontId="100" fillId="0" borderId="93" xfId="0" applyFont="1" applyBorder="1" applyAlignment="1">
      <alignment horizontal="center" vertical="center"/>
    </xf>
    <xf numFmtId="0" fontId="100" fillId="0" borderId="94" xfId="0" applyFont="1" applyBorder="1" applyAlignment="1">
      <alignment horizontal="center" vertical="center"/>
    </xf>
    <xf numFmtId="0" fontId="100" fillId="0" borderId="98" xfId="0" applyFont="1" applyBorder="1" applyAlignment="1">
      <alignment horizontal="center" vertical="center"/>
    </xf>
    <xf numFmtId="0" fontId="100" fillId="0" borderId="99" xfId="0" applyFont="1" applyBorder="1" applyAlignment="1">
      <alignment horizontal="center" vertical="center"/>
    </xf>
    <xf numFmtId="0" fontId="100" fillId="0" borderId="100" xfId="0" applyFont="1" applyBorder="1" applyAlignment="1">
      <alignment horizontal="center" vertical="center"/>
    </xf>
    <xf numFmtId="0" fontId="55" fillId="0" borderId="66" xfId="0" applyFont="1" applyBorder="1" applyAlignment="1">
      <alignment vertical="center" wrapText="1"/>
    </xf>
    <xf numFmtId="0" fontId="55" fillId="0" borderId="46" xfId="0" applyFont="1" applyBorder="1" applyAlignment="1">
      <alignment vertical="center" wrapText="1"/>
    </xf>
    <xf numFmtId="0" fontId="99" fillId="0" borderId="59" xfId="0" applyFont="1" applyBorder="1" applyAlignment="1">
      <alignment horizontal="center" vertical="center" wrapText="1"/>
    </xf>
    <xf numFmtId="0" fontId="99" fillId="0" borderId="60" xfId="0" applyFont="1" applyBorder="1" applyAlignment="1">
      <alignment horizontal="center" vertical="center" wrapText="1"/>
    </xf>
    <xf numFmtId="0" fontId="99" fillId="0" borderId="61" xfId="0" applyFont="1" applyBorder="1" applyAlignment="1">
      <alignment horizontal="center" vertical="center" wrapText="1"/>
    </xf>
    <xf numFmtId="0" fontId="99" fillId="0" borderId="62" xfId="0" applyFont="1" applyBorder="1" applyAlignment="1">
      <alignment horizontal="center" vertical="center" wrapText="1"/>
    </xf>
    <xf numFmtId="0" fontId="99" fillId="0" borderId="63" xfId="0" applyFont="1" applyBorder="1" applyAlignment="1">
      <alignment horizontal="center" vertical="center" wrapText="1"/>
    </xf>
    <xf numFmtId="0" fontId="99" fillId="0" borderId="57" xfId="0" applyFont="1" applyBorder="1" applyAlignment="1">
      <alignment horizontal="center" vertical="center" wrapText="1"/>
    </xf>
    <xf numFmtId="0" fontId="99" fillId="0" borderId="53" xfId="0" applyFont="1" applyBorder="1" applyAlignment="1">
      <alignment horizontal="center" vertical="center" wrapText="1"/>
    </xf>
    <xf numFmtId="0" fontId="99" fillId="0" borderId="58" xfId="0" applyFont="1" applyBorder="1" applyAlignment="1">
      <alignment horizontal="center" vertical="center" wrapText="1"/>
    </xf>
    <xf numFmtId="0" fontId="99" fillId="0" borderId="64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55" fillId="0" borderId="49" xfId="0" applyFont="1" applyBorder="1" applyAlignment="1">
      <alignment horizontal="center" vertical="center" wrapText="1"/>
    </xf>
    <xf numFmtId="0" fontId="99" fillId="0" borderId="12" xfId="0" applyFont="1" applyBorder="1" applyAlignment="1">
      <alignment horizontal="center" vertical="center" wrapText="1"/>
    </xf>
    <xf numFmtId="0" fontId="55" fillId="12" borderId="12" xfId="0" applyFont="1" applyFill="1" applyBorder="1" applyAlignment="1">
      <alignment vertical="center" wrapText="1"/>
    </xf>
    <xf numFmtId="0" fontId="55" fillId="12" borderId="12" xfId="0" applyFont="1" applyFill="1" applyBorder="1" applyAlignment="1">
      <alignment horizontal="center" vertical="center" wrapText="1"/>
    </xf>
    <xf numFmtId="0" fontId="99" fillId="12" borderId="62" xfId="0" applyFont="1" applyFill="1" applyBorder="1" applyAlignment="1">
      <alignment horizontal="center" vertical="center" wrapText="1"/>
    </xf>
    <xf numFmtId="0" fontId="99" fillId="12" borderId="63" xfId="0" applyFont="1" applyFill="1" applyBorder="1" applyAlignment="1">
      <alignment horizontal="center" vertical="center" wrapText="1"/>
    </xf>
    <xf numFmtId="0" fontId="99" fillId="12" borderId="59" xfId="0" applyFont="1" applyFill="1" applyBorder="1" applyAlignment="1">
      <alignment horizontal="center" vertical="center" wrapText="1"/>
    </xf>
    <xf numFmtId="0" fontId="99" fillId="12" borderId="60" xfId="0" applyFont="1" applyFill="1" applyBorder="1" applyAlignment="1">
      <alignment horizontal="center" vertical="center" wrapText="1"/>
    </xf>
    <xf numFmtId="0" fontId="99" fillId="12" borderId="61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vertical="center" wrapText="1"/>
    </xf>
    <xf numFmtId="0" fontId="113" fillId="6" borderId="53" xfId="0" applyFont="1" applyFill="1" applyBorder="1" applyAlignment="1">
      <alignment horizontal="center" vertical="center"/>
    </xf>
    <xf numFmtId="0" fontId="99" fillId="0" borderId="11" xfId="0" applyFont="1" applyBorder="1" applyAlignment="1">
      <alignment horizontal="center" vertical="center" wrapText="1"/>
    </xf>
    <xf numFmtId="0" fontId="99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11" fillId="0" borderId="108" xfId="0" applyFont="1" applyBorder="1" applyAlignment="1">
      <alignment horizontal="center" vertical="center"/>
    </xf>
    <xf numFmtId="0" fontId="111" fillId="0" borderId="6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/>
    </xf>
    <xf numFmtId="0" fontId="99" fillId="27" borderId="12" xfId="0" applyFont="1" applyFill="1" applyBorder="1" applyAlignment="1">
      <alignment horizontal="center" vertical="center"/>
    </xf>
    <xf numFmtId="0" fontId="99" fillId="27" borderId="12" xfId="0" applyFont="1" applyFill="1" applyBorder="1" applyAlignment="1">
      <alignment horizontal="center" vertical="center" wrapText="1"/>
    </xf>
    <xf numFmtId="0" fontId="99" fillId="27" borderId="80" xfId="0" applyFont="1" applyFill="1" applyBorder="1" applyAlignment="1">
      <alignment horizontal="center" vertical="center"/>
    </xf>
    <xf numFmtId="0" fontId="99" fillId="27" borderId="102" xfId="0" applyFont="1" applyFill="1" applyBorder="1" applyAlignment="1">
      <alignment horizontal="center" vertical="center"/>
    </xf>
    <xf numFmtId="0" fontId="99" fillId="27" borderId="104" xfId="0" applyFont="1" applyFill="1" applyBorder="1" applyAlignment="1">
      <alignment horizontal="center" vertical="center"/>
    </xf>
    <xf numFmtId="0" fontId="99" fillId="27" borderId="105" xfId="0" applyFont="1" applyFill="1" applyBorder="1" applyAlignment="1">
      <alignment horizontal="center" vertical="center"/>
    </xf>
    <xf numFmtId="0" fontId="99" fillId="27" borderId="68" xfId="0" applyFont="1" applyFill="1" applyBorder="1" applyAlignment="1">
      <alignment horizontal="center" vertical="center" wrapText="1"/>
    </xf>
    <xf numFmtId="0" fontId="99" fillId="27" borderId="69" xfId="0" applyFont="1" applyFill="1" applyBorder="1" applyAlignment="1">
      <alignment horizontal="center" vertical="center" wrapText="1"/>
    </xf>
    <xf numFmtId="0" fontId="99" fillId="27" borderId="77" xfId="0" applyFont="1" applyFill="1" applyBorder="1" applyAlignment="1">
      <alignment horizontal="center" vertical="center"/>
    </xf>
    <xf numFmtId="0" fontId="99" fillId="27" borderId="71" xfId="0" applyFont="1" applyFill="1" applyBorder="1" applyAlignment="1">
      <alignment horizontal="center" vertical="center"/>
    </xf>
    <xf numFmtId="0" fontId="99" fillId="27" borderId="70" xfId="0" applyFont="1" applyFill="1" applyBorder="1" applyAlignment="1">
      <alignment horizontal="center" vertical="center"/>
    </xf>
  </cellXfs>
  <cellStyles count="143">
    <cellStyle name="Comma" xfId="1" builtinId="3"/>
    <cellStyle name="Comma 2" xfId="2" xr:uid="{00000000-0005-0000-0000-000001000000}"/>
    <cellStyle name="Comma 2 2" xfId="3" xr:uid="{00000000-0005-0000-0000-000002000000}"/>
    <cellStyle name="Comma 2 2 2" xfId="21" xr:uid="{00000000-0005-0000-0000-000003000000}"/>
    <cellStyle name="Comma 2 3" xfId="12" xr:uid="{00000000-0005-0000-0000-000004000000}"/>
    <cellStyle name="Comma 2 3 2" xfId="27" xr:uid="{00000000-0005-0000-0000-000005000000}"/>
    <cellStyle name="Comma 2 4" xfId="20" xr:uid="{00000000-0005-0000-0000-000006000000}"/>
    <cellStyle name="Comma 3" xfId="4" xr:uid="{00000000-0005-0000-0000-000007000000}"/>
    <cellStyle name="Comma 3 2" xfId="22" xr:uid="{00000000-0005-0000-0000-000008000000}"/>
    <cellStyle name="Comma 4" xfId="11" xr:uid="{00000000-0005-0000-0000-000009000000}"/>
    <cellStyle name="Comma 4 2" xfId="26" xr:uid="{00000000-0005-0000-0000-00000A000000}"/>
    <cellStyle name="Comma 5" xfId="19" xr:uid="{00000000-0005-0000-0000-00000B000000}"/>
    <cellStyle name="Comma 6" xfId="24" xr:uid="{00000000-0005-0000-0000-00000C000000}"/>
    <cellStyle name="Comma 6 2" xfId="44" xr:uid="{00000000-0005-0000-0000-00000D000000}"/>
    <cellStyle name="Comma 6 2 2" xfId="74" xr:uid="{00000000-0005-0000-0000-00000E000000}"/>
    <cellStyle name="Comma 6 2 3" xfId="104" xr:uid="{00000000-0005-0000-0000-00000F000000}"/>
    <cellStyle name="Comma 6 2 4" xfId="134" xr:uid="{00000000-0005-0000-0000-000010000000}"/>
    <cellStyle name="Comma 6 3" xfId="59" xr:uid="{00000000-0005-0000-0000-000011000000}"/>
    <cellStyle name="Comma 6 4" xfId="89" xr:uid="{00000000-0005-0000-0000-000012000000}"/>
    <cellStyle name="Comma 6 5" xfId="119" xr:uid="{00000000-0005-0000-0000-000013000000}"/>
    <cellStyle name="Comma 7" xfId="33" xr:uid="{00000000-0005-0000-0000-000014000000}"/>
    <cellStyle name="Currency" xfId="37" builtinId="4"/>
    <cellStyle name="Normal" xfId="0" builtinId="0"/>
    <cellStyle name="Normal 10" xfId="23" xr:uid="{00000000-0005-0000-0000-000017000000}"/>
    <cellStyle name="Normal 12 2 3" xfId="15" xr:uid="{00000000-0005-0000-0000-000018000000}"/>
    <cellStyle name="Normal 12 2 3 2" xfId="16" xr:uid="{00000000-0005-0000-0000-000019000000}"/>
    <cellStyle name="Normal 12 2 3 2 2" xfId="31" xr:uid="{00000000-0005-0000-0000-00001A000000}"/>
    <cellStyle name="Normal 12 2 3 2 2 2" xfId="48" xr:uid="{00000000-0005-0000-0000-00001B000000}"/>
    <cellStyle name="Normal 12 2 3 2 2 2 2" xfId="78" xr:uid="{00000000-0005-0000-0000-00001C000000}"/>
    <cellStyle name="Normal 12 2 3 2 2 2 3" xfId="108" xr:uid="{00000000-0005-0000-0000-00001D000000}"/>
    <cellStyle name="Normal 12 2 3 2 2 2 4" xfId="138" xr:uid="{00000000-0005-0000-0000-00001E000000}"/>
    <cellStyle name="Normal 12 2 3 2 2 3" xfId="63" xr:uid="{00000000-0005-0000-0000-00001F000000}"/>
    <cellStyle name="Normal 12 2 3 2 2 4" xfId="93" xr:uid="{00000000-0005-0000-0000-000020000000}"/>
    <cellStyle name="Normal 12 2 3 2 2 5" xfId="123" xr:uid="{00000000-0005-0000-0000-000021000000}"/>
    <cellStyle name="Normal 12 2 3 2 3" xfId="41" xr:uid="{00000000-0005-0000-0000-000022000000}"/>
    <cellStyle name="Normal 12 2 3 2 3 2" xfId="71" xr:uid="{00000000-0005-0000-0000-000023000000}"/>
    <cellStyle name="Normal 12 2 3 2 3 3" xfId="101" xr:uid="{00000000-0005-0000-0000-000024000000}"/>
    <cellStyle name="Normal 12 2 3 2 3 4" xfId="131" xr:uid="{00000000-0005-0000-0000-000025000000}"/>
    <cellStyle name="Normal 12 2 3 2 4" xfId="56" xr:uid="{00000000-0005-0000-0000-000026000000}"/>
    <cellStyle name="Normal 12 2 3 2 5" xfId="86" xr:uid="{00000000-0005-0000-0000-000027000000}"/>
    <cellStyle name="Normal 12 2 3 2 6" xfId="116" xr:uid="{00000000-0005-0000-0000-000028000000}"/>
    <cellStyle name="Normal 12 2 3 3" xfId="17" xr:uid="{00000000-0005-0000-0000-000029000000}"/>
    <cellStyle name="Normal 12 2 3 3 2" xfId="32" xr:uid="{00000000-0005-0000-0000-00002A000000}"/>
    <cellStyle name="Normal 12 2 3 3 2 2" xfId="49" xr:uid="{00000000-0005-0000-0000-00002B000000}"/>
    <cellStyle name="Normal 12 2 3 3 2 2 2" xfId="79" xr:uid="{00000000-0005-0000-0000-00002C000000}"/>
    <cellStyle name="Normal 12 2 3 3 2 2 3" xfId="109" xr:uid="{00000000-0005-0000-0000-00002D000000}"/>
    <cellStyle name="Normal 12 2 3 3 2 2 4" xfId="139" xr:uid="{00000000-0005-0000-0000-00002E000000}"/>
    <cellStyle name="Normal 12 2 3 3 2 3" xfId="64" xr:uid="{00000000-0005-0000-0000-00002F000000}"/>
    <cellStyle name="Normal 12 2 3 3 2 4" xfId="94" xr:uid="{00000000-0005-0000-0000-000030000000}"/>
    <cellStyle name="Normal 12 2 3 3 2 5" xfId="124" xr:uid="{00000000-0005-0000-0000-000031000000}"/>
    <cellStyle name="Normal 12 2 3 3 3" xfId="42" xr:uid="{00000000-0005-0000-0000-000032000000}"/>
    <cellStyle name="Normal 12 2 3 3 3 2" xfId="72" xr:uid="{00000000-0005-0000-0000-000033000000}"/>
    <cellStyle name="Normal 12 2 3 3 3 3" xfId="102" xr:uid="{00000000-0005-0000-0000-000034000000}"/>
    <cellStyle name="Normal 12 2 3 3 3 4" xfId="132" xr:uid="{00000000-0005-0000-0000-000035000000}"/>
    <cellStyle name="Normal 12 2 3 3 4" xfId="57" xr:uid="{00000000-0005-0000-0000-000036000000}"/>
    <cellStyle name="Normal 12 2 3 3 5" xfId="87" xr:uid="{00000000-0005-0000-0000-000037000000}"/>
    <cellStyle name="Normal 12 2 3 3 6" xfId="117" xr:uid="{00000000-0005-0000-0000-000038000000}"/>
    <cellStyle name="Normal 12 2 3 4" xfId="30" xr:uid="{00000000-0005-0000-0000-000039000000}"/>
    <cellStyle name="Normal 12 2 3 4 2" xfId="47" xr:uid="{00000000-0005-0000-0000-00003A000000}"/>
    <cellStyle name="Normal 12 2 3 4 2 2" xfId="77" xr:uid="{00000000-0005-0000-0000-00003B000000}"/>
    <cellStyle name="Normal 12 2 3 4 2 3" xfId="107" xr:uid="{00000000-0005-0000-0000-00003C000000}"/>
    <cellStyle name="Normal 12 2 3 4 2 4" xfId="137" xr:uid="{00000000-0005-0000-0000-00003D000000}"/>
    <cellStyle name="Normal 12 2 3 4 3" xfId="62" xr:uid="{00000000-0005-0000-0000-00003E000000}"/>
    <cellStyle name="Normal 12 2 3 4 4" xfId="92" xr:uid="{00000000-0005-0000-0000-00003F000000}"/>
    <cellStyle name="Normal 12 2 3 4 5" xfId="122" xr:uid="{00000000-0005-0000-0000-000040000000}"/>
    <cellStyle name="Normal 12 2 3 5" xfId="40" xr:uid="{00000000-0005-0000-0000-000041000000}"/>
    <cellStyle name="Normal 12 2 3 5 2" xfId="70" xr:uid="{00000000-0005-0000-0000-000042000000}"/>
    <cellStyle name="Normal 12 2 3 5 3" xfId="100" xr:uid="{00000000-0005-0000-0000-000043000000}"/>
    <cellStyle name="Normal 12 2 3 5 4" xfId="130" xr:uid="{00000000-0005-0000-0000-000044000000}"/>
    <cellStyle name="Normal 12 2 3 6" xfId="55" xr:uid="{00000000-0005-0000-0000-000045000000}"/>
    <cellStyle name="Normal 12 2 3 7" xfId="85" xr:uid="{00000000-0005-0000-0000-000046000000}"/>
    <cellStyle name="Normal 12 2 3 8" xfId="115" xr:uid="{00000000-0005-0000-0000-000047000000}"/>
    <cellStyle name="Normal 2" xfId="5" xr:uid="{00000000-0005-0000-0000-000048000000}"/>
    <cellStyle name="Normal 2 2" xfId="6" xr:uid="{00000000-0005-0000-0000-000049000000}"/>
    <cellStyle name="Normal 2 2 2" xfId="25" xr:uid="{00000000-0005-0000-0000-00004A000000}"/>
    <cellStyle name="Normal 2 3" xfId="9" xr:uid="{00000000-0005-0000-0000-00004B000000}"/>
    <cellStyle name="Normal 3" xfId="7" xr:uid="{00000000-0005-0000-0000-00004C000000}"/>
    <cellStyle name="Normal 4" xfId="13" xr:uid="{00000000-0005-0000-0000-00004D000000}"/>
    <cellStyle name="Normal 4 2" xfId="14" xr:uid="{00000000-0005-0000-0000-00004E000000}"/>
    <cellStyle name="Normal 4 2 2" xfId="29" xr:uid="{00000000-0005-0000-0000-00004F000000}"/>
    <cellStyle name="Normal 4 2 2 2" xfId="46" xr:uid="{00000000-0005-0000-0000-000050000000}"/>
    <cellStyle name="Normal 4 2 2 2 2" xfId="76" xr:uid="{00000000-0005-0000-0000-000051000000}"/>
    <cellStyle name="Normal 4 2 2 2 3" xfId="106" xr:uid="{00000000-0005-0000-0000-000052000000}"/>
    <cellStyle name="Normal 4 2 2 2 4" xfId="136" xr:uid="{00000000-0005-0000-0000-000053000000}"/>
    <cellStyle name="Normal 4 2 2 3" xfId="61" xr:uid="{00000000-0005-0000-0000-000054000000}"/>
    <cellStyle name="Normal 4 2 2 4" xfId="91" xr:uid="{00000000-0005-0000-0000-000055000000}"/>
    <cellStyle name="Normal 4 2 2 5" xfId="121" xr:uid="{00000000-0005-0000-0000-000056000000}"/>
    <cellStyle name="Normal 4 2 3" xfId="39" xr:uid="{00000000-0005-0000-0000-000057000000}"/>
    <cellStyle name="Normal 4 2 3 2" xfId="69" xr:uid="{00000000-0005-0000-0000-000058000000}"/>
    <cellStyle name="Normal 4 2 3 3" xfId="99" xr:uid="{00000000-0005-0000-0000-000059000000}"/>
    <cellStyle name="Normal 4 2 3 4" xfId="129" xr:uid="{00000000-0005-0000-0000-00005A000000}"/>
    <cellStyle name="Normal 4 2 4" xfId="54" xr:uid="{00000000-0005-0000-0000-00005B000000}"/>
    <cellStyle name="Normal 4 2 5" xfId="84" xr:uid="{00000000-0005-0000-0000-00005C000000}"/>
    <cellStyle name="Normal 4 2 6" xfId="114" xr:uid="{00000000-0005-0000-0000-00005D000000}"/>
    <cellStyle name="Normal 4 3" xfId="28" xr:uid="{00000000-0005-0000-0000-00005E000000}"/>
    <cellStyle name="Normal 4 3 2" xfId="45" xr:uid="{00000000-0005-0000-0000-00005F000000}"/>
    <cellStyle name="Normal 4 3 2 2" xfId="75" xr:uid="{00000000-0005-0000-0000-000060000000}"/>
    <cellStyle name="Normal 4 3 2 3" xfId="105" xr:uid="{00000000-0005-0000-0000-000061000000}"/>
    <cellStyle name="Normal 4 3 2 4" xfId="135" xr:uid="{00000000-0005-0000-0000-000062000000}"/>
    <cellStyle name="Normal 4 3 3" xfId="60" xr:uid="{00000000-0005-0000-0000-000063000000}"/>
    <cellStyle name="Normal 4 3 4" xfId="90" xr:uid="{00000000-0005-0000-0000-000064000000}"/>
    <cellStyle name="Normal 4 3 5" xfId="120" xr:uid="{00000000-0005-0000-0000-000065000000}"/>
    <cellStyle name="Normal 4 4" xfId="38" xr:uid="{00000000-0005-0000-0000-000066000000}"/>
    <cellStyle name="Normal 4 4 2" xfId="68" xr:uid="{00000000-0005-0000-0000-000067000000}"/>
    <cellStyle name="Normal 4 4 3" xfId="98" xr:uid="{00000000-0005-0000-0000-000068000000}"/>
    <cellStyle name="Normal 4 4 4" xfId="128" xr:uid="{00000000-0005-0000-0000-000069000000}"/>
    <cellStyle name="Normal 4 5" xfId="53" xr:uid="{00000000-0005-0000-0000-00006A000000}"/>
    <cellStyle name="Normal 4 6" xfId="83" xr:uid="{00000000-0005-0000-0000-00006B000000}"/>
    <cellStyle name="Normal 4 7" xfId="113" xr:uid="{00000000-0005-0000-0000-00006C000000}"/>
    <cellStyle name="Normal 5" xfId="18" xr:uid="{00000000-0005-0000-0000-00006D000000}"/>
    <cellStyle name="Normal 5 2" xfId="43" xr:uid="{00000000-0005-0000-0000-00006E000000}"/>
    <cellStyle name="Normal 5 2 2" xfId="73" xr:uid="{00000000-0005-0000-0000-00006F000000}"/>
    <cellStyle name="Normal 5 2 3" xfId="103" xr:uid="{00000000-0005-0000-0000-000070000000}"/>
    <cellStyle name="Normal 5 2 4" xfId="133" xr:uid="{00000000-0005-0000-0000-000071000000}"/>
    <cellStyle name="Normal 5 3" xfId="58" xr:uid="{00000000-0005-0000-0000-000072000000}"/>
    <cellStyle name="Normal 5 4" xfId="88" xr:uid="{00000000-0005-0000-0000-000073000000}"/>
    <cellStyle name="Normal 5 5" xfId="118" xr:uid="{00000000-0005-0000-0000-000074000000}"/>
    <cellStyle name="Normal 6" xfId="34" xr:uid="{00000000-0005-0000-0000-000075000000}"/>
    <cellStyle name="Normal 6 2" xfId="50" xr:uid="{00000000-0005-0000-0000-000076000000}"/>
    <cellStyle name="Normal 6 2 2" xfId="80" xr:uid="{00000000-0005-0000-0000-000077000000}"/>
    <cellStyle name="Normal 6 2 3" xfId="110" xr:uid="{00000000-0005-0000-0000-000078000000}"/>
    <cellStyle name="Normal 6 2 4" xfId="140" xr:uid="{00000000-0005-0000-0000-000079000000}"/>
    <cellStyle name="Normal 6 3" xfId="65" xr:uid="{00000000-0005-0000-0000-00007A000000}"/>
    <cellStyle name="Normal 6 4" xfId="95" xr:uid="{00000000-0005-0000-0000-00007B000000}"/>
    <cellStyle name="Normal 6 5" xfId="125" xr:uid="{00000000-0005-0000-0000-00007C000000}"/>
    <cellStyle name="Normal 7" xfId="35" xr:uid="{00000000-0005-0000-0000-00007D000000}"/>
    <cellStyle name="Normal 7 2" xfId="51" xr:uid="{00000000-0005-0000-0000-00007E000000}"/>
    <cellStyle name="Normal 7 2 2" xfId="81" xr:uid="{00000000-0005-0000-0000-00007F000000}"/>
    <cellStyle name="Normal 7 2 3" xfId="111" xr:uid="{00000000-0005-0000-0000-000080000000}"/>
    <cellStyle name="Normal 7 2 4" xfId="141" xr:uid="{00000000-0005-0000-0000-000081000000}"/>
    <cellStyle name="Normal 7 3" xfId="66" xr:uid="{00000000-0005-0000-0000-000082000000}"/>
    <cellStyle name="Normal 7 4" xfId="96" xr:uid="{00000000-0005-0000-0000-000083000000}"/>
    <cellStyle name="Normal 7 5" xfId="126" xr:uid="{00000000-0005-0000-0000-000084000000}"/>
    <cellStyle name="Percent" xfId="8" builtinId="5"/>
    <cellStyle name="Percent 2" xfId="10" xr:uid="{00000000-0005-0000-0000-000086000000}"/>
    <cellStyle name="Percent 3" xfId="36" xr:uid="{00000000-0005-0000-0000-000087000000}"/>
    <cellStyle name="Percent 3 2" xfId="52" xr:uid="{00000000-0005-0000-0000-000088000000}"/>
    <cellStyle name="Percent 3 2 2" xfId="82" xr:uid="{00000000-0005-0000-0000-000089000000}"/>
    <cellStyle name="Percent 3 2 3" xfId="112" xr:uid="{00000000-0005-0000-0000-00008A000000}"/>
    <cellStyle name="Percent 3 2 4" xfId="142" xr:uid="{00000000-0005-0000-0000-00008B000000}"/>
    <cellStyle name="Percent 3 3" xfId="67" xr:uid="{00000000-0005-0000-0000-00008C000000}"/>
    <cellStyle name="Percent 3 4" xfId="97" xr:uid="{00000000-0005-0000-0000-00008D000000}"/>
    <cellStyle name="Percent 3 5" xfId="127" xr:uid="{00000000-0005-0000-0000-00008E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GSECHEA\Desktop\2.ADB-MAFF\1.TSSD-AF-Working(W)%20and%20Clean(C)\7.TSSD-AF%20Docs-Clean\1.TSSD%20AF%20Costing_24_Jul_MEF_cle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FF\Agribusiness\AWPB%202021\2-CFAFV_AWPB2020_For%20checking%20table%2011,%2012,%2020%20and%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Telegram%20Desktop\CFAVC_COSTSTAB_05JAN2020.wjvd3.PB.22JAN20.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FF\Agribusiness\AWPB%202021\3_Final_Draft_CFAFV_AWPB2021_Accepted_format_by_MEF_3_Sept_2020%20(HH)_09.10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CS02\Annual%20Workplans\Second_Draft_CFAFV_AWPB2021_Accepted%20format%20by%20MEF_3.%20Sept.2020_MAFF.PBedi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CFAVC\2021\AWP\AWPB\Draft-CFAFV_AWPB2021_24.Aug.2020-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FF\Agribusiness\AWPB%202021\10052020_Second_Draft_CFAFV_AWPB2021_Accepted_format_by_MEF_Nea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FF\Agribusiness\AWPB%202021\MOWRAM\Final_CFAVC_AWPB2021_Accepted_format_by_MEF_MOWRAM_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Telegram%20Desktop\MRD%20Budget%20Projection%202021-2023-%20Revised%20on%2007-09-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FAVCSP1\Budget\Annual%20budget\Second_Draft_CFAFV_AWPB2021_Accepted_format%2009-10-20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"/>
      <sheetName val="Lists"/>
      <sheetName val="FCDI"/>
      <sheetName val="Inflation"/>
      <sheetName val="Investment plan"/>
      <sheetName val="Financing plan"/>
      <sheetName val="Expend category new"/>
      <sheetName val="ADB allocation new"/>
      <sheetName val="DCEF new"/>
      <sheetName val="Output summary new"/>
      <sheetName val="Year summary new"/>
      <sheetName val="Activity summary"/>
      <sheetName val="Financier activity summary"/>
      <sheetName val="18 month budget"/>
      <sheetName val="DCEF old"/>
      <sheetName val="ADB allocation old"/>
      <sheetName val="Expend category old"/>
      <sheetName val="Output summary old"/>
      <sheetName val="Year summary old"/>
      <sheetName val="Funder year"/>
    </sheetNames>
    <sheetDataSet>
      <sheetData sheetId="0"/>
      <sheetData sheetId="1">
        <row r="5">
          <cell r="B5" t="str">
            <v>1</v>
          </cell>
        </row>
        <row r="6">
          <cell r="B6" t="str">
            <v>2</v>
          </cell>
        </row>
        <row r="7">
          <cell r="B7" t="str">
            <v>3</v>
          </cell>
        </row>
        <row r="11">
          <cell r="B11" t="str">
            <v>1.1</v>
          </cell>
        </row>
        <row r="12">
          <cell r="B12" t="str">
            <v>1.2</v>
          </cell>
        </row>
        <row r="13">
          <cell r="B13" t="str">
            <v>1.3</v>
          </cell>
        </row>
        <row r="14">
          <cell r="B14" t="str">
            <v>1.4</v>
          </cell>
        </row>
        <row r="15">
          <cell r="B15" t="str">
            <v>1.5</v>
          </cell>
        </row>
        <row r="16">
          <cell r="B16" t="str">
            <v>1.6</v>
          </cell>
        </row>
        <row r="17">
          <cell r="B17" t="str">
            <v>1.7</v>
          </cell>
        </row>
        <row r="18">
          <cell r="B18" t="str">
            <v>2.1</v>
          </cell>
        </row>
        <row r="19">
          <cell r="B19" t="str">
            <v>2.2</v>
          </cell>
        </row>
        <row r="20">
          <cell r="B20" t="str">
            <v>2.3</v>
          </cell>
        </row>
        <row r="21">
          <cell r="B21" t="str">
            <v>2.4</v>
          </cell>
        </row>
        <row r="22">
          <cell r="B22" t="str">
            <v>2.5</v>
          </cell>
        </row>
        <row r="23">
          <cell r="B23" t="str">
            <v>2.6</v>
          </cell>
        </row>
        <row r="24">
          <cell r="B24" t="str">
            <v>3.1</v>
          </cell>
        </row>
        <row r="25">
          <cell r="B25" t="str">
            <v>3.2</v>
          </cell>
        </row>
        <row r="29">
          <cell r="B29" t="str">
            <v>1A</v>
          </cell>
        </row>
        <row r="30">
          <cell r="B30" t="str">
            <v>1AA</v>
          </cell>
        </row>
        <row r="31">
          <cell r="B31" t="str">
            <v>1AB</v>
          </cell>
        </row>
        <row r="32">
          <cell r="B32" t="str">
            <v>1BA</v>
          </cell>
        </row>
        <row r="33">
          <cell r="B33" t="str">
            <v>1BC</v>
          </cell>
        </row>
        <row r="34">
          <cell r="B34" t="str">
            <v>1CA</v>
          </cell>
        </row>
        <row r="35">
          <cell r="B35" t="str">
            <v>1CB</v>
          </cell>
        </row>
        <row r="36">
          <cell r="B36" t="str">
            <v>1DB</v>
          </cell>
        </row>
        <row r="37">
          <cell r="B37" t="str">
            <v>1E</v>
          </cell>
        </row>
        <row r="38">
          <cell r="B38" t="str">
            <v>2A</v>
          </cell>
        </row>
        <row r="39">
          <cell r="B39" t="str">
            <v>2B</v>
          </cell>
        </row>
        <row r="40">
          <cell r="B40" t="str">
            <v>2C</v>
          </cell>
        </row>
        <row r="41">
          <cell r="B41" t="str">
            <v>3A</v>
          </cell>
        </row>
        <row r="49">
          <cell r="B49" t="str">
            <v>A1</v>
          </cell>
        </row>
        <row r="50">
          <cell r="B50" t="str">
            <v>A2</v>
          </cell>
        </row>
        <row r="51">
          <cell r="B51" t="str">
            <v>A3</v>
          </cell>
        </row>
        <row r="52">
          <cell r="B52" t="str">
            <v>I1</v>
          </cell>
        </row>
        <row r="53">
          <cell r="B53" t="str">
            <v>I2</v>
          </cell>
        </row>
        <row r="54">
          <cell r="B54" t="str">
            <v>R1</v>
          </cell>
        </row>
        <row r="58">
          <cell r="B58" t="str">
            <v>MAFF</v>
          </cell>
        </row>
        <row r="59">
          <cell r="B59" t="str">
            <v>NCDDS</v>
          </cell>
        </row>
        <row r="63">
          <cell r="B63" t="str">
            <v>MAFF-DCU</v>
          </cell>
        </row>
        <row r="64">
          <cell r="B64" t="str">
            <v>NCDDS</v>
          </cell>
        </row>
        <row r="68">
          <cell r="B68" t="str">
            <v>D</v>
          </cell>
        </row>
        <row r="69">
          <cell r="B69" t="str">
            <v>F</v>
          </cell>
        </row>
      </sheetData>
      <sheetData sheetId="2">
        <row r="14">
          <cell r="V14">
            <v>0</v>
          </cell>
        </row>
      </sheetData>
      <sheetData sheetId="3">
        <row r="17">
          <cell r="C17">
            <v>1.4999999999999998E-2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Sheet1"/>
      <sheetName val="Checking Tab 11, 12, 20,21"/>
      <sheetName val="Annex 4"/>
      <sheetName val="Annwx 5"/>
      <sheetName val="Summary by EA, Source &amp; Qtr"/>
      <sheetName val="Output"/>
      <sheetName val="Code"/>
      <sheetName val="Annex 2 (PM)"/>
      <sheetName val="Annex 2 (PMU-MAFF)"/>
      <sheetName val="Annex 2 (PMU-MAFF) (Veh)"/>
      <sheetName val="Annex 2 (PMU-MAFF) (Op)"/>
      <sheetName val="Sheet3"/>
      <sheetName val="Annex 2 (CSs)"/>
    </sheetNames>
    <sheetDataSet>
      <sheetData sheetId="0"/>
      <sheetData sheetId="1"/>
      <sheetData sheetId="2">
        <row r="255">
          <cell r="Y255">
            <v>2.5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 Staff (MEF) (hardcode)"/>
      <sheetName val="COVER"/>
      <sheetName val="Budget"/>
      <sheetName val="Assumptions"/>
      <sheetName val="RRP"/>
      <sheetName val="PAM"/>
      <sheetName val="Output"/>
      <sheetName val="Exp"/>
      <sheetName val="Out-Fin"/>
      <sheetName val="Exp-Fin"/>
      <sheetName val="Sector-Fin"/>
      <sheetName val="Exp-Out"/>
      <sheetName val="Out-Year"/>
      <sheetName val="Exp-Year"/>
      <sheetName val="ADB"/>
      <sheetName val="GCFL"/>
      <sheetName val="GCFG"/>
      <sheetName val="Beneficiaries"/>
      <sheetName val="Govt"/>
      <sheetName val="Procurement"/>
      <sheetName val="Check"/>
      <sheetName val="Sheet3"/>
      <sheetName val="DT_1"/>
      <sheetName val="DT2"/>
      <sheetName val="DT_3"/>
      <sheetName val="DT_4"/>
      <sheetName val="DT_5"/>
      <sheetName val="DT_6"/>
      <sheetName val="DT_7"/>
      <sheetName val="DT_8"/>
      <sheetName val="DT_9"/>
      <sheetName val="DT_10"/>
      <sheetName val="DT_11"/>
      <sheetName val="DT_12"/>
      <sheetName val="DT_13"/>
      <sheetName val="DT_14"/>
      <sheetName val="DT_15"/>
      <sheetName val="DT_16"/>
      <sheetName val="DT_17"/>
      <sheetName val="DT_18"/>
      <sheetName val="DT_19"/>
      <sheetName val="Distribution"/>
      <sheetName val="MAFF"/>
      <sheetName val="MOWRAM"/>
      <sheetName val="MRD"/>
      <sheetName val="Unassigned"/>
      <sheetName val="Total Base Cost"/>
      <sheetName val="Total Contingency"/>
      <sheetName val="Out-Fin (2)"/>
      <sheetName val="FCDI"/>
      <sheetName val="TO DO"/>
      <sheetName val="TABLES"/>
      <sheetName val="SUMMARY"/>
      <sheetName val="MEF - Vehicle"/>
      <sheetName val="O&amp;M"/>
      <sheetName val="DT"/>
      <sheetName val="GCF"/>
      <sheetName val="GCF - template"/>
      <sheetName val="GCF - template (simplified)"/>
      <sheetName val="MEF - Contract Staff"/>
      <sheetName val="Exp (hardcoded)"/>
      <sheetName val="Exp-Out (hardcoded)"/>
      <sheetName val="Sheet1"/>
      <sheetName val="Sheet2"/>
    </sheetNames>
    <sheetDataSet>
      <sheetData sheetId="0"/>
      <sheetData sheetId="1"/>
      <sheetData sheetId="2"/>
      <sheetData sheetId="3">
        <row r="86">
          <cell r="I86" t="str">
            <v>CW1</v>
          </cell>
        </row>
        <row r="87">
          <cell r="I87" t="str">
            <v>CW2</v>
          </cell>
        </row>
        <row r="88">
          <cell r="I88" t="str">
            <v>CW3</v>
          </cell>
        </row>
        <row r="89">
          <cell r="I89" t="str">
            <v>CW4</v>
          </cell>
        </row>
        <row r="90">
          <cell r="I90" t="str">
            <v>CW5</v>
          </cell>
        </row>
        <row r="91">
          <cell r="I91" t="str">
            <v>CW7</v>
          </cell>
        </row>
        <row r="92">
          <cell r="I92" t="str">
            <v>CW11</v>
          </cell>
        </row>
        <row r="93">
          <cell r="I93" t="str">
            <v>CW12</v>
          </cell>
        </row>
        <row r="94">
          <cell r="I94" t="str">
            <v>CW13</v>
          </cell>
        </row>
        <row r="95">
          <cell r="I95" t="str">
            <v>CW14</v>
          </cell>
        </row>
        <row r="96">
          <cell r="I96" t="str">
            <v>CW15</v>
          </cell>
        </row>
        <row r="97">
          <cell r="I97" t="str">
            <v>CW16</v>
          </cell>
        </row>
        <row r="98">
          <cell r="I98" t="str">
            <v>CW17</v>
          </cell>
        </row>
        <row r="99">
          <cell r="I99" t="str">
            <v>CW18</v>
          </cell>
        </row>
        <row r="100">
          <cell r="I100" t="str">
            <v>CW19</v>
          </cell>
        </row>
        <row r="101">
          <cell r="I101" t="str">
            <v>PP_D1</v>
          </cell>
        </row>
        <row r="102">
          <cell r="I102" t="str">
            <v>PP_G1</v>
          </cell>
        </row>
        <row r="103">
          <cell r="I103" t="str">
            <v>PP_G2</v>
          </cell>
        </row>
        <row r="104">
          <cell r="I104" t="str">
            <v>PP_G3</v>
          </cell>
        </row>
        <row r="105">
          <cell r="I105" t="str">
            <v>PP_G4</v>
          </cell>
        </row>
        <row r="106">
          <cell r="I106" t="str">
            <v>PP_G5</v>
          </cell>
        </row>
        <row r="107">
          <cell r="I107" t="str">
            <v>PP_G6</v>
          </cell>
        </row>
        <row r="108">
          <cell r="I108" t="str">
            <v>PP_G7</v>
          </cell>
        </row>
        <row r="109">
          <cell r="I109" t="str">
            <v>PP_G8</v>
          </cell>
        </row>
        <row r="110">
          <cell r="I110" t="str">
            <v>PP_G9</v>
          </cell>
        </row>
        <row r="111">
          <cell r="I111" t="str">
            <v>CS1</v>
          </cell>
        </row>
        <row r="112">
          <cell r="I112" t="str">
            <v>CS2</v>
          </cell>
        </row>
        <row r="113">
          <cell r="I113" t="str">
            <v>CS3</v>
          </cell>
        </row>
        <row r="114">
          <cell r="I114" t="str">
            <v>CS4</v>
          </cell>
        </row>
        <row r="115">
          <cell r="I115" t="str">
            <v>CS5</v>
          </cell>
        </row>
        <row r="116">
          <cell r="I116" t="str">
            <v>CS6</v>
          </cell>
        </row>
        <row r="117">
          <cell r="I117" t="str">
            <v>PMO</v>
          </cell>
        </row>
        <row r="118">
          <cell r="I118" t="str">
            <v>Govt</v>
          </cell>
        </row>
        <row r="119">
          <cell r="I119" t="str">
            <v>N/A</v>
          </cell>
        </row>
        <row r="120">
          <cell r="I120" t="str">
            <v>Spare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Annex 3 ('MEF)"/>
      <sheetName val="Annex 3 (by Activities)"/>
      <sheetName val="Annex4"/>
      <sheetName val="Annex 5"/>
      <sheetName val="Annex 6"/>
      <sheetName val="Sheet1"/>
      <sheetName val="Summary by EA, Source &amp; Qtr"/>
      <sheetName val="Output"/>
      <sheetName val="Annex 3 (CS)"/>
      <sheetName val="Annex 3 (CS2)"/>
      <sheetName val="Annex 3 (CD)"/>
    </sheetNames>
    <sheetDataSet>
      <sheetData sheetId="0" refreshError="1"/>
      <sheetData sheetId="1" refreshError="1"/>
      <sheetData sheetId="2" refreshError="1">
        <row r="8">
          <cell r="G8" t="str">
            <v>IRRIGATION</v>
          </cell>
          <cell r="I8">
            <v>0.76827006604510995</v>
          </cell>
          <cell r="J8">
            <v>0.12645069473218948</v>
          </cell>
          <cell r="K8">
            <v>0.10527923922270058</v>
          </cell>
          <cell r="L8">
            <v>0</v>
          </cell>
          <cell r="M8">
            <v>0</v>
          </cell>
        </row>
        <row r="9">
          <cell r="G9" t="str">
            <v>ROADS</v>
          </cell>
          <cell r="I9">
            <v>0.76827006604510995</v>
          </cell>
          <cell r="J9">
            <v>0.12645069473218948</v>
          </cell>
          <cell r="K9">
            <v>0.10527923922270058</v>
          </cell>
          <cell r="L9">
            <v>0</v>
          </cell>
          <cell r="M9">
            <v>0</v>
          </cell>
        </row>
        <row r="10">
          <cell r="G10" t="str">
            <v>WAREHOUSES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G11" t="str">
            <v>OTHER_INFRA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G12" t="str">
            <v>BIOGAS</v>
          </cell>
          <cell r="I12">
            <v>0</v>
          </cell>
          <cell r="J12">
            <v>0</v>
          </cell>
          <cell r="K12">
            <v>0.27272727272727271</v>
          </cell>
          <cell r="L12">
            <v>0.30585398202814701</v>
          </cell>
          <cell r="M12">
            <v>0.42141874524458028</v>
          </cell>
        </row>
        <row r="13">
          <cell r="G13" t="str">
            <v>Compost Huts</v>
          </cell>
          <cell r="I13">
            <v>0</v>
          </cell>
          <cell r="J13">
            <v>0</v>
          </cell>
          <cell r="K13">
            <v>0.5</v>
          </cell>
          <cell r="L13">
            <v>0.25</v>
          </cell>
          <cell r="M13">
            <v>0.25</v>
          </cell>
        </row>
        <row r="14">
          <cell r="G14" t="str">
            <v>EQUIPMENT-ADB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G15" t="str">
            <v>EQUIPMENT-ICT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</row>
        <row r="16">
          <cell r="G16" t="str">
            <v>VEHICLES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G17" t="str">
            <v>MATERIALS-ADB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 t="str">
            <v>STUDIES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</row>
        <row r="19">
          <cell r="G19" t="str">
            <v>TRAINING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</row>
        <row r="20">
          <cell r="G20" t="str">
            <v>POLICIES_STANDARDS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</row>
        <row r="21">
          <cell r="G21" t="str">
            <v>M&amp;E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</row>
        <row r="22">
          <cell r="G22" t="str">
            <v>PIC-DED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G23" t="str">
            <v>PIC-Tech-Intl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G24" t="str">
            <v>PIC-Tech-Natl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 t="str">
            <v>PIC-PM-Intl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G26" t="str">
            <v>PIC-PM-Natl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G27" t="str">
            <v>PIC-Variety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</row>
        <row r="28">
          <cell r="G28" t="str">
            <v>PIC-ICT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</row>
        <row r="29">
          <cell r="G29" t="str">
            <v>SUPPORT_STAFF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G30" t="str">
            <v>CRM_SUPPORT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</row>
        <row r="31">
          <cell r="G31" t="str">
            <v>RESETTLEMENT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</row>
        <row r="32">
          <cell r="G32" t="str">
            <v>OFFICE_SUPPORT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GOVT_CONTRIBUTION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</row>
        <row r="110">
          <cell r="G110" t="str">
            <v>WATER_RESOURCES</v>
          </cell>
          <cell r="J110" t="str">
            <v>MOWRAM</v>
          </cell>
        </row>
        <row r="111">
          <cell r="G111" t="str">
            <v>COOPERATIVES</v>
          </cell>
          <cell r="J111" t="str">
            <v>MAFF</v>
          </cell>
        </row>
        <row r="112">
          <cell r="G112" t="str">
            <v>ROADS</v>
          </cell>
          <cell r="J112" t="str">
            <v>MRD</v>
          </cell>
        </row>
        <row r="113">
          <cell r="G113" t="str">
            <v>TESTING_INFRASTRUCTURE</v>
          </cell>
          <cell r="J113" t="str">
            <v>MAFF-GDA</v>
          </cell>
        </row>
        <row r="114">
          <cell r="G114" t="str">
            <v>BIOGAS</v>
          </cell>
          <cell r="J114" t="str">
            <v>MAFF-GDAHP</v>
          </cell>
        </row>
        <row r="115">
          <cell r="G115">
            <v>0</v>
          </cell>
          <cell r="J115">
            <v>0</v>
          </cell>
        </row>
        <row r="116">
          <cell r="G116" t="str">
            <v>RESILIENT_VARIETIES</v>
          </cell>
          <cell r="J116" t="str">
            <v>MAFF-CARDI</v>
          </cell>
        </row>
        <row r="117">
          <cell r="G117" t="str">
            <v>CAPACITY_STRENGTHENING</v>
          </cell>
          <cell r="J117" t="str">
            <v>MAFF-GDA</v>
          </cell>
        </row>
        <row r="118">
          <cell r="G118" t="str">
            <v>MECHANICAL_WORKSHOP</v>
          </cell>
          <cell r="J118" t="str">
            <v>MAFF-GDA</v>
          </cell>
        </row>
        <row r="119">
          <cell r="G119">
            <v>0</v>
          </cell>
          <cell r="J119">
            <v>0</v>
          </cell>
        </row>
        <row r="120">
          <cell r="G120" t="str">
            <v>POLICY_STANDARDS</v>
          </cell>
          <cell r="J120" t="str">
            <v>MAFF-GDA</v>
          </cell>
        </row>
        <row r="121">
          <cell r="G121" t="str">
            <v>GREEN_FINANCING</v>
          </cell>
          <cell r="J121" t="str">
            <v>MAFF-GDA</v>
          </cell>
        </row>
        <row r="122">
          <cell r="G122" t="str">
            <v>ICT</v>
          </cell>
          <cell r="J122" t="str">
            <v>MAFF-GDA</v>
          </cell>
        </row>
      </sheetData>
      <sheetData sheetId="3" refreshError="1"/>
      <sheetData sheetId="4" refreshError="1">
        <row r="50">
          <cell r="AF50" t="str">
            <v>MECHANICAL_WORKSHOP</v>
          </cell>
          <cell r="AG50" t="str">
            <v>OTHER_INFRA</v>
          </cell>
        </row>
        <row r="52">
          <cell r="AF52" t="str">
            <v>MECHANICAL_WORKSHOP</v>
          </cell>
          <cell r="AG52" t="str">
            <v>PIC-DED</v>
          </cell>
        </row>
        <row r="53">
          <cell r="AF53" t="str">
            <v>MECHANICAL_WORKSHOP</v>
          </cell>
          <cell r="AG53" t="str">
            <v>OTHER_INFRA</v>
          </cell>
        </row>
        <row r="56">
          <cell r="AF56" t="str">
            <v>MECHANICAL_WORKSHOP</v>
          </cell>
          <cell r="AG56" t="str">
            <v>OTHER_INFRA</v>
          </cell>
        </row>
        <row r="66">
          <cell r="AG66" t="str">
            <v>EQUIPMENT-ADB</v>
          </cell>
        </row>
        <row r="82">
          <cell r="AG82" t="str">
            <v>OTHER_INFRA</v>
          </cell>
        </row>
        <row r="83">
          <cell r="AG83" t="str">
            <v>OTHER_INFRA</v>
          </cell>
        </row>
        <row r="84">
          <cell r="AG84" t="str">
            <v>OTHER_INFRA</v>
          </cell>
        </row>
        <row r="85">
          <cell r="AG85" t="str">
            <v>OTHER_INFRA</v>
          </cell>
        </row>
        <row r="86">
          <cell r="AG86" t="str">
            <v>OTHER_INFRA</v>
          </cell>
        </row>
        <row r="87">
          <cell r="AG87" t="str">
            <v>OTHER_INFRA</v>
          </cell>
        </row>
        <row r="88">
          <cell r="AG88" t="str">
            <v>OTHER_INFRA</v>
          </cell>
        </row>
        <row r="89">
          <cell r="AG89" t="str">
            <v>OTHER_INFRA</v>
          </cell>
        </row>
        <row r="90">
          <cell r="AG90" t="str">
            <v>OTHER_INFRA</v>
          </cell>
        </row>
        <row r="91">
          <cell r="AG91" t="str">
            <v>OTHER_INFRA</v>
          </cell>
        </row>
        <row r="92">
          <cell r="AG92" t="str">
            <v>OTHER_INFRA</v>
          </cell>
        </row>
        <row r="93">
          <cell r="AG93" t="str">
            <v>OTHER_INFRA</v>
          </cell>
        </row>
        <row r="94">
          <cell r="AG94" t="str">
            <v>OTHER_INFRA</v>
          </cell>
        </row>
        <row r="95">
          <cell r="AG95" t="str">
            <v>OTHER_INFRA</v>
          </cell>
        </row>
        <row r="96">
          <cell r="AG96" t="str">
            <v>OTHER_INFRA</v>
          </cell>
        </row>
        <row r="97">
          <cell r="AG97" t="str">
            <v>OTHER_INFRA</v>
          </cell>
        </row>
        <row r="98">
          <cell r="AG98" t="str">
            <v>OTHER_INFRA</v>
          </cell>
        </row>
        <row r="99">
          <cell r="AG99" t="str">
            <v>OTHER_INFRA</v>
          </cell>
        </row>
        <row r="100">
          <cell r="AG100" t="str">
            <v>OTHER_INFRA</v>
          </cell>
        </row>
        <row r="101">
          <cell r="AG101" t="str">
            <v>OTHER_INFRA</v>
          </cell>
        </row>
        <row r="102">
          <cell r="AG102" t="str">
            <v>OTHER_INFRA</v>
          </cell>
        </row>
        <row r="103">
          <cell r="AG103" t="str">
            <v>OTHER_INFRA</v>
          </cell>
        </row>
        <row r="104">
          <cell r="AG104" t="str">
            <v>OTHER_INFRA</v>
          </cell>
        </row>
        <row r="208">
          <cell r="AF208" t="str">
            <v>BIOGAS</v>
          </cell>
        </row>
        <row r="210">
          <cell r="AF210" t="str">
            <v>BIOGAS</v>
          </cell>
        </row>
        <row r="211">
          <cell r="AF211" t="str">
            <v>BIOGAS</v>
          </cell>
        </row>
        <row r="212">
          <cell r="AF212" t="str">
            <v>BIOGAS</v>
          </cell>
        </row>
        <row r="213">
          <cell r="AF213" t="str">
            <v>BIOGAS</v>
          </cell>
        </row>
        <row r="214">
          <cell r="AF214" t="str">
            <v>BIOGAS</v>
          </cell>
        </row>
        <row r="216">
          <cell r="AF216" t="str">
            <v>BIOGAS</v>
          </cell>
        </row>
        <row r="217">
          <cell r="AF217" t="str">
            <v>BIOGAS</v>
          </cell>
        </row>
        <row r="258">
          <cell r="AF258" t="str">
            <v>CAPACITY_STRENGTHENING</v>
          </cell>
        </row>
        <row r="259">
          <cell r="AF259" t="str">
            <v>CAPACITY_STRENGTHENING</v>
          </cell>
        </row>
        <row r="260">
          <cell r="AF260" t="str">
            <v>CAPACITY_STRENGTHENING</v>
          </cell>
        </row>
        <row r="261">
          <cell r="AF261" t="str">
            <v>CAPACITY_STRENGTHENING</v>
          </cell>
        </row>
        <row r="262">
          <cell r="AF262" t="str">
            <v>CAPACITY_STRENGTHENING</v>
          </cell>
        </row>
        <row r="263">
          <cell r="AF263" t="str">
            <v>CAPACITY_STRENGTHENING</v>
          </cell>
        </row>
        <row r="265">
          <cell r="AF265" t="str">
            <v>CAPACITY_STRENGTHENING</v>
          </cell>
        </row>
        <row r="266">
          <cell r="AF266" t="str">
            <v>CAPACITY_STRENGTHENING</v>
          </cell>
        </row>
        <row r="267">
          <cell r="AF267" t="str">
            <v>CAPACITY_STRENGTHENING</v>
          </cell>
        </row>
        <row r="269">
          <cell r="AF269" t="str">
            <v>CAPACITY_STRENGTHENING</v>
          </cell>
        </row>
        <row r="270">
          <cell r="AF270" t="str">
            <v>CAPACITY_STRENGTHENING</v>
          </cell>
        </row>
        <row r="272">
          <cell r="AF272" t="str">
            <v>CAPACITY_STRENGTHENING</v>
          </cell>
        </row>
        <row r="273">
          <cell r="AF273" t="str">
            <v>CAPACITY_STRENGTHENING</v>
          </cell>
        </row>
        <row r="274">
          <cell r="AF274" t="str">
            <v>CAPACITY_STRENGTHENING</v>
          </cell>
        </row>
        <row r="278">
          <cell r="AF278" t="str">
            <v>CAPACITY_STRENGTHENING</v>
          </cell>
        </row>
        <row r="279">
          <cell r="AF279" t="str">
            <v>CAPACITY_STRENGTHENING</v>
          </cell>
        </row>
        <row r="280">
          <cell r="AF280" t="str">
            <v>CAPACITY_STRENGTHENING</v>
          </cell>
        </row>
        <row r="282">
          <cell r="AF282" t="str">
            <v>CAPACITY_STRENGTHENING</v>
          </cell>
        </row>
        <row r="283">
          <cell r="AF283" t="str">
            <v>CAPACITY_STRENGTHENING</v>
          </cell>
        </row>
        <row r="296">
          <cell r="AF296" t="str">
            <v>POLICY_STANDARDS</v>
          </cell>
        </row>
        <row r="297">
          <cell r="AF297" t="str">
            <v>POLICY_STANDARDS</v>
          </cell>
        </row>
        <row r="298">
          <cell r="AF298" t="str">
            <v>POLICY_STANDARDS</v>
          </cell>
        </row>
        <row r="299">
          <cell r="AF299" t="str">
            <v>POLICY_STANDARDS</v>
          </cell>
        </row>
        <row r="300">
          <cell r="AF300" t="str">
            <v>POLICY_STANDARDS</v>
          </cell>
        </row>
        <row r="301">
          <cell r="AF301" t="str">
            <v>POLICY_STANDARDS</v>
          </cell>
        </row>
        <row r="302">
          <cell r="AF302" t="str">
            <v>POLICY_STANDARDS</v>
          </cell>
        </row>
        <row r="329">
          <cell r="AF329" t="str">
            <v>CAPACITY_STRENGTHENING</v>
          </cell>
        </row>
        <row r="330">
          <cell r="AF330" t="str">
            <v>CAPACITY_STRENGTHENING</v>
          </cell>
        </row>
        <row r="331">
          <cell r="AF331" t="str">
            <v>CAPACITY_STRENGTHENING</v>
          </cell>
        </row>
        <row r="332">
          <cell r="AF332" t="str">
            <v>CAPACITY_STRENGTHENING</v>
          </cell>
        </row>
        <row r="333">
          <cell r="AF333" t="str">
            <v>CAPACITY_STRENGTHENING</v>
          </cell>
        </row>
        <row r="334">
          <cell r="AF334" t="str">
            <v>CAPACITY_STRENGTHENING</v>
          </cell>
        </row>
        <row r="350">
          <cell r="AF350" t="str">
            <v>GREEN_FINANCING</v>
          </cell>
        </row>
        <row r="351">
          <cell r="AF351" t="str">
            <v>GREEN_FINANCING</v>
          </cell>
        </row>
        <row r="352">
          <cell r="AF352" t="str">
            <v>GREEN_FINANCING</v>
          </cell>
        </row>
        <row r="353">
          <cell r="AF353" t="str">
            <v>GREEN_FINANCING</v>
          </cell>
        </row>
        <row r="357">
          <cell r="AF357" t="str">
            <v>GREEN_FINANCING</v>
          </cell>
        </row>
        <row r="359">
          <cell r="AF359" t="str">
            <v>GREEN_FINANCING</v>
          </cell>
        </row>
        <row r="360">
          <cell r="AF360" t="str">
            <v>GREEN_FINANCING</v>
          </cell>
        </row>
        <row r="361">
          <cell r="AF361" t="str">
            <v>GREEN_FINANCING</v>
          </cell>
        </row>
        <row r="362">
          <cell r="AF362" t="str">
            <v>GREEN_FINANCING</v>
          </cell>
        </row>
        <row r="363">
          <cell r="AF363" t="str">
            <v>GREEN_FINANCING</v>
          </cell>
        </row>
        <row r="364">
          <cell r="AF364" t="str">
            <v>GREEN_FINANCING</v>
          </cell>
        </row>
        <row r="365">
          <cell r="AF365" t="str">
            <v>GREEN_FINANCING</v>
          </cell>
        </row>
        <row r="368">
          <cell r="AF368" t="str">
            <v>GREEN_FINANCING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Annex 3 (by Activities)"/>
      <sheetName val="Annex4"/>
      <sheetName val="Annex 5"/>
      <sheetName val="Annex 6"/>
      <sheetName val="Sheet1"/>
      <sheetName val="Summary by EA, Source &amp; Qtr"/>
      <sheetName val="Output"/>
      <sheetName val="Annex 3 (CS)"/>
      <sheetName val="Annex 3 (CS2)"/>
      <sheetName val="Annex 3 (CD)"/>
    </sheetNames>
    <sheetDataSet>
      <sheetData sheetId="0" refreshError="1"/>
      <sheetData sheetId="1" refreshError="1"/>
      <sheetData sheetId="2" refreshError="1">
        <row r="8">
          <cell r="G8" t="str">
            <v>IRRIGATION</v>
          </cell>
          <cell r="I8">
            <v>0.76827006604510995</v>
          </cell>
          <cell r="J8">
            <v>0.12645069473218948</v>
          </cell>
          <cell r="K8">
            <v>0.10527923922270058</v>
          </cell>
          <cell r="L8">
            <v>0</v>
          </cell>
          <cell r="M8">
            <v>0</v>
          </cell>
        </row>
        <row r="9">
          <cell r="G9" t="str">
            <v>ROADS</v>
          </cell>
          <cell r="I9">
            <v>0.76827006604510995</v>
          </cell>
          <cell r="J9">
            <v>0.12645069473218948</v>
          </cell>
          <cell r="K9">
            <v>0.10527923922270058</v>
          </cell>
          <cell r="L9">
            <v>0</v>
          </cell>
          <cell r="M9">
            <v>0</v>
          </cell>
        </row>
        <row r="10">
          <cell r="G10" t="str">
            <v>WAREHOUSES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G11" t="str">
            <v>OTHER_INFRA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G12" t="str">
            <v>BIOGAS</v>
          </cell>
          <cell r="I12">
            <v>0</v>
          </cell>
          <cell r="J12">
            <v>0</v>
          </cell>
          <cell r="K12">
            <v>0.27272727272727271</v>
          </cell>
          <cell r="L12">
            <v>0.30585398202814701</v>
          </cell>
          <cell r="M12">
            <v>0.42141874524458028</v>
          </cell>
        </row>
        <row r="13">
          <cell r="G13" t="str">
            <v>Compost Huts</v>
          </cell>
          <cell r="I13">
            <v>0</v>
          </cell>
          <cell r="J13">
            <v>0</v>
          </cell>
          <cell r="K13">
            <v>0.5</v>
          </cell>
          <cell r="L13">
            <v>0.25</v>
          </cell>
          <cell r="M13">
            <v>0.25</v>
          </cell>
        </row>
        <row r="14">
          <cell r="G14" t="str">
            <v>EQUIPMENT-ADB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G15" t="str">
            <v>EQUIPMENT-ICT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</row>
        <row r="16">
          <cell r="G16" t="str">
            <v>VEHICLES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G17" t="str">
            <v>MATERIALS-ADB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 t="str">
            <v>STUDIES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</row>
        <row r="19">
          <cell r="G19" t="str">
            <v>TRAINING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</row>
        <row r="20">
          <cell r="G20" t="str">
            <v>POLICIES_STANDARDS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</row>
        <row r="21">
          <cell r="G21" t="str">
            <v>M&amp;E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</row>
        <row r="22">
          <cell r="G22" t="str">
            <v>PIC-DED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G23" t="str">
            <v>PIC-Tech-Intl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G24" t="str">
            <v>PIC-Tech-Natl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 t="str">
            <v>PIC-PM-Intl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G26" t="str">
            <v>PIC-PM-Natl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G27" t="str">
            <v>PIC-Variety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</row>
        <row r="28">
          <cell r="G28" t="str">
            <v>PIC-ICT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</row>
        <row r="29">
          <cell r="G29" t="str">
            <v>SUPPORT_STAFF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G30" t="str">
            <v>CRM_SUPPORT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</row>
        <row r="31">
          <cell r="G31" t="str">
            <v>RESETTLEMENT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</row>
        <row r="32">
          <cell r="G32" t="str">
            <v>OFFICE_SUPPORT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GOVT_CONTRIBUTION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</row>
      </sheetData>
      <sheetData sheetId="3" refreshError="1">
        <row r="49">
          <cell r="AE49" t="str">
            <v>TESTING_INFRASTRUCTURE</v>
          </cell>
        </row>
        <row r="67">
          <cell r="AF67">
            <v>0</v>
          </cell>
        </row>
        <row r="74">
          <cell r="AF7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Annex4"/>
      <sheetName val="Annex 5"/>
      <sheetName val="Annwx 6"/>
      <sheetName val="Summary by EA, Source &amp; Qtr"/>
      <sheetName val="Output"/>
      <sheetName val="CD"/>
    </sheetNames>
    <sheetDataSet>
      <sheetData sheetId="0" refreshError="1"/>
      <sheetData sheetId="1" refreshError="1"/>
      <sheetData sheetId="2" refreshError="1">
        <row r="8">
          <cell r="G8" t="str">
            <v>IRRIGATION</v>
          </cell>
          <cell r="I8">
            <v>0.76827006604510995</v>
          </cell>
          <cell r="J8">
            <v>0.12645069473218948</v>
          </cell>
          <cell r="K8">
            <v>0.10527923922270058</v>
          </cell>
          <cell r="L8">
            <v>0</v>
          </cell>
          <cell r="M8">
            <v>0</v>
          </cell>
        </row>
        <row r="9">
          <cell r="G9" t="str">
            <v>ROADS</v>
          </cell>
          <cell r="I9">
            <v>0.76827006604510995</v>
          </cell>
          <cell r="J9">
            <v>0.12645069473218948</v>
          </cell>
          <cell r="K9">
            <v>0.10527923922270058</v>
          </cell>
          <cell r="L9">
            <v>0</v>
          </cell>
          <cell r="M9">
            <v>0</v>
          </cell>
        </row>
        <row r="10">
          <cell r="G10" t="str">
            <v>WAREHOUSES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G11" t="str">
            <v>OTHER_INFRA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G12" t="str">
            <v>BIOGAS</v>
          </cell>
          <cell r="I12">
            <v>0</v>
          </cell>
          <cell r="J12">
            <v>0</v>
          </cell>
          <cell r="K12">
            <v>0.27272727272727271</v>
          </cell>
          <cell r="L12">
            <v>0.30585398202814701</v>
          </cell>
          <cell r="M12">
            <v>0.42141874524458028</v>
          </cell>
        </row>
        <row r="13">
          <cell r="G13" t="str">
            <v>Compost Huts</v>
          </cell>
          <cell r="I13">
            <v>0</v>
          </cell>
          <cell r="J13">
            <v>0</v>
          </cell>
          <cell r="K13">
            <v>0.5</v>
          </cell>
          <cell r="L13">
            <v>0.25</v>
          </cell>
          <cell r="M13">
            <v>0.25</v>
          </cell>
        </row>
        <row r="14">
          <cell r="G14" t="str">
            <v>EQUIPMENT-ADB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G15" t="str">
            <v>EQUIPMENT-ICT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</row>
        <row r="16">
          <cell r="G16" t="str">
            <v>VEHICLES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G17" t="str">
            <v>MATERIALS-ADB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 t="str">
            <v>STUDIES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</row>
        <row r="19">
          <cell r="G19" t="str">
            <v>TRAINING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</row>
        <row r="20">
          <cell r="G20" t="str">
            <v>POLICIES_STANDARDS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</row>
        <row r="21">
          <cell r="G21" t="str">
            <v>M&amp;E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</row>
        <row r="22">
          <cell r="G22" t="str">
            <v>PIC-DED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G23" t="str">
            <v>PIC-Tech-Intl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G24" t="str">
            <v>PIC-Tech-Natl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 t="str">
            <v>PIC-PM-Intl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G26" t="str">
            <v>PIC-PM-Natl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G27" t="str">
            <v>PIC-Variety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</row>
        <row r="28">
          <cell r="G28" t="str">
            <v>PIC-ICT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</row>
        <row r="29">
          <cell r="G29" t="str">
            <v>SUPPORT_STAFF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G30" t="str">
            <v>CRM_SUPPORT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</row>
        <row r="31">
          <cell r="G31" t="str">
            <v>RESETTLEMENT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</row>
        <row r="32">
          <cell r="G32" t="str">
            <v>OFFICE_SUPPORT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GOVT_CONTRIBUTION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</row>
        <row r="110">
          <cell r="G110" t="str">
            <v>WATER_RESOURCES</v>
          </cell>
          <cell r="J110" t="str">
            <v>MOWRAM</v>
          </cell>
        </row>
        <row r="111">
          <cell r="G111" t="str">
            <v>COOPERATIVES</v>
          </cell>
          <cell r="J111" t="str">
            <v>MAFF</v>
          </cell>
        </row>
        <row r="112">
          <cell r="G112" t="str">
            <v>ROADS</v>
          </cell>
          <cell r="J112" t="str">
            <v>MRD</v>
          </cell>
        </row>
        <row r="113">
          <cell r="G113" t="str">
            <v>TESTING_INFRASTRUCTURE</v>
          </cell>
          <cell r="J113" t="str">
            <v>MAFF-GDAHP</v>
          </cell>
        </row>
        <row r="114">
          <cell r="G114" t="str">
            <v>BIOGAS</v>
          </cell>
          <cell r="J114" t="str">
            <v>MAFF-GDA</v>
          </cell>
        </row>
        <row r="115">
          <cell r="G115">
            <v>0</v>
          </cell>
          <cell r="J115">
            <v>0</v>
          </cell>
        </row>
        <row r="116">
          <cell r="G116" t="str">
            <v>RESILIENT_VARIETIES</v>
          </cell>
          <cell r="J116" t="str">
            <v>MAFF-CARDI</v>
          </cell>
        </row>
        <row r="117">
          <cell r="G117" t="str">
            <v>CAPACITY_STRENGTHENING</v>
          </cell>
          <cell r="J117" t="str">
            <v>MAFF-GDA</v>
          </cell>
        </row>
        <row r="118">
          <cell r="G118" t="str">
            <v>MECHANICAL_WORKSHOP</v>
          </cell>
          <cell r="J118" t="str">
            <v>MAFF-GDA</v>
          </cell>
        </row>
        <row r="119">
          <cell r="G119">
            <v>0</v>
          </cell>
          <cell r="J119">
            <v>0</v>
          </cell>
        </row>
        <row r="120">
          <cell r="G120" t="str">
            <v>POLICY_STANDARDS</v>
          </cell>
          <cell r="J120" t="str">
            <v>MAFF-GDA</v>
          </cell>
        </row>
        <row r="121">
          <cell r="G121" t="str">
            <v>GREEN_FINANCING</v>
          </cell>
          <cell r="J121" t="str">
            <v>MAFF-GDA</v>
          </cell>
        </row>
        <row r="122">
          <cell r="G122" t="str">
            <v>ICT</v>
          </cell>
          <cell r="J122" t="str">
            <v>MAFF-GDA</v>
          </cell>
        </row>
      </sheetData>
      <sheetData sheetId="3" refreshError="1">
        <row r="202">
          <cell r="AE202">
            <v>0</v>
          </cell>
          <cell r="AF202">
            <v>0</v>
          </cell>
        </row>
        <row r="204">
          <cell r="AE204" t="str">
            <v>CAPACITY_STRENGTHENING</v>
          </cell>
        </row>
        <row r="217">
          <cell r="AE217" t="str">
            <v>POLICY_STANDARDS</v>
          </cell>
        </row>
        <row r="218">
          <cell r="AE218" t="str">
            <v>POLICY_STANDARDS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Annex 3 (by Activities)"/>
      <sheetName val="Annex4"/>
      <sheetName val="Annex 5"/>
      <sheetName val="Annex 6"/>
      <sheetName val="Sheet1"/>
      <sheetName val="Summary by EA, Source &amp; Qtr"/>
      <sheetName val="Output"/>
      <sheetName val="Annex 3 (CS)"/>
      <sheetName val="Annex 3 (CS2)"/>
      <sheetName val="Annex 3 (CD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Annex4"/>
      <sheetName val="Annex 5"/>
      <sheetName val="Annex 6"/>
      <sheetName val="Summary by EA, Source &amp; Qtr"/>
      <sheetName val="Output"/>
      <sheetName val="Annex4a"/>
    </sheetNames>
    <sheetDataSet>
      <sheetData sheetId="0" refreshError="1"/>
      <sheetData sheetId="1" refreshError="1"/>
      <sheetData sheetId="2">
        <row r="8">
          <cell r="G8" t="str">
            <v>IRRIGATION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$ MAFF"/>
      <sheetName val="$MOWRAM"/>
      <sheetName val="$MRD-Annex"/>
      <sheetName val="UNASSIGNED"/>
      <sheetName val="2021 Overall $"/>
      <sheetName val="Summary by EA, Source &amp; Qtr"/>
      <sheetName val="Output"/>
      <sheetName val="Budget Projection 2021"/>
      <sheetName val="Budget projection 2021-2023-0ld"/>
      <sheetName val="Budget projection 2021-2023"/>
      <sheetName val="CW break down 2022"/>
      <sheetName val="CW break down 2020"/>
      <sheetName val="CW break down 2020 (2)"/>
      <sheetName val="CW break down 2021"/>
      <sheetName val="Break down 2021"/>
      <sheetName val="Code"/>
    </sheetNames>
    <sheetDataSet>
      <sheetData sheetId="0"/>
      <sheetData sheetId="1"/>
      <sheetData sheetId="2"/>
      <sheetData sheetId="3">
        <row r="13">
          <cell r="BG13" t="str">
            <v>ROADS</v>
          </cell>
        </row>
        <row r="14">
          <cell r="BG14" t="str">
            <v>ROADS</v>
          </cell>
        </row>
        <row r="15">
          <cell r="BG15" t="str">
            <v>ROADS</v>
          </cell>
        </row>
        <row r="16">
          <cell r="BG16" t="str">
            <v>ROADS</v>
          </cell>
        </row>
        <row r="17">
          <cell r="BG17" t="str">
            <v>ROADS</v>
          </cell>
        </row>
        <row r="18">
          <cell r="BG18" t="str">
            <v>ROADS</v>
          </cell>
        </row>
        <row r="19">
          <cell r="BG19" t="str">
            <v>ROADS</v>
          </cell>
        </row>
        <row r="20">
          <cell r="BG20" t="str">
            <v>ROADS</v>
          </cell>
        </row>
        <row r="21">
          <cell r="BG21" t="str">
            <v>ROADS</v>
          </cell>
        </row>
        <row r="22">
          <cell r="BG22" t="str">
            <v>ROADS</v>
          </cell>
        </row>
        <row r="23">
          <cell r="BG23" t="str">
            <v>ROADS</v>
          </cell>
        </row>
        <row r="24">
          <cell r="BG24">
            <v>0</v>
          </cell>
        </row>
        <row r="25">
          <cell r="BG25" t="str">
            <v>ROADS</v>
          </cell>
        </row>
        <row r="26">
          <cell r="BG26" t="str">
            <v>ROADS</v>
          </cell>
        </row>
        <row r="27">
          <cell r="BG27" t="str">
            <v>ROADS</v>
          </cell>
        </row>
        <row r="28">
          <cell r="BG28" t="str">
            <v>ROADS</v>
          </cell>
        </row>
        <row r="29">
          <cell r="BG29" t="str">
            <v>ROADS</v>
          </cell>
        </row>
        <row r="30">
          <cell r="BG30" t="str">
            <v>ROADS</v>
          </cell>
        </row>
        <row r="31">
          <cell r="BG31" t="str">
            <v>ROADS</v>
          </cell>
        </row>
        <row r="32">
          <cell r="BG32" t="str">
            <v>ROADS</v>
          </cell>
        </row>
        <row r="33">
          <cell r="BG33" t="str">
            <v>ROADS</v>
          </cell>
        </row>
        <row r="34">
          <cell r="BG34" t="str">
            <v>ROADS</v>
          </cell>
        </row>
        <row r="35">
          <cell r="BG35" t="str">
            <v>ROADS</v>
          </cell>
        </row>
        <row r="36">
          <cell r="BG36" t="str">
            <v>ROADS</v>
          </cell>
        </row>
        <row r="37">
          <cell r="BG37">
            <v>0</v>
          </cell>
        </row>
        <row r="39">
          <cell r="BG39" t="str">
            <v>ROADS</v>
          </cell>
        </row>
        <row r="40">
          <cell r="BG40" t="str">
            <v>ROADS</v>
          </cell>
        </row>
        <row r="41">
          <cell r="BG41" t="str">
            <v>ROADS</v>
          </cell>
        </row>
        <row r="42">
          <cell r="BG42" t="str">
            <v>ROADS</v>
          </cell>
        </row>
        <row r="43">
          <cell r="BG43" t="str">
            <v>ROADS</v>
          </cell>
        </row>
        <row r="44">
          <cell r="BG44" t="str">
            <v>ROADS</v>
          </cell>
        </row>
        <row r="45">
          <cell r="BG45" t="str">
            <v>ROADS</v>
          </cell>
        </row>
        <row r="46">
          <cell r="BG46" t="str">
            <v>ROADS</v>
          </cell>
        </row>
        <row r="47">
          <cell r="BG47" t="str">
            <v>ROADS</v>
          </cell>
        </row>
        <row r="48">
          <cell r="BG48" t="str">
            <v>ROADS</v>
          </cell>
        </row>
        <row r="49">
          <cell r="BG49" t="str">
            <v>ROADS</v>
          </cell>
        </row>
        <row r="50">
          <cell r="BG50">
            <v>0</v>
          </cell>
        </row>
        <row r="52">
          <cell r="BG52" t="str">
            <v>ROADS</v>
          </cell>
        </row>
        <row r="53">
          <cell r="BG53" t="str">
            <v>ROADS</v>
          </cell>
        </row>
        <row r="54">
          <cell r="BG54" t="str">
            <v>ROADS</v>
          </cell>
        </row>
        <row r="55">
          <cell r="BG55" t="str">
            <v>ROADS</v>
          </cell>
        </row>
        <row r="56">
          <cell r="BG56" t="str">
            <v>ROADS</v>
          </cell>
        </row>
        <row r="57">
          <cell r="BG57" t="str">
            <v>ROADS</v>
          </cell>
        </row>
        <row r="58">
          <cell r="BG58" t="str">
            <v>ROADS</v>
          </cell>
        </row>
        <row r="59">
          <cell r="BG59" t="str">
            <v>ROADS</v>
          </cell>
        </row>
        <row r="60">
          <cell r="BG60" t="str">
            <v>ROADS</v>
          </cell>
        </row>
        <row r="61">
          <cell r="BG61" t="str">
            <v>ROADS</v>
          </cell>
        </row>
        <row r="62">
          <cell r="BG62" t="str">
            <v>ROADS</v>
          </cell>
        </row>
        <row r="63">
          <cell r="BG63">
            <v>0</v>
          </cell>
        </row>
        <row r="66">
          <cell r="BG66" t="str">
            <v>ROADS</v>
          </cell>
        </row>
        <row r="67">
          <cell r="BG67" t="str">
            <v>ROADS</v>
          </cell>
        </row>
        <row r="68">
          <cell r="BG68" t="str">
            <v>ROADS</v>
          </cell>
        </row>
        <row r="69">
          <cell r="BG69" t="str">
            <v>ROADS</v>
          </cell>
        </row>
        <row r="70">
          <cell r="BG70" t="str">
            <v>ROADS</v>
          </cell>
        </row>
        <row r="71">
          <cell r="BG71" t="str">
            <v>ROADS</v>
          </cell>
        </row>
        <row r="72">
          <cell r="BG72" t="str">
            <v>ROADS</v>
          </cell>
        </row>
        <row r="73">
          <cell r="BG73" t="str">
            <v>ROADS</v>
          </cell>
        </row>
        <row r="74">
          <cell r="BG74" t="str">
            <v>ROADS</v>
          </cell>
        </row>
        <row r="75">
          <cell r="BG75" t="str">
            <v>ROADS</v>
          </cell>
        </row>
        <row r="76">
          <cell r="BG76" t="str">
            <v>ROADS</v>
          </cell>
        </row>
        <row r="77">
          <cell r="BG77">
            <v>0</v>
          </cell>
        </row>
        <row r="79">
          <cell r="BG79" t="str">
            <v>ROADS</v>
          </cell>
        </row>
        <row r="80">
          <cell r="BG80" t="str">
            <v>ROADS</v>
          </cell>
        </row>
        <row r="81">
          <cell r="BG81" t="str">
            <v>ROADS</v>
          </cell>
        </row>
        <row r="82">
          <cell r="BG82" t="str">
            <v>ROADS</v>
          </cell>
        </row>
        <row r="83">
          <cell r="BG83" t="str">
            <v>ROADS</v>
          </cell>
        </row>
        <row r="84">
          <cell r="BG84" t="str">
            <v>ROADS</v>
          </cell>
        </row>
        <row r="85">
          <cell r="BG85" t="str">
            <v>ROADS</v>
          </cell>
        </row>
        <row r="86">
          <cell r="BG86" t="str">
            <v>ROADS</v>
          </cell>
        </row>
        <row r="87">
          <cell r="BG87" t="str">
            <v>ROADS</v>
          </cell>
        </row>
        <row r="88">
          <cell r="BG88" t="str">
            <v>ROADS</v>
          </cell>
        </row>
        <row r="89">
          <cell r="BG89" t="str">
            <v>ROADS</v>
          </cell>
        </row>
        <row r="90">
          <cell r="BG90">
            <v>0</v>
          </cell>
        </row>
        <row r="92">
          <cell r="BG92" t="str">
            <v>ROADS</v>
          </cell>
        </row>
        <row r="93">
          <cell r="BG93" t="str">
            <v>ROADS</v>
          </cell>
        </row>
        <row r="94">
          <cell r="BG94" t="str">
            <v>ROADS</v>
          </cell>
        </row>
        <row r="95">
          <cell r="BG95" t="str">
            <v>ROADS</v>
          </cell>
        </row>
        <row r="96">
          <cell r="BG96" t="str">
            <v>ROADS</v>
          </cell>
        </row>
        <row r="97">
          <cell r="BG97" t="str">
            <v>ROADS</v>
          </cell>
        </row>
        <row r="98">
          <cell r="BG98" t="str">
            <v>ROADS</v>
          </cell>
        </row>
        <row r="99">
          <cell r="BG99" t="str">
            <v>ROADS</v>
          </cell>
        </row>
        <row r="100">
          <cell r="BG100" t="str">
            <v>ROADS</v>
          </cell>
        </row>
        <row r="101">
          <cell r="BG101" t="str">
            <v>ROADS</v>
          </cell>
        </row>
        <row r="102">
          <cell r="BG102" t="str">
            <v>ROADS</v>
          </cell>
        </row>
        <row r="103">
          <cell r="BG103">
            <v>0</v>
          </cell>
        </row>
        <row r="105">
          <cell r="BG105" t="str">
            <v>ROADS</v>
          </cell>
        </row>
        <row r="106">
          <cell r="BG106" t="str">
            <v>ROADS</v>
          </cell>
        </row>
        <row r="107">
          <cell r="BG107" t="str">
            <v>ROADS</v>
          </cell>
        </row>
        <row r="108">
          <cell r="BG108" t="str">
            <v>ROADS</v>
          </cell>
        </row>
        <row r="109">
          <cell r="BG109" t="str">
            <v>ROADS</v>
          </cell>
        </row>
        <row r="110">
          <cell r="BG110" t="str">
            <v>ROADS</v>
          </cell>
        </row>
        <row r="111">
          <cell r="BG111" t="str">
            <v>ROADS</v>
          </cell>
        </row>
        <row r="112">
          <cell r="BG112" t="str">
            <v>ROADS</v>
          </cell>
        </row>
        <row r="113">
          <cell r="BG113" t="str">
            <v>ROADS</v>
          </cell>
        </row>
        <row r="114">
          <cell r="BG114" t="str">
            <v>ROADS</v>
          </cell>
        </row>
        <row r="115">
          <cell r="BG115" t="str">
            <v>ROADS</v>
          </cell>
        </row>
        <row r="116">
          <cell r="BG116">
            <v>0</v>
          </cell>
        </row>
        <row r="117">
          <cell r="BG117">
            <v>0</v>
          </cell>
        </row>
        <row r="118">
          <cell r="BG118">
            <v>0</v>
          </cell>
        </row>
        <row r="119">
          <cell r="BG119" t="str">
            <v>GOVT_CONTRIBUTION</v>
          </cell>
        </row>
        <row r="120">
          <cell r="BG120" t="str">
            <v>GOVT_CONTRIBUTION</v>
          </cell>
        </row>
        <row r="128">
          <cell r="BG128">
            <v>0</v>
          </cell>
        </row>
        <row r="137">
          <cell r="BG137">
            <v>0</v>
          </cell>
        </row>
        <row r="147">
          <cell r="BG147">
            <v>0</v>
          </cell>
        </row>
        <row r="148">
          <cell r="BG148">
            <v>0</v>
          </cell>
        </row>
        <row r="153">
          <cell r="BG153">
            <v>0</v>
          </cell>
        </row>
        <row r="154">
          <cell r="BG154">
            <v>0</v>
          </cell>
        </row>
        <row r="155">
          <cell r="BG155">
            <v>0</v>
          </cell>
        </row>
        <row r="156">
          <cell r="BG156">
            <v>0</v>
          </cell>
        </row>
        <row r="157">
          <cell r="BG157">
            <v>0</v>
          </cell>
        </row>
        <row r="158">
          <cell r="BG158" t="str">
            <v>PIC-PM-Intl</v>
          </cell>
        </row>
        <row r="159">
          <cell r="BG159" t="str">
            <v>PIC-PM-Intl</v>
          </cell>
        </row>
        <row r="160">
          <cell r="BG160" t="str">
            <v>PIC-PM-Intl</v>
          </cell>
        </row>
        <row r="161">
          <cell r="BG161" t="str">
            <v>PIC-PM-Intl</v>
          </cell>
        </row>
        <row r="162">
          <cell r="BG162" t="str">
            <v>PIC-PM-Intl</v>
          </cell>
        </row>
        <row r="163">
          <cell r="BG163" t="str">
            <v>PIC-PM-Intl</v>
          </cell>
        </row>
        <row r="164">
          <cell r="BG164" t="str">
            <v>PIC-PM-Intl</v>
          </cell>
        </row>
        <row r="165">
          <cell r="BG165" t="str">
            <v>PIC-PM-Intl</v>
          </cell>
        </row>
        <row r="166">
          <cell r="BG166">
            <v>0</v>
          </cell>
        </row>
        <row r="167">
          <cell r="BG167">
            <v>0</v>
          </cell>
        </row>
        <row r="168">
          <cell r="BG168" t="str">
            <v>PIC-PM-Natl</v>
          </cell>
        </row>
        <row r="169">
          <cell r="BG169" t="str">
            <v>PIC-PM-Natl</v>
          </cell>
        </row>
        <row r="170">
          <cell r="BG170" t="str">
            <v>PIC-PM-Natl</v>
          </cell>
        </row>
        <row r="171">
          <cell r="BG171" t="str">
            <v>PIC-PM-Natl</v>
          </cell>
        </row>
        <row r="172">
          <cell r="BG172" t="str">
            <v>PIC-PM-Natl</v>
          </cell>
        </row>
        <row r="173">
          <cell r="BG173" t="str">
            <v>PIC-PM-Natl</v>
          </cell>
        </row>
        <row r="174">
          <cell r="BG174" t="str">
            <v>PIC-PM-Natl</v>
          </cell>
        </row>
        <row r="175">
          <cell r="BG175" t="str">
            <v>PIC-PM-Natl</v>
          </cell>
        </row>
        <row r="176">
          <cell r="BG176" t="str">
            <v>PIC-PM-Natl</v>
          </cell>
        </row>
        <row r="177">
          <cell r="BG177" t="str">
            <v>PIC-PM-Natl</v>
          </cell>
        </row>
        <row r="178">
          <cell r="BG178" t="str">
            <v>PIC-PM-Natl</v>
          </cell>
        </row>
        <row r="179">
          <cell r="BG179" t="str">
            <v>PIC-PM-Natl</v>
          </cell>
        </row>
        <row r="180">
          <cell r="BG180" t="str">
            <v>PIC-PM-Natl</v>
          </cell>
        </row>
        <row r="181">
          <cell r="BG181" t="str">
            <v>PIC-PM-Natl</v>
          </cell>
        </row>
        <row r="182">
          <cell r="BG182" t="str">
            <v>PIC-PM-Natl</v>
          </cell>
        </row>
        <row r="183">
          <cell r="BG183" t="str">
            <v>PIC-PM-Natl</v>
          </cell>
        </row>
        <row r="184">
          <cell r="BG184" t="str">
            <v>PIC-PM-Natl</v>
          </cell>
        </row>
        <row r="185">
          <cell r="BG185" t="str">
            <v>PIC-PM-Natl</v>
          </cell>
        </row>
        <row r="186">
          <cell r="BG186" t="str">
            <v>PIC-PM-Natl</v>
          </cell>
        </row>
        <row r="187">
          <cell r="BG187" t="str">
            <v>PIC-PM-Natl</v>
          </cell>
        </row>
        <row r="188">
          <cell r="BG188" t="str">
            <v>PIC-PM-Natl</v>
          </cell>
        </row>
        <row r="189">
          <cell r="BG189" t="str">
            <v>PIC-PM-Natl</v>
          </cell>
        </row>
        <row r="190">
          <cell r="BG190">
            <v>0</v>
          </cell>
        </row>
        <row r="191">
          <cell r="BG191">
            <v>0</v>
          </cell>
        </row>
        <row r="192">
          <cell r="BG192" t="str">
            <v>PIC-DED</v>
          </cell>
        </row>
        <row r="193">
          <cell r="BG193" t="str">
            <v>PIC-DED</v>
          </cell>
        </row>
        <row r="194">
          <cell r="BG194" t="str">
            <v>PIC-DED</v>
          </cell>
        </row>
        <row r="195">
          <cell r="BG195" t="str">
            <v>PIC-DED</v>
          </cell>
        </row>
        <row r="196">
          <cell r="BG196" t="str">
            <v>PIC-DED</v>
          </cell>
        </row>
        <row r="197">
          <cell r="BG197" t="str">
            <v>PIC-DED</v>
          </cell>
        </row>
        <row r="198">
          <cell r="BG198" t="str">
            <v>PIC-DED</v>
          </cell>
        </row>
        <row r="199">
          <cell r="BG199" t="str">
            <v>PIC-DED</v>
          </cell>
        </row>
        <row r="200">
          <cell r="BG200" t="str">
            <v>PIC-DED</v>
          </cell>
        </row>
        <row r="201">
          <cell r="BG201" t="str">
            <v>PIC-DED</v>
          </cell>
        </row>
        <row r="202">
          <cell r="BG202" t="str">
            <v>PIC-DED</v>
          </cell>
        </row>
        <row r="203">
          <cell r="BG203" t="str">
            <v>PIC-DED</v>
          </cell>
        </row>
        <row r="204">
          <cell r="BG204" t="str">
            <v>PIC-DED</v>
          </cell>
        </row>
        <row r="205">
          <cell r="BG205" t="str">
            <v>PIC-DED</v>
          </cell>
        </row>
        <row r="206">
          <cell r="BG206" t="str">
            <v>PIC-DED</v>
          </cell>
        </row>
        <row r="207">
          <cell r="BG207" t="str">
            <v>PIC-DED</v>
          </cell>
        </row>
        <row r="208">
          <cell r="BG208" t="str">
            <v>PIC-DED</v>
          </cell>
        </row>
        <row r="209">
          <cell r="BG209" t="str">
            <v>PIC-DED</v>
          </cell>
        </row>
        <row r="210">
          <cell r="BG210" t="str">
            <v>PIC-DED</v>
          </cell>
        </row>
        <row r="211">
          <cell r="BG2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G8" t="str">
            <v>IRRIGATION</v>
          </cell>
          <cell r="I8">
            <v>0.76827006604510995</v>
          </cell>
          <cell r="J8">
            <v>0.12645069473218948</v>
          </cell>
          <cell r="K8">
            <v>0.10527923922270058</v>
          </cell>
          <cell r="L8">
            <v>0</v>
          </cell>
          <cell r="M8">
            <v>0</v>
          </cell>
        </row>
        <row r="9">
          <cell r="G9" t="str">
            <v>ROADS</v>
          </cell>
          <cell r="I9">
            <v>0.76827006604510995</v>
          </cell>
          <cell r="J9">
            <v>0.12645069473218948</v>
          </cell>
          <cell r="K9">
            <v>0.10527923922270058</v>
          </cell>
          <cell r="L9">
            <v>0</v>
          </cell>
          <cell r="M9">
            <v>0</v>
          </cell>
        </row>
        <row r="10">
          <cell r="G10" t="str">
            <v>WAREHOUSES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G11" t="str">
            <v>OTHER_INFRA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G12" t="str">
            <v>BIOGAS</v>
          </cell>
          <cell r="I12">
            <v>0</v>
          </cell>
          <cell r="J12">
            <v>0</v>
          </cell>
          <cell r="K12">
            <v>0.27272727272727271</v>
          </cell>
          <cell r="L12">
            <v>0.30585398202814701</v>
          </cell>
          <cell r="M12">
            <v>0.42141874524458028</v>
          </cell>
        </row>
        <row r="13">
          <cell r="G13" t="str">
            <v>Compost Huts</v>
          </cell>
          <cell r="I13">
            <v>0</v>
          </cell>
          <cell r="J13">
            <v>0</v>
          </cell>
          <cell r="K13">
            <v>0.5</v>
          </cell>
          <cell r="L13">
            <v>0.25</v>
          </cell>
          <cell r="M13">
            <v>0.25</v>
          </cell>
        </row>
        <row r="14">
          <cell r="G14" t="str">
            <v>EQUIPMENT-ADB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G15" t="str">
            <v>EQUIPMENT-ICT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</row>
        <row r="16">
          <cell r="G16" t="str">
            <v>VEHICLES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G17" t="str">
            <v>MATERIALS-ADB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 t="str">
            <v>STUDIES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</row>
        <row r="19">
          <cell r="G19" t="str">
            <v>TRAINING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</row>
        <row r="20">
          <cell r="G20" t="str">
            <v>POLICIES_STANDARDS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</row>
        <row r="21">
          <cell r="G21" t="str">
            <v>M&amp;E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</row>
        <row r="22">
          <cell r="G22" t="str">
            <v>PIC-DED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G23" t="str">
            <v>PIC-Tech-Intl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G24" t="str">
            <v>PIC-Tech-Natl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 t="str">
            <v>PIC-PM-Intl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G26" t="str">
            <v>PIC-PM-Natl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G27" t="str">
            <v>PIC-Variety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</row>
        <row r="28">
          <cell r="G28" t="str">
            <v>PIC-ICT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</row>
        <row r="29">
          <cell r="G29" t="str">
            <v>SUPPORT_STAFF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G30" t="str">
            <v>CRM_SUPPORT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</row>
        <row r="31">
          <cell r="G31" t="str">
            <v>RESETTLEMENT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</row>
        <row r="32">
          <cell r="G32" t="str">
            <v>OFFICE_SUPPORT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G33" t="str">
            <v>GOVT_CONTRIBUTION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IOC-MAFF"/>
      <sheetName val="Annex 1"/>
      <sheetName val="Annex 2"/>
      <sheetName val="Annex 3"/>
      <sheetName val="Annex 3 (by Activities)"/>
      <sheetName val="Annex4"/>
      <sheetName val="Annex 5"/>
      <sheetName val="Annex 6"/>
      <sheetName val="Sheet1"/>
      <sheetName val="Summary by EA, Source &amp; Qtr"/>
      <sheetName val="Output"/>
      <sheetName val="Annex 3 (CS)"/>
      <sheetName val="Annex 3 (CS2)"/>
      <sheetName val="Annex 3 (CD)"/>
    </sheetNames>
    <sheetDataSet>
      <sheetData sheetId="0"/>
      <sheetData sheetId="1"/>
      <sheetData sheetId="2">
        <row r="110">
          <cell r="G110" t="str">
            <v>WATER_RESOURCES</v>
          </cell>
          <cell r="J110" t="str">
            <v>MOWRAM</v>
          </cell>
        </row>
        <row r="111">
          <cell r="G111" t="str">
            <v>COOPERATIVES</v>
          </cell>
          <cell r="J111" t="str">
            <v>MAFF</v>
          </cell>
        </row>
        <row r="112">
          <cell r="G112" t="str">
            <v>ROADS</v>
          </cell>
          <cell r="J112" t="str">
            <v>MRD</v>
          </cell>
        </row>
        <row r="113">
          <cell r="G113" t="str">
            <v>TESTING_INFRASTRUCTURE</v>
          </cell>
          <cell r="J113" t="str">
            <v>MAFF-GDA</v>
          </cell>
        </row>
        <row r="114">
          <cell r="G114" t="str">
            <v>BIOGAS</v>
          </cell>
          <cell r="J114" t="str">
            <v>MAFF-GDAHP</v>
          </cell>
        </row>
        <row r="115">
          <cell r="G115">
            <v>0</v>
          </cell>
          <cell r="J115">
            <v>0</v>
          </cell>
        </row>
        <row r="116">
          <cell r="G116" t="str">
            <v>RESILIENT_VARIETIES</v>
          </cell>
          <cell r="J116" t="str">
            <v>MAFF-CARDI</v>
          </cell>
        </row>
        <row r="117">
          <cell r="G117" t="str">
            <v>CAPACITY_STRENGTHENING</v>
          </cell>
          <cell r="J117" t="str">
            <v>MAFF-GDA</v>
          </cell>
        </row>
        <row r="118">
          <cell r="G118" t="str">
            <v>MECHANICAL_WORKSHOP</v>
          </cell>
          <cell r="J118" t="str">
            <v>MAFF-GDA</v>
          </cell>
        </row>
        <row r="119">
          <cell r="G119">
            <v>0</v>
          </cell>
          <cell r="J119">
            <v>0</v>
          </cell>
        </row>
        <row r="120">
          <cell r="G120" t="str">
            <v>POLICY_STANDARDS</v>
          </cell>
          <cell r="J120" t="str">
            <v>MAFF-GDA</v>
          </cell>
        </row>
        <row r="121">
          <cell r="G121" t="str">
            <v>GREEN_FINANCING</v>
          </cell>
          <cell r="J121" t="str">
            <v>MAFF-GDA</v>
          </cell>
        </row>
        <row r="122">
          <cell r="G122" t="str">
            <v>ICT</v>
          </cell>
          <cell r="J122" t="str">
            <v>MAFF-GDA</v>
          </cell>
        </row>
        <row r="123">
          <cell r="G123">
            <v>0</v>
          </cell>
          <cell r="J123">
            <v>0</v>
          </cell>
        </row>
        <row r="124">
          <cell r="G124" t="str">
            <v>PM_MAFF</v>
          </cell>
          <cell r="J124" t="str">
            <v>MAFF</v>
          </cell>
        </row>
        <row r="125">
          <cell r="G125" t="str">
            <v>PM_MOWRAM</v>
          </cell>
          <cell r="J125" t="str">
            <v>MOWRAM</v>
          </cell>
        </row>
        <row r="126">
          <cell r="G126" t="str">
            <v>PM_MRD</v>
          </cell>
          <cell r="J126" t="str">
            <v>MRD</v>
          </cell>
        </row>
        <row r="127">
          <cell r="G127" t="str">
            <v>UNASSIGNED</v>
          </cell>
          <cell r="J127" t="str">
            <v>UNASSIGNED</v>
          </cell>
        </row>
      </sheetData>
      <sheetData sheetId="3"/>
      <sheetData sheetId="4"/>
      <sheetData sheetId="5"/>
      <sheetData sheetId="6">
        <row r="12">
          <cell r="BD12" t="str">
            <v>ROADS</v>
          </cell>
        </row>
        <row r="146">
          <cell r="BD146">
            <v>0</v>
          </cell>
        </row>
        <row r="147">
          <cell r="BD147">
            <v>0</v>
          </cell>
        </row>
        <row r="148">
          <cell r="BD148" t="str">
            <v>ROADS</v>
          </cell>
        </row>
        <row r="149">
          <cell r="BD149" t="str">
            <v>ROADS</v>
          </cell>
        </row>
        <row r="150">
          <cell r="BD150" t="str">
            <v>ROADS</v>
          </cell>
        </row>
        <row r="151">
          <cell r="BD151" t="str">
            <v>ROADS</v>
          </cell>
        </row>
        <row r="152">
          <cell r="BD152" t="str">
            <v>ROADS</v>
          </cell>
        </row>
        <row r="153">
          <cell r="BD153" t="str">
            <v>ROADS</v>
          </cell>
        </row>
        <row r="154">
          <cell r="BD154" t="str">
            <v>ROADS</v>
          </cell>
        </row>
        <row r="155">
          <cell r="BD155" t="str">
            <v>ROADS</v>
          </cell>
        </row>
        <row r="156">
          <cell r="BD156" t="str">
            <v>ROADS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 t="str">
            <v>ROADS</v>
          </cell>
        </row>
        <row r="160">
          <cell r="BD160" t="str">
            <v>ROADS</v>
          </cell>
        </row>
        <row r="161">
          <cell r="BD161" t="str">
            <v>ROADS</v>
          </cell>
        </row>
        <row r="162">
          <cell r="BD162" t="str">
            <v>ROADS</v>
          </cell>
        </row>
        <row r="163">
          <cell r="BD163" t="str">
            <v>ROADS</v>
          </cell>
        </row>
        <row r="164">
          <cell r="BD164" t="str">
            <v>ROADS</v>
          </cell>
        </row>
        <row r="165">
          <cell r="BD165" t="str">
            <v>ROADS</v>
          </cell>
        </row>
        <row r="166">
          <cell r="BD166" t="str">
            <v>ROADS</v>
          </cell>
        </row>
        <row r="167">
          <cell r="BD167" t="str">
            <v>ROADS</v>
          </cell>
        </row>
        <row r="168">
          <cell r="BD168" t="str">
            <v>ROADS</v>
          </cell>
        </row>
        <row r="169">
          <cell r="BD169" t="str">
            <v>ROADS</v>
          </cell>
        </row>
        <row r="170">
          <cell r="BD170" t="str">
            <v>ROADS</v>
          </cell>
        </row>
        <row r="171">
          <cell r="BD171" t="str">
            <v>ROADS</v>
          </cell>
        </row>
        <row r="172">
          <cell r="BD172" t="str">
            <v>ROADS</v>
          </cell>
        </row>
        <row r="173">
          <cell r="BD173" t="str">
            <v>ROADS</v>
          </cell>
        </row>
        <row r="174">
          <cell r="BD174" t="str">
            <v>ROADS</v>
          </cell>
        </row>
        <row r="175">
          <cell r="BD175" t="str">
            <v>ROADS</v>
          </cell>
        </row>
        <row r="176">
          <cell r="BD176" t="str">
            <v>ROADS</v>
          </cell>
        </row>
        <row r="177">
          <cell r="BD177" t="str">
            <v>ROADS</v>
          </cell>
        </row>
        <row r="178">
          <cell r="BD178" t="str">
            <v>ROADS</v>
          </cell>
        </row>
        <row r="179">
          <cell r="BD179" t="str">
            <v>ROADS</v>
          </cell>
        </row>
        <row r="180">
          <cell r="BD180" t="str">
            <v>ROADS</v>
          </cell>
        </row>
        <row r="181">
          <cell r="BD181">
            <v>0</v>
          </cell>
        </row>
        <row r="182">
          <cell r="BD182">
            <v>0</v>
          </cell>
        </row>
        <row r="183">
          <cell r="BD183" t="str">
            <v>ROADS</v>
          </cell>
        </row>
        <row r="184">
          <cell r="BD184" t="str">
            <v>ROADS</v>
          </cell>
        </row>
        <row r="185">
          <cell r="BD185" t="str">
            <v>ROADS</v>
          </cell>
        </row>
        <row r="186">
          <cell r="BD186" t="str">
            <v>ROADS</v>
          </cell>
        </row>
        <row r="187">
          <cell r="BD187" t="str">
            <v>ROADS</v>
          </cell>
        </row>
        <row r="188">
          <cell r="BD188" t="str">
            <v>ROADS</v>
          </cell>
        </row>
        <row r="189">
          <cell r="BD189" t="str">
            <v>ROADS</v>
          </cell>
        </row>
        <row r="190">
          <cell r="BD190" t="str">
            <v>ROADS</v>
          </cell>
        </row>
        <row r="191">
          <cell r="BD191" t="str">
            <v>ROADS</v>
          </cell>
        </row>
        <row r="192">
          <cell r="BD192" t="str">
            <v>ROADS</v>
          </cell>
        </row>
        <row r="193">
          <cell r="BD193" t="str">
            <v>ROADS</v>
          </cell>
        </row>
        <row r="194">
          <cell r="BD194" t="str">
            <v>ROADS</v>
          </cell>
        </row>
        <row r="195">
          <cell r="BD195" t="str">
            <v>ROADS</v>
          </cell>
        </row>
        <row r="196">
          <cell r="BD196" t="str">
            <v>ROADS</v>
          </cell>
        </row>
        <row r="197">
          <cell r="BD197" t="str">
            <v>ROADS</v>
          </cell>
        </row>
        <row r="198">
          <cell r="BD198" t="str">
            <v>ROADS</v>
          </cell>
        </row>
        <row r="199">
          <cell r="BD199" t="str">
            <v>ROADS</v>
          </cell>
        </row>
        <row r="200">
          <cell r="BD200" t="str">
            <v>ROADS</v>
          </cell>
        </row>
        <row r="201">
          <cell r="BD201">
            <v>0</v>
          </cell>
        </row>
        <row r="202">
          <cell r="BD20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7"/>
  <sheetViews>
    <sheetView topLeftCell="G1" zoomScaleNormal="100" workbookViewId="0">
      <pane ySplit="7" topLeftCell="A27" activePane="bottomLeft" state="frozen"/>
      <selection pane="bottomLeft" activeCell="W34" sqref="W34"/>
    </sheetView>
  </sheetViews>
  <sheetFormatPr defaultColWidth="8.85546875" defaultRowHeight="12.75"/>
  <cols>
    <col min="1" max="2" width="9.28515625" style="177" customWidth="1"/>
    <col min="3" max="3" width="3" style="177" customWidth="1"/>
    <col min="4" max="4" width="4.140625" style="177" customWidth="1"/>
    <col min="5" max="5" width="3.85546875" style="177" customWidth="1"/>
    <col min="6" max="6" width="67.28515625" style="177" customWidth="1"/>
    <col min="7" max="7" width="8.140625" style="177" customWidth="1"/>
    <col min="8" max="8" width="13.42578125" style="176" customWidth="1"/>
    <col min="9" max="10" width="6.85546875" style="173" customWidth="1"/>
    <col min="11" max="11" width="8.42578125" style="173" customWidth="1"/>
    <col min="12" max="12" width="6.85546875" style="173" customWidth="1"/>
    <col min="13" max="13" width="8.5703125" style="174" customWidth="1"/>
    <col min="14" max="14" width="2" style="175" customWidth="1"/>
    <col min="15" max="15" width="13.42578125" style="176" customWidth="1"/>
    <col min="16" max="18" width="13" style="177" bestFit="1" customWidth="1"/>
    <col min="19" max="19" width="15.140625" style="178" customWidth="1"/>
    <col min="20" max="20" width="2.42578125" style="178" customWidth="1"/>
    <col min="21" max="16384" width="8.85546875" style="177"/>
  </cols>
  <sheetData>
    <row r="1" spans="1:23" ht="20.100000000000001" customHeight="1">
      <c r="A1" s="2333" t="s">
        <v>200</v>
      </c>
      <c r="B1" s="2333"/>
      <c r="C1" s="2333"/>
      <c r="D1" s="2333"/>
      <c r="E1" s="2333"/>
      <c r="F1" s="2333"/>
      <c r="G1" s="2333"/>
      <c r="H1" s="2333"/>
      <c r="I1" s="2333"/>
      <c r="J1" s="2333"/>
      <c r="K1" s="2333"/>
    </row>
    <row r="2" spans="1:23" ht="20.100000000000001" customHeight="1">
      <c r="A2" s="178" t="s">
        <v>201</v>
      </c>
      <c r="B2" s="178"/>
      <c r="C2" s="178"/>
      <c r="D2" s="178"/>
    </row>
    <row r="3" spans="1:23" ht="20.100000000000001" customHeight="1">
      <c r="A3" s="179" t="s">
        <v>202</v>
      </c>
      <c r="B3" s="180"/>
      <c r="C3" s="180"/>
      <c r="D3" s="180"/>
    </row>
    <row r="4" spans="1:23" ht="13.5" customHeight="1">
      <c r="A4" s="180"/>
      <c r="B4" s="180"/>
      <c r="C4" s="180"/>
      <c r="D4" s="180"/>
    </row>
    <row r="5" spans="1:23" s="183" customFormat="1" ht="16.5" customHeight="1">
      <c r="A5" s="2334" t="s">
        <v>203</v>
      </c>
      <c r="B5" s="2334" t="s">
        <v>204</v>
      </c>
      <c r="C5" s="2337" t="s">
        <v>205</v>
      </c>
      <c r="D5" s="2338"/>
      <c r="E5" s="2338"/>
      <c r="F5" s="2343" t="s">
        <v>6</v>
      </c>
      <c r="G5" s="2337" t="s">
        <v>1</v>
      </c>
      <c r="H5" s="2345" t="s">
        <v>206</v>
      </c>
      <c r="I5" s="2348" t="s">
        <v>3</v>
      </c>
      <c r="J5" s="2348"/>
      <c r="K5" s="2348"/>
      <c r="L5" s="2348"/>
      <c r="M5" s="2348"/>
      <c r="N5" s="181"/>
      <c r="O5" s="2326" t="s">
        <v>4</v>
      </c>
      <c r="P5" s="2326"/>
      <c r="Q5" s="2326"/>
      <c r="R5" s="2326"/>
      <c r="S5" s="2327"/>
      <c r="T5" s="182"/>
      <c r="U5" s="2330" t="s">
        <v>5</v>
      </c>
      <c r="V5" s="2331"/>
      <c r="W5" s="2332"/>
    </row>
    <row r="6" spans="1:23" s="183" customFormat="1" ht="15.75" customHeight="1">
      <c r="A6" s="2335"/>
      <c r="B6" s="2335"/>
      <c r="C6" s="2339"/>
      <c r="D6" s="2340"/>
      <c r="E6" s="2340"/>
      <c r="F6" s="2344"/>
      <c r="G6" s="2339"/>
      <c r="H6" s="2346"/>
      <c r="I6" s="2328"/>
      <c r="J6" s="2328"/>
      <c r="K6" s="2328"/>
      <c r="L6" s="2328"/>
      <c r="M6" s="2328"/>
      <c r="N6" s="184"/>
      <c r="O6" s="2328"/>
      <c r="P6" s="2328"/>
      <c r="Q6" s="2328"/>
      <c r="R6" s="2328"/>
      <c r="S6" s="2329"/>
      <c r="T6" s="185"/>
      <c r="U6" s="186" t="s">
        <v>26</v>
      </c>
      <c r="V6" s="186" t="s">
        <v>191</v>
      </c>
      <c r="W6" s="187" t="s">
        <v>27</v>
      </c>
    </row>
    <row r="7" spans="1:23" s="183" customFormat="1" ht="15" customHeight="1">
      <c r="A7" s="2336"/>
      <c r="B7" s="2336"/>
      <c r="C7" s="2341"/>
      <c r="D7" s="2342"/>
      <c r="E7" s="2342"/>
      <c r="F7" s="2344"/>
      <c r="G7" s="2341"/>
      <c r="H7" s="2347"/>
      <c r="I7" s="188" t="s">
        <v>7</v>
      </c>
      <c r="J7" s="188" t="s">
        <v>8</v>
      </c>
      <c r="K7" s="188" t="s">
        <v>9</v>
      </c>
      <c r="L7" s="188" t="s">
        <v>10</v>
      </c>
      <c r="M7" s="188" t="s">
        <v>11</v>
      </c>
      <c r="N7" s="184"/>
      <c r="O7" s="184" t="s">
        <v>7</v>
      </c>
      <c r="P7" s="184" t="s">
        <v>8</v>
      </c>
      <c r="Q7" s="184" t="s">
        <v>9</v>
      </c>
      <c r="R7" s="184" t="s">
        <v>10</v>
      </c>
      <c r="S7" s="187" t="s">
        <v>11</v>
      </c>
      <c r="T7" s="189"/>
      <c r="U7" s="189" t="s">
        <v>28</v>
      </c>
      <c r="V7" s="189" t="s">
        <v>207</v>
      </c>
      <c r="W7" s="187"/>
    </row>
    <row r="8" spans="1:23" ht="20.100000000000001" customHeight="1">
      <c r="A8" s="190"/>
      <c r="B8" s="190"/>
      <c r="C8" s="191" t="s">
        <v>29</v>
      </c>
      <c r="D8" s="192"/>
      <c r="E8" s="193"/>
      <c r="F8" s="194"/>
      <c r="G8" s="195"/>
      <c r="H8" s="196"/>
      <c r="I8" s="196"/>
      <c r="J8" s="196"/>
      <c r="K8" s="196"/>
      <c r="L8" s="196"/>
      <c r="M8" s="197"/>
      <c r="N8" s="196"/>
      <c r="O8" s="196"/>
      <c r="P8" s="198"/>
      <c r="Q8" s="198"/>
      <c r="R8" s="198"/>
      <c r="S8" s="199"/>
      <c r="T8" s="200"/>
      <c r="U8" s="201"/>
      <c r="V8" s="201"/>
      <c r="W8" s="202"/>
    </row>
    <row r="9" spans="1:23" s="215" customFormat="1" ht="20.100000000000001" customHeight="1">
      <c r="A9" s="203"/>
      <c r="B9" s="203"/>
      <c r="C9" s="204"/>
      <c r="D9" s="205" t="s">
        <v>208</v>
      </c>
      <c r="E9" s="206"/>
      <c r="F9" s="207" t="s">
        <v>30</v>
      </c>
      <c r="G9" s="208"/>
      <c r="H9" s="209"/>
      <c r="I9" s="209"/>
      <c r="J9" s="209"/>
      <c r="K9" s="209"/>
      <c r="L9" s="209"/>
      <c r="M9" s="210"/>
      <c r="N9" s="209"/>
      <c r="O9" s="209"/>
      <c r="P9" s="209"/>
      <c r="Q9" s="209"/>
      <c r="R9" s="209"/>
      <c r="S9" s="211"/>
      <c r="T9" s="212"/>
      <c r="U9" s="213"/>
      <c r="V9" s="213"/>
      <c r="W9" s="214"/>
    </row>
    <row r="10" spans="1:23" s="215" customFormat="1" ht="20.100000000000001" hidden="1" customHeight="1">
      <c r="A10" s="203"/>
      <c r="B10" s="203"/>
      <c r="C10" s="204"/>
      <c r="D10" s="206"/>
      <c r="E10" s="206"/>
      <c r="F10" s="216"/>
      <c r="G10" s="217"/>
      <c r="H10" s="209"/>
      <c r="I10" s="209"/>
      <c r="J10" s="209"/>
      <c r="K10" s="209"/>
      <c r="L10" s="209"/>
      <c r="M10" s="210"/>
      <c r="N10" s="209"/>
      <c r="O10" s="209"/>
      <c r="P10" s="209"/>
      <c r="Q10" s="209"/>
      <c r="R10" s="209"/>
      <c r="S10" s="211"/>
      <c r="T10" s="212"/>
      <c r="U10" s="213"/>
      <c r="V10" s="213"/>
      <c r="W10" s="214"/>
    </row>
    <row r="11" spans="1:23" s="215" customFormat="1" ht="20.100000000000001" hidden="1" customHeight="1">
      <c r="A11" s="203"/>
      <c r="B11" s="203"/>
      <c r="C11" s="204"/>
      <c r="D11" s="206"/>
      <c r="E11" s="206"/>
      <c r="F11" s="216"/>
      <c r="G11" s="217"/>
      <c r="H11" s="209"/>
      <c r="I11" s="209"/>
      <c r="J11" s="209"/>
      <c r="K11" s="209"/>
      <c r="L11" s="209"/>
      <c r="M11" s="210"/>
      <c r="N11" s="209"/>
      <c r="O11" s="209"/>
      <c r="P11" s="209"/>
      <c r="Q11" s="209"/>
      <c r="R11" s="209"/>
      <c r="S11" s="211"/>
      <c r="T11" s="212"/>
      <c r="U11" s="213"/>
      <c r="V11" s="213"/>
      <c r="W11" s="214"/>
    </row>
    <row r="12" spans="1:23" s="215" customFormat="1" ht="20.100000000000001" hidden="1" customHeight="1">
      <c r="A12" s="203"/>
      <c r="B12" s="203"/>
      <c r="C12" s="204"/>
      <c r="D12" s="206"/>
      <c r="E12" s="206"/>
      <c r="F12" s="216"/>
      <c r="G12" s="217"/>
      <c r="H12" s="209"/>
      <c r="I12" s="209"/>
      <c r="J12" s="209"/>
      <c r="K12" s="209"/>
      <c r="L12" s="209"/>
      <c r="M12" s="210"/>
      <c r="N12" s="209"/>
      <c r="O12" s="209"/>
      <c r="P12" s="209"/>
      <c r="Q12" s="209"/>
      <c r="R12" s="209"/>
      <c r="S12" s="211"/>
      <c r="T12" s="212"/>
      <c r="U12" s="213"/>
      <c r="V12" s="213"/>
      <c r="W12" s="214"/>
    </row>
    <row r="13" spans="1:23" s="215" customFormat="1" ht="20.100000000000001" hidden="1" customHeight="1">
      <c r="A13" s="203"/>
      <c r="B13" s="203"/>
      <c r="C13" s="204"/>
      <c r="D13" s="206"/>
      <c r="E13" s="206"/>
      <c r="F13" s="216"/>
      <c r="G13" s="217"/>
      <c r="H13" s="209"/>
      <c r="I13" s="209"/>
      <c r="J13" s="209"/>
      <c r="K13" s="209"/>
      <c r="L13" s="209"/>
      <c r="M13" s="210"/>
      <c r="N13" s="209"/>
      <c r="O13" s="209"/>
      <c r="P13" s="209"/>
      <c r="Q13" s="209"/>
      <c r="R13" s="209"/>
      <c r="S13" s="211"/>
      <c r="T13" s="212"/>
      <c r="U13" s="213"/>
      <c r="V13" s="213"/>
      <c r="W13" s="214"/>
    </row>
    <row r="14" spans="1:23" s="215" customFormat="1" ht="20.100000000000001" customHeight="1">
      <c r="A14" s="218" t="s">
        <v>37</v>
      </c>
      <c r="B14" s="203"/>
      <c r="C14" s="204"/>
      <c r="D14" s="206"/>
      <c r="E14" s="192" t="s">
        <v>209</v>
      </c>
      <c r="F14" s="219" t="s">
        <v>210</v>
      </c>
      <c r="G14" s="220" t="s">
        <v>211</v>
      </c>
      <c r="H14" s="209">
        <v>4570</v>
      </c>
      <c r="I14" s="209">
        <v>3</v>
      </c>
      <c r="J14" s="209">
        <v>3</v>
      </c>
      <c r="K14" s="209">
        <v>3</v>
      </c>
      <c r="L14" s="209">
        <v>3</v>
      </c>
      <c r="M14" s="210">
        <f>SUM(I14:L14)</f>
        <v>12</v>
      </c>
      <c r="N14" s="209"/>
      <c r="O14" s="209">
        <f t="shared" ref="O14:R15" si="0">$H14*I14</f>
        <v>13710</v>
      </c>
      <c r="P14" s="209">
        <f t="shared" si="0"/>
        <v>13710</v>
      </c>
      <c r="Q14" s="209">
        <f t="shared" si="0"/>
        <v>13710</v>
      </c>
      <c r="R14" s="209">
        <f t="shared" si="0"/>
        <v>13710</v>
      </c>
      <c r="S14" s="211">
        <f>SUM(O14:R14)</f>
        <v>54840</v>
      </c>
      <c r="T14" s="221"/>
      <c r="U14" s="213"/>
      <c r="V14" s="213"/>
      <c r="W14" s="214" t="s">
        <v>27</v>
      </c>
    </row>
    <row r="15" spans="1:23" ht="20.100000000000001" customHeight="1">
      <c r="A15" s="218" t="s">
        <v>37</v>
      </c>
      <c r="B15" s="222"/>
      <c r="C15" s="223"/>
      <c r="D15" s="224"/>
      <c r="E15" s="192" t="s">
        <v>212</v>
      </c>
      <c r="F15" s="219" t="s">
        <v>213</v>
      </c>
      <c r="G15" s="220" t="s">
        <v>211</v>
      </c>
      <c r="H15" s="225">
        <v>2760</v>
      </c>
      <c r="I15" s="225">
        <v>3</v>
      </c>
      <c r="J15" s="225">
        <v>3</v>
      </c>
      <c r="K15" s="225">
        <v>3</v>
      </c>
      <c r="L15" s="225">
        <v>3</v>
      </c>
      <c r="M15" s="210">
        <f>SUM(I15:L15)</f>
        <v>12</v>
      </c>
      <c r="N15" s="225"/>
      <c r="O15" s="209">
        <f t="shared" si="0"/>
        <v>8280</v>
      </c>
      <c r="P15" s="209">
        <f t="shared" si="0"/>
        <v>8280</v>
      </c>
      <c r="Q15" s="209">
        <f t="shared" si="0"/>
        <v>8280</v>
      </c>
      <c r="R15" s="209">
        <f t="shared" si="0"/>
        <v>8280</v>
      </c>
      <c r="S15" s="211">
        <f>SUM(O15:R15)</f>
        <v>33120</v>
      </c>
      <c r="T15" s="226"/>
      <c r="U15" s="213"/>
      <c r="V15" s="213"/>
      <c r="W15" s="214" t="s">
        <v>27</v>
      </c>
    </row>
    <row r="16" spans="1:23" ht="20.100000000000001" customHeight="1">
      <c r="A16" s="218" t="s">
        <v>37</v>
      </c>
      <c r="B16" s="222"/>
      <c r="C16" s="223"/>
      <c r="D16" s="224"/>
      <c r="E16" s="192" t="s">
        <v>214</v>
      </c>
      <c r="F16" s="219" t="s">
        <v>215</v>
      </c>
      <c r="G16" s="220" t="s">
        <v>13</v>
      </c>
      <c r="H16" s="225">
        <f>(400*10)</f>
        <v>4000</v>
      </c>
      <c r="I16" s="225">
        <v>0</v>
      </c>
      <c r="J16" s="225">
        <v>0</v>
      </c>
      <c r="K16" s="225">
        <v>1</v>
      </c>
      <c r="L16" s="225">
        <v>0</v>
      </c>
      <c r="M16" s="210">
        <f>SUM(I16:L16)</f>
        <v>1</v>
      </c>
      <c r="N16" s="209"/>
      <c r="O16" s="209">
        <f>$H16*I16</f>
        <v>0</v>
      </c>
      <c r="P16" s="209">
        <f>$H16*J16</f>
        <v>0</v>
      </c>
      <c r="Q16" s="209">
        <f>$H16*K16</f>
        <v>4000</v>
      </c>
      <c r="R16" s="209">
        <f>$H16*L16</f>
        <v>0</v>
      </c>
      <c r="S16" s="211">
        <f>SUM(O16:R16)</f>
        <v>4000</v>
      </c>
      <c r="T16" s="212"/>
      <c r="U16" s="213"/>
      <c r="V16" s="213"/>
      <c r="W16" s="214" t="s">
        <v>27</v>
      </c>
    </row>
    <row r="17" spans="1:23" ht="20.100000000000001" customHeight="1">
      <c r="A17" s="227"/>
      <c r="B17" s="227"/>
      <c r="C17" s="228"/>
      <c r="D17" s="229" t="s">
        <v>31</v>
      </c>
      <c r="E17" s="192"/>
      <c r="F17" s="219"/>
      <c r="G17" s="230"/>
      <c r="H17" s="225"/>
      <c r="I17" s="225"/>
      <c r="J17" s="225"/>
      <c r="K17" s="225"/>
      <c r="L17" s="225"/>
      <c r="M17" s="231"/>
      <c r="N17" s="225"/>
      <c r="O17" s="232">
        <f>SUM(O14:O16)</f>
        <v>21990</v>
      </c>
      <c r="P17" s="232">
        <f>SUM(P14:P16)</f>
        <v>21990</v>
      </c>
      <c r="Q17" s="232">
        <f>SUM(Q14:Q16)</f>
        <v>25990</v>
      </c>
      <c r="R17" s="232">
        <f>SUM(R14:R16)</f>
        <v>21990</v>
      </c>
      <c r="S17" s="233">
        <f>SUM(S14:S16)</f>
        <v>91960</v>
      </c>
      <c r="T17" s="229"/>
      <c r="U17" s="213"/>
      <c r="V17" s="213"/>
      <c r="W17" s="214"/>
    </row>
    <row r="18" spans="1:23" s="215" customFormat="1" ht="12.75" customHeight="1">
      <c r="A18" s="234"/>
      <c r="B18" s="234"/>
      <c r="C18" s="235"/>
      <c r="D18" s="236"/>
      <c r="E18" s="237"/>
      <c r="F18" s="238"/>
      <c r="G18" s="239"/>
      <c r="H18" s="209"/>
      <c r="I18" s="209"/>
      <c r="J18" s="209"/>
      <c r="K18" s="209"/>
      <c r="L18" s="209"/>
      <c r="M18" s="210"/>
      <c r="N18" s="209"/>
      <c r="O18" s="209"/>
      <c r="P18" s="209"/>
      <c r="Q18" s="209"/>
      <c r="R18" s="209"/>
      <c r="S18" s="211"/>
      <c r="T18" s="212"/>
      <c r="U18" s="213"/>
      <c r="V18" s="213"/>
      <c r="W18" s="214"/>
    </row>
    <row r="19" spans="1:23" s="215" customFormat="1" ht="20.100000000000001" customHeight="1">
      <c r="A19" s="234"/>
      <c r="B19" s="234"/>
      <c r="C19" s="235"/>
      <c r="D19" s="240" t="s">
        <v>216</v>
      </c>
      <c r="E19" s="240" t="s">
        <v>32</v>
      </c>
      <c r="F19" s="241"/>
      <c r="G19" s="220"/>
      <c r="H19" s="209"/>
      <c r="I19" s="209"/>
      <c r="J19" s="209"/>
      <c r="K19" s="209"/>
      <c r="L19" s="209"/>
      <c r="M19" s="210"/>
      <c r="N19" s="209"/>
      <c r="O19" s="209"/>
      <c r="P19" s="209"/>
      <c r="Q19" s="209"/>
      <c r="R19" s="209"/>
      <c r="S19" s="211"/>
      <c r="T19" s="212"/>
      <c r="U19" s="213"/>
      <c r="V19" s="213"/>
      <c r="W19" s="214"/>
    </row>
    <row r="20" spans="1:23" s="215" customFormat="1" ht="20.100000000000001" customHeight="1">
      <c r="A20" s="218" t="s">
        <v>35</v>
      </c>
      <c r="B20" s="234"/>
      <c r="C20" s="235"/>
      <c r="D20" s="236"/>
      <c r="E20" s="242" t="s">
        <v>209</v>
      </c>
      <c r="F20" s="241" t="s">
        <v>217</v>
      </c>
      <c r="G20" s="220" t="s">
        <v>211</v>
      </c>
      <c r="H20" s="225">
        <f>(500*10)+(100*10)</f>
        <v>6000</v>
      </c>
      <c r="I20" s="225">
        <v>3</v>
      </c>
      <c r="J20" s="225">
        <v>3</v>
      </c>
      <c r="K20" s="225">
        <v>3</v>
      </c>
      <c r="L20" s="225">
        <v>3</v>
      </c>
      <c r="M20" s="231">
        <f t="shared" ref="M20:M33" si="1">SUM(I20:L20)</f>
        <v>12</v>
      </c>
      <c r="N20" s="225"/>
      <c r="O20" s="209">
        <f>$H20*I20</f>
        <v>18000</v>
      </c>
      <c r="P20" s="209">
        <f>$H20*J20</f>
        <v>18000</v>
      </c>
      <c r="Q20" s="209">
        <f>$H20*K20</f>
        <v>18000</v>
      </c>
      <c r="R20" s="209">
        <f>$H20*L20</f>
        <v>18000</v>
      </c>
      <c r="S20" s="211">
        <f>SUM(O20:R20)</f>
        <v>72000</v>
      </c>
      <c r="T20" s="243"/>
      <c r="U20" s="213" t="s">
        <v>218</v>
      </c>
      <c r="V20" s="213"/>
      <c r="W20" s="214"/>
    </row>
    <row r="21" spans="1:23" s="215" customFormat="1" ht="20.100000000000001" customHeight="1">
      <c r="A21" s="218" t="s">
        <v>35</v>
      </c>
      <c r="B21" s="234"/>
      <c r="C21" s="235"/>
      <c r="D21" s="236"/>
      <c r="E21" s="242" t="s">
        <v>212</v>
      </c>
      <c r="F21" s="241" t="s">
        <v>219</v>
      </c>
      <c r="G21" s="220" t="s">
        <v>211</v>
      </c>
      <c r="H21" s="225">
        <f>((50*37)+(10*37)+(56*20))</f>
        <v>3340</v>
      </c>
      <c r="I21" s="225">
        <v>3</v>
      </c>
      <c r="J21" s="225">
        <v>3</v>
      </c>
      <c r="K21" s="225">
        <v>3</v>
      </c>
      <c r="L21" s="225">
        <v>3</v>
      </c>
      <c r="M21" s="231">
        <f t="shared" si="1"/>
        <v>12</v>
      </c>
      <c r="N21" s="225"/>
      <c r="O21" s="209">
        <f t="shared" ref="O21:R33" si="2">$H21*I21</f>
        <v>10020</v>
      </c>
      <c r="P21" s="209">
        <f t="shared" si="2"/>
        <v>10020</v>
      </c>
      <c r="Q21" s="209">
        <f t="shared" si="2"/>
        <v>10020</v>
      </c>
      <c r="R21" s="209">
        <f t="shared" si="2"/>
        <v>10020</v>
      </c>
      <c r="S21" s="211">
        <f t="shared" ref="S21:S33" si="3">SUM(O21:R21)</f>
        <v>40080</v>
      </c>
      <c r="T21" s="243"/>
      <c r="U21" s="213" t="s">
        <v>218</v>
      </c>
      <c r="V21" s="213"/>
      <c r="W21" s="214"/>
    </row>
    <row r="22" spans="1:23" s="215" customFormat="1" ht="20.100000000000001" customHeight="1">
      <c r="A22" s="218" t="s">
        <v>35</v>
      </c>
      <c r="B22" s="234"/>
      <c r="C22" s="235"/>
      <c r="D22" s="236"/>
      <c r="E22" s="242" t="s">
        <v>214</v>
      </c>
      <c r="F22" s="241" t="s">
        <v>220</v>
      </c>
      <c r="G22" s="220" t="s">
        <v>211</v>
      </c>
      <c r="H22" s="225">
        <f>(34*34*8)</f>
        <v>9248</v>
      </c>
      <c r="I22" s="225">
        <v>3</v>
      </c>
      <c r="J22" s="225">
        <v>3</v>
      </c>
      <c r="K22" s="225">
        <v>3</v>
      </c>
      <c r="L22" s="225">
        <v>3</v>
      </c>
      <c r="M22" s="231">
        <f t="shared" si="1"/>
        <v>12</v>
      </c>
      <c r="N22" s="225"/>
      <c r="O22" s="209">
        <f t="shared" si="2"/>
        <v>27744</v>
      </c>
      <c r="P22" s="209">
        <f t="shared" si="2"/>
        <v>27744</v>
      </c>
      <c r="Q22" s="209">
        <f t="shared" si="2"/>
        <v>27744</v>
      </c>
      <c r="R22" s="209">
        <f t="shared" si="2"/>
        <v>27744</v>
      </c>
      <c r="S22" s="211">
        <f t="shared" si="3"/>
        <v>110976</v>
      </c>
      <c r="T22" s="243"/>
      <c r="U22" s="213" t="s">
        <v>218</v>
      </c>
      <c r="V22" s="213"/>
      <c r="W22" s="214"/>
    </row>
    <row r="23" spans="1:23" ht="20.100000000000001" customHeight="1">
      <c r="A23" s="218" t="s">
        <v>35</v>
      </c>
      <c r="B23" s="227"/>
      <c r="C23" s="228"/>
      <c r="D23" s="229"/>
      <c r="E23" s="192" t="s">
        <v>221</v>
      </c>
      <c r="F23" s="241" t="s">
        <v>222</v>
      </c>
      <c r="G23" s="220" t="s">
        <v>211</v>
      </c>
      <c r="H23" s="225">
        <f>(32*34*2)+(32*14*8)</f>
        <v>5760</v>
      </c>
      <c r="I23" s="225">
        <v>3</v>
      </c>
      <c r="J23" s="225">
        <v>3</v>
      </c>
      <c r="K23" s="225">
        <v>3</v>
      </c>
      <c r="L23" s="225">
        <v>3</v>
      </c>
      <c r="M23" s="231">
        <f t="shared" si="1"/>
        <v>12</v>
      </c>
      <c r="N23" s="225"/>
      <c r="O23" s="209">
        <f t="shared" si="2"/>
        <v>17280</v>
      </c>
      <c r="P23" s="209">
        <f t="shared" si="2"/>
        <v>17280</v>
      </c>
      <c r="Q23" s="209">
        <f t="shared" si="2"/>
        <v>17280</v>
      </c>
      <c r="R23" s="209">
        <f t="shared" si="2"/>
        <v>17280</v>
      </c>
      <c r="S23" s="211">
        <f t="shared" si="3"/>
        <v>69120</v>
      </c>
      <c r="T23" s="229"/>
      <c r="U23" s="213" t="s">
        <v>218</v>
      </c>
      <c r="V23" s="213"/>
      <c r="W23" s="214"/>
    </row>
    <row r="24" spans="1:23" s="215" customFormat="1" ht="20.100000000000001" customHeight="1">
      <c r="A24" s="218" t="s">
        <v>35</v>
      </c>
      <c r="B24" s="234"/>
      <c r="C24" s="235"/>
      <c r="D24" s="236"/>
      <c r="E24" s="242" t="s">
        <v>223</v>
      </c>
      <c r="F24" s="241" t="s">
        <v>224</v>
      </c>
      <c r="G24" s="220" t="s">
        <v>211</v>
      </c>
      <c r="H24" s="225">
        <f>(1500)+(250)+(10*250)+(200*2)</f>
        <v>4650</v>
      </c>
      <c r="I24" s="225">
        <v>3</v>
      </c>
      <c r="J24" s="225">
        <v>3</v>
      </c>
      <c r="K24" s="225">
        <v>3</v>
      </c>
      <c r="L24" s="225">
        <v>3</v>
      </c>
      <c r="M24" s="231">
        <f t="shared" si="1"/>
        <v>12</v>
      </c>
      <c r="N24" s="225"/>
      <c r="O24" s="209">
        <f t="shared" si="2"/>
        <v>13950</v>
      </c>
      <c r="P24" s="209">
        <f t="shared" si="2"/>
        <v>13950</v>
      </c>
      <c r="Q24" s="209">
        <f t="shared" si="2"/>
        <v>13950</v>
      </c>
      <c r="R24" s="209">
        <f t="shared" si="2"/>
        <v>13950</v>
      </c>
      <c r="S24" s="211">
        <f t="shared" si="3"/>
        <v>55800</v>
      </c>
      <c r="T24" s="243"/>
      <c r="U24" s="213" t="s">
        <v>218</v>
      </c>
      <c r="V24" s="213"/>
      <c r="W24" s="214"/>
    </row>
    <row r="25" spans="1:23" s="215" customFormat="1" ht="20.100000000000001" customHeight="1">
      <c r="A25" s="218" t="s">
        <v>35</v>
      </c>
      <c r="B25" s="234"/>
      <c r="C25" s="235"/>
      <c r="D25" s="236"/>
      <c r="E25" s="192" t="s">
        <v>225</v>
      </c>
      <c r="F25" s="219" t="s">
        <v>226</v>
      </c>
      <c r="G25" s="220" t="s">
        <v>13</v>
      </c>
      <c r="H25" s="225">
        <v>1050</v>
      </c>
      <c r="I25" s="225">
        <v>1</v>
      </c>
      <c r="J25" s="225">
        <v>0</v>
      </c>
      <c r="K25" s="225">
        <v>0</v>
      </c>
      <c r="L25" s="225">
        <v>0</v>
      </c>
      <c r="M25" s="231">
        <f t="shared" si="1"/>
        <v>1</v>
      </c>
      <c r="N25" s="225"/>
      <c r="O25" s="209">
        <f t="shared" si="2"/>
        <v>1050</v>
      </c>
      <c r="P25" s="209">
        <f t="shared" si="2"/>
        <v>0</v>
      </c>
      <c r="Q25" s="209">
        <f t="shared" si="2"/>
        <v>0</v>
      </c>
      <c r="R25" s="209">
        <f t="shared" si="2"/>
        <v>0</v>
      </c>
      <c r="S25" s="211">
        <f t="shared" si="3"/>
        <v>1050</v>
      </c>
      <c r="T25" s="243"/>
      <c r="U25" s="213" t="s">
        <v>218</v>
      </c>
      <c r="V25" s="213"/>
      <c r="W25" s="214"/>
    </row>
    <row r="26" spans="1:23" s="215" customFormat="1" ht="20.100000000000001" customHeight="1">
      <c r="A26" s="218" t="s">
        <v>35</v>
      </c>
      <c r="B26" s="234"/>
      <c r="C26" s="235"/>
      <c r="D26" s="236"/>
      <c r="E26" s="192" t="s">
        <v>227</v>
      </c>
      <c r="F26" s="219" t="s">
        <v>228</v>
      </c>
      <c r="G26" s="220" t="s">
        <v>13</v>
      </c>
      <c r="H26" s="225">
        <v>2500</v>
      </c>
      <c r="I26" s="225">
        <v>1</v>
      </c>
      <c r="J26" s="225">
        <v>0</v>
      </c>
      <c r="K26" s="225">
        <v>0</v>
      </c>
      <c r="L26" s="225">
        <v>0</v>
      </c>
      <c r="M26" s="231">
        <f t="shared" si="1"/>
        <v>1</v>
      </c>
      <c r="N26" s="225"/>
      <c r="O26" s="209">
        <f t="shared" si="2"/>
        <v>2500</v>
      </c>
      <c r="P26" s="209">
        <f t="shared" si="2"/>
        <v>0</v>
      </c>
      <c r="Q26" s="209">
        <f t="shared" si="2"/>
        <v>0</v>
      </c>
      <c r="R26" s="209">
        <f t="shared" si="2"/>
        <v>0</v>
      </c>
      <c r="S26" s="211">
        <f t="shared" si="3"/>
        <v>2500</v>
      </c>
      <c r="T26" s="243"/>
      <c r="U26" s="213" t="s">
        <v>218</v>
      </c>
      <c r="V26" s="213"/>
      <c r="W26" s="214"/>
    </row>
    <row r="27" spans="1:23" ht="20.100000000000001" customHeight="1">
      <c r="A27" s="218" t="s">
        <v>35</v>
      </c>
      <c r="B27" s="227"/>
      <c r="C27" s="228"/>
      <c r="D27" s="229"/>
      <c r="E27" s="192" t="s">
        <v>229</v>
      </c>
      <c r="F27" s="219" t="s">
        <v>230</v>
      </c>
      <c r="G27" s="220" t="s">
        <v>13</v>
      </c>
      <c r="H27" s="225">
        <v>200</v>
      </c>
      <c r="I27" s="225">
        <v>0</v>
      </c>
      <c r="J27" s="225">
        <v>0</v>
      </c>
      <c r="K27" s="225">
        <v>12</v>
      </c>
      <c r="L27" s="225">
        <v>5</v>
      </c>
      <c r="M27" s="231">
        <f t="shared" si="1"/>
        <v>17</v>
      </c>
      <c r="N27" s="225"/>
      <c r="O27" s="209">
        <f t="shared" si="2"/>
        <v>0</v>
      </c>
      <c r="P27" s="209">
        <f t="shared" si="2"/>
        <v>0</v>
      </c>
      <c r="Q27" s="209">
        <f t="shared" si="2"/>
        <v>2400</v>
      </c>
      <c r="R27" s="209">
        <f t="shared" si="2"/>
        <v>1000</v>
      </c>
      <c r="S27" s="211">
        <f t="shared" si="3"/>
        <v>3400</v>
      </c>
      <c r="T27" s="229"/>
      <c r="U27" s="213" t="s">
        <v>218</v>
      </c>
      <c r="V27" s="213"/>
      <c r="W27" s="214"/>
    </row>
    <row r="28" spans="1:23" s="215" customFormat="1" ht="20.100000000000001" customHeight="1">
      <c r="A28" s="218" t="s">
        <v>35</v>
      </c>
      <c r="B28" s="234"/>
      <c r="C28" s="235"/>
      <c r="D28" s="236"/>
      <c r="E28" s="242" t="s">
        <v>231</v>
      </c>
      <c r="F28" s="241" t="s">
        <v>232</v>
      </c>
      <c r="G28" s="220" t="s">
        <v>211</v>
      </c>
      <c r="H28" s="225">
        <f>(80*3)</f>
        <v>240</v>
      </c>
      <c r="I28" s="225">
        <v>3</v>
      </c>
      <c r="J28" s="225">
        <v>3</v>
      </c>
      <c r="K28" s="225">
        <v>3</v>
      </c>
      <c r="L28" s="225">
        <v>3</v>
      </c>
      <c r="M28" s="231">
        <f t="shared" si="1"/>
        <v>12</v>
      </c>
      <c r="N28" s="225"/>
      <c r="O28" s="209">
        <f t="shared" si="2"/>
        <v>720</v>
      </c>
      <c r="P28" s="209">
        <f t="shared" si="2"/>
        <v>720</v>
      </c>
      <c r="Q28" s="209">
        <f t="shared" si="2"/>
        <v>720</v>
      </c>
      <c r="R28" s="209">
        <f t="shared" si="2"/>
        <v>720</v>
      </c>
      <c r="S28" s="211">
        <f t="shared" si="3"/>
        <v>2880</v>
      </c>
      <c r="T28" s="243"/>
      <c r="U28" s="213" t="s">
        <v>218</v>
      </c>
      <c r="V28" s="213"/>
      <c r="W28" s="214"/>
    </row>
    <row r="29" spans="1:23" s="215" customFormat="1" ht="20.100000000000001" customHeight="1">
      <c r="A29" s="218"/>
      <c r="B29" s="234"/>
      <c r="C29" s="235"/>
      <c r="D29" s="236"/>
      <c r="E29" s="244" t="s">
        <v>227</v>
      </c>
      <c r="F29" s="241" t="s">
        <v>233</v>
      </c>
      <c r="G29" s="220" t="s">
        <v>13</v>
      </c>
      <c r="H29" s="225">
        <v>15000</v>
      </c>
      <c r="I29" s="225">
        <v>1</v>
      </c>
      <c r="J29" s="225">
        <v>0</v>
      </c>
      <c r="K29" s="225">
        <v>0</v>
      </c>
      <c r="L29" s="225">
        <v>0</v>
      </c>
      <c r="M29" s="231">
        <f t="shared" si="1"/>
        <v>1</v>
      </c>
      <c r="N29" s="225"/>
      <c r="O29" s="209">
        <f t="shared" si="2"/>
        <v>15000</v>
      </c>
      <c r="P29" s="209">
        <f t="shared" si="2"/>
        <v>0</v>
      </c>
      <c r="Q29" s="209">
        <f t="shared" si="2"/>
        <v>0</v>
      </c>
      <c r="R29" s="209">
        <f t="shared" si="2"/>
        <v>0</v>
      </c>
      <c r="S29" s="211">
        <f t="shared" si="3"/>
        <v>15000</v>
      </c>
      <c r="T29" s="243"/>
      <c r="U29" s="213" t="s">
        <v>218</v>
      </c>
      <c r="V29" s="213"/>
      <c r="W29" s="214"/>
    </row>
    <row r="30" spans="1:23" s="215" customFormat="1" ht="23.25" customHeight="1">
      <c r="A30" s="218" t="s">
        <v>35</v>
      </c>
      <c r="B30" s="234"/>
      <c r="C30" s="235"/>
      <c r="D30" s="236"/>
      <c r="E30" s="242" t="s">
        <v>234</v>
      </c>
      <c r="F30" s="245" t="s">
        <v>235</v>
      </c>
      <c r="G30" s="246" t="s">
        <v>13</v>
      </c>
      <c r="H30" s="225">
        <v>2500</v>
      </c>
      <c r="I30" s="225">
        <v>0</v>
      </c>
      <c r="J30" s="225">
        <v>0</v>
      </c>
      <c r="K30" s="225">
        <v>1</v>
      </c>
      <c r="L30" s="225">
        <v>0</v>
      </c>
      <c r="M30" s="231">
        <f t="shared" si="1"/>
        <v>1</v>
      </c>
      <c r="N30" s="225"/>
      <c r="O30" s="209">
        <f t="shared" si="2"/>
        <v>0</v>
      </c>
      <c r="P30" s="209">
        <f t="shared" si="2"/>
        <v>0</v>
      </c>
      <c r="Q30" s="209">
        <f t="shared" si="2"/>
        <v>2500</v>
      </c>
      <c r="R30" s="209">
        <f t="shared" si="2"/>
        <v>0</v>
      </c>
      <c r="S30" s="211">
        <f t="shared" si="3"/>
        <v>2500</v>
      </c>
      <c r="T30" s="243"/>
      <c r="U30" s="213" t="s">
        <v>218</v>
      </c>
      <c r="V30" s="213"/>
      <c r="W30" s="214"/>
    </row>
    <row r="31" spans="1:23" s="215" customFormat="1" ht="20.100000000000001" customHeight="1">
      <c r="A31" s="218" t="s">
        <v>35</v>
      </c>
      <c r="B31" s="234"/>
      <c r="C31" s="235"/>
      <c r="D31" s="236"/>
      <c r="E31" s="242" t="s">
        <v>236</v>
      </c>
      <c r="F31" s="241" t="s">
        <v>237</v>
      </c>
      <c r="G31" s="220" t="s">
        <v>211</v>
      </c>
      <c r="H31" s="225">
        <f>1250*4</f>
        <v>5000</v>
      </c>
      <c r="I31" s="225">
        <v>3</v>
      </c>
      <c r="J31" s="225">
        <v>2</v>
      </c>
      <c r="K31" s="225">
        <v>0</v>
      </c>
      <c r="L31" s="225">
        <v>0</v>
      </c>
      <c r="M31" s="231">
        <f t="shared" si="1"/>
        <v>5</v>
      </c>
      <c r="N31" s="225"/>
      <c r="O31" s="209">
        <f t="shared" si="2"/>
        <v>15000</v>
      </c>
      <c r="P31" s="209">
        <f t="shared" si="2"/>
        <v>10000</v>
      </c>
      <c r="Q31" s="209">
        <f t="shared" si="2"/>
        <v>0</v>
      </c>
      <c r="R31" s="209">
        <f t="shared" si="2"/>
        <v>0</v>
      </c>
      <c r="S31" s="211">
        <f t="shared" si="3"/>
        <v>25000</v>
      </c>
      <c r="T31" s="243"/>
      <c r="U31" s="213" t="s">
        <v>218</v>
      </c>
      <c r="V31" s="213"/>
      <c r="W31" s="214"/>
    </row>
    <row r="32" spans="1:23" s="215" customFormat="1" ht="20.100000000000001" customHeight="1">
      <c r="A32" s="218" t="s">
        <v>35</v>
      </c>
      <c r="B32" s="234"/>
      <c r="C32" s="235"/>
      <c r="D32" s="236"/>
      <c r="E32" s="242" t="s">
        <v>238</v>
      </c>
      <c r="F32" s="241" t="s">
        <v>239</v>
      </c>
      <c r="G32" s="220" t="s">
        <v>211</v>
      </c>
      <c r="H32" s="225">
        <f>700*4</f>
        <v>2800</v>
      </c>
      <c r="I32" s="225">
        <v>3</v>
      </c>
      <c r="J32" s="225">
        <v>2</v>
      </c>
      <c r="K32" s="225">
        <v>0</v>
      </c>
      <c r="L32" s="225">
        <v>0</v>
      </c>
      <c r="M32" s="231">
        <f t="shared" si="1"/>
        <v>5</v>
      </c>
      <c r="N32" s="225"/>
      <c r="O32" s="209">
        <f t="shared" si="2"/>
        <v>8400</v>
      </c>
      <c r="P32" s="209">
        <f t="shared" si="2"/>
        <v>5600</v>
      </c>
      <c r="Q32" s="209">
        <f t="shared" si="2"/>
        <v>0</v>
      </c>
      <c r="R32" s="209">
        <f t="shared" si="2"/>
        <v>0</v>
      </c>
      <c r="S32" s="211">
        <f t="shared" si="3"/>
        <v>14000</v>
      </c>
      <c r="T32" s="243"/>
      <c r="U32" s="213" t="s">
        <v>218</v>
      </c>
      <c r="V32" s="213"/>
      <c r="W32" s="214"/>
    </row>
    <row r="33" spans="1:23" s="215" customFormat="1" ht="20.100000000000001" customHeight="1">
      <c r="A33" s="218" t="s">
        <v>35</v>
      </c>
      <c r="B33" s="234"/>
      <c r="C33" s="235"/>
      <c r="D33" s="236"/>
      <c r="E33" s="242" t="s">
        <v>240</v>
      </c>
      <c r="F33" s="241" t="s">
        <v>241</v>
      </c>
      <c r="G33" s="220" t="s">
        <v>211</v>
      </c>
      <c r="H33" s="225">
        <f>500*4</f>
        <v>2000</v>
      </c>
      <c r="I33" s="225">
        <v>3</v>
      </c>
      <c r="J33" s="225">
        <v>2</v>
      </c>
      <c r="K33" s="225">
        <v>0</v>
      </c>
      <c r="L33" s="225">
        <v>0</v>
      </c>
      <c r="M33" s="231">
        <f t="shared" si="1"/>
        <v>5</v>
      </c>
      <c r="N33" s="225"/>
      <c r="O33" s="209">
        <f t="shared" si="2"/>
        <v>6000</v>
      </c>
      <c r="P33" s="209">
        <f t="shared" si="2"/>
        <v>4000</v>
      </c>
      <c r="Q33" s="209">
        <f t="shared" si="2"/>
        <v>0</v>
      </c>
      <c r="R33" s="209">
        <f t="shared" si="2"/>
        <v>0</v>
      </c>
      <c r="S33" s="211">
        <f t="shared" si="3"/>
        <v>10000</v>
      </c>
      <c r="T33" s="243"/>
      <c r="U33" s="213" t="s">
        <v>218</v>
      </c>
      <c r="V33" s="213"/>
      <c r="W33" s="214"/>
    </row>
    <row r="34" spans="1:23" s="215" customFormat="1" ht="19.5" customHeight="1">
      <c r="A34" s="247"/>
      <c r="B34" s="234"/>
      <c r="C34" s="248"/>
      <c r="D34" s="229" t="s">
        <v>242</v>
      </c>
      <c r="E34" s="242"/>
      <c r="F34" s="241"/>
      <c r="G34" s="220"/>
      <c r="H34" s="225"/>
      <c r="I34" s="225"/>
      <c r="J34" s="225"/>
      <c r="K34" s="225"/>
      <c r="L34" s="225"/>
      <c r="M34" s="231"/>
      <c r="N34" s="225"/>
      <c r="O34" s="232">
        <f>SUM(O20:O33)</f>
        <v>135664</v>
      </c>
      <c r="P34" s="232">
        <f>SUM(P20:P33)</f>
        <v>107314</v>
      </c>
      <c r="Q34" s="232">
        <f>SUM(Q20:Q33)</f>
        <v>92614</v>
      </c>
      <c r="R34" s="232">
        <f>SUM(R20:R33)</f>
        <v>88714</v>
      </c>
      <c r="S34" s="233">
        <f>SUM(S20:S33)</f>
        <v>424306</v>
      </c>
      <c r="T34" s="243"/>
      <c r="U34" s="249"/>
      <c r="V34" s="213"/>
      <c r="W34" s="214"/>
    </row>
    <row r="35" spans="1:23" s="215" customFormat="1" ht="19.5" customHeight="1">
      <c r="A35" s="247"/>
      <c r="B35" s="234"/>
      <c r="C35" s="228" t="s">
        <v>243</v>
      </c>
      <c r="D35" s="250"/>
      <c r="E35" s="242"/>
      <c r="F35" s="241"/>
      <c r="G35" s="220"/>
      <c r="H35" s="225"/>
      <c r="I35" s="225"/>
      <c r="J35" s="225"/>
      <c r="K35" s="225"/>
      <c r="L35" s="225"/>
      <c r="M35" s="231"/>
      <c r="N35" s="225"/>
      <c r="O35" s="232">
        <f>O17+O34</f>
        <v>157654</v>
      </c>
      <c r="P35" s="232">
        <f>P17+P34</f>
        <v>129304</v>
      </c>
      <c r="Q35" s="232">
        <f>Q17+Q34</f>
        <v>118604</v>
      </c>
      <c r="R35" s="232">
        <f>R17+R34</f>
        <v>110704</v>
      </c>
      <c r="S35" s="233">
        <f>S17+S34</f>
        <v>516266</v>
      </c>
      <c r="T35" s="243"/>
      <c r="U35" s="213"/>
      <c r="V35" s="213"/>
      <c r="W35" s="214"/>
    </row>
    <row r="36" spans="1:23" ht="20.100000000000001" customHeight="1">
      <c r="A36" s="251"/>
      <c r="B36" s="252"/>
      <c r="C36" s="253"/>
      <c r="D36" s="254"/>
      <c r="E36" s="254"/>
      <c r="F36" s="255"/>
      <c r="G36" s="256"/>
      <c r="H36" s="257"/>
      <c r="I36" s="257"/>
      <c r="J36" s="257"/>
      <c r="K36" s="257"/>
      <c r="L36" s="257"/>
      <c r="M36" s="258"/>
      <c r="N36" s="257"/>
      <c r="O36" s="257"/>
      <c r="P36" s="257"/>
      <c r="Q36" s="257"/>
      <c r="R36" s="257"/>
      <c r="S36" s="259"/>
      <c r="T36" s="260"/>
      <c r="U36" s="261"/>
      <c r="V36" s="261"/>
      <c r="W36" s="262"/>
    </row>
    <row r="37" spans="1:23" ht="20.100000000000001" customHeight="1"/>
  </sheetData>
  <mergeCells count="10">
    <mergeCell ref="O5:S6"/>
    <mergeCell ref="U5:W5"/>
    <mergeCell ref="A1:K1"/>
    <mergeCell ref="A5:A7"/>
    <mergeCell ref="B5:B7"/>
    <mergeCell ref="C5:E7"/>
    <mergeCell ref="F5:F7"/>
    <mergeCell ref="G5:G7"/>
    <mergeCell ref="H5:H7"/>
    <mergeCell ref="I5:M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2:AC46"/>
  <sheetViews>
    <sheetView topLeftCell="A11" zoomScale="75" zoomScaleNormal="75" workbookViewId="0">
      <selection activeCell="G7" sqref="G7"/>
    </sheetView>
  </sheetViews>
  <sheetFormatPr defaultRowHeight="12.75" outlineLevelCol="1"/>
  <cols>
    <col min="1" max="1" width="1.28515625" customWidth="1"/>
    <col min="2" max="2" width="1" customWidth="1"/>
    <col min="3" max="3" width="10.42578125" customWidth="1"/>
    <col min="4" max="4" width="31.7109375" customWidth="1"/>
    <col min="5" max="5" width="13.42578125" customWidth="1"/>
    <col min="6" max="6" width="12.28515625" customWidth="1"/>
    <col min="7" max="7" width="12" customWidth="1"/>
    <col min="8" max="8" width="11.28515625" customWidth="1"/>
    <col min="9" max="9" width="15.140625" customWidth="1"/>
    <col min="10" max="10" width="16.140625" hidden="1" customWidth="1"/>
    <col min="11" max="11" width="1.85546875" customWidth="1"/>
    <col min="12" max="12" width="1.28515625" customWidth="1"/>
    <col min="13" max="13" width="9.140625" customWidth="1" outlineLevel="1"/>
    <col min="14" max="14" width="27.28515625" customWidth="1" outlineLevel="1"/>
    <col min="15" max="15" width="14.140625" customWidth="1" outlineLevel="1"/>
    <col min="16" max="16" width="15.140625" customWidth="1" outlineLevel="1"/>
    <col min="17" max="17" width="12" customWidth="1" outlineLevel="1"/>
    <col min="18" max="18" width="14.85546875" customWidth="1" outlineLevel="1"/>
    <col min="19" max="19" width="15.42578125" customWidth="1" outlineLevel="1"/>
    <col min="20" max="20" width="1.7109375" customWidth="1"/>
    <col min="22" max="22" width="15.85546875" customWidth="1"/>
    <col min="23" max="23" width="18.5703125" customWidth="1"/>
    <col min="24" max="24" width="13.5703125" customWidth="1"/>
    <col min="25" max="25" width="13.28515625" customWidth="1"/>
    <col min="26" max="26" width="14.85546875" customWidth="1"/>
    <col min="27" max="27" width="13.140625" customWidth="1"/>
    <col min="28" max="28" width="14.140625" customWidth="1"/>
  </cols>
  <sheetData>
    <row r="2" spans="3:29" ht="15">
      <c r="C2" s="6" t="s">
        <v>1098</v>
      </c>
      <c r="D2" s="1323" t="s">
        <v>985</v>
      </c>
      <c r="N2" s="6" t="s">
        <v>1097</v>
      </c>
      <c r="P2">
        <v>1000</v>
      </c>
    </row>
    <row r="3" spans="3:29" ht="13.5" thickBot="1">
      <c r="V3" t="s">
        <v>955</v>
      </c>
    </row>
    <row r="4" spans="3:29" ht="29.25" thickTop="1">
      <c r="C4" s="1406" t="s">
        <v>709</v>
      </c>
      <c r="D4" s="1407" t="s">
        <v>956</v>
      </c>
      <c r="E4" s="1407" t="s">
        <v>957</v>
      </c>
      <c r="F4" s="1407" t="s">
        <v>958</v>
      </c>
      <c r="G4" s="1407" t="s">
        <v>725</v>
      </c>
      <c r="H4" s="1407" t="s">
        <v>959</v>
      </c>
      <c r="I4" s="1408" t="s">
        <v>16</v>
      </c>
      <c r="J4" s="1335" t="s">
        <v>960</v>
      </c>
      <c r="N4" s="2432" t="s">
        <v>591</v>
      </c>
      <c r="O4" s="2434" t="s">
        <v>592</v>
      </c>
      <c r="P4" s="2434"/>
      <c r="Q4" s="2434"/>
      <c r="R4" s="2435"/>
      <c r="V4" s="2439" t="s">
        <v>591</v>
      </c>
      <c r="W4" s="2440" t="s">
        <v>592</v>
      </c>
      <c r="X4" s="2440"/>
      <c r="Y4" s="2440"/>
      <c r="Z4" s="2440"/>
      <c r="AA4" s="1548"/>
      <c r="AB4" s="1548"/>
      <c r="AC4" s="1548"/>
    </row>
    <row r="5" spans="3:29" ht="14.25">
      <c r="C5" s="1409">
        <v>1</v>
      </c>
      <c r="D5" s="1410" t="s">
        <v>961</v>
      </c>
      <c r="E5" s="1615">
        <f>'Annex 4_MoWRAM'!AD55</f>
        <v>6895.4543237746748</v>
      </c>
      <c r="F5" s="1615">
        <f>'Annex 4_MoWRAM'!AE55</f>
        <v>1134.9329204298203</v>
      </c>
      <c r="G5" s="1615">
        <f>'Annex 4_MoWRAM'!AF55-204.95</f>
        <v>944.91275579550461</v>
      </c>
      <c r="H5" s="1615">
        <f>'Annex 4_MoWRAM'!AG55</f>
        <v>0</v>
      </c>
      <c r="I5" s="1616">
        <f>SUM(E5:H5)</f>
        <v>8975.2999999999993</v>
      </c>
      <c r="J5" s="1336">
        <f>I5/$I$11*100</f>
        <v>94.907723168447902</v>
      </c>
      <c r="N5" s="2433"/>
      <c r="O5" s="1358" t="s">
        <v>15</v>
      </c>
      <c r="P5" s="1358" t="s">
        <v>197</v>
      </c>
      <c r="Q5" s="1358" t="s">
        <v>190</v>
      </c>
      <c r="R5" s="1399" t="s">
        <v>11</v>
      </c>
      <c r="V5" s="2439"/>
      <c r="W5" s="1549" t="s">
        <v>15</v>
      </c>
      <c r="X5" s="1549" t="s">
        <v>197</v>
      </c>
      <c r="Y5" s="1549" t="s">
        <v>190</v>
      </c>
      <c r="Z5" s="1549" t="s">
        <v>11</v>
      </c>
      <c r="AA5" s="1548"/>
      <c r="AB5" s="1548"/>
      <c r="AC5" s="1548"/>
    </row>
    <row r="6" spans="3:29" ht="14.25">
      <c r="C6" s="1409">
        <v>2</v>
      </c>
      <c r="D6" s="1410" t="s">
        <v>962</v>
      </c>
      <c r="E6" s="1617"/>
      <c r="F6" s="1617"/>
      <c r="G6" s="1615">
        <v>204.95</v>
      </c>
      <c r="H6" s="1617"/>
      <c r="I6" s="1616">
        <f t="shared" ref="I6:I10" si="0">SUM(E6:H6)</f>
        <v>204.95</v>
      </c>
      <c r="J6" s="1336">
        <f t="shared" ref="J6:J11" si="1">I6/$I$11*100</f>
        <v>2.1672075432992095</v>
      </c>
      <c r="K6" s="1337"/>
      <c r="L6" s="1337"/>
      <c r="M6" s="1338"/>
      <c r="N6" s="1357" t="s">
        <v>593</v>
      </c>
      <c r="O6" s="1400">
        <f>'Sum Annex3_Checking Tab19'!H32*P2</f>
        <v>96600</v>
      </c>
      <c r="P6" s="1400">
        <f>H7*$P$2</f>
        <v>198240</v>
      </c>
      <c r="Q6" s="1400">
        <f>I18*P2</f>
        <v>23435.668000000001</v>
      </c>
      <c r="R6" s="1401">
        <f>SUM(O6:Q6)</f>
        <v>318275.66800000001</v>
      </c>
      <c r="S6" s="8">
        <f>SUM(O6:Q6)</f>
        <v>318275.66800000001</v>
      </c>
      <c r="V6" s="1550" t="s">
        <v>593</v>
      </c>
      <c r="W6" s="1551" t="e">
        <f>'Annex 3_MAFF'!AK389</f>
        <v>#REF!</v>
      </c>
      <c r="X6" s="1552"/>
      <c r="Y6" s="1558">
        <f>H18*P2</f>
        <v>23435.668000000001</v>
      </c>
      <c r="Z6" s="1552"/>
      <c r="AA6" s="1548"/>
      <c r="AB6" s="1548"/>
      <c r="AC6" s="1548"/>
    </row>
    <row r="7" spans="3:29" ht="14.25">
      <c r="C7" s="2436" t="s">
        <v>724</v>
      </c>
      <c r="D7" s="1410" t="s">
        <v>405</v>
      </c>
      <c r="E7" s="1617"/>
      <c r="F7" s="1617"/>
      <c r="G7" s="1617"/>
      <c r="H7" s="1615">
        <f>'Annex 4_MoWRAM'!AG70+'Annex 4_MoWRAM'!AG77</f>
        <v>198.24</v>
      </c>
      <c r="I7" s="1616">
        <f t="shared" si="0"/>
        <v>198.24</v>
      </c>
      <c r="J7" s="1336">
        <f t="shared" si="1"/>
        <v>2.0962538345139565</v>
      </c>
      <c r="K7" s="1337"/>
      <c r="L7" s="1337"/>
      <c r="M7" s="1338"/>
      <c r="N7" s="1357" t="s">
        <v>594</v>
      </c>
      <c r="O7" s="1400">
        <f>'Sum Annex3_Checking Tab19'!H35*P2-17880-2800-2500</f>
        <v>371760</v>
      </c>
      <c r="P7" s="1400">
        <f>I10*$P$2</f>
        <v>41539.999999999993</v>
      </c>
      <c r="Q7" s="1400">
        <f>I21*P2</f>
        <v>28500</v>
      </c>
      <c r="R7" s="1401">
        <f t="shared" ref="R7:R13" si="2">SUM(O7:Q7)</f>
        <v>441800</v>
      </c>
      <c r="S7" s="8">
        <f t="shared" ref="S7:S14" si="3">SUM(O7:Q7)</f>
        <v>441800</v>
      </c>
      <c r="V7" s="1550" t="s">
        <v>594</v>
      </c>
      <c r="W7" s="1551">
        <f>'Annex 3_MAFF'!AK401</f>
        <v>74.760000000000005</v>
      </c>
      <c r="X7" s="1552"/>
      <c r="Y7" s="1558">
        <f>E21*P2</f>
        <v>28500</v>
      </c>
      <c r="Z7" s="1552"/>
      <c r="AA7" s="1548"/>
      <c r="AB7" s="1548"/>
      <c r="AC7" s="1548"/>
    </row>
    <row r="8" spans="3:29" ht="29.25" customHeight="1">
      <c r="C8" s="2436"/>
      <c r="D8" s="1410" t="s">
        <v>379</v>
      </c>
      <c r="E8" s="1615">
        <f>SUM('Annex 4_MoWRAM'!AD80:AD81,'Annex 4_MoWRAM'!AD84:AD85)</f>
        <v>24.6</v>
      </c>
      <c r="F8" s="1617"/>
      <c r="G8" s="1617"/>
      <c r="H8" s="1617"/>
      <c r="I8" s="1616">
        <f t="shared" si="0"/>
        <v>24.6</v>
      </c>
      <c r="J8" s="1336">
        <f t="shared" si="1"/>
        <v>0.26012835113520649</v>
      </c>
      <c r="K8" s="1338"/>
      <c r="L8" s="1338"/>
      <c r="M8" s="1338"/>
      <c r="N8" s="1357" t="s">
        <v>595</v>
      </c>
      <c r="O8" s="1400">
        <f>'Sum Annex3_Checking Tab19'!H33*P2</f>
        <v>239440</v>
      </c>
      <c r="P8" s="1400">
        <f>I8*$P$2</f>
        <v>24600</v>
      </c>
      <c r="Q8" s="1400">
        <f>I19*P2</f>
        <v>35099.999999999993</v>
      </c>
      <c r="R8" s="1401">
        <f t="shared" si="2"/>
        <v>299140</v>
      </c>
      <c r="S8" s="8">
        <f t="shared" si="3"/>
        <v>299140</v>
      </c>
      <c r="V8" s="1550" t="s">
        <v>595</v>
      </c>
      <c r="W8" s="1551">
        <f>'Annex 3_MAFF'!AK395</f>
        <v>124.24000000000001</v>
      </c>
      <c r="X8" s="1552"/>
      <c r="Y8" s="1558">
        <f>E19*P2</f>
        <v>35099.999999999993</v>
      </c>
      <c r="Z8" s="1552"/>
      <c r="AA8" s="1548"/>
      <c r="AB8" s="1548"/>
      <c r="AC8" s="1548"/>
    </row>
    <row r="9" spans="3:29" ht="18" customHeight="1">
      <c r="C9" s="2436"/>
      <c r="D9" s="1410" t="s">
        <v>963</v>
      </c>
      <c r="E9" s="1615">
        <f>'Annex 4_MoWRAM'!AD74</f>
        <v>12.24</v>
      </c>
      <c r="F9" s="1617"/>
      <c r="G9" s="1617"/>
      <c r="H9" s="1617"/>
      <c r="I9" s="1616">
        <f t="shared" si="0"/>
        <v>12.24</v>
      </c>
      <c r="J9" s="1336">
        <f t="shared" si="1"/>
        <v>0.12942971617459054</v>
      </c>
      <c r="K9" s="1337"/>
      <c r="L9" s="1337"/>
      <c r="M9" s="1338"/>
      <c r="N9" s="1357" t="s">
        <v>596</v>
      </c>
      <c r="O9" s="1400">
        <f>'[10]Annex 2'!Y255*1000</f>
        <v>2500</v>
      </c>
      <c r="P9" s="1400">
        <v>0</v>
      </c>
      <c r="Q9" s="1402">
        <v>0</v>
      </c>
      <c r="R9" s="1401">
        <f t="shared" si="2"/>
        <v>2500</v>
      </c>
      <c r="S9" s="8">
        <f t="shared" si="3"/>
        <v>2500</v>
      </c>
      <c r="V9" s="1550" t="s">
        <v>596</v>
      </c>
      <c r="W9" s="1551">
        <f>'Annex 3_MAFF'!AK402</f>
        <v>2.5</v>
      </c>
      <c r="X9" s="1552"/>
      <c r="Y9" s="1558"/>
      <c r="Z9" s="1552"/>
      <c r="AA9" s="1548"/>
      <c r="AB9" s="1548"/>
      <c r="AC9" s="1548"/>
    </row>
    <row r="10" spans="3:29" ht="14.25">
      <c r="C10" s="2436"/>
      <c r="D10" s="1410" t="s">
        <v>964</v>
      </c>
      <c r="E10" s="1615">
        <f>'Annex 4_MoWRAM'!AD73+'Annex 4_MoWRAM'!AD75+'Annex 4_MoWRAM'!AD82+'Annex 4_MoWRAM'!AD86</f>
        <v>33.599999999999994</v>
      </c>
      <c r="F10" s="1617"/>
      <c r="G10" s="1617"/>
      <c r="H10" s="1615">
        <f>'Annex 4_MoWRAM'!AG76</f>
        <v>7.94</v>
      </c>
      <c r="I10" s="1616">
        <f t="shared" si="0"/>
        <v>41.539999999999992</v>
      </c>
      <c r="J10" s="1336">
        <f t="shared" si="1"/>
        <v>0.43925738642912493</v>
      </c>
      <c r="K10" s="1337"/>
      <c r="L10" s="1337"/>
      <c r="M10" s="1338"/>
      <c r="N10" s="1357" t="s">
        <v>597</v>
      </c>
      <c r="O10" s="1400">
        <f>'Sum Annex3_Checking Tab19'!H34*P2</f>
        <v>238656</v>
      </c>
      <c r="P10" s="1400">
        <f>I9*$P$2</f>
        <v>12240</v>
      </c>
      <c r="Q10" s="1400">
        <f>I20*P2</f>
        <v>78624.000000000015</v>
      </c>
      <c r="R10" s="1401">
        <f t="shared" si="2"/>
        <v>329520</v>
      </c>
      <c r="S10" s="8">
        <f t="shared" si="3"/>
        <v>329520</v>
      </c>
      <c r="V10" s="1550" t="s">
        <v>597</v>
      </c>
      <c r="W10" s="1551">
        <f>'Annex 3_MAFF'!AK399</f>
        <v>238.65600000000001</v>
      </c>
      <c r="X10" s="1552"/>
      <c r="Y10" s="1558">
        <f>E20*P2</f>
        <v>78624.000000000015</v>
      </c>
      <c r="Z10" s="1552"/>
      <c r="AA10" s="1548"/>
      <c r="AB10" s="1548"/>
      <c r="AC10" s="1548"/>
    </row>
    <row r="11" spans="3:29" ht="15" thickBot="1">
      <c r="C11" s="1411"/>
      <c r="D11" s="1412" t="s">
        <v>11</v>
      </c>
      <c r="E11" s="1618">
        <f>SUM(E5:E10)</f>
        <v>6965.8943237746753</v>
      </c>
      <c r="F11" s="1618">
        <f t="shared" ref="F11:I11" si="4">SUM(F5:F10)</f>
        <v>1134.9329204298203</v>
      </c>
      <c r="G11" s="1618">
        <f t="shared" si="4"/>
        <v>1149.8627557955047</v>
      </c>
      <c r="H11" s="1618">
        <f t="shared" si="4"/>
        <v>206.18</v>
      </c>
      <c r="I11" s="1619">
        <f t="shared" si="4"/>
        <v>9456.8700000000008</v>
      </c>
      <c r="J11" s="1336">
        <f t="shared" si="1"/>
        <v>100</v>
      </c>
      <c r="K11" s="1338"/>
      <c r="L11" s="1338"/>
      <c r="M11" s="1338"/>
      <c r="N11" s="1357" t="s">
        <v>598</v>
      </c>
      <c r="O11" s="1400">
        <f>2880+15000</f>
        <v>17880</v>
      </c>
      <c r="P11" s="1400">
        <f t="shared" ref="P11:P13" si="5">H12*$P$2</f>
        <v>0</v>
      </c>
      <c r="Q11" s="1402">
        <v>0</v>
      </c>
      <c r="R11" s="1401">
        <f t="shared" si="2"/>
        <v>17880</v>
      </c>
      <c r="S11" s="8">
        <f t="shared" si="3"/>
        <v>17880</v>
      </c>
      <c r="V11" s="1550" t="s">
        <v>598</v>
      </c>
      <c r="W11" s="1551">
        <f>'Annex 3_MAFF'!AK397</f>
        <v>2.88</v>
      </c>
      <c r="X11" s="1552"/>
      <c r="Y11" s="1558">
        <v>0</v>
      </c>
      <c r="Z11" s="1552"/>
      <c r="AA11" s="1548"/>
      <c r="AB11" s="1548"/>
      <c r="AC11" s="1548"/>
    </row>
    <row r="12" spans="3:29" ht="15">
      <c r="D12" s="1339"/>
      <c r="E12" s="1340"/>
      <c r="F12" s="1341"/>
      <c r="G12" s="1341"/>
      <c r="H12" s="1341"/>
      <c r="I12" s="1342"/>
      <c r="J12" s="1339"/>
      <c r="K12" s="1339"/>
      <c r="L12" s="1341"/>
      <c r="M12" s="1341"/>
      <c r="N12" s="1357" t="s">
        <v>599</v>
      </c>
      <c r="O12" s="1400">
        <v>2800</v>
      </c>
      <c r="P12" s="1400">
        <f t="shared" si="5"/>
        <v>0</v>
      </c>
      <c r="Q12" s="1402">
        <v>0</v>
      </c>
      <c r="R12" s="1401">
        <f t="shared" si="2"/>
        <v>2800</v>
      </c>
      <c r="S12" s="8">
        <f t="shared" si="3"/>
        <v>2800</v>
      </c>
      <c r="V12" s="1550" t="s">
        <v>599</v>
      </c>
      <c r="W12" s="1551">
        <f>'Annex 3_MAFF'!AK392</f>
        <v>2.8000000000000003</v>
      </c>
      <c r="X12" s="1552"/>
      <c r="Y12" s="1558">
        <v>0</v>
      </c>
      <c r="Z12" s="1552"/>
      <c r="AA12" s="1548"/>
      <c r="AB12" s="1548"/>
      <c r="AC12" s="1548"/>
    </row>
    <row r="13" spans="3:29">
      <c r="E13" s="1343" t="s">
        <v>965</v>
      </c>
      <c r="G13" s="1344">
        <f>SUM(I7:I10)</f>
        <v>276.62</v>
      </c>
      <c r="I13" s="1345">
        <f>I11+I12</f>
        <v>9456.8700000000008</v>
      </c>
      <c r="K13" s="8"/>
      <c r="M13" s="8"/>
      <c r="N13" s="1357" t="s">
        <v>600</v>
      </c>
      <c r="O13" s="1400">
        <v>0</v>
      </c>
      <c r="P13" s="1400">
        <f t="shared" si="5"/>
        <v>0</v>
      </c>
      <c r="Q13" s="1402">
        <v>0</v>
      </c>
      <c r="R13" s="1401">
        <f t="shared" si="2"/>
        <v>0</v>
      </c>
      <c r="S13" s="8">
        <f t="shared" si="3"/>
        <v>0</v>
      </c>
      <c r="V13" s="1550" t="s">
        <v>600</v>
      </c>
      <c r="W13" s="1551">
        <f>'Annex 3_MAFF'!AO394</f>
        <v>200</v>
      </c>
      <c r="X13" s="1552"/>
      <c r="Y13" s="1558">
        <v>0</v>
      </c>
      <c r="Z13" s="1552"/>
      <c r="AA13" s="1548"/>
      <c r="AB13" s="1548"/>
      <c r="AC13" s="1548"/>
    </row>
    <row r="14" spans="3:29" ht="13.5" thickBot="1">
      <c r="E14" s="1346"/>
      <c r="G14" s="6"/>
      <c r="I14" s="1345"/>
      <c r="N14" s="1403" t="s">
        <v>16</v>
      </c>
      <c r="O14" s="1404">
        <f>SUM(O6:O13)</f>
        <v>969636</v>
      </c>
      <c r="P14" s="1404">
        <f t="shared" ref="P14:Q14" si="6">SUM(P6:P13)</f>
        <v>276620</v>
      </c>
      <c r="Q14" s="1404">
        <f t="shared" si="6"/>
        <v>165659.66800000001</v>
      </c>
      <c r="R14" s="1405">
        <f>SUM(R6:R13)</f>
        <v>1411915.6680000001</v>
      </c>
      <c r="S14" s="8">
        <f t="shared" si="3"/>
        <v>1411915.6680000001</v>
      </c>
      <c r="V14" s="1553" t="s">
        <v>16</v>
      </c>
      <c r="W14" s="1552" t="e">
        <f>SUM(W6:W13)</f>
        <v>#REF!</v>
      </c>
      <c r="X14" s="1552"/>
      <c r="Y14" s="1559">
        <f>SUM(Y6:Y13)</f>
        <v>165659.66800000001</v>
      </c>
      <c r="Z14" s="1552"/>
      <c r="AA14" s="1548"/>
      <c r="AB14" s="1548"/>
      <c r="AC14" s="1548"/>
    </row>
    <row r="15" spans="3:29" ht="16.5" thickTop="1" thickBot="1">
      <c r="C15" s="6" t="s">
        <v>968</v>
      </c>
      <c r="D15" s="1323" t="s">
        <v>984</v>
      </c>
      <c r="E15" s="8"/>
      <c r="F15" s="8"/>
      <c r="G15" s="8"/>
      <c r="H15" s="8"/>
      <c r="I15" s="8"/>
      <c r="V15" s="1548"/>
      <c r="W15" s="1548"/>
      <c r="X15" s="1548"/>
      <c r="Y15" s="1548"/>
      <c r="Z15" s="1548"/>
      <c r="AA15" s="1548"/>
      <c r="AB15" s="1548"/>
      <c r="AC15" s="1548"/>
    </row>
    <row r="16" spans="3:29" ht="26.25" thickBot="1">
      <c r="C16" s="1413" t="s">
        <v>709</v>
      </c>
      <c r="D16" s="1414" t="s">
        <v>956</v>
      </c>
      <c r="E16" s="1414" t="s">
        <v>957</v>
      </c>
      <c r="F16" s="1414" t="s">
        <v>958</v>
      </c>
      <c r="G16" s="1414" t="s">
        <v>725</v>
      </c>
      <c r="H16" s="1414" t="s">
        <v>959</v>
      </c>
      <c r="I16" s="1415" t="s">
        <v>16</v>
      </c>
      <c r="J16" s="8"/>
      <c r="M16" s="6" t="s">
        <v>1096</v>
      </c>
      <c r="O16" s="8"/>
      <c r="P16" s="8"/>
      <c r="Q16" s="8"/>
      <c r="R16" s="8"/>
      <c r="V16" s="1548" t="s">
        <v>968</v>
      </c>
      <c r="W16" s="1548"/>
      <c r="X16" s="1548"/>
      <c r="Y16" s="1548"/>
      <c r="Z16" s="1548"/>
      <c r="AA16" s="1548"/>
      <c r="AB16" s="1548"/>
      <c r="AC16" s="1548"/>
    </row>
    <row r="17" spans="3:29" ht="21" customHeight="1" thickTop="1" thickBot="1">
      <c r="C17" s="1416">
        <v>1</v>
      </c>
      <c r="D17" s="1356" t="s">
        <v>969</v>
      </c>
      <c r="E17" s="1620">
        <f>'Annex 5_MRD'!AD115</f>
        <v>4861.8227214235112</v>
      </c>
      <c r="F17" s="1620">
        <f>'Annex 5_MRD'!AI115</f>
        <v>800.21451825333702</v>
      </c>
      <c r="G17" s="1620">
        <f>'Annex 5_MRD'!AN115</f>
        <v>666.23576782315126</v>
      </c>
      <c r="H17" s="1620">
        <f>'Annex 5_MRD'!AS115</f>
        <v>0</v>
      </c>
      <c r="I17" s="1621">
        <f>SUM(E17:H17)</f>
        <v>6328.273007499999</v>
      </c>
      <c r="J17" s="8"/>
      <c r="V17" s="1701" t="s">
        <v>970</v>
      </c>
      <c r="W17" s="1702"/>
      <c r="X17" s="2443" t="s">
        <v>592</v>
      </c>
      <c r="Y17" s="2444"/>
      <c r="Z17" s="2444"/>
      <c r="AA17" s="2444"/>
      <c r="AB17" s="2445"/>
      <c r="AC17" s="1548"/>
    </row>
    <row r="18" spans="3:29" ht="21.6" customHeight="1" thickTop="1">
      <c r="C18" s="2437" t="s">
        <v>724</v>
      </c>
      <c r="D18" s="1356" t="s">
        <v>405</v>
      </c>
      <c r="E18" s="1358">
        <v>0</v>
      </c>
      <c r="F18" s="1358">
        <v>0</v>
      </c>
      <c r="G18" s="1358">
        <v>0</v>
      </c>
      <c r="H18" s="1620">
        <f>'Annex 5_MRD'!AS128+'Annex 5_MRD'!AS132</f>
        <v>23.435668</v>
      </c>
      <c r="I18" s="1621">
        <f t="shared" ref="I18:I21" si="7">SUM(E18:H18)</f>
        <v>23.435668</v>
      </c>
      <c r="J18" s="8"/>
      <c r="M18" s="2432" t="s">
        <v>970</v>
      </c>
      <c r="N18" s="2434"/>
      <c r="O18" s="2427" t="s">
        <v>592</v>
      </c>
      <c r="P18" s="2428"/>
      <c r="Q18" s="2428"/>
      <c r="R18" s="2428"/>
      <c r="S18" s="2429"/>
      <c r="V18" s="1703"/>
      <c r="W18" s="1704"/>
      <c r="X18" s="1699" t="s">
        <v>971</v>
      </c>
      <c r="Y18" s="1699" t="s">
        <v>972</v>
      </c>
      <c r="Z18" s="1699" t="s">
        <v>973</v>
      </c>
      <c r="AA18" s="1699" t="s">
        <v>986</v>
      </c>
      <c r="AB18" s="1554" t="s">
        <v>11</v>
      </c>
      <c r="AC18" s="1548"/>
    </row>
    <row r="19" spans="3:29" ht="25.5">
      <c r="C19" s="2437"/>
      <c r="D19" s="1356" t="s">
        <v>379</v>
      </c>
      <c r="E19" s="1622">
        <f>'Annex 5_MRD'!T134</f>
        <v>35.099999999999994</v>
      </c>
      <c r="F19" s="1358">
        <v>0</v>
      </c>
      <c r="G19" s="1358">
        <v>0</v>
      </c>
      <c r="H19" s="1358">
        <v>0</v>
      </c>
      <c r="I19" s="1623">
        <f t="shared" si="7"/>
        <v>35.099999999999994</v>
      </c>
      <c r="J19" s="8"/>
      <c r="M19" s="2433"/>
      <c r="N19" s="2438"/>
      <c r="O19" s="1356" t="s">
        <v>971</v>
      </c>
      <c r="P19" s="1356" t="s">
        <v>972</v>
      </c>
      <c r="Q19" s="1356" t="s">
        <v>973</v>
      </c>
      <c r="R19" s="1356" t="s">
        <v>986</v>
      </c>
      <c r="S19" s="1367" t="s">
        <v>11</v>
      </c>
      <c r="V19" s="1555" t="s">
        <v>974</v>
      </c>
      <c r="W19" s="1556" t="s">
        <v>975</v>
      </c>
      <c r="X19" s="1552">
        <f>+'Annex 3_MAFF'!AL429</f>
        <v>826.18250000000012</v>
      </c>
      <c r="Y19" s="1552">
        <f>+'Annex 3_MAFF'!AL432</f>
        <v>117.4</v>
      </c>
      <c r="Z19" s="1552">
        <f>+'Annex 3_MAFF'!AL443</f>
        <v>105.35388</v>
      </c>
      <c r="AA19" s="1605">
        <f>+'Annex 3_MAFF'!AL448</f>
        <v>111.34</v>
      </c>
      <c r="AB19" s="1606">
        <f>SUM(X19:AA19)</f>
        <v>1160.27638</v>
      </c>
      <c r="AC19" s="1548"/>
    </row>
    <row r="20" spans="3:29" ht="15">
      <c r="C20" s="2437"/>
      <c r="D20" s="1356" t="s">
        <v>963</v>
      </c>
      <c r="E20" s="1620">
        <f>'Annex 5_MRD'!T136+'Annex 5_MRD'!T137+'Annex 5_MRD'!T139+'Annex 5_MRD'!T140+'Annex 5_MRD'!T141</f>
        <v>78.624000000000009</v>
      </c>
      <c r="F20" s="1624">
        <v>0</v>
      </c>
      <c r="G20" s="1624">
        <v>0</v>
      </c>
      <c r="H20" s="1624">
        <v>0</v>
      </c>
      <c r="I20" s="1625">
        <f t="shared" si="7"/>
        <v>78.624000000000009</v>
      </c>
      <c r="J20" s="8"/>
      <c r="M20" s="1357" t="s">
        <v>974</v>
      </c>
      <c r="N20" s="1366" t="s">
        <v>975</v>
      </c>
      <c r="O20" s="1359">
        <f>'Annex 3_MAFF'!S430*1000+3</f>
        <v>826185.50000000012</v>
      </c>
      <c r="P20" s="1359">
        <f>'Annex 3_MAFF'!S433*1000</f>
        <v>117400</v>
      </c>
      <c r="Q20" s="1359">
        <f>'Annex 3_MAFF'!S443*1000</f>
        <v>105353.88</v>
      </c>
      <c r="R20" s="1360">
        <f>'Annex 3_MAFF'!S449*1000</f>
        <v>111340</v>
      </c>
      <c r="S20" s="1361">
        <f>SUM(O20:R20)</f>
        <v>1160279.3800000001</v>
      </c>
      <c r="V20" s="1555" t="s">
        <v>976</v>
      </c>
      <c r="W20" s="1557" t="s">
        <v>607</v>
      </c>
      <c r="X20" s="1552">
        <f>'Annex 3_MAFF'!AL492</f>
        <v>705.95</v>
      </c>
      <c r="Y20" s="1552">
        <f>+'Annex 3_MAFF'!AL494</f>
        <v>132</v>
      </c>
      <c r="Z20" s="1552">
        <f>+'Annex 3_MAFF'!AL501</f>
        <v>26</v>
      </c>
      <c r="AA20" s="1605"/>
      <c r="AB20" s="1606">
        <f>SUM(X20:Z20)</f>
        <v>863.95</v>
      </c>
      <c r="AC20" s="1548"/>
    </row>
    <row r="21" spans="3:29" ht="15">
      <c r="C21" s="2437"/>
      <c r="D21" s="1356" t="s">
        <v>964</v>
      </c>
      <c r="E21" s="1626">
        <f>'Annex 5_MRD'!T135+'Annex 5_MRD'!T138</f>
        <v>28.5</v>
      </c>
      <c r="F21" s="1358">
        <v>0</v>
      </c>
      <c r="G21" s="1358">
        <v>0</v>
      </c>
      <c r="H21" s="1358">
        <v>0</v>
      </c>
      <c r="I21" s="1623">
        <f t="shared" si="7"/>
        <v>28.5</v>
      </c>
      <c r="J21" s="8"/>
      <c r="M21" s="1357" t="s">
        <v>976</v>
      </c>
      <c r="N21" s="1362" t="s">
        <v>607</v>
      </c>
      <c r="O21" s="1359">
        <f>'Annex 3_MAFF'!S492*1000</f>
        <v>705950</v>
      </c>
      <c r="P21" s="1359">
        <f>'Annex 3_MAFF'!S494*1000</f>
        <v>132000</v>
      </c>
      <c r="Q21" s="1359">
        <f>'Annex 3_MAFF'!S500*1000</f>
        <v>26000</v>
      </c>
      <c r="R21" s="1360"/>
      <c r="S21" s="1361">
        <f>SUM(O21:Q21)</f>
        <v>863950</v>
      </c>
      <c r="V21" s="1555" t="s">
        <v>977</v>
      </c>
      <c r="W21" s="1557" t="s">
        <v>978</v>
      </c>
      <c r="X21" s="1552"/>
      <c r="Y21" s="1552"/>
      <c r="Z21" s="1552"/>
      <c r="AA21" s="1605"/>
      <c r="AB21" s="1607">
        <f>'Annex 3_MAFF'!AK232</f>
        <v>427.15719999999999</v>
      </c>
      <c r="AC21" s="1548"/>
    </row>
    <row r="22" spans="3:29" ht="15.75" thickBot="1">
      <c r="C22" s="2425" t="s">
        <v>16</v>
      </c>
      <c r="D22" s="2426"/>
      <c r="E22" s="1627">
        <f>SUM(E17:E21)</f>
        <v>5004.0467214235114</v>
      </c>
      <c r="F22" s="1627">
        <f>SUM(F17:F21)</f>
        <v>800.21451825333702</v>
      </c>
      <c r="G22" s="1627">
        <f t="shared" ref="G22:H22" si="8">SUM(G17:G21)</f>
        <v>666.23576782315126</v>
      </c>
      <c r="H22" s="1627">
        <f t="shared" si="8"/>
        <v>23.435668</v>
      </c>
      <c r="I22" s="1628">
        <f>SUM(E22:H22)</f>
        <v>6493.9326754999993</v>
      </c>
      <c r="M22" s="1357" t="s">
        <v>977</v>
      </c>
      <c r="N22" s="1362" t="s">
        <v>978</v>
      </c>
      <c r="O22" s="1358"/>
      <c r="P22" s="1358"/>
      <c r="Q22" s="1358"/>
      <c r="R22" s="1360"/>
      <c r="S22" s="1363">
        <f>'Sum Annex3_Checking Tab19'!H39*1000-2</f>
        <v>427155.20000000001</v>
      </c>
      <c r="V22" s="1555" t="s">
        <v>979</v>
      </c>
      <c r="W22" s="1557" t="s">
        <v>445</v>
      </c>
      <c r="X22" s="1552"/>
      <c r="Y22" s="1552"/>
      <c r="Z22" s="1552"/>
      <c r="AA22" s="1605"/>
      <c r="AB22" s="1607">
        <f>'Annex 3_MAFF'!AK375</f>
        <v>208.54000000000002</v>
      </c>
      <c r="AC22" s="1548"/>
    </row>
    <row r="23" spans="3:29" ht="15">
      <c r="G23" s="1346" t="s">
        <v>965</v>
      </c>
      <c r="H23" s="1346"/>
      <c r="I23" s="1354">
        <f>SUM(I18:I21)</f>
        <v>165.65966800000001</v>
      </c>
      <c r="J23" s="8"/>
      <c r="M23" s="1357" t="s">
        <v>979</v>
      </c>
      <c r="N23" s="1362" t="s">
        <v>445</v>
      </c>
      <c r="O23" s="1358"/>
      <c r="P23" s="1358"/>
      <c r="Q23" s="1358"/>
      <c r="R23" s="1360"/>
      <c r="S23" s="1363">
        <f>'Sum Annex3_Checking Tab19'!H40*1000</f>
        <v>208540</v>
      </c>
      <c r="V23" s="1555" t="s">
        <v>980</v>
      </c>
      <c r="W23" s="1557" t="s">
        <v>981</v>
      </c>
      <c r="X23" s="1552">
        <f>'Annex 3_MAFF'!AL524</f>
        <v>524.72900000000004</v>
      </c>
      <c r="Y23" s="1552">
        <f>'Annex 3_MAFF'!AL526</f>
        <v>54.72</v>
      </c>
      <c r="Z23" s="1552" t="e">
        <f>'Annex 3_MAFF'!#REF!</f>
        <v>#REF!</v>
      </c>
      <c r="AA23" s="1605">
        <v>0</v>
      </c>
      <c r="AB23" s="1608" t="e">
        <f>SUM(X23:Z23)</f>
        <v>#REF!</v>
      </c>
      <c r="AC23" s="1548"/>
    </row>
    <row r="24" spans="3:29" ht="15">
      <c r="E24" s="8"/>
      <c r="F24" s="8"/>
      <c r="G24" s="8"/>
      <c r="H24" s="8"/>
      <c r="I24" s="1643">
        <f>SUM(I17:I21)</f>
        <v>6493.9326754999993</v>
      </c>
      <c r="M24" s="1357" t="s">
        <v>980</v>
      </c>
      <c r="N24" s="1362" t="s">
        <v>981</v>
      </c>
      <c r="O24" s="1359">
        <f>'Annex 3_MAFF'!S524*1000+1</f>
        <v>524730</v>
      </c>
      <c r="P24" s="1359">
        <f>'Annex 3_MAFF'!S526*1000</f>
        <v>54720</v>
      </c>
      <c r="Q24" s="1359">
        <f>'Annex 3_MAFF'!S530*1000</f>
        <v>33000</v>
      </c>
      <c r="R24" s="1360">
        <v>0</v>
      </c>
      <c r="S24" s="1364">
        <f>SUM(O24:Q24)</f>
        <v>612450</v>
      </c>
      <c r="V24" s="1555" t="s">
        <v>982</v>
      </c>
      <c r="W24" s="1557" t="s">
        <v>983</v>
      </c>
      <c r="X24" s="1552"/>
      <c r="Y24" s="1552"/>
      <c r="Z24" s="1552"/>
      <c r="AA24" s="1605"/>
      <c r="AB24" s="1607">
        <f>'Annex 3_MAFF'!AK454</f>
        <v>33.32</v>
      </c>
      <c r="AC24" s="1548"/>
    </row>
    <row r="25" spans="3:29" ht="15.75" thickBot="1">
      <c r="C25" t="s">
        <v>966</v>
      </c>
      <c r="D25" s="1323" t="s">
        <v>967</v>
      </c>
      <c r="J25" s="8">
        <f t="shared" ref="J25:J30" si="9">SUM(E17:H17)</f>
        <v>6328.273007499999</v>
      </c>
      <c r="M25" s="1357" t="s">
        <v>982</v>
      </c>
      <c r="N25" s="1362" t="s">
        <v>983</v>
      </c>
      <c r="O25" s="1358"/>
      <c r="P25" s="1358"/>
      <c r="Q25" s="1358"/>
      <c r="R25" s="1360"/>
      <c r="S25" s="1363">
        <v>33320</v>
      </c>
      <c r="V25" s="2441" t="s">
        <v>16</v>
      </c>
      <c r="W25" s="2442"/>
      <c r="X25" s="1609">
        <f>SUM(X19:X24)</f>
        <v>2056.8615</v>
      </c>
      <c r="Y25" s="1609">
        <f t="shared" ref="Y25:AB25" si="10">SUM(Y19:Y24)</f>
        <v>304.12</v>
      </c>
      <c r="Z25" s="1609" t="e">
        <f t="shared" si="10"/>
        <v>#REF!</v>
      </c>
      <c r="AA25" s="1609">
        <f t="shared" si="10"/>
        <v>111.34</v>
      </c>
      <c r="AB25" s="1609" t="e">
        <f t="shared" si="10"/>
        <v>#REF!</v>
      </c>
      <c r="AC25" s="1548"/>
    </row>
    <row r="26" spans="3:29" ht="27" thickTop="1" thickBot="1">
      <c r="C26" s="1413" t="s">
        <v>709</v>
      </c>
      <c r="D26" s="1414" t="s">
        <v>956</v>
      </c>
      <c r="E26" s="1414" t="s">
        <v>957</v>
      </c>
      <c r="F26" s="1414" t="s">
        <v>958</v>
      </c>
      <c r="G26" s="1414" t="s">
        <v>725</v>
      </c>
      <c r="H26" s="1414" t="s">
        <v>959</v>
      </c>
      <c r="I26" s="1415" t="s">
        <v>16</v>
      </c>
      <c r="J26" s="8">
        <f t="shared" si="9"/>
        <v>23.435668</v>
      </c>
      <c r="M26" s="2430" t="s">
        <v>16</v>
      </c>
      <c r="N26" s="2431"/>
      <c r="O26" s="1369">
        <f>SUM(O20:O25)</f>
        <v>2056865.5</v>
      </c>
      <c r="P26" s="1369">
        <f t="shared" ref="P26:Q26" si="11">SUM(P20:P25)</f>
        <v>304120</v>
      </c>
      <c r="Q26" s="1369">
        <f t="shared" si="11"/>
        <v>164353.88</v>
      </c>
      <c r="R26" s="1365">
        <f>SUM(R20:R25)</f>
        <v>111340</v>
      </c>
      <c r="S26" s="1368">
        <f>SUM(S20:S25)</f>
        <v>3305694.58</v>
      </c>
      <c r="AC26" s="1548"/>
    </row>
    <row r="27" spans="3:29" ht="13.5" thickTop="1">
      <c r="C27" s="1416">
        <v>1</v>
      </c>
      <c r="D27" s="1356" t="s">
        <v>969</v>
      </c>
      <c r="E27" s="1359">
        <v>2272950</v>
      </c>
      <c r="F27" s="1359">
        <v>374110</v>
      </c>
      <c r="G27" s="1359">
        <v>311470</v>
      </c>
      <c r="H27" s="1358">
        <v>0</v>
      </c>
      <c r="I27" s="1629">
        <f>SUM(E27:H27)</f>
        <v>2958530</v>
      </c>
      <c r="J27" s="8">
        <f t="shared" si="9"/>
        <v>35.099999999999994</v>
      </c>
      <c r="O27" s="1347"/>
      <c r="P27" s="1347"/>
      <c r="Q27" s="1347"/>
      <c r="R27" s="1347">
        <f>SUM(R20:R25)</f>
        <v>111340</v>
      </c>
    </row>
    <row r="28" spans="3:29">
      <c r="C28" s="1416" t="s">
        <v>724</v>
      </c>
      <c r="D28" s="1356" t="s">
        <v>405</v>
      </c>
      <c r="E28" s="1358">
        <v>0</v>
      </c>
      <c r="F28" s="1358">
        <v>0</v>
      </c>
      <c r="G28" s="1358">
        <v>0</v>
      </c>
      <c r="H28" s="1359">
        <v>18240</v>
      </c>
      <c r="I28" s="1629">
        <f t="shared" ref="I28:I31" si="12">SUM(E28:H28)</f>
        <v>18240</v>
      </c>
      <c r="J28" s="8">
        <f t="shared" si="9"/>
        <v>78.624000000000009</v>
      </c>
      <c r="S28" s="8">
        <f>S26+O14</f>
        <v>4275330.58</v>
      </c>
    </row>
    <row r="29" spans="3:29" ht="14.1" customHeight="1">
      <c r="C29" s="1416"/>
      <c r="D29" s="1356" t="s">
        <v>379</v>
      </c>
      <c r="E29" s="1359">
        <v>42000</v>
      </c>
      <c r="F29" s="1358">
        <v>0</v>
      </c>
      <c r="G29" s="1358">
        <v>0</v>
      </c>
      <c r="H29" s="1358">
        <v>0</v>
      </c>
      <c r="I29" s="1629">
        <f t="shared" si="12"/>
        <v>42000</v>
      </c>
      <c r="J29" s="8">
        <f t="shared" si="9"/>
        <v>28.5</v>
      </c>
      <c r="M29" s="1349"/>
      <c r="N29" s="1710"/>
      <c r="O29" s="1711"/>
      <c r="P29" s="1711"/>
      <c r="Q29" s="1711"/>
      <c r="R29" s="1712"/>
    </row>
    <row r="30" spans="3:29" ht="15">
      <c r="C30" s="1416"/>
      <c r="D30" s="1356" t="s">
        <v>963</v>
      </c>
      <c r="E30" s="1359">
        <v>25700</v>
      </c>
      <c r="F30" s="1358">
        <v>0</v>
      </c>
      <c r="G30" s="1358">
        <v>0</v>
      </c>
      <c r="H30" s="1358">
        <v>0</v>
      </c>
      <c r="I30" s="1629">
        <f t="shared" si="12"/>
        <v>25700</v>
      </c>
      <c r="J30" s="8">
        <f t="shared" si="9"/>
        <v>6493.9326754999993</v>
      </c>
      <c r="M30" s="1349"/>
      <c r="N30" s="1710"/>
      <c r="O30" s="1711"/>
      <c r="P30" s="1711"/>
      <c r="Q30" s="1711"/>
      <c r="R30" s="1712"/>
    </row>
    <row r="31" spans="3:29" ht="15">
      <c r="C31" s="1416"/>
      <c r="D31" s="1356" t="s">
        <v>964</v>
      </c>
      <c r="E31" s="1359">
        <v>10500</v>
      </c>
      <c r="F31" s="1358">
        <v>0</v>
      </c>
      <c r="G31" s="1358">
        <v>0</v>
      </c>
      <c r="H31" s="1358">
        <v>0</v>
      </c>
      <c r="I31" s="1629">
        <f t="shared" si="12"/>
        <v>10500</v>
      </c>
      <c r="M31" s="1349"/>
      <c r="N31" s="1710"/>
      <c r="O31" s="1353"/>
      <c r="P31" s="1353"/>
      <c r="Q31" s="1353"/>
      <c r="R31" s="1712"/>
      <c r="S31" s="7"/>
    </row>
    <row r="32" spans="3:29" ht="15.75" thickBot="1">
      <c r="C32" s="2425" t="s">
        <v>16</v>
      </c>
      <c r="D32" s="2426"/>
      <c r="E32" s="1630">
        <f>SUM(E27:E31)</f>
        <v>2351150</v>
      </c>
      <c r="F32" s="1630">
        <f>SUM(F27:F31)</f>
        <v>374110</v>
      </c>
      <c r="G32" s="1630">
        <f t="shared" ref="G32:H32" si="13">SUM(G27:G31)</f>
        <v>311470</v>
      </c>
      <c r="H32" s="1630">
        <f t="shared" si="13"/>
        <v>18240</v>
      </c>
      <c r="I32" s="1631">
        <f>SUM(E32:H32)</f>
        <v>3054970</v>
      </c>
      <c r="J32" s="8">
        <f>SUM(J25:J29)</f>
        <v>6493.9326754999993</v>
      </c>
      <c r="M32" s="1349"/>
      <c r="N32" s="1710"/>
      <c r="O32" s="1353"/>
      <c r="P32" s="1353"/>
      <c r="Q32" s="1353"/>
      <c r="R32" s="1712"/>
      <c r="S32" s="7"/>
    </row>
    <row r="33" spans="13:19" ht="15">
      <c r="M33" s="1349"/>
      <c r="N33" s="1710"/>
      <c r="O33" s="1711"/>
      <c r="P33" s="1711"/>
      <c r="Q33" s="1711"/>
      <c r="R33" s="1712"/>
      <c r="S33" s="7"/>
    </row>
    <row r="34" spans="13:19" ht="15">
      <c r="M34" s="1349"/>
      <c r="N34" s="1710"/>
      <c r="O34" s="1353"/>
      <c r="P34" s="1353"/>
      <c r="Q34" s="1353"/>
      <c r="R34" s="1712"/>
      <c r="S34" s="7"/>
    </row>
    <row r="35" spans="13:19" ht="15">
      <c r="M35" s="1353"/>
      <c r="N35" s="1710"/>
      <c r="O35" s="1713"/>
      <c r="P35" s="1713"/>
      <c r="Q35" s="1713"/>
      <c r="R35" s="1712"/>
      <c r="S35" s="1348"/>
    </row>
    <row r="36" spans="13:19">
      <c r="M36" s="7"/>
      <c r="N36" s="1349"/>
      <c r="O36" s="1350"/>
      <c r="P36" s="1350"/>
      <c r="Q36" s="1350"/>
      <c r="R36" s="1351"/>
      <c r="S36" s="1348"/>
    </row>
    <row r="37" spans="13:19" ht="21.6" customHeight="1">
      <c r="M37" s="7"/>
      <c r="N37" s="1349"/>
      <c r="O37" s="1350"/>
      <c r="P37" s="1350"/>
      <c r="Q37" s="1350"/>
      <c r="R37" s="1350"/>
      <c r="S37" s="1348"/>
    </row>
    <row r="38" spans="13:19">
      <c r="N38" s="1349"/>
      <c r="O38" s="1350"/>
      <c r="P38" s="1352"/>
      <c r="Q38" s="1352"/>
      <c r="R38" s="1351"/>
      <c r="S38" s="1348"/>
    </row>
    <row r="39" spans="13:19">
      <c r="N39" s="1349"/>
      <c r="O39" s="1350"/>
      <c r="P39" s="1350"/>
      <c r="Q39" s="1350"/>
      <c r="R39" s="1351"/>
      <c r="S39" s="1348"/>
    </row>
    <row r="40" spans="13:19">
      <c r="N40" s="1349"/>
      <c r="O40" s="1350"/>
      <c r="P40" s="1352"/>
      <c r="Q40" s="1352"/>
      <c r="R40" s="1351"/>
      <c r="S40" s="1348"/>
    </row>
    <row r="41" spans="13:19">
      <c r="N41" s="1349"/>
      <c r="O41" s="1350"/>
      <c r="P41" s="1352"/>
      <c r="Q41" s="1352"/>
      <c r="R41" s="1351"/>
      <c r="S41" s="1348"/>
    </row>
    <row r="42" spans="13:19">
      <c r="N42" s="1349"/>
      <c r="O42" s="1350"/>
      <c r="P42" s="1352"/>
      <c r="Q42" s="1352"/>
      <c r="R42" s="1351"/>
      <c r="S42" s="1348"/>
    </row>
    <row r="43" spans="13:19">
      <c r="N43" s="1353"/>
      <c r="O43" s="1350"/>
      <c r="P43" s="1350"/>
      <c r="Q43" s="1350"/>
      <c r="R43" s="1350"/>
      <c r="S43" s="1348"/>
    </row>
    <row r="44" spans="13:19">
      <c r="N44" s="7"/>
      <c r="O44" s="7"/>
      <c r="P44" s="7"/>
      <c r="Q44" s="7"/>
      <c r="R44" s="7"/>
      <c r="S44" s="7"/>
    </row>
    <row r="45" spans="13:19">
      <c r="N45" s="7"/>
      <c r="O45" s="1348"/>
      <c r="P45" s="1348"/>
      <c r="Q45" s="1348"/>
      <c r="R45" s="1348"/>
      <c r="S45" s="7"/>
    </row>
    <row r="46" spans="13:19">
      <c r="N46" s="7"/>
      <c r="O46" s="7"/>
      <c r="P46" s="7"/>
      <c r="Q46" s="7"/>
      <c r="R46" s="7"/>
      <c r="S46" s="7"/>
    </row>
  </sheetData>
  <mergeCells count="13">
    <mergeCell ref="V4:V5"/>
    <mergeCell ref="W4:Z4"/>
    <mergeCell ref="V25:W25"/>
    <mergeCell ref="X17:AB17"/>
    <mergeCell ref="C22:D22"/>
    <mergeCell ref="C32:D32"/>
    <mergeCell ref="O18:S18"/>
    <mergeCell ref="M26:N26"/>
    <mergeCell ref="N4:N5"/>
    <mergeCell ref="O4:R4"/>
    <mergeCell ref="C7:C10"/>
    <mergeCell ref="C18:C21"/>
    <mergeCell ref="M18:N19"/>
  </mergeCells>
  <pageMargins left="0.7" right="0.7" top="0.5" bottom="0.5" header="0.3" footer="0.3"/>
  <pageSetup paperSize="9" scale="130" orientation="landscape" horizontalDpi="4294967292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AN46"/>
  <sheetViews>
    <sheetView topLeftCell="Q8" zoomScale="75" zoomScaleNormal="75" workbookViewId="0">
      <selection activeCell="AO19" sqref="AO19"/>
    </sheetView>
  </sheetViews>
  <sheetFormatPr defaultRowHeight="12.75" outlineLevelCol="1"/>
  <cols>
    <col min="1" max="1" width="1.28515625" customWidth="1"/>
    <col min="2" max="2" width="1" customWidth="1"/>
    <col min="4" max="4" width="31.7109375" customWidth="1"/>
    <col min="5" max="5" width="13.42578125" customWidth="1"/>
    <col min="6" max="6" width="12.28515625" customWidth="1"/>
    <col min="7" max="7" width="12" customWidth="1"/>
    <col min="8" max="8" width="11.28515625" customWidth="1"/>
    <col min="9" max="9" width="15.140625" customWidth="1"/>
    <col min="10" max="10" width="16.140625" hidden="1" customWidth="1"/>
    <col min="11" max="11" width="1.85546875" customWidth="1"/>
    <col min="12" max="14" width="1.28515625" customWidth="1"/>
    <col min="15" max="15" width="12.85546875" customWidth="1"/>
    <col min="16" max="16" width="10.42578125" customWidth="1"/>
    <col min="17" max="17" width="9.140625" customWidth="1" outlineLevel="1"/>
    <col min="18" max="18" width="27.28515625" customWidth="1" outlineLevel="1"/>
    <col min="19" max="19" width="14.140625" customWidth="1" outlineLevel="1"/>
    <col min="20" max="20" width="15.140625" customWidth="1" outlineLevel="1"/>
    <col min="21" max="21" width="12" customWidth="1" outlineLevel="1"/>
    <col min="22" max="22" width="14.85546875" customWidth="1" outlineLevel="1"/>
    <col min="23" max="23" width="15.42578125" customWidth="1" outlineLevel="1"/>
    <col min="24" max="24" width="1.7109375" customWidth="1"/>
    <col min="26" max="26" width="15.85546875" hidden="1" customWidth="1"/>
    <col min="27" max="27" width="18.5703125" hidden="1" customWidth="1"/>
    <col min="28" max="28" width="13.5703125" hidden="1" customWidth="1"/>
    <col min="29" max="29" width="13.28515625" hidden="1" customWidth="1"/>
    <col min="30" max="30" width="14.85546875" hidden="1" customWidth="1"/>
    <col min="31" max="31" width="13.140625" hidden="1" customWidth="1"/>
    <col min="32" max="32" width="14.140625" hidden="1" customWidth="1"/>
    <col min="33" max="33" width="0" hidden="1" customWidth="1"/>
    <col min="34" max="34" width="19.140625" customWidth="1"/>
    <col min="35" max="35" width="14.42578125" customWidth="1"/>
    <col min="36" max="36" width="14.85546875" customWidth="1"/>
    <col min="37" max="38" width="14.140625" customWidth="1"/>
    <col min="39" max="39" width="12" customWidth="1"/>
    <col min="40" max="40" width="12.7109375" customWidth="1"/>
  </cols>
  <sheetData>
    <row r="2" spans="3:39" ht="15">
      <c r="C2" t="s">
        <v>955</v>
      </c>
      <c r="D2" s="1323" t="s">
        <v>985</v>
      </c>
      <c r="R2" s="6" t="s">
        <v>1097</v>
      </c>
      <c r="T2">
        <v>1000</v>
      </c>
      <c r="AH2" s="2407" t="s">
        <v>1120</v>
      </c>
      <c r="AI2" s="2407"/>
      <c r="AJ2" s="2407"/>
      <c r="AK2" s="2407"/>
      <c r="AL2" s="2407"/>
      <c r="AM2" s="2407"/>
    </row>
    <row r="3" spans="3:39" ht="13.5" thickBot="1">
      <c r="Z3" t="s">
        <v>955</v>
      </c>
    </row>
    <row r="4" spans="3:39" ht="29.25" thickTop="1">
      <c r="C4" s="1406" t="s">
        <v>709</v>
      </c>
      <c r="D4" s="1407" t="s">
        <v>956</v>
      </c>
      <c r="E4" s="1407" t="s">
        <v>957</v>
      </c>
      <c r="F4" s="1407" t="s">
        <v>958</v>
      </c>
      <c r="G4" s="1407" t="s">
        <v>725</v>
      </c>
      <c r="H4" s="1407" t="s">
        <v>959</v>
      </c>
      <c r="I4" s="1408" t="s">
        <v>16</v>
      </c>
      <c r="J4" s="1335" t="s">
        <v>960</v>
      </c>
      <c r="R4" s="2432" t="s">
        <v>591</v>
      </c>
      <c r="S4" s="2434" t="s">
        <v>592</v>
      </c>
      <c r="T4" s="2434"/>
      <c r="U4" s="2434"/>
      <c r="V4" s="2435"/>
      <c r="Z4" s="2439" t="s">
        <v>591</v>
      </c>
      <c r="AA4" s="2440" t="s">
        <v>592</v>
      </c>
      <c r="AB4" s="2440"/>
      <c r="AC4" s="2440"/>
      <c r="AD4" s="2440"/>
      <c r="AE4" s="1548"/>
      <c r="AF4" s="1548"/>
      <c r="AG4" s="1548"/>
      <c r="AH4" s="2432" t="s">
        <v>591</v>
      </c>
      <c r="AI4" s="2434" t="s">
        <v>592</v>
      </c>
      <c r="AJ4" s="2434"/>
      <c r="AK4" s="2434"/>
      <c r="AL4" s="2435"/>
      <c r="AM4" s="2447" t="s">
        <v>1103</v>
      </c>
    </row>
    <row r="5" spans="3:39" ht="14.25">
      <c r="C5" s="1705">
        <v>1</v>
      </c>
      <c r="D5" s="1410" t="s">
        <v>961</v>
      </c>
      <c r="E5" s="1615">
        <f>'Annex 4_MoWRAM'!AD55</f>
        <v>6895.4543237746748</v>
      </c>
      <c r="F5" s="1615">
        <f>'Annex 4_MoWRAM'!AE55</f>
        <v>1134.9329204298203</v>
      </c>
      <c r="G5" s="1615" t="e">
        <f>'Annex 4_MoWRAM'!AF55-'Annex 4_MoWRAM'!#REF!</f>
        <v>#REF!</v>
      </c>
      <c r="H5" s="1615">
        <f>'Annex 4_MoWRAM'!AG55</f>
        <v>0</v>
      </c>
      <c r="I5" s="1616" t="e">
        <f>SUM(E5:H5)</f>
        <v>#REF!</v>
      </c>
      <c r="J5" s="1336" t="e">
        <f>I5/$I$11*100</f>
        <v>#REF!</v>
      </c>
      <c r="R5" s="2433"/>
      <c r="S5" s="1358" t="s">
        <v>15</v>
      </c>
      <c r="T5" s="1358" t="s">
        <v>197</v>
      </c>
      <c r="U5" s="1358" t="s">
        <v>190</v>
      </c>
      <c r="V5" s="1399" t="s">
        <v>11</v>
      </c>
      <c r="Z5" s="2439"/>
      <c r="AA5" s="1700" t="s">
        <v>15</v>
      </c>
      <c r="AB5" s="1700" t="s">
        <v>197</v>
      </c>
      <c r="AC5" s="1700" t="s">
        <v>190</v>
      </c>
      <c r="AD5" s="1700" t="s">
        <v>11</v>
      </c>
      <c r="AE5" s="1548"/>
      <c r="AF5" s="1548"/>
      <c r="AG5" s="1548"/>
      <c r="AH5" s="2433"/>
      <c r="AI5" s="1358" t="s">
        <v>15</v>
      </c>
      <c r="AJ5" s="1358" t="s">
        <v>197</v>
      </c>
      <c r="AK5" s="1358" t="s">
        <v>190</v>
      </c>
      <c r="AL5" s="1399" t="s">
        <v>11</v>
      </c>
      <c r="AM5" s="2447"/>
    </row>
    <row r="6" spans="3:39" ht="15.75" thickBot="1">
      <c r="C6" s="1705">
        <v>2</v>
      </c>
      <c r="D6" s="1410" t="s">
        <v>962</v>
      </c>
      <c r="E6" s="1617"/>
      <c r="F6" s="1617"/>
      <c r="G6" s="1615" t="e">
        <f>'Annex 4_MoWRAM'!#REF!</f>
        <v>#REF!</v>
      </c>
      <c r="H6" s="1617"/>
      <c r="I6" s="1616" t="e">
        <f t="shared" ref="I6:I10" si="0">SUM(E6:H6)</f>
        <v>#REF!</v>
      </c>
      <c r="J6" s="1336" t="e">
        <f t="shared" ref="J6:J11" si="1">I6/$I$11*100</f>
        <v>#REF!</v>
      </c>
      <c r="K6" s="1337"/>
      <c r="L6" s="1337"/>
      <c r="M6" s="1337"/>
      <c r="N6" s="1337"/>
      <c r="O6" s="1337"/>
      <c r="P6" s="1337"/>
      <c r="Q6" s="1338"/>
      <c r="R6" s="1357" t="s">
        <v>593</v>
      </c>
      <c r="S6" s="1400">
        <f>'Sum Annex3_Checking Tab19'!H32*T2</f>
        <v>96600</v>
      </c>
      <c r="T6" s="1400">
        <f>H7*$T$2</f>
        <v>198240</v>
      </c>
      <c r="U6" s="1400">
        <f>I18*T2</f>
        <v>23435.668000000001</v>
      </c>
      <c r="V6" s="1401">
        <f>SUM(S6:U6)</f>
        <v>318275.66800000001</v>
      </c>
      <c r="W6" s="8"/>
      <c r="Z6" s="1699" t="s">
        <v>593</v>
      </c>
      <c r="AA6" s="1551" t="e">
        <f>'Annex 3_MAFF'!AK389</f>
        <v>#REF!</v>
      </c>
      <c r="AB6" s="1552"/>
      <c r="AC6" s="1558">
        <f>H18*T2</f>
        <v>23435.668000000001</v>
      </c>
      <c r="AD6" s="1552"/>
      <c r="AE6" s="1548"/>
      <c r="AF6" s="1548"/>
      <c r="AG6" s="1548"/>
      <c r="AH6" s="1828" t="s">
        <v>593</v>
      </c>
      <c r="AI6" s="1895">
        <v>96600</v>
      </c>
      <c r="AJ6" s="1895">
        <v>198240</v>
      </c>
      <c r="AK6" s="1895">
        <v>23436</v>
      </c>
      <c r="AL6" s="1896">
        <f>SUM(AI6:AK6)</f>
        <v>318276</v>
      </c>
      <c r="AM6" s="1827">
        <f>SUM(AI6:AK6)</f>
        <v>318276</v>
      </c>
    </row>
    <row r="7" spans="3:39" ht="15.75" thickBot="1">
      <c r="C7" s="2436" t="s">
        <v>724</v>
      </c>
      <c r="D7" s="1410" t="s">
        <v>405</v>
      </c>
      <c r="E7" s="1617"/>
      <c r="F7" s="1617"/>
      <c r="G7" s="1617"/>
      <c r="H7" s="1615">
        <f>'Annex 4_MoWRAM'!AG70+'Annex 4_MoWRAM'!AG77</f>
        <v>198.24</v>
      </c>
      <c r="I7" s="1616">
        <f t="shared" si="0"/>
        <v>198.24</v>
      </c>
      <c r="J7" s="1336" t="e">
        <f t="shared" si="1"/>
        <v>#REF!</v>
      </c>
      <c r="K7" s="1337"/>
      <c r="L7" s="1337"/>
      <c r="M7" s="1337"/>
      <c r="N7" s="1337"/>
      <c r="O7" s="1337"/>
      <c r="P7" s="1337"/>
      <c r="Q7" s="1338"/>
      <c r="R7" s="1357" t="s">
        <v>594</v>
      </c>
      <c r="S7" s="1400">
        <f>'Sum Annex3_Checking Tab19'!H35*T2-17880-2800-2500</f>
        <v>371760</v>
      </c>
      <c r="T7" s="1400">
        <f>I10*$T$2</f>
        <v>41539.999999999993</v>
      </c>
      <c r="U7" s="1400">
        <f>I21*T2</f>
        <v>28500</v>
      </c>
      <c r="V7" s="1401">
        <f t="shared" ref="V7:V13" si="2">SUM(S7:U7)</f>
        <v>441800</v>
      </c>
      <c r="W7" s="8"/>
      <c r="Z7" s="1699" t="s">
        <v>594</v>
      </c>
      <c r="AA7" s="1551">
        <f>'Annex 3_MAFF'!AK401</f>
        <v>74.760000000000005</v>
      </c>
      <c r="AB7" s="1552"/>
      <c r="AC7" s="1558">
        <f>E21*T2</f>
        <v>28500</v>
      </c>
      <c r="AD7" s="1552"/>
      <c r="AE7" s="1548"/>
      <c r="AF7" s="1548"/>
      <c r="AG7" s="1548"/>
      <c r="AH7" s="1828" t="s">
        <v>594</v>
      </c>
      <c r="AI7" s="1895">
        <v>371760</v>
      </c>
      <c r="AJ7" s="1895">
        <v>41540</v>
      </c>
      <c r="AK7" s="1895">
        <v>28500</v>
      </c>
      <c r="AL7" s="1896">
        <f t="shared" ref="AL7:AL13" si="3">SUM(AI7:AK7)</f>
        <v>441800</v>
      </c>
      <c r="AM7" s="1827">
        <f t="shared" ref="AM7:AM13" si="4">SUM(AI7:AK7)</f>
        <v>441800</v>
      </c>
    </row>
    <row r="8" spans="3:39" ht="29.25" customHeight="1" thickBot="1">
      <c r="C8" s="2436"/>
      <c r="D8" s="1410" t="s">
        <v>379</v>
      </c>
      <c r="E8" s="1615">
        <f>SUM('Annex 4_MoWRAM'!AD80:AD81,'Annex 4_MoWRAM'!AD84:AD85)</f>
        <v>24.6</v>
      </c>
      <c r="F8" s="1617"/>
      <c r="G8" s="1617"/>
      <c r="H8" s="1617"/>
      <c r="I8" s="1616">
        <f t="shared" si="0"/>
        <v>24.6</v>
      </c>
      <c r="J8" s="1336" t="e">
        <f t="shared" si="1"/>
        <v>#REF!</v>
      </c>
      <c r="K8" s="1338"/>
      <c r="L8" s="1338"/>
      <c r="M8" s="1338"/>
      <c r="N8" s="1338"/>
      <c r="O8" s="1338"/>
      <c r="P8" s="1338"/>
      <c r="Q8" s="1338"/>
      <c r="R8" s="1357" t="s">
        <v>595</v>
      </c>
      <c r="S8" s="1400">
        <f>'Sum Annex3_Checking Tab19'!H33*T2</f>
        <v>239440</v>
      </c>
      <c r="T8" s="1400">
        <f>I8*$T$2</f>
        <v>24600</v>
      </c>
      <c r="U8" s="1400">
        <f>I19*T2</f>
        <v>35099.999999999993</v>
      </c>
      <c r="V8" s="1401">
        <f t="shared" si="2"/>
        <v>299140</v>
      </c>
      <c r="W8" s="8"/>
      <c r="Z8" s="1699" t="s">
        <v>595</v>
      </c>
      <c r="AA8" s="1551">
        <f>'Annex 3_MAFF'!AK395</f>
        <v>124.24000000000001</v>
      </c>
      <c r="AB8" s="1552"/>
      <c r="AC8" s="1558">
        <f>E19*T2</f>
        <v>35099.999999999993</v>
      </c>
      <c r="AD8" s="1552"/>
      <c r="AE8" s="1548"/>
      <c r="AF8" s="1548"/>
      <c r="AG8" s="1548"/>
      <c r="AH8" s="1828" t="s">
        <v>595</v>
      </c>
      <c r="AI8" s="1895">
        <v>239440</v>
      </c>
      <c r="AJ8" s="1895">
        <v>24600</v>
      </c>
      <c r="AK8" s="1895">
        <v>35100</v>
      </c>
      <c r="AL8" s="1896">
        <f t="shared" si="3"/>
        <v>299140</v>
      </c>
      <c r="AM8" s="1827">
        <f t="shared" si="4"/>
        <v>299140</v>
      </c>
    </row>
    <row r="9" spans="3:39" ht="18" customHeight="1" thickBot="1">
      <c r="C9" s="2436"/>
      <c r="D9" s="1410" t="s">
        <v>963</v>
      </c>
      <c r="E9" s="1615">
        <f>'Annex 4_MoWRAM'!AD74</f>
        <v>12.24</v>
      </c>
      <c r="F9" s="1617"/>
      <c r="G9" s="1617"/>
      <c r="H9" s="1617"/>
      <c r="I9" s="1616">
        <f t="shared" si="0"/>
        <v>12.24</v>
      </c>
      <c r="J9" s="1336" t="e">
        <f t="shared" si="1"/>
        <v>#REF!</v>
      </c>
      <c r="K9" s="1337"/>
      <c r="L9" s="1337"/>
      <c r="M9" s="1337"/>
      <c r="N9" s="1337"/>
      <c r="O9" s="1337"/>
      <c r="P9" s="1337"/>
      <c r="Q9" s="1338"/>
      <c r="R9" s="1357" t="s">
        <v>596</v>
      </c>
      <c r="S9" s="1400">
        <f>'[10]Annex 2'!Y255*1000</f>
        <v>2500</v>
      </c>
      <c r="T9" s="1400">
        <v>0</v>
      </c>
      <c r="U9" s="1402">
        <v>0</v>
      </c>
      <c r="V9" s="1401">
        <f t="shared" si="2"/>
        <v>2500</v>
      </c>
      <c r="W9" s="8"/>
      <c r="Z9" s="1699" t="s">
        <v>596</v>
      </c>
      <c r="AA9" s="1551">
        <f>'Annex 3_MAFF'!AK402</f>
        <v>2.5</v>
      </c>
      <c r="AB9" s="1552"/>
      <c r="AC9" s="1558"/>
      <c r="AD9" s="1552"/>
      <c r="AE9" s="1548"/>
      <c r="AF9" s="1548"/>
      <c r="AG9" s="1548"/>
      <c r="AH9" s="1828" t="s">
        <v>596</v>
      </c>
      <c r="AI9" s="1895">
        <v>2500</v>
      </c>
      <c r="AJ9" s="1897">
        <v>0</v>
      </c>
      <c r="AK9" s="1897">
        <v>0</v>
      </c>
      <c r="AL9" s="1896">
        <f t="shared" si="3"/>
        <v>2500</v>
      </c>
      <c r="AM9" s="1827">
        <f t="shared" si="4"/>
        <v>2500</v>
      </c>
    </row>
    <row r="10" spans="3:39" ht="15.75" thickBot="1">
      <c r="C10" s="2436"/>
      <c r="D10" s="1410" t="s">
        <v>964</v>
      </c>
      <c r="E10" s="1615">
        <f>'Annex 4_MoWRAM'!AD73+'Annex 4_MoWRAM'!AD75+'Annex 4_MoWRAM'!AD82+'Annex 4_MoWRAM'!AD86</f>
        <v>33.599999999999994</v>
      </c>
      <c r="F10" s="1617"/>
      <c r="G10" s="1617"/>
      <c r="H10" s="1615">
        <f>'Annex 4_MoWRAM'!AG76</f>
        <v>7.94</v>
      </c>
      <c r="I10" s="1616">
        <f t="shared" si="0"/>
        <v>41.539999999999992</v>
      </c>
      <c r="J10" s="1336" t="e">
        <f t="shared" si="1"/>
        <v>#REF!</v>
      </c>
      <c r="K10" s="1337"/>
      <c r="L10" s="1337"/>
      <c r="M10" s="1337"/>
      <c r="N10" s="1337"/>
      <c r="O10" s="1337"/>
      <c r="P10" s="1337"/>
      <c r="Q10" s="1338"/>
      <c r="R10" s="1357" t="s">
        <v>597</v>
      </c>
      <c r="S10" s="1400">
        <f>'Sum Annex3_Checking Tab19'!H34*T2</f>
        <v>238656</v>
      </c>
      <c r="T10" s="1400">
        <f>I9*$T$2</f>
        <v>12240</v>
      </c>
      <c r="U10" s="1400">
        <f>I20*T2</f>
        <v>78624.000000000015</v>
      </c>
      <c r="V10" s="1401">
        <f t="shared" si="2"/>
        <v>329520</v>
      </c>
      <c r="W10" s="8"/>
      <c r="Z10" s="1699" t="s">
        <v>597</v>
      </c>
      <c r="AA10" s="1551">
        <f>'Annex 3_MAFF'!AK399</f>
        <v>238.65600000000001</v>
      </c>
      <c r="AB10" s="1552"/>
      <c r="AC10" s="1558">
        <f>E20*T2</f>
        <v>78624.000000000015</v>
      </c>
      <c r="AD10" s="1552"/>
      <c r="AE10" s="1548"/>
      <c r="AF10" s="1548"/>
      <c r="AG10" s="1548"/>
      <c r="AH10" s="1828" t="s">
        <v>597</v>
      </c>
      <c r="AI10" s="1895">
        <v>238656</v>
      </c>
      <c r="AJ10" s="1895">
        <v>12240</v>
      </c>
      <c r="AK10" s="1895">
        <v>78624</v>
      </c>
      <c r="AL10" s="1896">
        <f t="shared" si="3"/>
        <v>329520</v>
      </c>
      <c r="AM10" s="1827">
        <f t="shared" si="4"/>
        <v>329520</v>
      </c>
    </row>
    <row r="11" spans="3:39" ht="15.75" thickBot="1">
      <c r="C11" s="1411"/>
      <c r="D11" s="1412" t="s">
        <v>11</v>
      </c>
      <c r="E11" s="1618">
        <f>SUM(E5:E10)</f>
        <v>6965.8943237746753</v>
      </c>
      <c r="F11" s="1618">
        <f t="shared" ref="F11:I11" si="5">SUM(F5:F10)</f>
        <v>1134.9329204298203</v>
      </c>
      <c r="G11" s="1618" t="e">
        <f t="shared" si="5"/>
        <v>#REF!</v>
      </c>
      <c r="H11" s="1618">
        <f t="shared" si="5"/>
        <v>206.18</v>
      </c>
      <c r="I11" s="1619" t="e">
        <f t="shared" si="5"/>
        <v>#REF!</v>
      </c>
      <c r="J11" s="1336" t="e">
        <f t="shared" si="1"/>
        <v>#REF!</v>
      </c>
      <c r="K11" s="1338"/>
      <c r="L11" s="1338"/>
      <c r="M11" s="1338"/>
      <c r="N11" s="1338"/>
      <c r="O11" s="1338"/>
      <c r="P11" s="1338"/>
      <c r="Q11" s="1338"/>
      <c r="R11" s="1357" t="s">
        <v>598</v>
      </c>
      <c r="S11" s="1400">
        <f>2880+15000</f>
        <v>17880</v>
      </c>
      <c r="T11" s="1400">
        <f t="shared" ref="T11:T13" si="6">H12*$T$2</f>
        <v>0</v>
      </c>
      <c r="U11" s="1402">
        <v>0</v>
      </c>
      <c r="V11" s="1401">
        <f t="shared" si="2"/>
        <v>17880</v>
      </c>
      <c r="W11" s="8"/>
      <c r="Z11" s="1699" t="s">
        <v>598</v>
      </c>
      <c r="AA11" s="1551">
        <f>'Annex 3_MAFF'!AK397</f>
        <v>2.88</v>
      </c>
      <c r="AB11" s="1552"/>
      <c r="AC11" s="1558">
        <v>0</v>
      </c>
      <c r="AD11" s="1552"/>
      <c r="AE11" s="1548"/>
      <c r="AF11" s="1548"/>
      <c r="AG11" s="1548"/>
      <c r="AH11" s="1828" t="s">
        <v>598</v>
      </c>
      <c r="AI11" s="1895">
        <v>17880</v>
      </c>
      <c r="AJ11" s="1897">
        <v>0</v>
      </c>
      <c r="AK11" s="1897">
        <v>0</v>
      </c>
      <c r="AL11" s="1896">
        <f t="shared" si="3"/>
        <v>17880</v>
      </c>
      <c r="AM11" s="1827">
        <f t="shared" si="4"/>
        <v>17880</v>
      </c>
    </row>
    <row r="12" spans="3:39" ht="15.75" thickBot="1">
      <c r="D12" s="1339"/>
      <c r="E12" s="1340"/>
      <c r="F12" s="1341"/>
      <c r="G12" s="1341"/>
      <c r="H12" s="1341"/>
      <c r="I12" s="1342"/>
      <c r="J12" s="1339"/>
      <c r="K12" s="1339"/>
      <c r="L12" s="1341"/>
      <c r="M12" s="1341"/>
      <c r="N12" s="1341"/>
      <c r="O12" s="1341"/>
      <c r="P12" s="1341"/>
      <c r="Q12" s="1341"/>
      <c r="R12" s="1357" t="s">
        <v>599</v>
      </c>
      <c r="S12" s="1400">
        <v>2800</v>
      </c>
      <c r="T12" s="1400">
        <f t="shared" si="6"/>
        <v>0</v>
      </c>
      <c r="U12" s="1402">
        <v>0</v>
      </c>
      <c r="V12" s="1401">
        <f t="shared" si="2"/>
        <v>2800</v>
      </c>
      <c r="W12" s="8"/>
      <c r="Z12" s="1699" t="s">
        <v>599</v>
      </c>
      <c r="AA12" s="1551">
        <f>'Annex 3_MAFF'!AK392</f>
        <v>2.8000000000000003</v>
      </c>
      <c r="AB12" s="1552"/>
      <c r="AC12" s="1558">
        <v>0</v>
      </c>
      <c r="AD12" s="1552"/>
      <c r="AE12" s="1548"/>
      <c r="AF12" s="1548"/>
      <c r="AG12" s="1548"/>
      <c r="AH12" s="1828" t="s">
        <v>599</v>
      </c>
      <c r="AI12" s="1895">
        <v>2800</v>
      </c>
      <c r="AJ12" s="1897">
        <v>0</v>
      </c>
      <c r="AK12" s="1897">
        <v>0</v>
      </c>
      <c r="AL12" s="1896">
        <f t="shared" si="3"/>
        <v>2800</v>
      </c>
      <c r="AM12" s="1827">
        <f t="shared" si="4"/>
        <v>2800</v>
      </c>
    </row>
    <row r="13" spans="3:39" ht="15.75" thickBot="1">
      <c r="E13" s="1343" t="s">
        <v>965</v>
      </c>
      <c r="G13" s="1344">
        <f>SUM(I7:I10)</f>
        <v>276.62</v>
      </c>
      <c r="I13" s="1345" t="e">
        <f>I11+I12</f>
        <v>#REF!</v>
      </c>
      <c r="K13" s="8"/>
      <c r="Q13" s="8"/>
      <c r="R13" s="1357" t="s">
        <v>600</v>
      </c>
      <c r="S13" s="1400">
        <v>0</v>
      </c>
      <c r="T13" s="1400">
        <f t="shared" si="6"/>
        <v>0</v>
      </c>
      <c r="U13" s="1402">
        <v>0</v>
      </c>
      <c r="V13" s="1401">
        <f t="shared" si="2"/>
        <v>0</v>
      </c>
      <c r="W13" s="8"/>
      <c r="Z13" s="1699" t="s">
        <v>600</v>
      </c>
      <c r="AA13" s="1551">
        <f>'Annex 3_MAFF'!AO394</f>
        <v>200</v>
      </c>
      <c r="AB13" s="1552"/>
      <c r="AC13" s="1558">
        <v>0</v>
      </c>
      <c r="AD13" s="1552"/>
      <c r="AE13" s="1548"/>
      <c r="AF13" s="1548"/>
      <c r="AG13" s="1548"/>
      <c r="AH13" s="1828" t="s">
        <v>600</v>
      </c>
      <c r="AI13" s="1897">
        <v>0</v>
      </c>
      <c r="AJ13" s="1897">
        <v>0</v>
      </c>
      <c r="AK13" s="1897">
        <v>0</v>
      </c>
      <c r="AL13" s="1896">
        <f t="shared" si="3"/>
        <v>0</v>
      </c>
      <c r="AM13" s="1827">
        <f t="shared" si="4"/>
        <v>0</v>
      </c>
    </row>
    <row r="14" spans="3:39" ht="15.75" thickBot="1">
      <c r="E14" s="1346"/>
      <c r="G14" s="6"/>
      <c r="I14" s="1345"/>
      <c r="R14" s="1403" t="s">
        <v>16</v>
      </c>
      <c r="S14" s="1404">
        <f>SUM(S6:S13)</f>
        <v>969636</v>
      </c>
      <c r="T14" s="1404">
        <f t="shared" ref="T14:U14" si="7">SUM(T6:T13)</f>
        <v>276620</v>
      </c>
      <c r="U14" s="1404">
        <f t="shared" si="7"/>
        <v>165659.66800000001</v>
      </c>
      <c r="V14" s="1405">
        <f>SUM(V6:V13)</f>
        <v>1411915.6680000001</v>
      </c>
      <c r="W14" s="8"/>
      <c r="Z14" s="1553" t="s">
        <v>16</v>
      </c>
      <c r="AA14" s="1552" t="e">
        <f>SUM(AA6:AA13)</f>
        <v>#REF!</v>
      </c>
      <c r="AB14" s="1552"/>
      <c r="AC14" s="1559">
        <f>SUM(AC6:AC13)</f>
        <v>165659.66800000001</v>
      </c>
      <c r="AD14" s="1552"/>
      <c r="AE14" s="1548"/>
      <c r="AF14" s="1548"/>
      <c r="AG14" s="1548"/>
      <c r="AH14" s="1829" t="s">
        <v>16</v>
      </c>
      <c r="AI14" s="1830">
        <f>SUM(AI6:AI13)</f>
        <v>969636</v>
      </c>
      <c r="AJ14" s="1830">
        <v>276620</v>
      </c>
      <c r="AK14" s="1830">
        <v>165660</v>
      </c>
      <c r="AL14" s="1830">
        <f>SUM(AL6:AL13)</f>
        <v>1411916</v>
      </c>
      <c r="AM14" s="1827">
        <f>SUM(AM6:AM13)</f>
        <v>1411916</v>
      </c>
    </row>
    <row r="15" spans="3:39" ht="16.5" thickTop="1" thickBot="1">
      <c r="C15" t="s">
        <v>968</v>
      </c>
      <c r="D15" s="1323" t="s">
        <v>984</v>
      </c>
      <c r="E15" s="8"/>
      <c r="F15" s="8"/>
      <c r="G15" s="8"/>
      <c r="H15" s="8"/>
      <c r="I15" s="8"/>
      <c r="Z15" s="1548"/>
      <c r="AA15" s="1548"/>
      <c r="AB15" s="1548"/>
      <c r="AC15" s="1548"/>
      <c r="AD15" s="1548"/>
      <c r="AE15" s="1548"/>
      <c r="AF15" s="1548"/>
      <c r="AG15" s="1548"/>
      <c r="AI15" s="8">
        <f>SUM(AI6:AI13)</f>
        <v>969636</v>
      </c>
      <c r="AJ15" s="8">
        <f t="shared" ref="AJ15:AK15" si="8">SUM(AJ6:AJ13)</f>
        <v>276620</v>
      </c>
      <c r="AK15" s="8">
        <f t="shared" si="8"/>
        <v>165660</v>
      </c>
      <c r="AL15" s="8">
        <f>SUM(AL6:AL13)</f>
        <v>1411916</v>
      </c>
      <c r="AM15" s="8">
        <f>SUM(AI15:AK15)</f>
        <v>1411916</v>
      </c>
    </row>
    <row r="16" spans="3:39" ht="26.25" thickBot="1">
      <c r="C16" s="1413" t="s">
        <v>709</v>
      </c>
      <c r="D16" s="1414" t="s">
        <v>956</v>
      </c>
      <c r="E16" s="1414" t="s">
        <v>957</v>
      </c>
      <c r="F16" s="1414" t="s">
        <v>958</v>
      </c>
      <c r="G16" s="1414" t="s">
        <v>725</v>
      </c>
      <c r="H16" s="1414" t="s">
        <v>959</v>
      </c>
      <c r="I16" s="1415" t="s">
        <v>16</v>
      </c>
      <c r="J16" s="8"/>
      <c r="Q16" s="6" t="s">
        <v>1096</v>
      </c>
      <c r="S16" s="8"/>
      <c r="T16" s="8"/>
      <c r="U16" s="8"/>
      <c r="V16" s="8"/>
      <c r="Z16" s="1548" t="s">
        <v>968</v>
      </c>
      <c r="AA16" s="1548"/>
      <c r="AB16" s="1548"/>
      <c r="AC16" s="1548"/>
      <c r="AD16" s="1548"/>
      <c r="AE16" s="1548"/>
      <c r="AF16" s="1548"/>
      <c r="AG16" s="1548"/>
      <c r="AH16" s="1835" t="s">
        <v>1118</v>
      </c>
    </row>
    <row r="17" spans="3:40" ht="21" customHeight="1" thickTop="1" thickBot="1">
      <c r="C17" s="1706">
        <v>1</v>
      </c>
      <c r="D17" s="1356" t="s">
        <v>969</v>
      </c>
      <c r="E17" s="1620">
        <f>'Annex 5_MRD'!AD115</f>
        <v>4861.8227214235112</v>
      </c>
      <c r="F17" s="1620">
        <f>'Annex 5_MRD'!AI115</f>
        <v>800.21451825333702</v>
      </c>
      <c r="G17" s="1620">
        <f>'Annex 5_MRD'!AN115</f>
        <v>666.23576782315126</v>
      </c>
      <c r="H17" s="1620">
        <f>'Annex 5_MRD'!AS115</f>
        <v>0</v>
      </c>
      <c r="I17" s="1621">
        <f>SUM(E17:H17)</f>
        <v>6328.273007499999</v>
      </c>
      <c r="J17" s="8"/>
      <c r="Z17" s="1701" t="s">
        <v>970</v>
      </c>
      <c r="AA17" s="1702"/>
      <c r="AB17" s="2443" t="s">
        <v>592</v>
      </c>
      <c r="AC17" s="2444"/>
      <c r="AD17" s="2444"/>
      <c r="AE17" s="2444"/>
      <c r="AF17" s="2445"/>
      <c r="AG17" s="1548"/>
      <c r="AH17" s="2407" t="s">
        <v>1117</v>
      </c>
      <c r="AI17" s="2407"/>
      <c r="AJ17" s="2407"/>
      <c r="AK17" s="2407"/>
      <c r="AL17" s="2407"/>
    </row>
    <row r="18" spans="3:40" ht="21.6" customHeight="1" thickTop="1">
      <c r="C18" s="2437" t="s">
        <v>724</v>
      </c>
      <c r="D18" s="1356" t="s">
        <v>405</v>
      </c>
      <c r="E18" s="1358">
        <v>0</v>
      </c>
      <c r="F18" s="1358">
        <v>0</v>
      </c>
      <c r="G18" s="1358">
        <v>0</v>
      </c>
      <c r="H18" s="1620">
        <f>'Annex 5_MRD'!AS128+'Annex 5_MRD'!AS132</f>
        <v>23.435668</v>
      </c>
      <c r="I18" s="1621">
        <f t="shared" ref="I18:I21" si="9">SUM(E18:H18)</f>
        <v>23.435668</v>
      </c>
      <c r="J18" s="8"/>
      <c r="Q18" s="2432" t="s">
        <v>970</v>
      </c>
      <c r="R18" s="2434"/>
      <c r="S18" s="2427" t="s">
        <v>592</v>
      </c>
      <c r="T18" s="2428"/>
      <c r="U18" s="2428"/>
      <c r="V18" s="2428"/>
      <c r="W18" s="2429"/>
      <c r="Z18" s="1703"/>
      <c r="AA18" s="1704"/>
      <c r="AB18" s="1699" t="s">
        <v>971</v>
      </c>
      <c r="AC18" s="1699" t="s">
        <v>972</v>
      </c>
      <c r="AD18" s="1699" t="s">
        <v>973</v>
      </c>
      <c r="AE18" s="1699" t="s">
        <v>986</v>
      </c>
      <c r="AF18" s="1554" t="s">
        <v>11</v>
      </c>
      <c r="AG18" s="1548"/>
      <c r="AH18" s="2451" t="s">
        <v>970</v>
      </c>
      <c r="AI18" s="2448" t="s">
        <v>592</v>
      </c>
      <c r="AJ18" s="2449"/>
      <c r="AK18" s="2449"/>
      <c r="AL18" s="2449"/>
      <c r="AM18" s="2450"/>
      <c r="AN18" s="2447" t="s">
        <v>1103</v>
      </c>
    </row>
    <row r="19" spans="3:40" ht="25.5">
      <c r="C19" s="2437"/>
      <c r="D19" s="1356" t="s">
        <v>379</v>
      </c>
      <c r="E19" s="1622">
        <f>'Annex 5_MRD'!T134</f>
        <v>35.099999999999994</v>
      </c>
      <c r="F19" s="1358">
        <v>0</v>
      </c>
      <c r="G19" s="1358">
        <v>0</v>
      </c>
      <c r="H19" s="1358">
        <v>0</v>
      </c>
      <c r="I19" s="1623">
        <f t="shared" si="9"/>
        <v>35.099999999999994</v>
      </c>
      <c r="J19" s="8"/>
      <c r="Q19" s="2433"/>
      <c r="R19" s="2438"/>
      <c r="S19" s="1356" t="s">
        <v>971</v>
      </c>
      <c r="T19" s="1356" t="s">
        <v>972</v>
      </c>
      <c r="U19" s="1356" t="s">
        <v>973</v>
      </c>
      <c r="V19" s="1356" t="s">
        <v>986</v>
      </c>
      <c r="W19" s="1367" t="s">
        <v>11</v>
      </c>
      <c r="Z19" s="1555" t="s">
        <v>974</v>
      </c>
      <c r="AA19" s="1556" t="s">
        <v>975</v>
      </c>
      <c r="AB19" s="1552">
        <f>+'Annex 3_MAFF'!AL429</f>
        <v>826.18250000000012</v>
      </c>
      <c r="AC19" s="1552">
        <f>+'Annex 3_MAFF'!AL432</f>
        <v>117.4</v>
      </c>
      <c r="AD19" s="1552">
        <f>+'Annex 3_MAFF'!AL443</f>
        <v>105.35388</v>
      </c>
      <c r="AE19" s="1605">
        <f>+'Annex 3_MAFF'!AL448</f>
        <v>111.34</v>
      </c>
      <c r="AF19" s="1606">
        <f>SUM(AB19:AE19)</f>
        <v>1160.27638</v>
      </c>
      <c r="AG19" s="1548"/>
      <c r="AH19" s="2452"/>
      <c r="AI19" s="1767" t="s">
        <v>971</v>
      </c>
      <c r="AJ19" s="1767" t="s">
        <v>972</v>
      </c>
      <c r="AK19" s="1767" t="s">
        <v>973</v>
      </c>
      <c r="AL19" s="1767" t="s">
        <v>986</v>
      </c>
      <c r="AM19" s="1834" t="s">
        <v>11</v>
      </c>
      <c r="AN19" s="2447"/>
    </row>
    <row r="20" spans="3:40" ht="15">
      <c r="C20" s="2437"/>
      <c r="D20" s="1356" t="s">
        <v>963</v>
      </c>
      <c r="E20" s="1620">
        <f>'Annex 5_MRD'!T136+'Annex 5_MRD'!T137+'Annex 5_MRD'!T139+'Annex 5_MRD'!T140+'Annex 5_MRD'!T141</f>
        <v>78.624000000000009</v>
      </c>
      <c r="F20" s="1624">
        <v>0</v>
      </c>
      <c r="G20" s="1624">
        <v>0</v>
      </c>
      <c r="H20" s="1624">
        <v>0</v>
      </c>
      <c r="I20" s="1625">
        <f t="shared" si="9"/>
        <v>78.624000000000009</v>
      </c>
      <c r="J20" s="8"/>
      <c r="Q20" s="1357" t="s">
        <v>974</v>
      </c>
      <c r="R20" s="1366" t="s">
        <v>975</v>
      </c>
      <c r="S20" s="1626">
        <f>'Annex 3_MAFF'!S430*1000+4.5</f>
        <v>826187.00000000012</v>
      </c>
      <c r="T20" s="1626">
        <f>'Annex 3_MAFF'!S433*1000</f>
        <v>117400</v>
      </c>
      <c r="U20" s="1919">
        <f>'Annex 3_MAFF'!S443*1000-3.9</f>
        <v>105349.98000000001</v>
      </c>
      <c r="V20" s="1918">
        <f>'Annex 3_MAFF'!S449*1000</f>
        <v>111340</v>
      </c>
      <c r="W20" s="1915">
        <f>SUM(S20:V20)</f>
        <v>1160276.9800000002</v>
      </c>
      <c r="Z20" s="1555" t="s">
        <v>976</v>
      </c>
      <c r="AA20" s="1557" t="s">
        <v>607</v>
      </c>
      <c r="AB20" s="1552">
        <f>'Annex 3_MAFF'!AL492</f>
        <v>705.95</v>
      </c>
      <c r="AC20" s="1552">
        <f>+'Annex 3_MAFF'!AL494</f>
        <v>132</v>
      </c>
      <c r="AD20" s="1552">
        <f>+'Annex 3_MAFF'!AL501</f>
        <v>26</v>
      </c>
      <c r="AE20" s="1605"/>
      <c r="AF20" s="1606">
        <f>SUM(AB20:AD20)</f>
        <v>863.95</v>
      </c>
      <c r="AG20" s="1548"/>
      <c r="AH20" s="1366" t="s">
        <v>975</v>
      </c>
      <c r="AI20" s="1359">
        <v>826187.00000000012</v>
      </c>
      <c r="AJ20" s="1359">
        <v>117400</v>
      </c>
      <c r="AK20" s="1359">
        <v>105350</v>
      </c>
      <c r="AL20" s="1359">
        <v>111340</v>
      </c>
      <c r="AM20" s="1832">
        <f>SUM(AI20:AL20)</f>
        <v>1160277</v>
      </c>
      <c r="AN20" s="1837">
        <f>SUM(AI20:AL20)</f>
        <v>1160277</v>
      </c>
    </row>
    <row r="21" spans="3:40" ht="15">
      <c r="C21" s="2437"/>
      <c r="D21" s="1356" t="s">
        <v>964</v>
      </c>
      <c r="E21" s="1626">
        <f>'Annex 5_MRD'!T135+'Annex 5_MRD'!T138</f>
        <v>28.5</v>
      </c>
      <c r="F21" s="1358">
        <v>0</v>
      </c>
      <c r="G21" s="1358">
        <v>0</v>
      </c>
      <c r="H21" s="1358">
        <v>0</v>
      </c>
      <c r="I21" s="1623">
        <f t="shared" si="9"/>
        <v>28.5</v>
      </c>
      <c r="J21" s="8"/>
      <c r="Q21" s="1357" t="s">
        <v>976</v>
      </c>
      <c r="R21" s="1362" t="s">
        <v>607</v>
      </c>
      <c r="S21" s="1359">
        <f>'Annex 3_MAFF'!S492*1000</f>
        <v>705950</v>
      </c>
      <c r="T21" s="1359">
        <f>'Annex 3_MAFF'!S494*1000</f>
        <v>132000</v>
      </c>
      <c r="U21" s="1359">
        <f>'Annex 3_MAFF'!S500*1000</f>
        <v>26000</v>
      </c>
      <c r="V21" s="1360"/>
      <c r="W21" s="1915">
        <f>SUM(S21:U21)</f>
        <v>863950</v>
      </c>
      <c r="Z21" s="1555" t="s">
        <v>977</v>
      </c>
      <c r="AA21" s="1557" t="s">
        <v>978</v>
      </c>
      <c r="AB21" s="1552"/>
      <c r="AC21" s="1552"/>
      <c r="AD21" s="1552"/>
      <c r="AE21" s="1605"/>
      <c r="AF21" s="1607">
        <f>'Annex 3_MAFF'!AK232</f>
        <v>427.15719999999999</v>
      </c>
      <c r="AG21" s="1548"/>
      <c r="AH21" s="1362" t="s">
        <v>607</v>
      </c>
      <c r="AI21" s="1359">
        <v>705950</v>
      </c>
      <c r="AJ21" s="1359">
        <v>132000</v>
      </c>
      <c r="AK21" s="1359">
        <v>26000</v>
      </c>
      <c r="AL21" s="1358"/>
      <c r="AM21" s="1832">
        <f t="shared" ref="AM21:AM24" si="10">SUM(AI21:AL21)</f>
        <v>863950</v>
      </c>
      <c r="AN21" s="1837">
        <f t="shared" ref="AN21:AN24" si="11">SUM(AI21:AL21)</f>
        <v>863950</v>
      </c>
    </row>
    <row r="22" spans="3:40" ht="15.75" thickBot="1">
      <c r="C22" s="2425" t="s">
        <v>16</v>
      </c>
      <c r="D22" s="2426"/>
      <c r="E22" s="1627">
        <f>SUM(E17:E21)</f>
        <v>5004.0467214235114</v>
      </c>
      <c r="F22" s="1627">
        <f>SUM(F17:F21)</f>
        <v>800.21451825333702</v>
      </c>
      <c r="G22" s="1627">
        <f t="shared" ref="G22:H22" si="12">SUM(G17:G21)</f>
        <v>666.23576782315126</v>
      </c>
      <c r="H22" s="1627">
        <f t="shared" si="12"/>
        <v>23.435668</v>
      </c>
      <c r="I22" s="1628">
        <f>SUM(E22:H22)</f>
        <v>6493.9326754999993</v>
      </c>
      <c r="Q22" s="1357" t="s">
        <v>977</v>
      </c>
      <c r="R22" s="1362" t="s">
        <v>978</v>
      </c>
      <c r="S22" s="1358"/>
      <c r="T22" s="1358"/>
      <c r="U22" s="1358"/>
      <c r="V22" s="1360"/>
      <c r="W22" s="1363">
        <f>'Sum Annex3_Checking Tab19'!H39*1000-2</f>
        <v>427155.20000000001</v>
      </c>
      <c r="Z22" s="1555" t="s">
        <v>979</v>
      </c>
      <c r="AA22" s="1557" t="s">
        <v>445</v>
      </c>
      <c r="AB22" s="1552"/>
      <c r="AC22" s="1552"/>
      <c r="AD22" s="1552"/>
      <c r="AE22" s="1605"/>
      <c r="AF22" s="1607">
        <f>'Annex 3_MAFF'!AK375</f>
        <v>208.54000000000002</v>
      </c>
      <c r="AG22" s="1548"/>
      <c r="AH22" s="1362" t="s">
        <v>978</v>
      </c>
      <c r="AI22" s="1358"/>
      <c r="AJ22" s="1358"/>
      <c r="AK22" s="1358"/>
      <c r="AL22" s="1358"/>
      <c r="AM22" s="1832">
        <v>427155.20000000001</v>
      </c>
      <c r="AN22" s="1837">
        <f>AM22</f>
        <v>427155.20000000001</v>
      </c>
    </row>
    <row r="23" spans="3:40" ht="15">
      <c r="G23" s="1346" t="s">
        <v>965</v>
      </c>
      <c r="H23" s="1346"/>
      <c r="I23" s="1354">
        <f>SUM(I18:I21)</f>
        <v>165.65966800000001</v>
      </c>
      <c r="J23" s="8"/>
      <c r="Q23" s="1357" t="s">
        <v>979</v>
      </c>
      <c r="R23" s="1362" t="s">
        <v>445</v>
      </c>
      <c r="S23" s="1358"/>
      <c r="T23" s="1358"/>
      <c r="U23" s="1358"/>
      <c r="V23" s="1360"/>
      <c r="W23" s="1363">
        <f>'Sum Annex3_Checking Tab19'!H40*1000</f>
        <v>208540</v>
      </c>
      <c r="Z23" s="1555" t="s">
        <v>980</v>
      </c>
      <c r="AA23" s="1557" t="s">
        <v>981</v>
      </c>
      <c r="AB23" s="1552">
        <f>'Annex 3_MAFF'!AL524</f>
        <v>524.72900000000004</v>
      </c>
      <c r="AC23" s="1552">
        <f>'Annex 3_MAFF'!AL526</f>
        <v>54.72</v>
      </c>
      <c r="AD23" s="1552" t="e">
        <f>'Annex 3_MAFF'!#REF!</f>
        <v>#REF!</v>
      </c>
      <c r="AE23" s="1605">
        <v>0</v>
      </c>
      <c r="AF23" s="1608" t="e">
        <f>SUM(AB23:AD23)</f>
        <v>#REF!</v>
      </c>
      <c r="AG23" s="1548"/>
      <c r="AH23" s="1362" t="s">
        <v>445</v>
      </c>
      <c r="AI23" s="1358"/>
      <c r="AJ23" s="1358"/>
      <c r="AK23" s="1358"/>
      <c r="AL23" s="1358"/>
      <c r="AM23" s="1832">
        <v>208540</v>
      </c>
      <c r="AN23" s="1837">
        <f>AM23</f>
        <v>208540</v>
      </c>
    </row>
    <row r="24" spans="3:40" ht="15">
      <c r="E24" s="8"/>
      <c r="F24" s="8"/>
      <c r="G24" s="8"/>
      <c r="H24" s="8"/>
      <c r="I24" s="1643">
        <f>SUM(I17:I21)</f>
        <v>6493.9326754999993</v>
      </c>
      <c r="Q24" s="1357" t="s">
        <v>980</v>
      </c>
      <c r="R24" s="1362" t="s">
        <v>981</v>
      </c>
      <c r="S24" s="1359">
        <f>'Annex 3_MAFF'!S524*1000+1</f>
        <v>524730</v>
      </c>
      <c r="T24" s="1359">
        <f>'Annex 3_MAFF'!S526*1000</f>
        <v>54720</v>
      </c>
      <c r="U24" s="1359">
        <f>'Annex 3_MAFF'!S530*1000</f>
        <v>33000</v>
      </c>
      <c r="V24" s="1360">
        <v>0</v>
      </c>
      <c r="W24" s="1916">
        <f>SUM(S24:U24)</f>
        <v>612450</v>
      </c>
      <c r="Z24" s="1555" t="s">
        <v>982</v>
      </c>
      <c r="AA24" s="1557" t="s">
        <v>983</v>
      </c>
      <c r="AB24" s="1552"/>
      <c r="AC24" s="1552"/>
      <c r="AD24" s="1552"/>
      <c r="AE24" s="1605"/>
      <c r="AF24" s="1607">
        <f>'Annex 3_MAFF'!AK454</f>
        <v>33.32</v>
      </c>
      <c r="AG24" s="1548"/>
      <c r="AH24" s="1362" t="s">
        <v>981</v>
      </c>
      <c r="AI24" s="1359">
        <v>524730</v>
      </c>
      <c r="AJ24" s="1359">
        <v>54720</v>
      </c>
      <c r="AK24" s="1359">
        <v>33000</v>
      </c>
      <c r="AL24" s="1358">
        <v>0</v>
      </c>
      <c r="AM24" s="1832">
        <f t="shared" si="10"/>
        <v>612450</v>
      </c>
      <c r="AN24" s="1837">
        <f t="shared" si="11"/>
        <v>612450</v>
      </c>
    </row>
    <row r="25" spans="3:40" ht="15.75" thickBot="1">
      <c r="C25" s="7"/>
      <c r="D25" s="1714"/>
      <c r="E25" s="7"/>
      <c r="F25" s="7"/>
      <c r="G25" s="7"/>
      <c r="H25" s="7"/>
      <c r="I25" s="7"/>
      <c r="J25" s="8">
        <f t="shared" ref="J25:J30" si="13">SUM(E17:H17)</f>
        <v>6328.273007499999</v>
      </c>
      <c r="Q25" s="1357" t="s">
        <v>982</v>
      </c>
      <c r="R25" s="1362" t="s">
        <v>983</v>
      </c>
      <c r="S25" s="1358"/>
      <c r="T25" s="1358"/>
      <c r="U25" s="1358"/>
      <c r="V25" s="1360"/>
      <c r="W25" s="1363">
        <v>33320</v>
      </c>
      <c r="Z25" s="2441" t="s">
        <v>16</v>
      </c>
      <c r="AA25" s="2442"/>
      <c r="AB25" s="1609">
        <f>SUM(AB19:AB24)</f>
        <v>2056.8615</v>
      </c>
      <c r="AC25" s="1609">
        <f t="shared" ref="AC25:AF25" si="14">SUM(AC19:AC24)</f>
        <v>304.12</v>
      </c>
      <c r="AD25" s="1609" t="e">
        <f t="shared" si="14"/>
        <v>#REF!</v>
      </c>
      <c r="AE25" s="1609">
        <f t="shared" si="14"/>
        <v>111.34</v>
      </c>
      <c r="AF25" s="1609" t="e">
        <f t="shared" si="14"/>
        <v>#REF!</v>
      </c>
      <c r="AG25" s="1548"/>
      <c r="AH25" s="1362" t="s">
        <v>983</v>
      </c>
      <c r="AI25" s="1358"/>
      <c r="AJ25" s="1358"/>
      <c r="AK25" s="1358"/>
      <c r="AL25" s="1358"/>
      <c r="AM25" s="1832">
        <v>33320</v>
      </c>
      <c r="AN25" s="1837">
        <f>AM25</f>
        <v>33320</v>
      </c>
    </row>
    <row r="26" spans="3:40" ht="16.5" thickTop="1" thickBot="1">
      <c r="C26" s="1353"/>
      <c r="D26" s="1353"/>
      <c r="E26" s="1353"/>
      <c r="F26" s="1353"/>
      <c r="G26" s="1353"/>
      <c r="H26" s="1353"/>
      <c r="I26" s="1353"/>
      <c r="J26" s="8">
        <f t="shared" si="13"/>
        <v>23.435668</v>
      </c>
      <c r="Q26" s="2430" t="s">
        <v>16</v>
      </c>
      <c r="R26" s="2431"/>
      <c r="S26" s="1369">
        <f>SUM(S20:S25)</f>
        <v>2056867</v>
      </c>
      <c r="T26" s="1369">
        <f t="shared" ref="T26:U26" si="15">SUM(T20:T25)</f>
        <v>304120</v>
      </c>
      <c r="U26" s="1369">
        <f t="shared" si="15"/>
        <v>164349.98000000001</v>
      </c>
      <c r="V26" s="1365">
        <f>SUM(V20:V25)</f>
        <v>111340</v>
      </c>
      <c r="W26" s="1917">
        <f>SUM(W20:W25)</f>
        <v>3305692.18</v>
      </c>
      <c r="AG26" s="1548"/>
      <c r="AH26" s="1831" t="s">
        <v>11</v>
      </c>
      <c r="AI26" s="1833">
        <f>SUM(AI20:AI25)</f>
        <v>2056867</v>
      </c>
      <c r="AJ26" s="1833">
        <f t="shared" ref="AJ26:AL26" si="16">SUM(AJ20:AJ25)</f>
        <v>304120</v>
      </c>
      <c r="AK26" s="1833">
        <f t="shared" si="16"/>
        <v>164350</v>
      </c>
      <c r="AL26" s="1833">
        <f t="shared" si="16"/>
        <v>111340</v>
      </c>
      <c r="AM26" s="1832">
        <f>SUM(AM20:AM25)</f>
        <v>3305692.2</v>
      </c>
      <c r="AN26" s="1837">
        <f>SUM(AN20:AN25)</f>
        <v>3305692.2</v>
      </c>
    </row>
    <row r="27" spans="3:40" ht="13.5" thickTop="1">
      <c r="C27" s="1353"/>
      <c r="D27" s="1349"/>
      <c r="E27" s="1711"/>
      <c r="F27" s="1711"/>
      <c r="G27" s="1711"/>
      <c r="H27" s="1353"/>
      <c r="I27" s="1711"/>
      <c r="J27" s="8">
        <f t="shared" si="13"/>
        <v>35.099999999999994</v>
      </c>
      <c r="S27" s="1347"/>
      <c r="T27" s="1347"/>
      <c r="U27" s="1347"/>
      <c r="V27" s="1347"/>
      <c r="AM27" s="8">
        <f>SUM(AI26:AL26)</f>
        <v>2636677</v>
      </c>
      <c r="AN27" s="8"/>
    </row>
    <row r="28" spans="3:40">
      <c r="C28" s="1353"/>
      <c r="D28" s="1349"/>
      <c r="E28" s="1353"/>
      <c r="F28" s="1353"/>
      <c r="G28" s="1353"/>
      <c r="H28" s="1711"/>
      <c r="I28" s="1711"/>
      <c r="J28" s="8">
        <f t="shared" si="13"/>
        <v>78.624000000000009</v>
      </c>
      <c r="W28" s="8">
        <f>W20+W21+W24+W25</f>
        <v>2669996.9800000004</v>
      </c>
      <c r="AH28" s="1836" t="s">
        <v>1119</v>
      </c>
    </row>
    <row r="29" spans="3:40" ht="14.1" customHeight="1">
      <c r="C29" s="1353"/>
      <c r="D29" s="1349"/>
      <c r="E29" s="1711"/>
      <c r="F29" s="1353"/>
      <c r="G29" s="1353"/>
      <c r="H29" s="1353"/>
      <c r="I29" s="1711"/>
      <c r="J29" s="8">
        <f t="shared" si="13"/>
        <v>28.5</v>
      </c>
      <c r="Q29" s="1349"/>
      <c r="R29" s="1710"/>
      <c r="S29" s="1711"/>
      <c r="T29" s="1711"/>
      <c r="U29" s="1711"/>
      <c r="V29" s="1712"/>
      <c r="W29" s="8">
        <f>S14</f>
        <v>969636</v>
      </c>
    </row>
    <row r="30" spans="3:40" ht="15">
      <c r="C30" s="1353"/>
      <c r="D30" s="1349"/>
      <c r="E30" s="1711"/>
      <c r="F30" s="1353"/>
      <c r="G30" s="1353"/>
      <c r="H30" s="1353"/>
      <c r="I30" s="1711"/>
      <c r="J30" s="8">
        <f t="shared" si="13"/>
        <v>6493.9326754999993</v>
      </c>
      <c r="Q30" s="1349"/>
      <c r="R30" s="1710"/>
      <c r="S30" s="1711"/>
      <c r="T30" s="1711"/>
      <c r="U30" s="1711"/>
      <c r="V30" s="1712"/>
      <c r="W30" s="8">
        <f>W28+W29</f>
        <v>3639632.9800000004</v>
      </c>
    </row>
    <row r="31" spans="3:40" ht="15">
      <c r="C31" s="1353"/>
      <c r="D31" s="1349"/>
      <c r="E31" s="1711"/>
      <c r="F31" s="1353"/>
      <c r="G31" s="1353"/>
      <c r="H31" s="1353"/>
      <c r="I31" s="1711"/>
      <c r="Q31" s="1349"/>
      <c r="R31" s="1710"/>
      <c r="S31" s="1353"/>
      <c r="T31" s="1353"/>
      <c r="U31" s="1353"/>
      <c r="V31" s="1712"/>
      <c r="W31" s="7"/>
    </row>
    <row r="32" spans="3:40" ht="15">
      <c r="C32" s="2446"/>
      <c r="D32" s="2446"/>
      <c r="E32" s="1711"/>
      <c r="F32" s="1711"/>
      <c r="G32" s="1711"/>
      <c r="H32" s="1711"/>
      <c r="I32" s="1711"/>
      <c r="J32" s="8">
        <f>SUM(J25:J29)</f>
        <v>6493.9326754999993</v>
      </c>
      <c r="Q32" s="1349"/>
      <c r="R32" s="1710"/>
      <c r="S32" s="1353"/>
      <c r="T32" s="1353"/>
      <c r="U32" s="1353"/>
      <c r="V32" s="1712"/>
      <c r="W32" s="7"/>
    </row>
    <row r="33" spans="3:23" ht="15">
      <c r="C33" s="7"/>
      <c r="D33" s="7"/>
      <c r="E33" s="7"/>
      <c r="F33" s="7"/>
      <c r="G33" s="7"/>
      <c r="H33" s="7"/>
      <c r="I33" s="7"/>
      <c r="Q33" s="1349"/>
      <c r="R33" s="1710"/>
      <c r="S33" s="1711"/>
      <c r="T33" s="1711"/>
      <c r="U33" s="1711"/>
      <c r="V33" s="1712"/>
      <c r="W33" s="7"/>
    </row>
    <row r="34" spans="3:23" ht="15">
      <c r="Q34" s="1349"/>
      <c r="R34" s="1710"/>
      <c r="S34" s="1353"/>
      <c r="T34" s="1353"/>
      <c r="U34" s="1353"/>
      <c r="V34" s="1712"/>
      <c r="W34" s="7"/>
    </row>
    <row r="35" spans="3:23" ht="15">
      <c r="Q35" s="1353"/>
      <c r="R35" s="1710"/>
      <c r="S35" s="1713"/>
      <c r="T35" s="1713"/>
      <c r="U35" s="1713"/>
      <c r="V35" s="1712"/>
      <c r="W35" s="1348"/>
    </row>
    <row r="36" spans="3:23">
      <c r="Q36" s="7"/>
      <c r="R36" s="1349"/>
      <c r="S36" s="1350"/>
      <c r="T36" s="1350"/>
      <c r="U36" s="1350"/>
      <c r="V36" s="1351"/>
      <c r="W36" s="1348"/>
    </row>
    <row r="37" spans="3:23" ht="21.6" customHeight="1">
      <c r="Q37" s="7"/>
      <c r="R37" s="1349"/>
      <c r="S37" s="1350"/>
      <c r="T37" s="1350"/>
      <c r="U37" s="1350"/>
      <c r="V37" s="1350"/>
      <c r="W37" s="1348"/>
    </row>
    <row r="38" spans="3:23">
      <c r="R38" s="1349"/>
      <c r="S38" s="1350"/>
      <c r="T38" s="1352"/>
      <c r="U38" s="1352"/>
      <c r="V38" s="1351"/>
      <c r="W38" s="1348"/>
    </row>
    <row r="39" spans="3:23">
      <c r="R39" s="1349"/>
      <c r="S39" s="1350"/>
      <c r="T39" s="1350"/>
      <c r="U39" s="1350"/>
      <c r="V39" s="1351"/>
      <c r="W39" s="1348"/>
    </row>
    <row r="40" spans="3:23">
      <c r="R40" s="1349"/>
      <c r="S40" s="1350"/>
      <c r="T40" s="1352"/>
      <c r="U40" s="1352"/>
      <c r="V40" s="1351"/>
      <c r="W40" s="1348"/>
    </row>
    <row r="41" spans="3:23">
      <c r="R41" s="1349"/>
      <c r="S41" s="1350"/>
      <c r="T41" s="1352"/>
      <c r="U41" s="1352"/>
      <c r="V41" s="1351"/>
      <c r="W41" s="1348"/>
    </row>
    <row r="42" spans="3:23">
      <c r="R42" s="1349"/>
      <c r="S42" s="1350"/>
      <c r="T42" s="1352"/>
      <c r="U42" s="1352"/>
      <c r="V42" s="1351"/>
      <c r="W42" s="1348"/>
    </row>
    <row r="43" spans="3:23">
      <c r="R43" s="1353"/>
      <c r="S43" s="1350"/>
      <c r="T43" s="1350"/>
      <c r="U43" s="1350"/>
      <c r="V43" s="1350"/>
      <c r="W43" s="1348"/>
    </row>
    <row r="44" spans="3:23">
      <c r="R44" s="7"/>
      <c r="S44" s="7"/>
      <c r="T44" s="7"/>
      <c r="U44" s="7"/>
      <c r="V44" s="7"/>
      <c r="W44" s="7"/>
    </row>
    <row r="45" spans="3:23">
      <c r="R45" s="7"/>
      <c r="S45" s="1348"/>
      <c r="T45" s="1348"/>
      <c r="U45" s="1348"/>
      <c r="V45" s="1348"/>
      <c r="W45" s="7"/>
    </row>
    <row r="46" spans="3:23">
      <c r="R46" s="7"/>
      <c r="S46" s="7"/>
      <c r="T46" s="7"/>
      <c r="U46" s="7"/>
      <c r="V46" s="7"/>
      <c r="W46" s="7"/>
    </row>
  </sheetData>
  <mergeCells count="21">
    <mergeCell ref="AH2:AM2"/>
    <mergeCell ref="AN18:AN19"/>
    <mergeCell ref="AH4:AH5"/>
    <mergeCell ref="AI4:AL4"/>
    <mergeCell ref="AM4:AM5"/>
    <mergeCell ref="AI18:AM18"/>
    <mergeCell ref="AH18:AH19"/>
    <mergeCell ref="AH17:AL17"/>
    <mergeCell ref="C32:D32"/>
    <mergeCell ref="C18:C21"/>
    <mergeCell ref="Q18:R19"/>
    <mergeCell ref="S18:W18"/>
    <mergeCell ref="C22:D22"/>
    <mergeCell ref="C7:C10"/>
    <mergeCell ref="AB17:AF17"/>
    <mergeCell ref="Z25:AA25"/>
    <mergeCell ref="Q26:R26"/>
    <mergeCell ref="R4:R5"/>
    <mergeCell ref="S4:V4"/>
    <mergeCell ref="Z4:Z5"/>
    <mergeCell ref="AA4:AD4"/>
  </mergeCells>
  <pageMargins left="0.7" right="0.7" top="0.5" bottom="0.5" header="0.3" footer="0.3"/>
  <pageSetup paperSize="9" scale="115" orientation="landscape" horizontalDpi="4294967292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23"/>
  <sheetViews>
    <sheetView topLeftCell="A4" workbookViewId="0">
      <selection activeCell="F13" sqref="F13"/>
    </sheetView>
  </sheetViews>
  <sheetFormatPr defaultRowHeight="12.75"/>
  <cols>
    <col min="1" max="1" width="4.140625" customWidth="1"/>
    <col min="2" max="2" width="15.140625" customWidth="1"/>
    <col min="3" max="3" width="14.140625" customWidth="1"/>
    <col min="4" max="4" width="11.42578125" customWidth="1"/>
    <col min="5" max="5" width="10.85546875" customWidth="1"/>
    <col min="6" max="6" width="11.85546875" customWidth="1"/>
    <col min="7" max="7" width="12" customWidth="1"/>
    <col min="9" max="9" width="11.5703125" customWidth="1"/>
    <col min="10" max="10" width="4.42578125" customWidth="1"/>
    <col min="11" max="11" width="15.140625" customWidth="1"/>
    <col min="12" max="12" width="9.140625" bestFit="1" customWidth="1"/>
    <col min="13" max="15" width="10.140625" bestFit="1" customWidth="1"/>
    <col min="16" max="16" width="11.140625" customWidth="1"/>
  </cols>
  <sheetData>
    <row r="1" spans="2:17">
      <c r="B1" s="1845" t="s">
        <v>1121</v>
      </c>
      <c r="K1" s="1845" t="s">
        <v>1122</v>
      </c>
    </row>
    <row r="3" spans="2:17" ht="15.75" thickBot="1">
      <c r="B3" s="2453" t="s">
        <v>1131</v>
      </c>
      <c r="C3" s="2453"/>
      <c r="D3" s="2453"/>
      <c r="K3" s="2454" t="s">
        <v>1131</v>
      </c>
      <c r="L3" s="2454"/>
      <c r="M3" s="2454"/>
      <c r="N3" s="2454"/>
    </row>
    <row r="4" spans="2:17" ht="25.5" customHeight="1" thickTop="1" thickBot="1">
      <c r="B4" s="2462" t="s">
        <v>21</v>
      </c>
      <c r="C4" s="2464" t="s">
        <v>199</v>
      </c>
      <c r="D4" s="2465"/>
      <c r="E4" s="2465"/>
      <c r="F4" s="2465"/>
      <c r="G4" s="2465"/>
      <c r="H4" s="2466"/>
      <c r="I4" s="2460" t="s">
        <v>1103</v>
      </c>
      <c r="K4" s="2457" t="s">
        <v>21</v>
      </c>
      <c r="L4" s="2456" t="s">
        <v>199</v>
      </c>
      <c r="M4" s="2456"/>
      <c r="N4" s="2456"/>
      <c r="O4" s="2456"/>
      <c r="P4" s="2456"/>
      <c r="Q4" s="2456"/>
    </row>
    <row r="5" spans="2:17" ht="13.5" thickBot="1">
      <c r="B5" s="2463"/>
      <c r="C5" s="1771" t="s">
        <v>7</v>
      </c>
      <c r="D5" s="1771" t="s">
        <v>8</v>
      </c>
      <c r="E5" s="1771" t="s">
        <v>9</v>
      </c>
      <c r="F5" s="1771" t="s">
        <v>10</v>
      </c>
      <c r="G5" s="1771" t="s">
        <v>11</v>
      </c>
      <c r="H5" s="1772" t="s">
        <v>1101</v>
      </c>
      <c r="I5" s="2461"/>
      <c r="K5" s="2457"/>
      <c r="L5" s="1838" t="s">
        <v>7</v>
      </c>
      <c r="M5" s="1838" t="s">
        <v>8</v>
      </c>
      <c r="N5" s="1838" t="s">
        <v>9</v>
      </c>
      <c r="O5" s="1838" t="s">
        <v>10</v>
      </c>
      <c r="P5" s="1838" t="s">
        <v>11</v>
      </c>
      <c r="Q5" s="1839" t="s">
        <v>1101</v>
      </c>
    </row>
    <row r="6" spans="2:17" ht="13.5" thickBot="1">
      <c r="B6" s="1773" t="s">
        <v>15</v>
      </c>
      <c r="C6" s="1892">
        <v>1881.9601030999997</v>
      </c>
      <c r="D6" s="1892">
        <v>5781.8559059999998</v>
      </c>
      <c r="E6" s="1892">
        <v>5267.4369684000003</v>
      </c>
      <c r="F6" s="1892">
        <v>3666.4556283666666</v>
      </c>
      <c r="G6" s="1892">
        <f>SUM(C6:F6)</f>
        <v>16597.708605866668</v>
      </c>
      <c r="H6" s="1891">
        <v>50.993756557365209</v>
      </c>
      <c r="I6" s="1850">
        <f>SUM(C6:F6)</f>
        <v>16597.708605866668</v>
      </c>
      <c r="J6" s="1643"/>
      <c r="K6" s="1842" t="s">
        <v>15</v>
      </c>
      <c r="L6" s="1843">
        <f>'Annex 1_Summary'!C10</f>
        <v>1241.4201249999999</v>
      </c>
      <c r="M6" s="1843">
        <f>'Annex 1_Summary'!D10</f>
        <v>5115.5561249999992</v>
      </c>
      <c r="N6" s="1843">
        <f>'Annex 1_Summary'!E10</f>
        <v>6015.2872750000006</v>
      </c>
      <c r="O6" s="1843">
        <f>'Annex 1_Summary'!F10</f>
        <v>3622.9757816666661</v>
      </c>
      <c r="P6" s="1844">
        <f>'Annex 1_Summary'!G10</f>
        <v>15995.239306666665</v>
      </c>
      <c r="Q6" s="1855">
        <f>P6/P$10%</f>
        <v>50.069549509750644</v>
      </c>
    </row>
    <row r="7" spans="2:17" ht="13.5" thickBot="1">
      <c r="B7" s="1774" t="s">
        <v>197</v>
      </c>
      <c r="C7" s="1893">
        <v>215.86500000000001</v>
      </c>
      <c r="D7" s="1893">
        <v>929.21500000000003</v>
      </c>
      <c r="E7" s="1892">
        <v>3607.6149999999998</v>
      </c>
      <c r="F7" s="1892">
        <v>4704.1749999999993</v>
      </c>
      <c r="G7" s="1892">
        <f t="shared" ref="G7:G8" si="0">SUM(C7:F7)</f>
        <v>9456.869999999999</v>
      </c>
      <c r="H7" s="1891">
        <v>29.054692911297167</v>
      </c>
      <c r="I7" s="1850">
        <f t="shared" ref="I7:I10" si="1">SUM(C7:F7)</f>
        <v>9456.869999999999</v>
      </c>
      <c r="J7" s="1643"/>
      <c r="K7" s="1840" t="s">
        <v>197</v>
      </c>
      <c r="L7" s="1843">
        <f>'Annex 1_Summary'!C11</f>
        <v>215.86500000000001</v>
      </c>
      <c r="M7" s="1843">
        <f>'Annex 1_Summary'!D11</f>
        <v>929.21500000000003</v>
      </c>
      <c r="N7" s="1843">
        <f>'Annex 1_Summary'!E11</f>
        <v>3607.6149999999998</v>
      </c>
      <c r="O7" s="1843">
        <f>'Annex 1_Summary'!F11</f>
        <v>4704.1749999999993</v>
      </c>
      <c r="P7" s="1844">
        <f>'Annex 1_Summary'!G11</f>
        <v>9456.869999999999</v>
      </c>
      <c r="Q7" s="1855">
        <f t="shared" ref="Q7:Q10" si="2">P7/P$10%</f>
        <v>29.602634358519705</v>
      </c>
    </row>
    <row r="8" spans="2:17" ht="13.5" thickBot="1">
      <c r="B8" s="1774" t="s">
        <v>190</v>
      </c>
      <c r="C8" s="1893">
        <v>258.92165400000005</v>
      </c>
      <c r="D8" s="1892">
        <v>1107.8458070000001</v>
      </c>
      <c r="E8" s="1892">
        <v>1754.3372960000002</v>
      </c>
      <c r="F8" s="1892">
        <v>3372.8279185000001</v>
      </c>
      <c r="G8" s="1892">
        <f t="shared" si="0"/>
        <v>6493.9326755000002</v>
      </c>
      <c r="H8" s="1891">
        <v>19.951550531337631</v>
      </c>
      <c r="I8" s="1850">
        <f t="shared" si="1"/>
        <v>6493.9326755000002</v>
      </c>
      <c r="J8" s="1643"/>
      <c r="K8" s="1840" t="s">
        <v>190</v>
      </c>
      <c r="L8" s="1843">
        <f>'Annex 1_Summary'!C12</f>
        <v>258.92165400000005</v>
      </c>
      <c r="M8" s="1843">
        <f>'Annex 1_Summary'!D12</f>
        <v>1107.8458070000001</v>
      </c>
      <c r="N8" s="1843">
        <f>'Annex 1_Summary'!E12</f>
        <v>1754.3372960000002</v>
      </c>
      <c r="O8" s="1843">
        <f>'Annex 1_Summary'!F12</f>
        <v>3372.8279185000001</v>
      </c>
      <c r="P8" s="1844">
        <f>'Annex 1_Summary'!G12</f>
        <v>6493.9326755000002</v>
      </c>
      <c r="Q8" s="1855">
        <f t="shared" si="2"/>
        <v>20.327816131729644</v>
      </c>
    </row>
    <row r="9" spans="2:17" ht="13.5" thickBot="1">
      <c r="B9" s="1774" t="s">
        <v>248</v>
      </c>
      <c r="C9" s="1893"/>
      <c r="D9" s="1892"/>
      <c r="E9" s="1892"/>
      <c r="F9" s="1893"/>
      <c r="G9" s="1892"/>
      <c r="H9" s="1891">
        <v>0</v>
      </c>
      <c r="I9" s="1850">
        <f t="shared" si="1"/>
        <v>0</v>
      </c>
      <c r="J9" s="1643"/>
      <c r="K9" s="1840" t="s">
        <v>248</v>
      </c>
      <c r="L9" s="1843">
        <v>0</v>
      </c>
      <c r="M9" s="1843">
        <v>0</v>
      </c>
      <c r="N9" s="1843">
        <v>0</v>
      </c>
      <c r="O9" s="1843">
        <v>0</v>
      </c>
      <c r="P9" s="1844">
        <v>0</v>
      </c>
      <c r="Q9" s="1855">
        <f t="shared" si="2"/>
        <v>0</v>
      </c>
    </row>
    <row r="10" spans="2:17" ht="13.5" thickBot="1">
      <c r="B10" s="1775" t="s">
        <v>16</v>
      </c>
      <c r="C10" s="1776">
        <f>SUM(C6:C9)</f>
        <v>2356.7467571000002</v>
      </c>
      <c r="D10" s="1776">
        <f t="shared" ref="D10:F10" si="3">SUM(D6:D9)</f>
        <v>7818.9167130000005</v>
      </c>
      <c r="E10" s="1776">
        <f t="shared" si="3"/>
        <v>10629.389264399999</v>
      </c>
      <c r="F10" s="1776">
        <f t="shared" si="3"/>
        <v>11743.458546866666</v>
      </c>
      <c r="G10" s="1776">
        <f>SUM(G6:G9)</f>
        <v>32548.511281366667</v>
      </c>
      <c r="H10" s="1894">
        <v>100</v>
      </c>
      <c r="I10" s="1851">
        <f t="shared" si="1"/>
        <v>32548.511281366667</v>
      </c>
      <c r="J10" s="1643"/>
      <c r="K10" s="1841" t="s">
        <v>16</v>
      </c>
      <c r="L10" s="1844">
        <f>'Annex 1_Summary'!C13</f>
        <v>1716.2067789999999</v>
      </c>
      <c r="M10" s="1844">
        <f>'Annex 1_Summary'!D13</f>
        <v>7152.616931999999</v>
      </c>
      <c r="N10" s="1844">
        <f>'Annex 1_Summary'!E13</f>
        <v>11377.239571</v>
      </c>
      <c r="O10" s="1844">
        <f>'Annex 1_Summary'!F13</f>
        <v>11699.978700166666</v>
      </c>
      <c r="P10" s="1844">
        <f>'Annex 1_Summary'!G13</f>
        <v>31946.041982166666</v>
      </c>
      <c r="Q10" s="1855">
        <f t="shared" si="2"/>
        <v>100</v>
      </c>
    </row>
    <row r="11" spans="2:17" ht="14.25" thickTop="1" thickBot="1">
      <c r="B11" s="1846" t="s">
        <v>1103</v>
      </c>
      <c r="C11" s="1847">
        <f>SUM(C6:C9)</f>
        <v>2356.7467571000002</v>
      </c>
      <c r="D11" s="1847">
        <f t="shared" ref="D11:G11" si="4">SUM(D6:D9)</f>
        <v>7818.9167130000005</v>
      </c>
      <c r="E11" s="1847">
        <f t="shared" si="4"/>
        <v>10629.389264399999</v>
      </c>
      <c r="F11" s="1847">
        <f t="shared" si="4"/>
        <v>11743.458546866666</v>
      </c>
      <c r="G11" s="1847">
        <f t="shared" si="4"/>
        <v>32548.511281366667</v>
      </c>
      <c r="H11" s="1848"/>
    </row>
    <row r="12" spans="2:17" ht="13.5" thickTop="1"/>
    <row r="13" spans="2:17" ht="15.75" thickBot="1">
      <c r="B13" s="2453" t="s">
        <v>1132</v>
      </c>
      <c r="C13" s="2453"/>
      <c r="D13" s="2453"/>
      <c r="K13" s="2455" t="s">
        <v>1132</v>
      </c>
      <c r="L13" s="2455"/>
      <c r="M13" s="2455"/>
      <c r="N13" s="2455"/>
    </row>
    <row r="14" spans="2:17" ht="14.25" thickTop="1" thickBot="1">
      <c r="B14" s="2462" t="s">
        <v>21</v>
      </c>
      <c r="C14" s="2464" t="s">
        <v>199</v>
      </c>
      <c r="D14" s="2465"/>
      <c r="E14" s="2465"/>
      <c r="F14" s="2465"/>
      <c r="G14" s="2465"/>
      <c r="H14" s="2466"/>
      <c r="I14" s="2458" t="s">
        <v>1103</v>
      </c>
      <c r="K14" s="2457" t="s">
        <v>21</v>
      </c>
      <c r="L14" s="2456" t="s">
        <v>199</v>
      </c>
      <c r="M14" s="2456"/>
      <c r="N14" s="2456"/>
      <c r="O14" s="2456"/>
      <c r="P14" s="2456"/>
      <c r="Q14" s="2456"/>
    </row>
    <row r="15" spans="2:17" ht="13.5" thickBot="1">
      <c r="B15" s="2463"/>
      <c r="C15" s="1771" t="s">
        <v>7</v>
      </c>
      <c r="D15" s="1771" t="s">
        <v>8</v>
      </c>
      <c r="E15" s="1771" t="s">
        <v>9</v>
      </c>
      <c r="F15" s="1771" t="s">
        <v>10</v>
      </c>
      <c r="G15" s="1771" t="s">
        <v>11</v>
      </c>
      <c r="H15" s="1772" t="s">
        <v>1101</v>
      </c>
      <c r="I15" s="2459"/>
      <c r="K15" s="2457"/>
      <c r="L15" s="1838" t="s">
        <v>7</v>
      </c>
      <c r="M15" s="1838" t="s">
        <v>8</v>
      </c>
      <c r="N15" s="1838" t="s">
        <v>9</v>
      </c>
      <c r="O15" s="1838" t="s">
        <v>10</v>
      </c>
      <c r="P15" s="1838" t="s">
        <v>11</v>
      </c>
      <c r="Q15" s="1839" t="s">
        <v>1101</v>
      </c>
    </row>
    <row r="16" spans="2:17" ht="13.5" thickBot="1">
      <c r="B16" s="1774" t="s">
        <v>1102</v>
      </c>
      <c r="C16" s="1888">
        <v>1658.8490304383304</v>
      </c>
      <c r="D16" s="1888">
        <v>5765.4193406038521</v>
      </c>
      <c r="E16" s="1888">
        <v>7943.4939474790281</v>
      </c>
      <c r="F16" s="1888">
        <v>8850.1251325436333</v>
      </c>
      <c r="G16" s="1888">
        <f>SUM(C16:F16)</f>
        <v>24217.887451064846</v>
      </c>
      <c r="H16" s="1891">
        <v>74.405515022522962</v>
      </c>
      <c r="I16" s="1852">
        <f>SUM(C16:F16)</f>
        <v>24217.887451064846</v>
      </c>
      <c r="J16" s="1643"/>
      <c r="K16" s="1840" t="s">
        <v>1102</v>
      </c>
      <c r="L16" s="1854">
        <f>'Annex 1_Summary'!C17</f>
        <v>1173.9213221178948</v>
      </c>
      <c r="M16" s="1854">
        <f>'Annex 1_Summary'!D17</f>
        <v>5223.2410698046479</v>
      </c>
      <c r="N16" s="1854">
        <f>'Annex 1_Summary'!E17</f>
        <v>8435.9781362116501</v>
      </c>
      <c r="O16" s="1854">
        <f>'Annex 1_Summary'!F17</f>
        <v>8782.2776237306534</v>
      </c>
      <c r="P16" s="1844">
        <f>'Annex 1_Summary'!G17</f>
        <v>23615.418151864847</v>
      </c>
      <c r="Q16" s="1855">
        <f>P16/P$21%</f>
        <v>73.922829516870223</v>
      </c>
    </row>
    <row r="17" spans="2:17" ht="13.5" thickBot="1">
      <c r="B17" s="1774" t="s">
        <v>48</v>
      </c>
      <c r="C17" s="1889">
        <v>36.445206627094741</v>
      </c>
      <c r="D17" s="1890">
        <v>237.69454145700411</v>
      </c>
      <c r="E17" s="1890">
        <v>658.66679560280977</v>
      </c>
      <c r="F17" s="1888">
        <v>1002.3408949962485</v>
      </c>
      <c r="G17" s="1888">
        <f t="shared" ref="G17:G20" si="5">SUM(C17:F17)</f>
        <v>1935.1474386831571</v>
      </c>
      <c r="H17" s="1891">
        <v>5.9454253435885676</v>
      </c>
      <c r="I17" s="1852">
        <f t="shared" ref="I17:I21" si="6">SUM(C17:F17)</f>
        <v>1935.1474386831571</v>
      </c>
      <c r="J17" s="1643"/>
      <c r="K17" s="1840" t="s">
        <v>48</v>
      </c>
      <c r="L17" s="1854">
        <f>'Annex 1_Summary'!C18</f>
        <v>36.445206627094741</v>
      </c>
      <c r="M17" s="1854">
        <f>'Annex 1_Summary'!D18</f>
        <v>237.69454145700411</v>
      </c>
      <c r="N17" s="1854">
        <f>'Annex 1_Summary'!E18</f>
        <v>658.66679560280977</v>
      </c>
      <c r="O17" s="1854">
        <f>'Annex 1_Summary'!F18</f>
        <v>1002.3408949962485</v>
      </c>
      <c r="P17" s="1844">
        <f>'Annex 1_Summary'!G18</f>
        <v>1935.1474386831571</v>
      </c>
      <c r="Q17" s="1855">
        <f t="shared" ref="Q17:Q20" si="7">P17/P$21%</f>
        <v>6.0575499142066516</v>
      </c>
    </row>
    <row r="18" spans="2:17" ht="13.5" thickBot="1">
      <c r="B18" s="1774" t="s">
        <v>49</v>
      </c>
      <c r="C18" s="1888">
        <v>512.81700345345655</v>
      </c>
      <c r="D18" s="1888">
        <v>1476.6618627441899</v>
      </c>
      <c r="E18" s="1888">
        <v>1710.4163301416409</v>
      </c>
      <c r="F18" s="1888">
        <v>1655.1864363702771</v>
      </c>
      <c r="G18" s="1888">
        <f t="shared" si="5"/>
        <v>5355.0816327095645</v>
      </c>
      <c r="H18" s="1891">
        <v>16.452616177795012</v>
      </c>
      <c r="I18" s="1852">
        <f t="shared" si="6"/>
        <v>5355.0816327095645</v>
      </c>
      <c r="J18" s="1643"/>
      <c r="K18" s="1840" t="s">
        <v>49</v>
      </c>
      <c r="L18" s="1854">
        <f>'Annex 1_Summary'!C19</f>
        <v>386.21026749966722</v>
      </c>
      <c r="M18" s="1854">
        <f>'Annex 1_Summary'!D19</f>
        <v>1375.6761288400535</v>
      </c>
      <c r="N18" s="1854">
        <f>'Annex 1_Summary'!E19</f>
        <v>1918.1831772044009</v>
      </c>
      <c r="O18" s="1854">
        <f>'Annex 1_Summary'!F19</f>
        <v>1675.0120591654427</v>
      </c>
      <c r="P18" s="1844">
        <f>'Annex 1_Summary'!G19</f>
        <v>5355.0816327095636</v>
      </c>
      <c r="Q18" s="1855">
        <f t="shared" si="7"/>
        <v>16.762895496409065</v>
      </c>
    </row>
    <row r="19" spans="2:17" ht="13.5" thickBot="1">
      <c r="B19" s="1774" t="s">
        <v>27</v>
      </c>
      <c r="C19" s="1889">
        <v>104.49658299431567</v>
      </c>
      <c r="D19" s="1890">
        <v>203.53503615472758</v>
      </c>
      <c r="E19" s="1890">
        <v>193.27128819037387</v>
      </c>
      <c r="F19" s="1890">
        <v>149.81412105845229</v>
      </c>
      <c r="G19" s="1888">
        <f t="shared" si="5"/>
        <v>651.11702839786938</v>
      </c>
      <c r="H19" s="1891">
        <v>2.0004510276038965</v>
      </c>
      <c r="I19" s="1852">
        <f t="shared" si="6"/>
        <v>651.11702839786938</v>
      </c>
      <c r="J19" s="1643"/>
      <c r="K19" s="1840" t="s">
        <v>27</v>
      </c>
      <c r="L19" s="1854">
        <f>'Annex 1_Summary'!C20</f>
        <v>89.417417653579037</v>
      </c>
      <c r="M19" s="1854">
        <f>'Annex 1_Summary'!D20</f>
        <v>191.50739349318778</v>
      </c>
      <c r="N19" s="1854">
        <f>'Annex 1_Summary'!E20</f>
        <v>218.01681705643995</v>
      </c>
      <c r="O19" s="1854">
        <f>'Annex 1_Summary'!F20</f>
        <v>152.17540019466264</v>
      </c>
      <c r="P19" s="1844">
        <f>'Annex 1_Summary'!G20</f>
        <v>651.11702839786949</v>
      </c>
      <c r="Q19" s="1855">
        <f t="shared" si="7"/>
        <v>2.0381774642421888</v>
      </c>
    </row>
    <row r="20" spans="2:17" ht="13.5" thickBot="1">
      <c r="B20" s="1774" t="s">
        <v>51</v>
      </c>
      <c r="C20" s="1890">
        <v>44.138933586801485</v>
      </c>
      <c r="D20" s="1890">
        <v>135.60593204022314</v>
      </c>
      <c r="E20" s="1890">
        <v>123.54090298614396</v>
      </c>
      <c r="F20" s="1890">
        <v>85.99196189805285</v>
      </c>
      <c r="G20" s="1888">
        <f t="shared" si="5"/>
        <v>389.27773051122148</v>
      </c>
      <c r="H20" s="1891">
        <v>1.1959924284895784</v>
      </c>
      <c r="I20" s="1852">
        <f t="shared" si="6"/>
        <v>389.27773051122148</v>
      </c>
      <c r="J20" s="1643"/>
      <c r="K20" s="1840" t="s">
        <v>51</v>
      </c>
      <c r="L20" s="1854">
        <f>'Annex 1_Summary'!C21</f>
        <v>30.21256510176373</v>
      </c>
      <c r="M20" s="1854">
        <f>'Annex 1_Summary'!D21</f>
        <v>124.49779840510375</v>
      </c>
      <c r="N20" s="1854">
        <f>'Annex 1_Summary'!E21</f>
        <v>146.39464492469739</v>
      </c>
      <c r="O20" s="1854">
        <f>'Annex 1_Summary'!F21</f>
        <v>88.172722079656538</v>
      </c>
      <c r="P20" s="1844">
        <f>'Annex 1_Summary'!G21</f>
        <v>389.27773051122142</v>
      </c>
      <c r="Q20" s="1855">
        <f t="shared" si="7"/>
        <v>1.2185476082718767</v>
      </c>
    </row>
    <row r="21" spans="2:17" ht="13.5" thickBot="1">
      <c r="B21" s="1775" t="s">
        <v>16</v>
      </c>
      <c r="C21" s="1777">
        <v>6076.38</v>
      </c>
      <c r="D21" s="1777">
        <v>10694.98</v>
      </c>
      <c r="E21" s="1777">
        <v>14716.7</v>
      </c>
      <c r="F21" s="1777">
        <v>13946.91</v>
      </c>
      <c r="G21" s="1778">
        <f>SUM(G16:G20)</f>
        <v>32548.511281366656</v>
      </c>
      <c r="H21" s="1779">
        <v>100</v>
      </c>
      <c r="I21" s="1853">
        <f t="shared" si="6"/>
        <v>45434.97</v>
      </c>
      <c r="J21" s="1643"/>
      <c r="K21" s="1841" t="s">
        <v>16</v>
      </c>
      <c r="L21" s="1844">
        <f>'Annex 1_Summary'!C22</f>
        <v>1716.2067789999992</v>
      </c>
      <c r="M21" s="1844">
        <f>'Annex 1_Summary'!D22</f>
        <v>7152.6169319999972</v>
      </c>
      <c r="N21" s="1844">
        <f>'Annex 1_Summary'!E22</f>
        <v>11377.239570999998</v>
      </c>
      <c r="O21" s="1844">
        <f>'Annex 1_Summary'!F22</f>
        <v>11699.978700166665</v>
      </c>
      <c r="P21" s="1844">
        <f>'Annex 1_Summary'!G22</f>
        <v>31946.041982166658</v>
      </c>
      <c r="Q21" s="1855">
        <f>SUM(Q16:Q20)</f>
        <v>100</v>
      </c>
    </row>
    <row r="22" spans="2:17" ht="14.25" thickTop="1" thickBot="1">
      <c r="B22" s="1846" t="s">
        <v>1103</v>
      </c>
      <c r="C22" s="1849">
        <f>SUM(C16:C20)</f>
        <v>2356.7467570999988</v>
      </c>
      <c r="D22" s="1849">
        <f t="shared" ref="D22:G22" si="8">SUM(D16:D20)</f>
        <v>7818.916712999996</v>
      </c>
      <c r="E22" s="1849">
        <f t="shared" si="8"/>
        <v>10629.389264399997</v>
      </c>
      <c r="F22" s="1849">
        <f t="shared" si="8"/>
        <v>11743.458546866665</v>
      </c>
      <c r="G22" s="1849">
        <f t="shared" si="8"/>
        <v>32548.511281366656</v>
      </c>
      <c r="H22" s="1848"/>
    </row>
    <row r="23" spans="2:17" ht="13.5" thickTop="1"/>
  </sheetData>
  <mergeCells count="14">
    <mergeCell ref="B3:D3"/>
    <mergeCell ref="K3:N3"/>
    <mergeCell ref="B13:D13"/>
    <mergeCell ref="K13:N13"/>
    <mergeCell ref="L14:Q14"/>
    <mergeCell ref="K4:K5"/>
    <mergeCell ref="L4:Q4"/>
    <mergeCell ref="I14:I15"/>
    <mergeCell ref="I4:I5"/>
    <mergeCell ref="B4:B5"/>
    <mergeCell ref="C4:H4"/>
    <mergeCell ref="B14:B15"/>
    <mergeCell ref="C14:H14"/>
    <mergeCell ref="K14:K1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1:T28"/>
  <sheetViews>
    <sheetView showGridLines="0" topLeftCell="A3" zoomScale="80" zoomScaleNormal="80" zoomScaleSheetLayoutView="80" workbookViewId="0">
      <selection activeCell="H28" sqref="H28"/>
    </sheetView>
  </sheetViews>
  <sheetFormatPr defaultRowHeight="12.75"/>
  <cols>
    <col min="1" max="1" width="5.140625" customWidth="1"/>
    <col min="2" max="2" width="17.28515625" customWidth="1"/>
    <col min="3" max="4" width="10.28515625" customWidth="1"/>
    <col min="5" max="5" width="11.85546875" customWidth="1"/>
    <col min="6" max="6" width="12.140625" customWidth="1"/>
    <col min="7" max="7" width="15.7109375" customWidth="1"/>
    <col min="9" max="9" width="26.28515625" customWidth="1"/>
    <col min="10" max="11" width="12.7109375" customWidth="1"/>
    <col min="12" max="12" width="14.7109375" customWidth="1"/>
    <col min="13" max="13" width="12.7109375" customWidth="1"/>
    <col min="14" max="14" width="15.7109375" customWidth="1"/>
    <col min="15" max="15" width="11.140625" customWidth="1"/>
    <col min="16" max="17" width="10" bestFit="1" customWidth="1"/>
  </cols>
  <sheetData>
    <row r="1" spans="2:20">
      <c r="M1" t="s">
        <v>14</v>
      </c>
    </row>
    <row r="2" spans="2:20">
      <c r="B2" s="67" t="s">
        <v>39</v>
      </c>
      <c r="C2" s="1"/>
      <c r="D2" s="1"/>
      <c r="E2" s="1"/>
      <c r="F2" s="1"/>
      <c r="G2" s="1"/>
      <c r="I2" s="6" t="s">
        <v>39</v>
      </c>
      <c r="M2" t="s">
        <v>14</v>
      </c>
    </row>
    <row r="3" spans="2:20">
      <c r="B3" s="18" t="s">
        <v>38</v>
      </c>
      <c r="C3" s="1"/>
      <c r="D3" s="1"/>
      <c r="E3" s="1"/>
      <c r="F3" s="1"/>
      <c r="G3" s="1"/>
      <c r="I3" s="6" t="s">
        <v>38</v>
      </c>
      <c r="L3" t="s">
        <v>14</v>
      </c>
    </row>
    <row r="4" spans="2:20">
      <c r="B4" s="18" t="s">
        <v>198</v>
      </c>
      <c r="C4" s="1"/>
      <c r="D4" s="1"/>
      <c r="E4" s="1"/>
      <c r="F4" s="1"/>
      <c r="G4" s="1"/>
      <c r="I4" s="6" t="s">
        <v>198</v>
      </c>
    </row>
    <row r="5" spans="2:20">
      <c r="B5" s="1"/>
      <c r="C5" s="1"/>
      <c r="D5" s="1"/>
      <c r="E5" s="1"/>
      <c r="F5" s="1"/>
      <c r="G5" s="1"/>
    </row>
    <row r="6" spans="2:20" ht="25.5" customHeight="1">
      <c r="B6" s="2349" t="s">
        <v>21</v>
      </c>
      <c r="C6" s="2351" t="s">
        <v>199</v>
      </c>
      <c r="D6" s="2352"/>
      <c r="E6" s="2352"/>
      <c r="F6" s="2352"/>
      <c r="G6" s="2353"/>
      <c r="I6" s="2349" t="s">
        <v>21</v>
      </c>
      <c r="J6" s="2351" t="s">
        <v>199</v>
      </c>
      <c r="K6" s="2352"/>
      <c r="L6" s="2352"/>
      <c r="M6" s="2352"/>
      <c r="N6" s="2353"/>
    </row>
    <row r="7" spans="2:20">
      <c r="B7" s="2350"/>
      <c r="C7" s="50" t="s">
        <v>7</v>
      </c>
      <c r="D7" s="51" t="s">
        <v>8</v>
      </c>
      <c r="E7" s="50" t="s">
        <v>9</v>
      </c>
      <c r="F7" s="51" t="s">
        <v>10</v>
      </c>
      <c r="G7" s="50" t="s">
        <v>11</v>
      </c>
      <c r="I7" s="2350"/>
      <c r="J7" s="50" t="s">
        <v>7</v>
      </c>
      <c r="K7" s="51" t="s">
        <v>8</v>
      </c>
      <c r="L7" s="50" t="s">
        <v>9</v>
      </c>
      <c r="M7" s="51" t="s">
        <v>10</v>
      </c>
      <c r="N7" s="50" t="s">
        <v>11</v>
      </c>
    </row>
    <row r="8" spans="2:20">
      <c r="B8" s="41" t="s">
        <v>22</v>
      </c>
      <c r="C8" s="52"/>
      <c r="D8" s="52"/>
      <c r="E8" s="52"/>
      <c r="F8" s="52"/>
      <c r="G8" s="53"/>
      <c r="I8" s="41" t="s">
        <v>22</v>
      </c>
      <c r="J8" s="744">
        <f>C10-J10</f>
        <v>0</v>
      </c>
      <c r="K8" s="744">
        <f>D10-K10</f>
        <v>0</v>
      </c>
      <c r="L8" s="744">
        <f>E10-L10</f>
        <v>0</v>
      </c>
      <c r="M8" s="744">
        <f>F10-M10</f>
        <v>0</v>
      </c>
      <c r="N8" s="53"/>
    </row>
    <row r="9" spans="2:20" ht="5.0999999999999996" customHeight="1">
      <c r="B9" s="19"/>
      <c r="C9" s="54"/>
      <c r="D9" s="55"/>
      <c r="E9" s="54"/>
      <c r="F9" s="55"/>
      <c r="G9" s="54"/>
      <c r="I9" s="19"/>
      <c r="J9" s="54"/>
      <c r="K9" s="55"/>
      <c r="L9" s="54"/>
      <c r="M9" s="55"/>
      <c r="N9" s="54"/>
    </row>
    <row r="10" spans="2:20" s="11" customFormat="1">
      <c r="B10" s="20" t="s">
        <v>15</v>
      </c>
      <c r="C10" s="318">
        <f>'Annex 3_MAFF'!O534</f>
        <v>1241.4201249999999</v>
      </c>
      <c r="D10" s="318">
        <f>'Annex 3_MAFF'!P534</f>
        <v>5115.5561249999992</v>
      </c>
      <c r="E10" s="318">
        <f>'Annex 3_MAFF'!Q534</f>
        <v>6015.2872750000006</v>
      </c>
      <c r="F10" s="318">
        <f>'Annex 3_MAFF'!R534</f>
        <v>3622.9757816666661</v>
      </c>
      <c r="G10" s="319">
        <f>SUM(C10:F10)</f>
        <v>15995.239306666665</v>
      </c>
      <c r="H10" s="1769">
        <f>G10/G$13%</f>
        <v>50.069549509750644</v>
      </c>
      <c r="I10" s="20" t="s">
        <v>15</v>
      </c>
      <c r="J10" s="318">
        <f>SUMIFS('Annex 3_MAFF'!O:O,'Annex 3_MAFF'!$AI:$AI,'Annex 1_Summary'!$I10)</f>
        <v>1241.4201250000006</v>
      </c>
      <c r="K10" s="318">
        <f>SUMIFS('Annex 3_MAFF'!P:P,'Annex 3_MAFF'!$AI:$AI,'Annex 1_Summary'!$I10)</f>
        <v>5115.5561250000019</v>
      </c>
      <c r="L10" s="318">
        <f>SUMIFS('Annex 3_MAFF'!Q:Q,'Annex 3_MAFF'!$AI:$AI,'Annex 1_Summary'!$I10)</f>
        <v>6015.2872750000015</v>
      </c>
      <c r="M10" s="318">
        <f>SUMIFS('Annex 3_MAFF'!R:R,'Annex 3_MAFF'!$AI:$AI,'Annex 1_Summary'!$I10)</f>
        <v>3622.975781666667</v>
      </c>
      <c r="N10" s="319">
        <f>SUM(J10:M10)</f>
        <v>15995.23930666667</v>
      </c>
      <c r="O10" s="803">
        <f>G10-N10</f>
        <v>0</v>
      </c>
      <c r="Q10" s="803"/>
    </row>
    <row r="11" spans="2:20" s="9" customFormat="1" ht="16.5" customHeight="1">
      <c r="B11" s="301" t="s">
        <v>197</v>
      </c>
      <c r="C11" s="267">
        <f>'Annex 4_MoWRAM'!R89</f>
        <v>215.86500000000001</v>
      </c>
      <c r="D11" s="267">
        <f>'Annex 4_MoWRAM'!S89</f>
        <v>929.21500000000003</v>
      </c>
      <c r="E11" s="267">
        <f>'Annex 4_MoWRAM'!T89</f>
        <v>3607.6149999999998</v>
      </c>
      <c r="F11" s="267">
        <f>'Annex 4_MoWRAM'!U89</f>
        <v>4704.1749999999993</v>
      </c>
      <c r="G11" s="320">
        <f>SUM(C11:F11)</f>
        <v>9456.869999999999</v>
      </c>
      <c r="H11" s="1769">
        <f>G11/G$13%</f>
        <v>29.602634358519705</v>
      </c>
      <c r="I11" s="301" t="s">
        <v>197</v>
      </c>
      <c r="J11" s="318">
        <f>SUMIFS('Annex 4_MoWRAM'!R:R,'Annex 4_MoWRAM'!$BD:$BD,'Annex 1_Summary'!$I$11)</f>
        <v>215.86499999999998</v>
      </c>
      <c r="K11" s="318">
        <f>SUMIFS('Annex 4_MoWRAM'!S:S,'Annex 4_MoWRAM'!$BD:$BD,'Annex 1_Summary'!$I$11)</f>
        <v>929.21499999999992</v>
      </c>
      <c r="L11" s="318">
        <f>SUMIFS('Annex 4_MoWRAM'!T:T,'Annex 4_MoWRAM'!$BD:$BD,'Annex 1_Summary'!$I$11)</f>
        <v>3607.6149999999993</v>
      </c>
      <c r="M11" s="318">
        <f>SUMIFS('Annex 4_MoWRAM'!U:U,'Annex 4_MoWRAM'!$BD:$BD,'Annex 1_Summary'!$I$11)</f>
        <v>4704.1749999999993</v>
      </c>
      <c r="N11" s="320">
        <f>SUM(J11:M11)</f>
        <v>9456.869999999999</v>
      </c>
      <c r="O11" s="803">
        <f>G11-N11</f>
        <v>0</v>
      </c>
      <c r="Q11" s="803"/>
    </row>
    <row r="12" spans="2:20" ht="16.5" customHeight="1">
      <c r="B12" s="301" t="s">
        <v>190</v>
      </c>
      <c r="C12" s="1040">
        <f>'Annex 5_MRD'!P201</f>
        <v>258.92165400000005</v>
      </c>
      <c r="D12" s="1040">
        <f>'Annex 5_MRD'!Q201</f>
        <v>1107.8458070000001</v>
      </c>
      <c r="E12" s="1040">
        <f>'Annex 5_MRD'!R201</f>
        <v>1754.3372960000002</v>
      </c>
      <c r="F12" s="1040">
        <f>'Annex 5_MRD'!S201</f>
        <v>3372.8279185000001</v>
      </c>
      <c r="G12" s="321">
        <f>SUM(C12:F12)</f>
        <v>6493.9326755000002</v>
      </c>
      <c r="H12" s="1769">
        <f>G12/G$13%</f>
        <v>20.327816131729644</v>
      </c>
      <c r="I12" s="301" t="s">
        <v>190</v>
      </c>
      <c r="J12" s="318">
        <f>SUMIFS('Annex 5_MRD'!P:P,'Annex 5_MRD'!$BH:$BH,'Annex 1_Summary'!$I$12)</f>
        <v>258.92165399999999</v>
      </c>
      <c r="K12" s="318">
        <f>SUMIFS('Annex 5_MRD'!Q:Q,'Annex 5_MRD'!$BH:$BH,'Annex 1_Summary'!$I$12)</f>
        <v>1107.8458070000004</v>
      </c>
      <c r="L12" s="318">
        <f>SUMIFS('Annex 5_MRD'!R:R,'Annex 5_MRD'!$BH:$BH,'Annex 1_Summary'!$I$12)</f>
        <v>1754.3372959999999</v>
      </c>
      <c r="M12" s="318">
        <f>SUMIFS('Annex 5_MRD'!S:S,'Annex 5_MRD'!$BH:$BH,'Annex 1_Summary'!$I$12)</f>
        <v>3372.8279184999997</v>
      </c>
      <c r="N12" s="321">
        <f>SUM(J12:M12)</f>
        <v>6493.9326755000002</v>
      </c>
      <c r="O12" s="803">
        <f>G12-N12</f>
        <v>0</v>
      </c>
      <c r="P12" s="824"/>
      <c r="Q12" s="803"/>
      <c r="R12" s="825"/>
      <c r="T12" s="825"/>
    </row>
    <row r="13" spans="2:20" ht="15" customHeight="1">
      <c r="B13" s="171" t="s">
        <v>16</v>
      </c>
      <c r="C13" s="323">
        <f>SUM(C10:C12)</f>
        <v>1716.2067789999999</v>
      </c>
      <c r="D13" s="323">
        <f>SUM(D10:D12)</f>
        <v>7152.616931999999</v>
      </c>
      <c r="E13" s="323">
        <f>SUM(E10:E12)</f>
        <v>11377.239571</v>
      </c>
      <c r="F13" s="323">
        <f>SUM(F10:F12)</f>
        <v>11699.978700166666</v>
      </c>
      <c r="G13" s="357">
        <f>SUM(G10:G12)</f>
        <v>31946.041982166666</v>
      </c>
      <c r="H13" s="1769">
        <f>G13/G$13%</f>
        <v>100</v>
      </c>
      <c r="I13" s="171" t="s">
        <v>16</v>
      </c>
      <c r="J13" s="323">
        <f>SUM(J10:J12)</f>
        <v>1716.2067790000006</v>
      </c>
      <c r="K13" s="323">
        <f>SUM(K10:K12)</f>
        <v>7152.6169320000026</v>
      </c>
      <c r="L13" s="323">
        <f>SUM(L10:L12)</f>
        <v>11377.239571</v>
      </c>
      <c r="M13" s="323">
        <f>SUM(M10:M12)</f>
        <v>11699.978700166666</v>
      </c>
      <c r="N13" s="357">
        <f>SUM(N10:N12)</f>
        <v>31946.041982166669</v>
      </c>
      <c r="R13" s="825"/>
    </row>
    <row r="14" spans="2:20" ht="5.45" customHeight="1">
      <c r="B14" s="170"/>
      <c r="C14" s="324"/>
      <c r="D14" s="324"/>
      <c r="E14" s="324"/>
      <c r="F14" s="324"/>
      <c r="G14" s="325"/>
      <c r="H14" s="2133"/>
      <c r="I14" s="170"/>
      <c r="J14" s="324"/>
      <c r="K14" s="324"/>
      <c r="L14" s="324"/>
      <c r="M14" s="324"/>
      <c r="N14" s="325"/>
    </row>
    <row r="15" spans="2:20">
      <c r="B15" s="998" t="s">
        <v>20</v>
      </c>
      <c r="C15" s="999" t="s">
        <v>7</v>
      </c>
      <c r="D15" s="999" t="s">
        <v>8</v>
      </c>
      <c r="E15" s="999" t="s">
        <v>9</v>
      </c>
      <c r="F15" s="999" t="s">
        <v>10</v>
      </c>
      <c r="G15" s="999" t="s">
        <v>11</v>
      </c>
      <c r="H15" s="1769"/>
      <c r="I15" s="41" t="s">
        <v>20</v>
      </c>
      <c r="J15" s="326"/>
      <c r="K15" s="326"/>
      <c r="L15" s="326"/>
      <c r="M15" s="326"/>
      <c r="N15" s="327"/>
    </row>
    <row r="16" spans="2:20" ht="5.0999999999999996" customHeight="1">
      <c r="B16" s="21"/>
      <c r="C16" s="267"/>
      <c r="D16" s="328"/>
      <c r="E16" s="267"/>
      <c r="F16" s="328"/>
      <c r="G16" s="329"/>
      <c r="H16" s="1769"/>
      <c r="I16" s="21"/>
      <c r="J16" s="267"/>
      <c r="K16" s="328"/>
      <c r="L16" s="267"/>
      <c r="M16" s="328"/>
      <c r="N16" s="329"/>
    </row>
    <row r="17" spans="2:18" ht="18" customHeight="1">
      <c r="B17" s="21" t="s">
        <v>26</v>
      </c>
      <c r="C17" s="1040">
        <f>'Summary by EA, Source &amp; Qtr'!D9+'Summary by EA, Source &amp; Qtr'!D15+'Summary by EA, Source &amp; Qtr'!D21</f>
        <v>1173.9213221178948</v>
      </c>
      <c r="D17" s="1040">
        <f>'Summary by EA, Source &amp; Qtr'!E9+'Summary by EA, Source &amp; Qtr'!E15+'Summary by EA, Source &amp; Qtr'!E21</f>
        <v>5223.2410698046479</v>
      </c>
      <c r="E17" s="1040">
        <f>'Summary by EA, Source &amp; Qtr'!F9+'Summary by EA, Source &amp; Qtr'!F15+'Summary by EA, Source &amp; Qtr'!F21</f>
        <v>8435.9781362116501</v>
      </c>
      <c r="F17" s="1040">
        <f>'Summary by EA, Source &amp; Qtr'!G9+'Summary by EA, Source &amp; Qtr'!G15+'Summary by EA, Source &amp; Qtr'!G21</f>
        <v>8782.2776237306534</v>
      </c>
      <c r="G17" s="329">
        <f>SUM(C17:F17)</f>
        <v>23615.418151864847</v>
      </c>
      <c r="H17" s="1768">
        <f t="shared" ref="H17:H22" si="0">G17/G$13%</f>
        <v>73.922829516870195</v>
      </c>
      <c r="I17" s="21" t="s">
        <v>26</v>
      </c>
      <c r="J17" s="267">
        <f>C17</f>
        <v>1173.9213221178948</v>
      </c>
      <c r="K17" s="267">
        <f t="shared" ref="J17:M21" si="1">D17</f>
        <v>5223.2410698046479</v>
      </c>
      <c r="L17" s="267">
        <f t="shared" si="1"/>
        <v>8435.9781362116501</v>
      </c>
      <c r="M17" s="267">
        <f t="shared" si="1"/>
        <v>8782.2776237306534</v>
      </c>
      <c r="N17" s="329">
        <f>SUM(J17:M17)</f>
        <v>23615.418151864847</v>
      </c>
      <c r="O17" s="8"/>
      <c r="P17" s="8"/>
      <c r="Q17" s="8"/>
      <c r="R17" s="8"/>
    </row>
    <row r="18" spans="2:18" ht="15.75" customHeight="1">
      <c r="B18" s="21" t="s">
        <v>48</v>
      </c>
      <c r="C18" s="1040">
        <f>'Summary by EA, Source &amp; Qtr'!D10+'Summary by EA, Source &amp; Qtr'!D16+'Summary by EA, Source &amp; Qtr'!D22</f>
        <v>36.445206627094741</v>
      </c>
      <c r="D18" s="1040">
        <f>'Summary by EA, Source &amp; Qtr'!E10+'Summary by EA, Source &amp; Qtr'!E16+'Summary by EA, Source &amp; Qtr'!E22</f>
        <v>237.69454145700411</v>
      </c>
      <c r="E18" s="1040">
        <f>'Summary by EA, Source &amp; Qtr'!F10+'Summary by EA, Source &amp; Qtr'!F16+'Summary by EA, Source &amp; Qtr'!F22</f>
        <v>658.66679560280977</v>
      </c>
      <c r="F18" s="1040">
        <f>'Summary by EA, Source &amp; Qtr'!G10+'Summary by EA, Source &amp; Qtr'!G16+'Summary by EA, Source &amp; Qtr'!G22</f>
        <v>1002.3408949962485</v>
      </c>
      <c r="G18" s="329">
        <f>SUM(C18:F18)</f>
        <v>1935.1474386831571</v>
      </c>
      <c r="H18" s="1768">
        <f t="shared" si="0"/>
        <v>6.0575499142066489</v>
      </c>
      <c r="I18" s="21" t="s">
        <v>48</v>
      </c>
      <c r="J18" s="267">
        <f>C18</f>
        <v>36.445206627094741</v>
      </c>
      <c r="K18" s="267">
        <f t="shared" si="1"/>
        <v>237.69454145700411</v>
      </c>
      <c r="L18" s="267">
        <f t="shared" si="1"/>
        <v>658.66679560280977</v>
      </c>
      <c r="M18" s="267">
        <f t="shared" si="1"/>
        <v>1002.3408949962485</v>
      </c>
      <c r="N18" s="329">
        <f>SUM(J18:M18)</f>
        <v>1935.1474386831571</v>
      </c>
    </row>
    <row r="19" spans="2:18" ht="18.75" customHeight="1">
      <c r="B19" s="21" t="s">
        <v>49</v>
      </c>
      <c r="C19" s="1040">
        <f>'Summary by EA, Source &amp; Qtr'!D11+'Summary by EA, Source &amp; Qtr'!D17+'Summary by EA, Source &amp; Qtr'!D23</f>
        <v>386.21026749966722</v>
      </c>
      <c r="D19" s="1040">
        <f>'Summary by EA, Source &amp; Qtr'!E11+'Summary by EA, Source &amp; Qtr'!E17+'Summary by EA, Source &amp; Qtr'!E23</f>
        <v>1375.6761288400535</v>
      </c>
      <c r="E19" s="1040">
        <f>'Summary by EA, Source &amp; Qtr'!F11+'Summary by EA, Source &amp; Qtr'!F17+'Summary by EA, Source &amp; Qtr'!F23</f>
        <v>1918.1831772044009</v>
      </c>
      <c r="F19" s="1040">
        <f>'Summary by EA, Source &amp; Qtr'!G11+'Summary by EA, Source &amp; Qtr'!G17+'Summary by EA, Source &amp; Qtr'!G23</f>
        <v>1675.0120591654427</v>
      </c>
      <c r="G19" s="329">
        <f>SUM(C19:F19)</f>
        <v>5355.0816327095636</v>
      </c>
      <c r="H19" s="1768">
        <f t="shared" si="0"/>
        <v>16.762895496409058</v>
      </c>
      <c r="I19" s="21" t="s">
        <v>49</v>
      </c>
      <c r="J19" s="267">
        <f>C19</f>
        <v>386.21026749966722</v>
      </c>
      <c r="K19" s="267">
        <f t="shared" si="1"/>
        <v>1375.6761288400535</v>
      </c>
      <c r="L19" s="267">
        <f t="shared" si="1"/>
        <v>1918.1831772044009</v>
      </c>
      <c r="M19" s="267">
        <f t="shared" si="1"/>
        <v>1675.0120591654427</v>
      </c>
      <c r="N19" s="329">
        <f>SUM(J19:M19)</f>
        <v>5355.0816327095636</v>
      </c>
    </row>
    <row r="20" spans="2:18" ht="18.75" customHeight="1">
      <c r="B20" s="21" t="s">
        <v>27</v>
      </c>
      <c r="C20" s="1040">
        <f>'Summary by EA, Source &amp; Qtr'!D12+'Summary by EA, Source &amp; Qtr'!D18+'Summary by EA, Source &amp; Qtr'!D24</f>
        <v>89.417417653579037</v>
      </c>
      <c r="D20" s="1040">
        <f>'Summary by EA, Source &amp; Qtr'!E12+'Summary by EA, Source &amp; Qtr'!E18+'Summary by EA, Source &amp; Qtr'!E24</f>
        <v>191.50739349318778</v>
      </c>
      <c r="E20" s="1040">
        <f>'Summary by EA, Source &amp; Qtr'!F12+'Summary by EA, Source &amp; Qtr'!F18+'Summary by EA, Source &amp; Qtr'!F24</f>
        <v>218.01681705643995</v>
      </c>
      <c r="F20" s="1040">
        <f>'Summary by EA, Source &amp; Qtr'!G12+'Summary by EA, Source &amp; Qtr'!G18+'Summary by EA, Source &amp; Qtr'!G24</f>
        <v>152.17540019466264</v>
      </c>
      <c r="G20" s="329">
        <f>SUM(C20:F20)</f>
        <v>651.11702839786949</v>
      </c>
      <c r="H20" s="1768">
        <f t="shared" si="0"/>
        <v>2.0381774642421884</v>
      </c>
      <c r="I20" s="21" t="s">
        <v>27</v>
      </c>
      <c r="J20" s="267">
        <f t="shared" si="1"/>
        <v>89.417417653579037</v>
      </c>
      <c r="K20" s="267">
        <f t="shared" si="1"/>
        <v>191.50739349318778</v>
      </c>
      <c r="L20" s="267">
        <f t="shared" si="1"/>
        <v>218.01681705643995</v>
      </c>
      <c r="M20" s="267">
        <f t="shared" si="1"/>
        <v>152.17540019466264</v>
      </c>
      <c r="N20" s="329">
        <f>SUM(J20:M20)</f>
        <v>651.11702839786949</v>
      </c>
      <c r="O20" s="8"/>
    </row>
    <row r="21" spans="2:18" ht="18.75" customHeight="1">
      <c r="B21" s="22" t="s">
        <v>51</v>
      </c>
      <c r="C21" s="1770">
        <f>'Summary by EA, Source &amp; Qtr'!D13+'Summary by EA, Source &amp; Qtr'!D19+'Summary by EA, Source &amp; Qtr'!D25</f>
        <v>30.21256510176373</v>
      </c>
      <c r="D21" s="1770">
        <f>'Summary by EA, Source &amp; Qtr'!E13+'Summary by EA, Source &amp; Qtr'!E19+'Summary by EA, Source &amp; Qtr'!E25</f>
        <v>124.49779840510375</v>
      </c>
      <c r="E21" s="1770">
        <f>'Summary by EA, Source &amp; Qtr'!F13+'Summary by EA, Source &amp; Qtr'!F19+'Summary by EA, Source &amp; Qtr'!F25</f>
        <v>146.39464492469739</v>
      </c>
      <c r="F21" s="1770">
        <f>'Summary by EA, Source &amp; Qtr'!G13+'Summary by EA, Source &amp; Qtr'!G19+'Summary by EA, Source &amp; Qtr'!G25</f>
        <v>88.172722079656538</v>
      </c>
      <c r="G21" s="322">
        <f>SUM(C21:F21)</f>
        <v>389.27773051122142</v>
      </c>
      <c r="H21" s="1768">
        <f t="shared" si="0"/>
        <v>1.2185476082718762</v>
      </c>
      <c r="I21" s="22" t="s">
        <v>51</v>
      </c>
      <c r="J21" s="272">
        <f t="shared" si="1"/>
        <v>30.21256510176373</v>
      </c>
      <c r="K21" s="272">
        <f t="shared" si="1"/>
        <v>124.49779840510375</v>
      </c>
      <c r="L21" s="272">
        <f t="shared" si="1"/>
        <v>146.39464492469739</v>
      </c>
      <c r="M21" s="272">
        <f t="shared" si="1"/>
        <v>88.172722079656538</v>
      </c>
      <c r="N21" s="322">
        <f>SUM(J21:M21)</f>
        <v>389.27773051122142</v>
      </c>
      <c r="O21" s="8"/>
    </row>
    <row r="22" spans="2:18">
      <c r="B22" s="172" t="s">
        <v>16</v>
      </c>
      <c r="C22" s="268">
        <f>SUM(C17:C21)</f>
        <v>1716.2067789999992</v>
      </c>
      <c r="D22" s="268">
        <f>SUM(D17:D21)</f>
        <v>7152.6169319999972</v>
      </c>
      <c r="E22" s="268">
        <f>SUM(E17:E21)</f>
        <v>11377.239570999998</v>
      </c>
      <c r="F22" s="268">
        <f>SUM(F17:F21)</f>
        <v>11699.978700166665</v>
      </c>
      <c r="G22" s="330">
        <f>SUM(G17:G21)</f>
        <v>31946.041982166658</v>
      </c>
      <c r="H22" s="1769">
        <f t="shared" si="0"/>
        <v>99.999999999999972</v>
      </c>
      <c r="I22" s="172" t="s">
        <v>16</v>
      </c>
      <c r="J22" s="268">
        <f>SUM(J17:J21)</f>
        <v>1716.2067789999992</v>
      </c>
      <c r="K22" s="268">
        <f>SUM(K17:K21)</f>
        <v>7152.6169319999972</v>
      </c>
      <c r="L22" s="268">
        <f>SUM(L17:L21)</f>
        <v>11377.239570999998</v>
      </c>
      <c r="M22" s="268">
        <f>SUM(M17:M21)</f>
        <v>11699.978700166665</v>
      </c>
      <c r="N22" s="330">
        <f>SUM(N17:N21)</f>
        <v>31946.041982166658</v>
      </c>
    </row>
    <row r="23" spans="2:18" ht="6" customHeight="1">
      <c r="B23" s="46"/>
      <c r="C23" s="47"/>
      <c r="D23" s="48"/>
      <c r="E23" s="47"/>
      <c r="F23" s="48"/>
      <c r="G23" s="47"/>
      <c r="I23" s="46"/>
      <c r="J23" s="47"/>
      <c r="K23" s="48"/>
      <c r="L23" s="47"/>
      <c r="M23" s="48"/>
      <c r="N23" s="47"/>
    </row>
    <row r="25" spans="2:18">
      <c r="C25" s="483"/>
      <c r="D25" s="483"/>
      <c r="E25" s="483"/>
      <c r="F25" s="483"/>
      <c r="G25" s="483">
        <f>G13-G22</f>
        <v>0</v>
      </c>
    </row>
    <row r="26" spans="2:18">
      <c r="G26" s="997"/>
    </row>
    <row r="27" spans="2:18">
      <c r="G27" s="8"/>
    </row>
    <row r="28" spans="2:18">
      <c r="G28" s="1049"/>
    </row>
  </sheetData>
  <mergeCells count="4">
    <mergeCell ref="B6:B7"/>
    <mergeCell ref="C6:G6"/>
    <mergeCell ref="I6:I7"/>
    <mergeCell ref="J6:N6"/>
  </mergeCells>
  <pageMargins left="0.45866141700000002" right="0.25" top="0.74803149606299202" bottom="0.74803149606299202" header="0.31496062992126" footer="0.31496062992126"/>
  <pageSetup paperSize="9" scale="8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X127"/>
  <sheetViews>
    <sheetView topLeftCell="A57" zoomScale="75" zoomScaleNormal="75" workbookViewId="0">
      <selection activeCell="G64" activeCellId="3" sqref="G45:G50 G52:G56 G58:G62 G64:G68"/>
    </sheetView>
  </sheetViews>
  <sheetFormatPr defaultColWidth="9.140625" defaultRowHeight="15" outlineLevelCol="1"/>
  <cols>
    <col min="1" max="4" width="1.7109375" style="495" customWidth="1"/>
    <col min="5" max="5" width="92.5703125" style="495" customWidth="1" outlineLevel="1"/>
    <col min="6" max="6" width="3.7109375" style="495" customWidth="1"/>
    <col min="7" max="7" width="33.85546875" style="495" customWidth="1" outlineLevel="1"/>
    <col min="8" max="8" width="3.7109375" style="495" customWidth="1"/>
    <col min="9" max="9" width="15.140625" style="495" customWidth="1"/>
    <col min="10" max="10" width="15.85546875" style="495" customWidth="1"/>
    <col min="11" max="11" width="13.85546875" style="495" customWidth="1"/>
    <col min="12" max="12" width="10.7109375" style="495" customWidth="1"/>
    <col min="13" max="13" width="15" style="495" customWidth="1"/>
    <col min="14" max="14" width="12.7109375" style="495" customWidth="1"/>
    <col min="15" max="15" width="10.28515625" style="495" bestFit="1" customWidth="1"/>
    <col min="16" max="16" width="3.7109375" style="495" customWidth="1"/>
    <col min="17" max="17" width="14.7109375" style="495" customWidth="1"/>
    <col min="18" max="18" width="11.42578125" style="495" customWidth="1"/>
    <col min="19" max="19" width="3.7109375" style="495" customWidth="1"/>
    <col min="20" max="23" width="9.140625" style="495"/>
    <col min="24" max="24" width="11.5703125" style="495" customWidth="1"/>
    <col min="25" max="16384" width="9.140625" style="495"/>
  </cols>
  <sheetData>
    <row r="1" spans="1:24" ht="15.75" customHeight="1">
      <c r="B1" s="495" t="s">
        <v>346</v>
      </c>
    </row>
    <row r="2" spans="1:24" ht="15.75" customHeight="1">
      <c r="B2" s="495" t="s">
        <v>347</v>
      </c>
    </row>
    <row r="3" spans="1:24" ht="15.75" customHeight="1">
      <c r="B3" s="495" t="s">
        <v>348</v>
      </c>
    </row>
    <row r="4" spans="1:24" ht="15.75" customHeight="1"/>
    <row r="5" spans="1:24">
      <c r="A5" s="496" t="s">
        <v>349</v>
      </c>
    </row>
    <row r="6" spans="1:24" ht="15.75">
      <c r="I6" s="2354" t="s">
        <v>350</v>
      </c>
      <c r="J6" s="2354"/>
      <c r="K6" s="2354"/>
      <c r="L6" s="2354"/>
      <c r="M6" s="2354"/>
      <c r="N6" s="2354"/>
      <c r="O6" s="2354"/>
      <c r="Q6" s="497" t="s">
        <v>351</v>
      </c>
      <c r="R6" s="497" t="s">
        <v>352</v>
      </c>
      <c r="T6" s="498" t="s">
        <v>353</v>
      </c>
      <c r="U6" s="498"/>
      <c r="V6" s="498"/>
      <c r="W6" s="498"/>
      <c r="X6" s="498"/>
    </row>
    <row r="7" spans="1:24" ht="15.75">
      <c r="E7" s="497" t="s">
        <v>354</v>
      </c>
      <c r="G7" s="497" t="s">
        <v>355</v>
      </c>
      <c r="I7" s="499" t="s">
        <v>26</v>
      </c>
      <c r="J7" s="500" t="s">
        <v>48</v>
      </c>
      <c r="K7" s="501" t="s">
        <v>49</v>
      </c>
      <c r="L7" s="502" t="s">
        <v>58</v>
      </c>
      <c r="M7" s="503" t="s">
        <v>51</v>
      </c>
      <c r="N7" s="504" t="s">
        <v>356</v>
      </c>
      <c r="O7" s="498" t="s">
        <v>320</v>
      </c>
      <c r="T7" s="498" t="s">
        <v>357</v>
      </c>
      <c r="U7" s="498" t="s">
        <v>358</v>
      </c>
      <c r="V7" s="498" t="s">
        <v>359</v>
      </c>
      <c r="W7" s="498" t="s">
        <v>360</v>
      </c>
      <c r="X7" s="498" t="s">
        <v>361</v>
      </c>
    </row>
    <row r="8" spans="1:24">
      <c r="E8" s="505" t="s">
        <v>362</v>
      </c>
      <c r="G8" s="505" t="s">
        <v>363</v>
      </c>
      <c r="I8" s="506">
        <v>0.76827006604510995</v>
      </c>
      <c r="J8" s="507">
        <v>0.12645069473218948</v>
      </c>
      <c r="K8" s="508">
        <v>0.10527923922270058</v>
      </c>
      <c r="L8" s="509">
        <v>0</v>
      </c>
      <c r="M8" s="510">
        <v>0</v>
      </c>
      <c r="N8" s="511">
        <v>0</v>
      </c>
      <c r="O8" s="512"/>
      <c r="Q8" s="512">
        <v>0.1</v>
      </c>
      <c r="R8" s="512">
        <v>0.1</v>
      </c>
      <c r="T8" s="512">
        <v>0</v>
      </c>
      <c r="U8" s="512">
        <v>0</v>
      </c>
      <c r="V8" s="512">
        <v>0.09</v>
      </c>
      <c r="W8" s="512">
        <v>9.000000000000008E-2</v>
      </c>
      <c r="X8" s="495" t="s">
        <v>364</v>
      </c>
    </row>
    <row r="9" spans="1:24">
      <c r="E9" s="505" t="s">
        <v>365</v>
      </c>
      <c r="G9" s="505" t="s">
        <v>366</v>
      </c>
      <c r="I9" s="506">
        <v>0.76827006604510995</v>
      </c>
      <c r="J9" s="507">
        <v>0.12645069473218948</v>
      </c>
      <c r="K9" s="508">
        <v>0.10527923922270058</v>
      </c>
      <c r="L9" s="509">
        <v>0</v>
      </c>
      <c r="M9" s="510">
        <v>0</v>
      </c>
      <c r="N9" s="511">
        <v>0</v>
      </c>
      <c r="O9" s="512"/>
      <c r="Q9" s="512">
        <v>0.1</v>
      </c>
      <c r="R9" s="512">
        <v>0</v>
      </c>
      <c r="T9" s="512">
        <v>0</v>
      </c>
      <c r="U9" s="512">
        <v>0</v>
      </c>
      <c r="V9" s="512">
        <v>0.09</v>
      </c>
      <c r="W9" s="512">
        <v>9.000000000000008E-2</v>
      </c>
      <c r="X9" s="495" t="s">
        <v>364</v>
      </c>
    </row>
    <row r="10" spans="1:24">
      <c r="E10" s="505" t="s">
        <v>367</v>
      </c>
      <c r="G10" s="505" t="s">
        <v>368</v>
      </c>
      <c r="I10" s="513">
        <v>1</v>
      </c>
      <c r="J10" s="514">
        <v>0</v>
      </c>
      <c r="K10" s="515">
        <v>0</v>
      </c>
      <c r="L10" s="509">
        <v>0</v>
      </c>
      <c r="M10" s="510">
        <v>0</v>
      </c>
      <c r="N10" s="511">
        <v>0</v>
      </c>
      <c r="O10" s="512"/>
      <c r="Q10" s="512">
        <v>0.1</v>
      </c>
      <c r="R10" s="512">
        <v>0.2</v>
      </c>
      <c r="T10" s="512">
        <v>0</v>
      </c>
      <c r="U10" s="512">
        <v>0</v>
      </c>
      <c r="V10" s="512">
        <v>0.09</v>
      </c>
      <c r="W10" s="512">
        <v>9.000000000000008E-2</v>
      </c>
      <c r="X10" s="495" t="s">
        <v>364</v>
      </c>
    </row>
    <row r="11" spans="1:24">
      <c r="E11" s="505" t="s">
        <v>369</v>
      </c>
      <c r="G11" s="505" t="s">
        <v>370</v>
      </c>
      <c r="I11" s="513">
        <v>1</v>
      </c>
      <c r="J11" s="514">
        <v>0</v>
      </c>
      <c r="K11" s="515">
        <v>0</v>
      </c>
      <c r="L11" s="509">
        <v>0</v>
      </c>
      <c r="M11" s="510">
        <v>0</v>
      </c>
      <c r="N11" s="511">
        <v>0</v>
      </c>
      <c r="O11" s="512"/>
      <c r="Q11" s="512">
        <v>0.1</v>
      </c>
      <c r="R11" s="512">
        <v>0.2</v>
      </c>
      <c r="T11" s="512">
        <v>0</v>
      </c>
      <c r="U11" s="512">
        <v>0</v>
      </c>
      <c r="V11" s="512">
        <v>0.09</v>
      </c>
      <c r="W11" s="512">
        <v>9.000000000000008E-2</v>
      </c>
      <c r="X11" s="495" t="s">
        <v>364</v>
      </c>
    </row>
    <row r="12" spans="1:24">
      <c r="E12" s="505" t="s">
        <v>371</v>
      </c>
      <c r="G12" s="505" t="s">
        <v>372</v>
      </c>
      <c r="I12" s="516">
        <v>0</v>
      </c>
      <c r="J12" s="514">
        <v>0</v>
      </c>
      <c r="K12" s="508">
        <v>0.27272727272727271</v>
      </c>
      <c r="L12" s="517">
        <v>0.30585398202814701</v>
      </c>
      <c r="M12" s="518">
        <v>0.42141874524458028</v>
      </c>
      <c r="N12" s="511">
        <v>0</v>
      </c>
      <c r="O12" s="512"/>
      <c r="Q12" s="512">
        <v>0.1</v>
      </c>
      <c r="R12" s="512">
        <v>0.2</v>
      </c>
      <c r="T12" s="512">
        <v>0</v>
      </c>
      <c r="U12" s="512">
        <v>0</v>
      </c>
      <c r="V12" s="512">
        <v>0.09</v>
      </c>
      <c r="W12" s="512">
        <v>9.000000000000008E-2</v>
      </c>
      <c r="X12" s="495" t="s">
        <v>364</v>
      </c>
    </row>
    <row r="13" spans="1:24">
      <c r="E13" s="505" t="s">
        <v>373</v>
      </c>
      <c r="G13" s="505" t="s">
        <v>373</v>
      </c>
      <c r="I13" s="516">
        <v>0</v>
      </c>
      <c r="J13" s="514">
        <v>0</v>
      </c>
      <c r="K13" s="508">
        <v>0.5</v>
      </c>
      <c r="L13" s="517">
        <v>0.25</v>
      </c>
      <c r="M13" s="518">
        <v>0.25</v>
      </c>
      <c r="N13" s="511">
        <v>0</v>
      </c>
      <c r="O13" s="512"/>
      <c r="Q13" s="512"/>
      <c r="R13" s="512"/>
      <c r="T13" s="512"/>
      <c r="U13" s="512"/>
      <c r="V13" s="512"/>
      <c r="W13" s="512"/>
    </row>
    <row r="14" spans="1:24">
      <c r="E14" s="505" t="s">
        <v>374</v>
      </c>
      <c r="G14" s="597" t="s">
        <v>375</v>
      </c>
      <c r="I14" s="513">
        <v>1</v>
      </c>
      <c r="J14" s="514">
        <v>0</v>
      </c>
      <c r="K14" s="515">
        <v>0</v>
      </c>
      <c r="L14" s="509">
        <v>0</v>
      </c>
      <c r="M14" s="510">
        <v>0</v>
      </c>
      <c r="N14" s="511">
        <v>0</v>
      </c>
      <c r="O14" s="512"/>
      <c r="Q14" s="512">
        <v>0.1</v>
      </c>
      <c r="R14" s="512">
        <v>0.65</v>
      </c>
      <c r="T14" s="512">
        <v>0</v>
      </c>
      <c r="U14" s="512">
        <v>0</v>
      </c>
      <c r="V14" s="512">
        <v>0.09</v>
      </c>
      <c r="W14" s="512">
        <v>9.000000000000008E-2</v>
      </c>
      <c r="X14" s="495" t="s">
        <v>376</v>
      </c>
    </row>
    <row r="15" spans="1:24">
      <c r="E15" s="505" t="s">
        <v>377</v>
      </c>
      <c r="G15" s="505" t="s">
        <v>378</v>
      </c>
      <c r="I15" s="516">
        <v>0</v>
      </c>
      <c r="J15" s="514">
        <v>0</v>
      </c>
      <c r="K15" s="519">
        <v>1</v>
      </c>
      <c r="L15" s="509">
        <v>0</v>
      </c>
      <c r="M15" s="510">
        <v>0</v>
      </c>
      <c r="N15" s="511">
        <v>0</v>
      </c>
      <c r="O15" s="512"/>
      <c r="Q15" s="512">
        <v>0.1</v>
      </c>
      <c r="R15" s="512">
        <v>0.65</v>
      </c>
      <c r="T15" s="512">
        <v>0</v>
      </c>
      <c r="U15" s="512">
        <v>0</v>
      </c>
      <c r="V15" s="512">
        <v>0.09</v>
      </c>
      <c r="W15" s="512">
        <v>9.000000000000008E-2</v>
      </c>
      <c r="X15" s="495" t="s">
        <v>376</v>
      </c>
    </row>
    <row r="16" spans="1:24">
      <c r="E16" s="505" t="s">
        <v>379</v>
      </c>
      <c r="G16" s="505" t="s">
        <v>380</v>
      </c>
      <c r="I16" s="513">
        <v>1</v>
      </c>
      <c r="J16" s="514">
        <v>0</v>
      </c>
      <c r="K16" s="515">
        <v>0</v>
      </c>
      <c r="L16" s="509">
        <v>0</v>
      </c>
      <c r="M16" s="510">
        <v>0</v>
      </c>
      <c r="N16" s="511">
        <v>0</v>
      </c>
      <c r="O16" s="512"/>
      <c r="Q16" s="512">
        <v>0</v>
      </c>
      <c r="R16" s="512">
        <v>0.37</v>
      </c>
      <c r="T16" s="512">
        <v>0.5</v>
      </c>
      <c r="U16" s="512">
        <v>0</v>
      </c>
      <c r="V16" s="512">
        <v>0.09</v>
      </c>
      <c r="W16" s="512">
        <v>0.63500000000000023</v>
      </c>
      <c r="X16" s="495" t="s">
        <v>376</v>
      </c>
    </row>
    <row r="17" spans="5:24">
      <c r="E17" s="505" t="s">
        <v>381</v>
      </c>
      <c r="G17" s="505" t="s">
        <v>382</v>
      </c>
      <c r="I17" s="513">
        <v>1</v>
      </c>
      <c r="J17" s="514">
        <v>0</v>
      </c>
      <c r="K17" s="515">
        <v>0</v>
      </c>
      <c r="L17" s="509">
        <v>0</v>
      </c>
      <c r="M17" s="510">
        <v>0</v>
      </c>
      <c r="N17" s="511">
        <v>0</v>
      </c>
      <c r="O17" s="512"/>
      <c r="Q17" s="512">
        <v>0.05</v>
      </c>
      <c r="R17" s="512">
        <v>0.2</v>
      </c>
      <c r="T17" s="512">
        <v>0</v>
      </c>
      <c r="U17" s="512">
        <v>0</v>
      </c>
      <c r="V17" s="512">
        <v>0.09</v>
      </c>
      <c r="W17" s="512">
        <v>9.000000000000008E-2</v>
      </c>
      <c r="X17" s="495" t="s">
        <v>376</v>
      </c>
    </row>
    <row r="18" spans="5:24">
      <c r="E18" s="505" t="s">
        <v>383</v>
      </c>
      <c r="G18" s="505" t="s">
        <v>384</v>
      </c>
      <c r="I18" s="516">
        <v>0</v>
      </c>
      <c r="J18" s="514">
        <v>0</v>
      </c>
      <c r="K18" s="519">
        <v>1</v>
      </c>
      <c r="L18" s="509">
        <v>0</v>
      </c>
      <c r="M18" s="510">
        <v>0</v>
      </c>
      <c r="N18" s="511">
        <v>0</v>
      </c>
      <c r="O18" s="512"/>
      <c r="Q18" s="512">
        <v>0.05</v>
      </c>
      <c r="R18" s="512">
        <v>0</v>
      </c>
      <c r="T18" s="512">
        <v>0</v>
      </c>
      <c r="U18" s="512">
        <v>0</v>
      </c>
      <c r="V18" s="512">
        <v>0.09</v>
      </c>
      <c r="W18" s="512">
        <v>9.000000000000008E-2</v>
      </c>
      <c r="X18" s="495" t="s">
        <v>376</v>
      </c>
    </row>
    <row r="19" spans="5:24">
      <c r="E19" s="505" t="s">
        <v>385</v>
      </c>
      <c r="G19" s="505" t="s">
        <v>386</v>
      </c>
      <c r="I19" s="516">
        <v>0</v>
      </c>
      <c r="J19" s="514">
        <v>0</v>
      </c>
      <c r="K19" s="519">
        <v>1</v>
      </c>
      <c r="L19" s="509">
        <v>0</v>
      </c>
      <c r="M19" s="510">
        <v>0</v>
      </c>
      <c r="N19" s="511">
        <v>0</v>
      </c>
      <c r="O19" s="512"/>
      <c r="Q19" s="512">
        <v>0.05</v>
      </c>
      <c r="R19" s="512">
        <v>0</v>
      </c>
      <c r="T19" s="512">
        <v>0</v>
      </c>
      <c r="U19" s="512">
        <v>0</v>
      </c>
      <c r="V19" s="512">
        <v>0.09</v>
      </c>
      <c r="W19" s="512">
        <v>9.000000000000008E-2</v>
      </c>
      <c r="X19" s="495" t="s">
        <v>364</v>
      </c>
    </row>
    <row r="20" spans="5:24">
      <c r="E20" s="505" t="s">
        <v>387</v>
      </c>
      <c r="G20" s="505" t="s">
        <v>388</v>
      </c>
      <c r="I20" s="516">
        <v>0</v>
      </c>
      <c r="J20" s="514">
        <v>0</v>
      </c>
      <c r="K20" s="519">
        <v>1</v>
      </c>
      <c r="L20" s="509">
        <v>0</v>
      </c>
      <c r="M20" s="510">
        <v>0</v>
      </c>
      <c r="N20" s="511">
        <v>0</v>
      </c>
      <c r="O20" s="512"/>
      <c r="Q20" s="512">
        <v>0.05</v>
      </c>
      <c r="R20" s="512">
        <v>0</v>
      </c>
      <c r="T20" s="512">
        <v>0</v>
      </c>
      <c r="U20" s="512">
        <v>0</v>
      </c>
      <c r="V20" s="512">
        <v>0.09</v>
      </c>
      <c r="W20" s="512">
        <v>9.000000000000008E-2</v>
      </c>
      <c r="X20" s="495" t="s">
        <v>376</v>
      </c>
    </row>
    <row r="21" spans="5:24">
      <c r="E21" s="505" t="s">
        <v>389</v>
      </c>
      <c r="G21" s="505" t="s">
        <v>390</v>
      </c>
      <c r="I21" s="516">
        <v>0</v>
      </c>
      <c r="J21" s="514">
        <v>0</v>
      </c>
      <c r="K21" s="519">
        <v>1</v>
      </c>
      <c r="L21" s="509">
        <v>0</v>
      </c>
      <c r="M21" s="510">
        <v>0</v>
      </c>
      <c r="N21" s="511">
        <v>0</v>
      </c>
      <c r="O21" s="512"/>
      <c r="Q21" s="512">
        <v>0.05</v>
      </c>
      <c r="R21" s="512">
        <v>0</v>
      </c>
      <c r="T21" s="512">
        <v>0</v>
      </c>
      <c r="U21" s="512">
        <v>0</v>
      </c>
      <c r="V21" s="512">
        <v>0.09</v>
      </c>
      <c r="W21" s="512">
        <v>9.000000000000008E-2</v>
      </c>
      <c r="X21" s="495" t="s">
        <v>376</v>
      </c>
    </row>
    <row r="22" spans="5:24">
      <c r="E22" s="505" t="s">
        <v>391</v>
      </c>
      <c r="G22" s="505" t="s">
        <v>392</v>
      </c>
      <c r="I22" s="513">
        <v>1</v>
      </c>
      <c r="J22" s="514">
        <v>0</v>
      </c>
      <c r="K22" s="515">
        <v>0</v>
      </c>
      <c r="L22" s="509">
        <v>0</v>
      </c>
      <c r="M22" s="510">
        <v>0</v>
      </c>
      <c r="N22" s="511">
        <v>0</v>
      </c>
      <c r="O22" s="512"/>
      <c r="Q22" s="512">
        <v>0.05</v>
      </c>
      <c r="R22" s="512">
        <v>0.1</v>
      </c>
      <c r="T22" s="512">
        <v>0</v>
      </c>
      <c r="U22" s="512">
        <v>0</v>
      </c>
      <c r="V22" s="512">
        <v>0</v>
      </c>
      <c r="W22" s="512">
        <v>0</v>
      </c>
      <c r="X22" s="495" t="s">
        <v>376</v>
      </c>
    </row>
    <row r="23" spans="5:24">
      <c r="E23" s="505" t="s">
        <v>393</v>
      </c>
      <c r="G23" s="505" t="s">
        <v>394</v>
      </c>
      <c r="I23" s="513">
        <v>1</v>
      </c>
      <c r="J23" s="514">
        <v>0</v>
      </c>
      <c r="K23" s="515">
        <v>0</v>
      </c>
      <c r="L23" s="509">
        <v>0</v>
      </c>
      <c r="M23" s="510">
        <v>0</v>
      </c>
      <c r="N23" s="511">
        <v>0</v>
      </c>
      <c r="O23" s="512"/>
      <c r="Q23" s="512">
        <v>0</v>
      </c>
      <c r="R23" s="512">
        <v>1</v>
      </c>
      <c r="T23" s="512">
        <v>0</v>
      </c>
      <c r="U23" s="512">
        <v>0</v>
      </c>
      <c r="V23" s="512">
        <v>0</v>
      </c>
      <c r="W23" s="512">
        <v>0</v>
      </c>
      <c r="X23" s="495" t="s">
        <v>376</v>
      </c>
    </row>
    <row r="24" spans="5:24">
      <c r="E24" s="505" t="s">
        <v>395</v>
      </c>
      <c r="G24" s="505" t="s">
        <v>396</v>
      </c>
      <c r="I24" s="513">
        <v>1</v>
      </c>
      <c r="J24" s="514">
        <v>0</v>
      </c>
      <c r="K24" s="515">
        <v>0</v>
      </c>
      <c r="L24" s="509">
        <v>0</v>
      </c>
      <c r="M24" s="510">
        <v>0</v>
      </c>
      <c r="N24" s="511">
        <v>0</v>
      </c>
      <c r="O24" s="512"/>
      <c r="Q24" s="512">
        <v>0</v>
      </c>
      <c r="R24" s="512">
        <v>0</v>
      </c>
      <c r="T24" s="512">
        <v>0</v>
      </c>
      <c r="U24" s="512">
        <v>0</v>
      </c>
      <c r="V24" s="512">
        <v>0</v>
      </c>
      <c r="W24" s="512">
        <v>0</v>
      </c>
      <c r="X24" s="495" t="s">
        <v>376</v>
      </c>
    </row>
    <row r="25" spans="5:24">
      <c r="E25" s="505" t="s">
        <v>397</v>
      </c>
      <c r="G25" s="597" t="s">
        <v>398</v>
      </c>
      <c r="I25" s="513">
        <v>1</v>
      </c>
      <c r="J25" s="514">
        <v>0</v>
      </c>
      <c r="K25" s="515">
        <v>0</v>
      </c>
      <c r="L25" s="509">
        <v>0</v>
      </c>
      <c r="M25" s="510">
        <v>0</v>
      </c>
      <c r="N25" s="511">
        <v>0</v>
      </c>
      <c r="O25" s="512"/>
      <c r="Q25" s="512">
        <v>0</v>
      </c>
      <c r="R25" s="512">
        <v>1</v>
      </c>
      <c r="T25" s="512">
        <v>0</v>
      </c>
      <c r="U25" s="512">
        <v>0</v>
      </c>
      <c r="V25" s="512">
        <v>0</v>
      </c>
      <c r="W25" s="512">
        <v>0</v>
      </c>
      <c r="X25" s="495" t="s">
        <v>376</v>
      </c>
    </row>
    <row r="26" spans="5:24">
      <c r="E26" s="505" t="s">
        <v>399</v>
      </c>
      <c r="G26" s="505" t="s">
        <v>400</v>
      </c>
      <c r="I26" s="513">
        <v>1</v>
      </c>
      <c r="J26" s="514">
        <v>0</v>
      </c>
      <c r="K26" s="515">
        <v>0</v>
      </c>
      <c r="L26" s="509">
        <v>0</v>
      </c>
      <c r="M26" s="510">
        <v>0</v>
      </c>
      <c r="N26" s="511">
        <v>0</v>
      </c>
      <c r="O26" s="512"/>
      <c r="Q26" s="512">
        <v>0</v>
      </c>
      <c r="R26" s="512">
        <v>0</v>
      </c>
      <c r="T26" s="512">
        <v>0</v>
      </c>
      <c r="U26" s="512">
        <v>0</v>
      </c>
      <c r="V26" s="512">
        <v>0</v>
      </c>
      <c r="W26" s="512">
        <v>0</v>
      </c>
      <c r="X26" s="495" t="s">
        <v>376</v>
      </c>
    </row>
    <row r="27" spans="5:24">
      <c r="E27" s="505" t="s">
        <v>401</v>
      </c>
      <c r="G27" s="505" t="s">
        <v>402</v>
      </c>
      <c r="I27" s="516">
        <v>0</v>
      </c>
      <c r="J27" s="514">
        <v>0</v>
      </c>
      <c r="K27" s="519">
        <v>1</v>
      </c>
      <c r="L27" s="509">
        <v>0</v>
      </c>
      <c r="M27" s="510">
        <v>0</v>
      </c>
      <c r="N27" s="511">
        <v>0</v>
      </c>
      <c r="O27" s="512"/>
      <c r="Q27" s="512"/>
      <c r="R27" s="512"/>
      <c r="T27" s="512">
        <v>0</v>
      </c>
      <c r="U27" s="512">
        <v>0</v>
      </c>
      <c r="V27" s="512">
        <v>0</v>
      </c>
      <c r="W27" s="512">
        <v>0</v>
      </c>
      <c r="X27" s="495" t="s">
        <v>376</v>
      </c>
    </row>
    <row r="28" spans="5:24">
      <c r="E28" s="505" t="s">
        <v>403</v>
      </c>
      <c r="G28" s="505" t="s">
        <v>404</v>
      </c>
      <c r="I28" s="516">
        <v>0</v>
      </c>
      <c r="J28" s="514">
        <v>0</v>
      </c>
      <c r="K28" s="519">
        <v>1</v>
      </c>
      <c r="L28" s="509">
        <v>0</v>
      </c>
      <c r="M28" s="510">
        <v>0</v>
      </c>
      <c r="N28" s="511">
        <v>0</v>
      </c>
      <c r="O28" s="512"/>
      <c r="Q28" s="512"/>
      <c r="R28" s="512"/>
      <c r="T28" s="512">
        <v>0</v>
      </c>
      <c r="U28" s="512">
        <v>0</v>
      </c>
      <c r="V28" s="512">
        <v>0</v>
      </c>
      <c r="W28" s="512">
        <v>0</v>
      </c>
      <c r="X28" s="495" t="s">
        <v>376</v>
      </c>
    </row>
    <row r="29" spans="5:24">
      <c r="E29" s="505" t="s">
        <v>405</v>
      </c>
      <c r="G29" s="505" t="s">
        <v>406</v>
      </c>
      <c r="I29" s="513">
        <v>1</v>
      </c>
      <c r="J29" s="514">
        <v>0</v>
      </c>
      <c r="K29" s="515">
        <v>0</v>
      </c>
      <c r="L29" s="509">
        <v>0</v>
      </c>
      <c r="M29" s="510">
        <v>0</v>
      </c>
      <c r="N29" s="511">
        <v>0</v>
      </c>
      <c r="O29" s="512"/>
      <c r="Q29" s="512">
        <v>0.05</v>
      </c>
      <c r="R29" s="512">
        <v>0</v>
      </c>
      <c r="T29" s="512">
        <v>0</v>
      </c>
      <c r="U29" s="512">
        <v>0</v>
      </c>
      <c r="V29" s="512">
        <v>0</v>
      </c>
      <c r="W29" s="512">
        <v>0</v>
      </c>
      <c r="X29" s="495" t="s">
        <v>376</v>
      </c>
    </row>
    <row r="30" spans="5:24">
      <c r="E30" s="505" t="s">
        <v>407</v>
      </c>
      <c r="G30" s="505" t="s">
        <v>408</v>
      </c>
      <c r="I30" s="516">
        <v>0</v>
      </c>
      <c r="J30" s="514">
        <v>0</v>
      </c>
      <c r="K30" s="519">
        <v>1</v>
      </c>
      <c r="L30" s="509">
        <v>0</v>
      </c>
      <c r="M30" s="510">
        <v>0</v>
      </c>
      <c r="N30" s="511">
        <v>0</v>
      </c>
      <c r="O30" s="512"/>
      <c r="Q30" s="512">
        <v>0.05</v>
      </c>
      <c r="R30" s="512">
        <v>0</v>
      </c>
      <c r="T30" s="512">
        <v>0</v>
      </c>
      <c r="U30" s="512">
        <v>0</v>
      </c>
      <c r="V30" s="512">
        <v>0.09</v>
      </c>
      <c r="W30" s="512">
        <v>9.000000000000008E-2</v>
      </c>
      <c r="X30" s="495" t="s">
        <v>364</v>
      </c>
    </row>
    <row r="31" spans="5:24">
      <c r="E31" s="505" t="s">
        <v>409</v>
      </c>
      <c r="G31" s="505" t="s">
        <v>410</v>
      </c>
      <c r="I31" s="516">
        <v>0</v>
      </c>
      <c r="J31" s="514">
        <v>0</v>
      </c>
      <c r="K31" s="515">
        <v>0</v>
      </c>
      <c r="L31" s="520">
        <v>1</v>
      </c>
      <c r="M31" s="510">
        <v>0</v>
      </c>
      <c r="N31" s="511">
        <v>0</v>
      </c>
      <c r="O31" s="512"/>
      <c r="Q31" s="512">
        <v>0</v>
      </c>
      <c r="R31" s="512">
        <v>0</v>
      </c>
      <c r="T31" s="512">
        <v>0</v>
      </c>
      <c r="U31" s="512">
        <v>0</v>
      </c>
      <c r="V31" s="512">
        <v>0</v>
      </c>
      <c r="W31" s="512">
        <v>0</v>
      </c>
      <c r="X31" s="495" t="s">
        <v>364</v>
      </c>
    </row>
    <row r="32" spans="5:24">
      <c r="E32" s="505" t="s">
        <v>411</v>
      </c>
      <c r="G32" s="505" t="s">
        <v>412</v>
      </c>
      <c r="I32" s="513">
        <v>1</v>
      </c>
      <c r="J32" s="514">
        <v>0</v>
      </c>
      <c r="K32" s="515">
        <v>0</v>
      </c>
      <c r="L32" s="509">
        <v>0</v>
      </c>
      <c r="M32" s="510">
        <v>0</v>
      </c>
      <c r="N32" s="511">
        <v>0</v>
      </c>
      <c r="O32" s="512"/>
      <c r="Q32" s="512">
        <v>0.05</v>
      </c>
      <c r="R32" s="512">
        <v>0</v>
      </c>
      <c r="T32" s="512">
        <v>0</v>
      </c>
      <c r="U32" s="512">
        <v>0</v>
      </c>
      <c r="V32" s="512">
        <v>0.09</v>
      </c>
      <c r="W32" s="512">
        <v>9.000000000000008E-2</v>
      </c>
      <c r="X32" s="495" t="s">
        <v>364</v>
      </c>
    </row>
    <row r="33" spans="5:24">
      <c r="E33" s="505" t="s">
        <v>413</v>
      </c>
      <c r="G33" s="505" t="s">
        <v>414</v>
      </c>
      <c r="I33" s="516">
        <v>0</v>
      </c>
      <c r="J33" s="514">
        <v>0</v>
      </c>
      <c r="K33" s="515">
        <v>0</v>
      </c>
      <c r="L33" s="520">
        <v>1</v>
      </c>
      <c r="M33" s="510">
        <v>0</v>
      </c>
      <c r="N33" s="511">
        <v>0</v>
      </c>
      <c r="O33" s="512"/>
      <c r="Q33" s="512">
        <v>0.05</v>
      </c>
      <c r="R33" s="512">
        <v>0</v>
      </c>
      <c r="T33" s="512">
        <v>0</v>
      </c>
      <c r="U33" s="512">
        <v>0</v>
      </c>
      <c r="V33" s="512">
        <v>0</v>
      </c>
      <c r="W33" s="512">
        <v>0</v>
      </c>
      <c r="X33" s="495" t="s">
        <v>376</v>
      </c>
    </row>
    <row r="36" spans="5:24" ht="15.75">
      <c r="E36" s="497" t="s">
        <v>415</v>
      </c>
      <c r="G36" s="497" t="s">
        <v>499</v>
      </c>
    </row>
    <row r="37" spans="5:24">
      <c r="E37" s="521" t="s">
        <v>416</v>
      </c>
      <c r="G37" s="521" t="s">
        <v>417</v>
      </c>
    </row>
    <row r="38" spans="5:24">
      <c r="E38" s="521" t="s">
        <v>418</v>
      </c>
      <c r="G38" s="521" t="s">
        <v>322</v>
      </c>
    </row>
    <row r="39" spans="5:24">
      <c r="E39" s="521" t="s">
        <v>419</v>
      </c>
      <c r="G39" s="521" t="s">
        <v>295</v>
      </c>
    </row>
    <row r="40" spans="5:24">
      <c r="E40" s="521" t="s">
        <v>420</v>
      </c>
      <c r="G40" s="521" t="s">
        <v>300</v>
      </c>
    </row>
    <row r="41" spans="5:24">
      <c r="E41" s="521" t="s">
        <v>421</v>
      </c>
      <c r="G41" s="521" t="s">
        <v>301</v>
      </c>
    </row>
    <row r="42" spans="5:24">
      <c r="E42" s="521" t="s">
        <v>422</v>
      </c>
      <c r="G42" s="521" t="s">
        <v>423</v>
      </c>
    </row>
    <row r="43" spans="5:24">
      <c r="E43" s="521" t="s">
        <v>424</v>
      </c>
      <c r="G43" s="521" t="s">
        <v>305</v>
      </c>
    </row>
    <row r="44" spans="5:24">
      <c r="E44" s="529" t="s">
        <v>425</v>
      </c>
      <c r="G44" s="525" t="s">
        <v>323</v>
      </c>
    </row>
    <row r="45" spans="5:24">
      <c r="E45" s="527" t="s">
        <v>506</v>
      </c>
      <c r="G45" s="526" t="s">
        <v>502</v>
      </c>
      <c r="I45" s="528"/>
    </row>
    <row r="46" spans="5:24">
      <c r="E46" s="527" t="s">
        <v>507</v>
      </c>
      <c r="G46" s="526" t="s">
        <v>503</v>
      </c>
      <c r="I46" s="528"/>
    </row>
    <row r="47" spans="5:24">
      <c r="E47" s="527" t="s">
        <v>525</v>
      </c>
      <c r="G47" s="526" t="s">
        <v>504</v>
      </c>
    </row>
    <row r="48" spans="5:24">
      <c r="E48" s="527" t="s">
        <v>526</v>
      </c>
      <c r="G48" s="526" t="s">
        <v>505</v>
      </c>
    </row>
    <row r="49" spans="5:9">
      <c r="E49" s="527" t="s">
        <v>527</v>
      </c>
      <c r="G49" s="526" t="s">
        <v>529</v>
      </c>
    </row>
    <row r="50" spans="5:9">
      <c r="E50" s="527" t="s">
        <v>528</v>
      </c>
      <c r="G50" s="526" t="s">
        <v>530</v>
      </c>
    </row>
    <row r="51" spans="5:9">
      <c r="E51" s="529" t="s">
        <v>426</v>
      </c>
      <c r="G51" s="525" t="s">
        <v>325</v>
      </c>
      <c r="I51" s="528"/>
    </row>
    <row r="52" spans="5:9">
      <c r="E52" s="527" t="s">
        <v>517</v>
      </c>
      <c r="G52" s="526" t="s">
        <v>515</v>
      </c>
      <c r="I52" s="528"/>
    </row>
    <row r="53" spans="5:9">
      <c r="E53" s="527" t="s">
        <v>518</v>
      </c>
      <c r="G53" s="526" t="s">
        <v>516</v>
      </c>
    </row>
    <row r="54" spans="5:9">
      <c r="E54" s="527" t="s">
        <v>520</v>
      </c>
      <c r="G54" s="526" t="s">
        <v>519</v>
      </c>
      <c r="I54" s="528"/>
    </row>
    <row r="55" spans="5:9">
      <c r="E55" s="527" t="s">
        <v>531</v>
      </c>
      <c r="G55" s="526" t="s">
        <v>533</v>
      </c>
    </row>
    <row r="56" spans="5:9">
      <c r="E56" s="527" t="s">
        <v>532</v>
      </c>
      <c r="G56" s="526" t="s">
        <v>534</v>
      </c>
    </row>
    <row r="57" spans="5:9">
      <c r="E57" s="529" t="s">
        <v>427</v>
      </c>
      <c r="G57" s="525" t="s">
        <v>326</v>
      </c>
    </row>
    <row r="58" spans="5:9">
      <c r="E58" s="527" t="s">
        <v>522</v>
      </c>
      <c r="G58" s="526" t="s">
        <v>521</v>
      </c>
    </row>
    <row r="59" spans="5:9">
      <c r="E59" s="527" t="s">
        <v>523</v>
      </c>
      <c r="G59" s="526" t="s">
        <v>524</v>
      </c>
    </row>
    <row r="60" spans="5:9">
      <c r="E60" s="527" t="s">
        <v>535</v>
      </c>
      <c r="G60" s="526" t="s">
        <v>538</v>
      </c>
      <c r="I60" s="528"/>
    </row>
    <row r="61" spans="5:9">
      <c r="E61" s="527" t="s">
        <v>536</v>
      </c>
      <c r="G61" s="526" t="s">
        <v>539</v>
      </c>
    </row>
    <row r="62" spans="5:9">
      <c r="E62" s="527" t="s">
        <v>537</v>
      </c>
      <c r="G62" s="526" t="s">
        <v>540</v>
      </c>
      <c r="I62" s="528"/>
    </row>
    <row r="63" spans="5:9">
      <c r="E63" s="529" t="s">
        <v>428</v>
      </c>
      <c r="G63" s="525" t="s">
        <v>324</v>
      </c>
      <c r="I63" s="528"/>
    </row>
    <row r="64" spans="5:9">
      <c r="E64" s="527" t="s">
        <v>513</v>
      </c>
      <c r="G64" s="526" t="s">
        <v>508</v>
      </c>
      <c r="I64" s="528"/>
    </row>
    <row r="65" spans="5:7">
      <c r="E65" s="527" t="s">
        <v>514</v>
      </c>
      <c r="G65" s="526" t="s">
        <v>509</v>
      </c>
    </row>
    <row r="66" spans="5:7">
      <c r="E66" s="527" t="s">
        <v>541</v>
      </c>
      <c r="G66" s="526" t="s">
        <v>510</v>
      </c>
    </row>
    <row r="67" spans="5:7">
      <c r="E67" s="527" t="s">
        <v>542</v>
      </c>
      <c r="G67" s="526" t="s">
        <v>511</v>
      </c>
    </row>
    <row r="68" spans="5:7">
      <c r="E68" s="527" t="s">
        <v>543</v>
      </c>
      <c r="G68" s="526" t="s">
        <v>512</v>
      </c>
    </row>
    <row r="69" spans="5:7">
      <c r="E69" s="529" t="s">
        <v>429</v>
      </c>
      <c r="G69" s="525" t="s">
        <v>430</v>
      </c>
    </row>
    <row r="70" spans="5:7">
      <c r="E70" s="521" t="s">
        <v>431</v>
      </c>
      <c r="G70" s="521" t="s">
        <v>307</v>
      </c>
    </row>
    <row r="71" spans="5:7">
      <c r="E71" s="521" t="s">
        <v>432</v>
      </c>
      <c r="G71" s="521" t="s">
        <v>299</v>
      </c>
    </row>
    <row r="72" spans="5:7">
      <c r="E72" s="521" t="s">
        <v>433</v>
      </c>
      <c r="G72" s="521" t="s">
        <v>297</v>
      </c>
    </row>
    <row r="73" spans="5:7">
      <c r="E73" s="521" t="s">
        <v>434</v>
      </c>
      <c r="G73" s="535" t="s">
        <v>544</v>
      </c>
    </row>
    <row r="74" spans="5:7">
      <c r="E74" s="521" t="s">
        <v>435</v>
      </c>
      <c r="G74" s="535" t="s">
        <v>545</v>
      </c>
    </row>
    <row r="75" spans="5:7">
      <c r="E75" s="521" t="s">
        <v>436</v>
      </c>
      <c r="G75" s="535" t="s">
        <v>546</v>
      </c>
    </row>
    <row r="76" spans="5:7">
      <c r="E76" s="888" t="s">
        <v>437</v>
      </c>
      <c r="G76" s="888" t="s">
        <v>547</v>
      </c>
    </row>
    <row r="77" spans="5:7">
      <c r="E77" s="521" t="s">
        <v>438</v>
      </c>
      <c r="G77" s="535" t="s">
        <v>548</v>
      </c>
    </row>
    <row r="78" spans="5:7">
      <c r="E78" s="521" t="s">
        <v>379</v>
      </c>
      <c r="G78" s="535" t="s">
        <v>549</v>
      </c>
    </row>
    <row r="79" spans="5:7">
      <c r="E79" s="521" t="s">
        <v>67</v>
      </c>
      <c r="G79" s="535" t="s">
        <v>550</v>
      </c>
    </row>
    <row r="80" spans="5:7">
      <c r="E80" s="521" t="s">
        <v>439</v>
      </c>
      <c r="G80" s="535" t="s">
        <v>551</v>
      </c>
    </row>
    <row r="81" spans="5:7">
      <c r="E81" s="521" t="s">
        <v>440</v>
      </c>
      <c r="G81" s="535" t="s">
        <v>552</v>
      </c>
    </row>
    <row r="82" spans="5:7">
      <c r="E82" s="521" t="s">
        <v>441</v>
      </c>
      <c r="G82" s="535" t="s">
        <v>553</v>
      </c>
    </row>
    <row r="83" spans="5:7">
      <c r="E83" s="521" t="s">
        <v>442</v>
      </c>
      <c r="G83" s="521" t="s">
        <v>303</v>
      </c>
    </row>
    <row r="84" spans="5:7">
      <c r="E84" s="521" t="s">
        <v>443</v>
      </c>
      <c r="G84" s="521" t="s">
        <v>296</v>
      </c>
    </row>
    <row r="85" spans="5:7">
      <c r="E85" s="521" t="s">
        <v>444</v>
      </c>
      <c r="G85" s="521" t="s">
        <v>298</v>
      </c>
    </row>
    <row r="86" spans="5:7">
      <c r="E86" s="521" t="s">
        <v>445</v>
      </c>
      <c r="G86" s="521" t="s">
        <v>302</v>
      </c>
    </row>
    <row r="87" spans="5:7">
      <c r="E87" s="521" t="s">
        <v>446</v>
      </c>
      <c r="G87" s="521" t="s">
        <v>273</v>
      </c>
    </row>
    <row r="88" spans="5:7">
      <c r="E88" s="521" t="s">
        <v>447</v>
      </c>
      <c r="G88" s="521" t="s">
        <v>304</v>
      </c>
    </row>
    <row r="89" spans="5:7">
      <c r="E89" s="521" t="s">
        <v>448</v>
      </c>
      <c r="G89" s="521" t="s">
        <v>57</v>
      </c>
    </row>
    <row r="90" spans="5:7">
      <c r="E90" s="521" t="s">
        <v>449</v>
      </c>
      <c r="G90" s="521" t="s">
        <v>58</v>
      </c>
    </row>
    <row r="91" spans="5:7">
      <c r="E91" s="521" t="s">
        <v>450</v>
      </c>
      <c r="G91" s="521" t="s">
        <v>451</v>
      </c>
    </row>
    <row r="92" spans="5:7">
      <c r="E92" s="521" t="s">
        <v>501</v>
      </c>
      <c r="G92" s="521" t="s">
        <v>36</v>
      </c>
    </row>
    <row r="93" spans="5:7">
      <c r="E93" s="535" t="s">
        <v>554</v>
      </c>
      <c r="G93" s="535" t="s">
        <v>261</v>
      </c>
    </row>
    <row r="94" spans="5:7">
      <c r="E94" s="521" t="s">
        <v>356</v>
      </c>
      <c r="G94" s="521" t="s">
        <v>356</v>
      </c>
    </row>
    <row r="96" spans="5:7" ht="15.75">
      <c r="E96" s="497" t="s">
        <v>452</v>
      </c>
      <c r="G96" s="497" t="s">
        <v>453</v>
      </c>
    </row>
    <row r="97" spans="4:10">
      <c r="E97" s="522" t="s">
        <v>454</v>
      </c>
      <c r="G97" s="522" t="s">
        <v>197</v>
      </c>
    </row>
    <row r="98" spans="4:10">
      <c r="E98" s="522" t="s">
        <v>455</v>
      </c>
      <c r="G98" s="522" t="s">
        <v>15</v>
      </c>
    </row>
    <row r="99" spans="4:10">
      <c r="E99" s="522" t="s">
        <v>456</v>
      </c>
      <c r="G99" s="522" t="s">
        <v>190</v>
      </c>
    </row>
    <row r="100" spans="4:10">
      <c r="E100" s="522" t="s">
        <v>457</v>
      </c>
      <c r="G100" s="522" t="s">
        <v>458</v>
      </c>
    </row>
    <row r="101" spans="4:10">
      <c r="E101" s="522" t="s">
        <v>459</v>
      </c>
      <c r="G101" s="522" t="s">
        <v>460</v>
      </c>
    </row>
    <row r="102" spans="4:10">
      <c r="E102" s="522" t="s">
        <v>461</v>
      </c>
      <c r="G102" s="522" t="s">
        <v>462</v>
      </c>
    </row>
    <row r="103" spans="4:10">
      <c r="E103" s="522" t="s">
        <v>463</v>
      </c>
      <c r="G103" s="522" t="s">
        <v>252</v>
      </c>
    </row>
    <row r="104" spans="4:10">
      <c r="E104" s="522" t="s">
        <v>464</v>
      </c>
      <c r="G104" s="522" t="s">
        <v>464</v>
      </c>
    </row>
    <row r="105" spans="4:10">
      <c r="E105" s="522" t="s">
        <v>465</v>
      </c>
      <c r="G105" s="522" t="s">
        <v>465</v>
      </c>
    </row>
    <row r="106" spans="4:10">
      <c r="E106" s="522" t="s">
        <v>466</v>
      </c>
      <c r="G106" s="522" t="s">
        <v>466</v>
      </c>
    </row>
    <row r="108" spans="4:10" ht="15.75">
      <c r="E108" s="497" t="s">
        <v>467</v>
      </c>
    </row>
    <row r="109" spans="4:10">
      <c r="D109" s="495" t="s">
        <v>468</v>
      </c>
      <c r="E109" s="523"/>
      <c r="G109" s="523"/>
      <c r="I109" s="523" t="s">
        <v>469</v>
      </c>
      <c r="J109" s="523" t="s">
        <v>470</v>
      </c>
    </row>
    <row r="110" spans="4:10">
      <c r="E110" s="524" t="s">
        <v>471</v>
      </c>
      <c r="G110" s="524" t="s">
        <v>472</v>
      </c>
      <c r="I110" s="524" t="s">
        <v>473</v>
      </c>
      <c r="J110" s="524" t="s">
        <v>197</v>
      </c>
    </row>
    <row r="111" spans="4:10">
      <c r="E111" s="524" t="s">
        <v>474</v>
      </c>
      <c r="G111" s="524" t="s">
        <v>475</v>
      </c>
      <c r="I111" s="524" t="s">
        <v>476</v>
      </c>
      <c r="J111" s="524" t="s">
        <v>15</v>
      </c>
    </row>
    <row r="112" spans="4:10">
      <c r="E112" s="524" t="s">
        <v>477</v>
      </c>
      <c r="G112" s="524" t="s">
        <v>366</v>
      </c>
      <c r="I112" s="524" t="s">
        <v>478</v>
      </c>
      <c r="J112" s="524" t="s">
        <v>190</v>
      </c>
    </row>
    <row r="113" spans="4:10">
      <c r="E113" s="524" t="s">
        <v>479</v>
      </c>
      <c r="G113" s="524" t="s">
        <v>480</v>
      </c>
      <c r="I113" s="524" t="s">
        <v>476</v>
      </c>
      <c r="J113" s="571" t="s">
        <v>560</v>
      </c>
    </row>
    <row r="114" spans="4:10">
      <c r="E114" s="524" t="s">
        <v>481</v>
      </c>
      <c r="G114" s="524" t="s">
        <v>372</v>
      </c>
      <c r="I114" s="524" t="s">
        <v>482</v>
      </c>
      <c r="J114" s="571" t="s">
        <v>559</v>
      </c>
    </row>
    <row r="115" spans="4:10">
      <c r="D115" s="495" t="s">
        <v>483</v>
      </c>
      <c r="E115" s="523"/>
      <c r="G115" s="523"/>
      <c r="I115" s="523"/>
      <c r="J115" s="523"/>
    </row>
    <row r="116" spans="4:10">
      <c r="E116" s="524" t="s">
        <v>484</v>
      </c>
      <c r="G116" s="524" t="s">
        <v>485</v>
      </c>
      <c r="I116" s="524" t="s">
        <v>486</v>
      </c>
      <c r="J116" s="571" t="s">
        <v>561</v>
      </c>
    </row>
    <row r="117" spans="4:10">
      <c r="E117" s="524" t="s">
        <v>487</v>
      </c>
      <c r="G117" s="524" t="s">
        <v>488</v>
      </c>
      <c r="I117" s="524" t="s">
        <v>476</v>
      </c>
      <c r="J117" s="571" t="s">
        <v>560</v>
      </c>
    </row>
    <row r="118" spans="4:10">
      <c r="E118" s="524" t="s">
        <v>489</v>
      </c>
      <c r="G118" s="524" t="s">
        <v>490</v>
      </c>
      <c r="I118" s="524" t="s">
        <v>476</v>
      </c>
      <c r="J118" s="571" t="s">
        <v>560</v>
      </c>
    </row>
    <row r="119" spans="4:10">
      <c r="D119" s="495" t="s">
        <v>491</v>
      </c>
      <c r="E119" s="523"/>
      <c r="G119" s="523"/>
      <c r="I119" s="523"/>
      <c r="J119" s="523"/>
    </row>
    <row r="120" spans="4:10">
      <c r="D120" s="495" t="s">
        <v>14</v>
      </c>
      <c r="E120" s="524" t="s">
        <v>492</v>
      </c>
      <c r="G120" s="524" t="s">
        <v>493</v>
      </c>
      <c r="I120" s="524" t="s">
        <v>494</v>
      </c>
      <c r="J120" s="571" t="s">
        <v>560</v>
      </c>
    </row>
    <row r="121" spans="4:10">
      <c r="E121" s="524" t="s">
        <v>495</v>
      </c>
      <c r="G121" s="524" t="s">
        <v>496</v>
      </c>
      <c r="I121" s="524" t="s">
        <v>494</v>
      </c>
      <c r="J121" s="571" t="s">
        <v>560</v>
      </c>
    </row>
    <row r="122" spans="4:10">
      <c r="E122" s="524" t="s">
        <v>497</v>
      </c>
      <c r="G122" s="524" t="s">
        <v>445</v>
      </c>
      <c r="I122" s="524" t="s">
        <v>494</v>
      </c>
      <c r="J122" s="571" t="s">
        <v>560</v>
      </c>
    </row>
    <row r="123" spans="4:10">
      <c r="E123" s="496" t="s">
        <v>498</v>
      </c>
      <c r="F123" s="496"/>
      <c r="G123" s="496"/>
      <c r="J123" s="496"/>
    </row>
    <row r="124" spans="4:10">
      <c r="E124" s="524" t="s">
        <v>15</v>
      </c>
      <c r="G124" s="571" t="s">
        <v>562</v>
      </c>
      <c r="J124" s="524" t="s">
        <v>15</v>
      </c>
    </row>
    <row r="125" spans="4:10">
      <c r="E125" s="524" t="s">
        <v>197</v>
      </c>
      <c r="G125" s="571" t="s">
        <v>563</v>
      </c>
      <c r="J125" s="524" t="s">
        <v>197</v>
      </c>
    </row>
    <row r="126" spans="4:10">
      <c r="E126" s="524" t="s">
        <v>190</v>
      </c>
      <c r="G126" s="571" t="s">
        <v>564</v>
      </c>
      <c r="J126" s="524" t="s">
        <v>190</v>
      </c>
    </row>
    <row r="127" spans="4:10">
      <c r="E127" s="524" t="s">
        <v>356</v>
      </c>
      <c r="G127" s="571" t="s">
        <v>252</v>
      </c>
      <c r="J127" s="571" t="s">
        <v>252</v>
      </c>
    </row>
  </sheetData>
  <mergeCells count="1">
    <mergeCell ref="I6:O6"/>
  </mergeCells>
  <printOptions horizontalCentered="1"/>
  <pageMargins left="0.59055118110236227" right="0.59055118110236227" top="0.59055118110236227" bottom="0.55118110236220474" header="0.31496062992125984" footer="0.31496062992125984"/>
  <pageSetup paperSize="8" scale="4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C00000"/>
    <pageSetUpPr fitToPage="1"/>
  </sheetPr>
  <dimension ref="A1:AR1138"/>
  <sheetViews>
    <sheetView showGridLines="0" zoomScale="75" zoomScaleNormal="75" workbookViewId="0">
      <pane xSplit="7" ySplit="7" topLeftCell="H25" activePane="bottomRight" state="frozen"/>
      <selection pane="topRight" activeCell="H1" sqref="H1"/>
      <selection pane="bottomLeft" activeCell="A8" sqref="A8"/>
      <selection pane="bottomRight" activeCell="N25" sqref="N25"/>
    </sheetView>
  </sheetViews>
  <sheetFormatPr defaultColWidth="9.140625" defaultRowHeight="13.5" outlineLevelRow="1" outlineLevelCol="1"/>
  <cols>
    <col min="1" max="1" width="3.85546875" style="140" hidden="1" customWidth="1"/>
    <col min="2" max="2" width="8.7109375" style="141" customWidth="1"/>
    <col min="3" max="3" width="8.7109375" style="95" customWidth="1"/>
    <col min="4" max="5" width="5.42578125" style="99" customWidth="1"/>
    <col min="6" max="6" width="5.42578125" style="548" customWidth="1"/>
    <col min="7" max="7" width="72.42578125" style="99" customWidth="1"/>
    <col min="8" max="8" width="13" style="577" customWidth="1"/>
    <col min="9" max="9" width="12.7109375" style="595" customWidth="1"/>
    <col min="10" max="10" width="8.42578125" style="548" customWidth="1" outlineLevel="1"/>
    <col min="11" max="11" width="9" style="548" bestFit="1" customWidth="1" outlineLevel="1"/>
    <col min="12" max="12" width="9.140625" style="548" customWidth="1" outlineLevel="1"/>
    <col min="13" max="13" width="7.7109375" style="548" customWidth="1" outlineLevel="1"/>
    <col min="14" max="14" width="9" style="548" customWidth="1"/>
    <col min="15" max="15" width="12.85546875" style="548" customWidth="1" outlineLevel="1"/>
    <col min="16" max="16" width="11.5703125" style="548" customWidth="1" outlineLevel="1"/>
    <col min="17" max="17" width="12.7109375" style="548" customWidth="1" outlineLevel="1"/>
    <col min="18" max="18" width="12.85546875" style="548" customWidth="1" outlineLevel="1"/>
    <col min="19" max="19" width="15.42578125" style="575" customWidth="1"/>
    <col min="20" max="20" width="13.28515625" style="630" customWidth="1" outlineLevel="1"/>
    <col min="21" max="21" width="10.85546875" style="631" customWidth="1" outlineLevel="1"/>
    <col min="22" max="22" width="12.28515625" style="631" customWidth="1" outlineLevel="1"/>
    <col min="23" max="23" width="10.140625" style="631" customWidth="1" outlineLevel="1"/>
    <col min="24" max="24" width="13.5703125" style="631" customWidth="1"/>
    <col min="25" max="25" width="15.42578125" style="548" customWidth="1"/>
    <col min="26" max="26" width="12.7109375" style="548" customWidth="1" outlineLevel="1"/>
    <col min="27" max="27" width="15.28515625" style="548" customWidth="1" outlineLevel="1"/>
    <col min="28" max="28" width="13.42578125" style="548" customWidth="1" outlineLevel="1"/>
    <col min="29" max="29" width="12.5703125" style="548" customWidth="1"/>
    <col min="30" max="30" width="15.7109375" style="743" customWidth="1" outlineLevel="1"/>
    <col min="31" max="31" width="20.42578125" style="743" customWidth="1"/>
    <col min="32" max="32" width="28.5703125" style="577" customWidth="1" outlineLevel="1"/>
    <col min="33" max="33" width="23.28515625" style="577" customWidth="1" outlineLevel="1"/>
    <col min="34" max="34" width="18.85546875" style="577" customWidth="1" outlineLevel="1"/>
    <col min="35" max="35" width="15" style="577" customWidth="1"/>
    <col min="36" max="36" width="2.140625" style="548" customWidth="1"/>
    <col min="37" max="37" width="13.140625" style="1380" customWidth="1"/>
    <col min="38" max="38" width="16" style="1380" customWidth="1"/>
    <col min="39" max="39" width="3" style="548" customWidth="1"/>
    <col min="40" max="40" width="59.7109375" style="548" customWidth="1"/>
    <col min="41" max="41" width="11.85546875" style="548" customWidth="1"/>
    <col min="42" max="42" width="9.140625" style="548"/>
    <col min="43" max="43" width="11" style="548" customWidth="1"/>
    <col min="44" max="16384" width="9.140625" style="548"/>
  </cols>
  <sheetData>
    <row r="1" spans="1:38" s="545" customFormat="1">
      <c r="A1" s="30"/>
      <c r="B1" s="550"/>
      <c r="C1" s="551"/>
      <c r="D1" s="552" t="s">
        <v>39</v>
      </c>
      <c r="E1" s="546"/>
      <c r="G1" s="66"/>
      <c r="H1" s="561"/>
      <c r="I1" s="594"/>
      <c r="J1" s="546"/>
      <c r="K1" s="546"/>
      <c r="L1" s="546"/>
      <c r="M1" s="546"/>
      <c r="N1" s="546"/>
      <c r="O1" s="546" t="s">
        <v>14</v>
      </c>
      <c r="P1" s="546"/>
      <c r="Q1" s="546"/>
      <c r="R1" s="546"/>
      <c r="S1" s="552"/>
      <c r="T1" s="604"/>
      <c r="U1" s="605"/>
      <c r="V1" s="605"/>
      <c r="W1" s="605"/>
      <c r="X1" s="605"/>
      <c r="Y1" s="546"/>
      <c r="Z1" s="546"/>
      <c r="AA1" s="546"/>
      <c r="AB1" s="546"/>
      <c r="AC1" s="546"/>
      <c r="AD1" s="648"/>
      <c r="AE1" s="648"/>
      <c r="AF1" s="561"/>
      <c r="AG1" s="561"/>
      <c r="AH1" s="561"/>
      <c r="AI1" s="577"/>
      <c r="AK1" s="574"/>
      <c r="AL1" s="574"/>
    </row>
    <row r="2" spans="1:38" s="545" customFormat="1">
      <c r="A2" s="30"/>
      <c r="B2" s="550"/>
      <c r="C2" s="551"/>
      <c r="D2" s="552" t="s">
        <v>707</v>
      </c>
      <c r="E2" s="546"/>
      <c r="G2" s="66"/>
      <c r="H2" s="561"/>
      <c r="I2" s="594"/>
      <c r="J2" s="546"/>
      <c r="K2" s="546"/>
      <c r="L2" s="546"/>
      <c r="M2" s="546"/>
      <c r="N2" s="546"/>
      <c r="O2" s="546"/>
      <c r="P2" s="546"/>
      <c r="Q2" s="546"/>
      <c r="R2" s="546"/>
      <c r="S2" s="552"/>
      <c r="T2" s="604"/>
      <c r="U2" s="605"/>
      <c r="V2" s="605"/>
      <c r="W2" s="605"/>
      <c r="X2" s="605"/>
      <c r="Y2" s="546"/>
      <c r="Z2" s="546"/>
      <c r="AA2" s="546"/>
      <c r="AB2" s="546"/>
      <c r="AC2" s="546"/>
      <c r="AD2" s="648"/>
      <c r="AE2" s="648"/>
      <c r="AF2" s="561"/>
      <c r="AG2" s="561"/>
      <c r="AH2" s="561"/>
      <c r="AI2" s="577"/>
      <c r="AK2" s="574"/>
      <c r="AL2" s="574"/>
    </row>
    <row r="3" spans="1:38" s="545" customFormat="1">
      <c r="A3" s="30"/>
      <c r="B3" s="550"/>
      <c r="C3" s="551"/>
      <c r="D3" s="552" t="s">
        <v>15</v>
      </c>
      <c r="E3" s="546"/>
      <c r="G3" s="66" t="s">
        <v>14</v>
      </c>
      <c r="I3" s="594"/>
      <c r="J3" s="561"/>
      <c r="K3" s="546"/>
      <c r="L3" s="546"/>
      <c r="M3" s="546"/>
      <c r="N3" s="546"/>
      <c r="O3" s="546"/>
      <c r="P3" s="546"/>
      <c r="Q3" s="546"/>
      <c r="R3" s="546"/>
      <c r="S3" s="552"/>
      <c r="T3" s="604"/>
      <c r="U3" s="605"/>
      <c r="V3" s="605"/>
      <c r="W3" s="605"/>
      <c r="X3" s="605"/>
      <c r="Y3" s="546"/>
      <c r="Z3" s="546"/>
      <c r="AA3" s="546"/>
      <c r="AB3" s="546"/>
      <c r="AC3" s="546"/>
      <c r="AD3" s="648"/>
      <c r="AE3" s="648"/>
      <c r="AF3" s="561"/>
      <c r="AG3" s="561"/>
      <c r="AH3" s="561"/>
      <c r="AI3" s="577"/>
      <c r="AK3" s="574"/>
      <c r="AL3" s="574"/>
    </row>
    <row r="4" spans="1:38" s="545" customFormat="1">
      <c r="A4" s="30"/>
      <c r="B4" s="554"/>
      <c r="C4" s="555"/>
      <c r="D4" s="546"/>
      <c r="E4" s="546"/>
      <c r="F4" s="546"/>
      <c r="G4" s="66" t="s">
        <v>14</v>
      </c>
      <c r="H4" s="561"/>
      <c r="I4" s="594"/>
      <c r="J4" s="546"/>
      <c r="K4" s="546"/>
      <c r="L4" s="546"/>
      <c r="M4" s="546"/>
      <c r="O4" s="546"/>
      <c r="P4" s="546"/>
      <c r="Q4" s="546"/>
      <c r="R4" s="546"/>
      <c r="S4" s="552"/>
      <c r="T4" s="604"/>
      <c r="U4" s="605"/>
      <c r="V4" s="605"/>
      <c r="W4" s="605"/>
      <c r="X4" s="605"/>
      <c r="Y4" s="546"/>
      <c r="Z4" s="546"/>
      <c r="AA4" s="546"/>
      <c r="AB4" s="546"/>
      <c r="AC4" s="546"/>
      <c r="AD4" s="648"/>
      <c r="AE4" s="648"/>
      <c r="AF4" s="561"/>
      <c r="AG4" s="561"/>
      <c r="AH4" s="561"/>
      <c r="AI4" s="577"/>
      <c r="AK4" s="574"/>
      <c r="AL4" s="574"/>
    </row>
    <row r="5" spans="1:38" s="545" customFormat="1" ht="15.75" customHeight="1">
      <c r="A5" s="30"/>
      <c r="B5" s="489"/>
      <c r="C5" s="377"/>
      <c r="D5" s="491"/>
      <c r="E5" s="70"/>
      <c r="F5" s="70"/>
      <c r="G5" s="375"/>
      <c r="H5" s="606"/>
      <c r="I5" s="2355" t="s">
        <v>317</v>
      </c>
      <c r="J5" s="660"/>
      <c r="K5" s="607"/>
      <c r="L5" s="607"/>
      <c r="M5" s="607"/>
      <c r="N5" s="608"/>
      <c r="O5" s="607"/>
      <c r="P5" s="607"/>
      <c r="Q5" s="607"/>
      <c r="R5" s="607"/>
      <c r="S5" s="608"/>
      <c r="T5" s="706"/>
      <c r="U5" s="704"/>
      <c r="V5" s="704"/>
      <c r="W5" s="704"/>
      <c r="X5" s="705"/>
      <c r="Y5" s="707"/>
      <c r="Z5" s="708"/>
      <c r="AA5" s="708"/>
      <c r="AB5" s="708"/>
      <c r="AC5" s="709"/>
      <c r="AD5" s="648"/>
      <c r="AE5" s="648"/>
      <c r="AF5" s="572"/>
      <c r="AG5" s="572"/>
      <c r="AH5" s="572"/>
      <c r="AI5" s="879"/>
      <c r="AK5" s="574"/>
      <c r="AL5" s="574"/>
    </row>
    <row r="6" spans="1:38" s="545" customFormat="1" ht="25.5">
      <c r="A6" s="30"/>
      <c r="B6" s="488" t="s">
        <v>0</v>
      </c>
      <c r="C6" s="378" t="s">
        <v>500</v>
      </c>
      <c r="D6" s="492"/>
      <c r="E6" s="493"/>
      <c r="F6" s="493"/>
      <c r="G6" s="376" t="s">
        <v>6</v>
      </c>
      <c r="H6" s="609" t="s">
        <v>1</v>
      </c>
      <c r="I6" s="2356"/>
      <c r="J6" s="736" t="s">
        <v>3</v>
      </c>
      <c r="K6" s="737"/>
      <c r="L6" s="737"/>
      <c r="M6" s="737"/>
      <c r="N6" s="738"/>
      <c r="O6" s="736" t="s">
        <v>318</v>
      </c>
      <c r="P6" s="737"/>
      <c r="Q6" s="737"/>
      <c r="R6" s="737"/>
      <c r="S6" s="738"/>
      <c r="T6" s="739" t="s">
        <v>345</v>
      </c>
      <c r="U6" s="740"/>
      <c r="V6" s="740"/>
      <c r="W6" s="740"/>
      <c r="X6" s="741"/>
      <c r="Y6" s="736" t="s">
        <v>587</v>
      </c>
      <c r="Z6" s="737"/>
      <c r="AA6" s="737"/>
      <c r="AB6" s="737"/>
      <c r="AC6" s="738"/>
      <c r="AD6" s="648"/>
      <c r="AE6" s="648"/>
      <c r="AF6" s="570" t="s">
        <v>556</v>
      </c>
      <c r="AG6" s="570" t="s">
        <v>555</v>
      </c>
      <c r="AH6" s="570" t="s">
        <v>470</v>
      </c>
      <c r="AI6" s="570" t="s">
        <v>557</v>
      </c>
      <c r="AK6" s="574"/>
      <c r="AL6" s="574"/>
    </row>
    <row r="7" spans="1:38" s="574" customFormat="1">
      <c r="A7" s="367"/>
      <c r="B7" s="490"/>
      <c r="C7" s="368" t="s">
        <v>14</v>
      </c>
      <c r="D7" s="371"/>
      <c r="E7" s="372"/>
      <c r="F7" s="372"/>
      <c r="G7" s="369"/>
      <c r="H7" s="609"/>
      <c r="I7" s="659"/>
      <c r="J7" s="661" t="s">
        <v>7</v>
      </c>
      <c r="K7" s="610" t="s">
        <v>8</v>
      </c>
      <c r="L7" s="610" t="s">
        <v>9</v>
      </c>
      <c r="M7" s="610" t="s">
        <v>10</v>
      </c>
      <c r="N7" s="611" t="s">
        <v>11</v>
      </c>
      <c r="O7" s="610" t="s">
        <v>7</v>
      </c>
      <c r="P7" s="610" t="s">
        <v>8</v>
      </c>
      <c r="Q7" s="610" t="s">
        <v>9</v>
      </c>
      <c r="R7" s="610" t="s">
        <v>10</v>
      </c>
      <c r="S7" s="611" t="s">
        <v>11</v>
      </c>
      <c r="T7" s="612" t="s">
        <v>26</v>
      </c>
      <c r="U7" s="612" t="s">
        <v>48</v>
      </c>
      <c r="V7" s="612" t="s">
        <v>49</v>
      </c>
      <c r="W7" s="612" t="s">
        <v>50</v>
      </c>
      <c r="X7" s="613" t="s">
        <v>51</v>
      </c>
      <c r="Y7" s="614" t="s">
        <v>26</v>
      </c>
      <c r="Z7" s="612" t="s">
        <v>48</v>
      </c>
      <c r="AA7" s="612" t="s">
        <v>49</v>
      </c>
      <c r="AB7" s="612" t="s">
        <v>50</v>
      </c>
      <c r="AC7" s="613" t="s">
        <v>51</v>
      </c>
      <c r="AD7" s="649"/>
      <c r="AE7" s="649"/>
      <c r="AF7" s="573"/>
      <c r="AG7" s="573"/>
      <c r="AH7" s="573"/>
      <c r="AI7" s="880"/>
    </row>
    <row r="8" spans="1:38" ht="15">
      <c r="A8" s="102"/>
      <c r="B8" s="103" t="s">
        <v>173</v>
      </c>
      <c r="C8" s="104"/>
      <c r="D8" s="61" t="s">
        <v>12</v>
      </c>
      <c r="E8" s="273"/>
      <c r="F8" s="541"/>
      <c r="G8" s="719"/>
      <c r="H8" s="556"/>
      <c r="I8" s="581"/>
      <c r="J8" s="616"/>
      <c r="K8" s="662"/>
      <c r="L8" s="662"/>
      <c r="M8" s="662"/>
      <c r="N8" s="663"/>
      <c r="O8" s="601"/>
      <c r="P8" s="601"/>
      <c r="Q8" s="601"/>
      <c r="R8" s="601"/>
      <c r="S8" s="615"/>
      <c r="T8" s="314"/>
      <c r="U8" s="315"/>
      <c r="V8" s="315"/>
      <c r="W8" s="315"/>
      <c r="X8" s="710"/>
      <c r="Y8" s="712"/>
      <c r="Z8" s="713"/>
      <c r="AA8" s="713"/>
      <c r="AB8" s="713"/>
      <c r="AC8" s="714"/>
      <c r="AD8" s="602"/>
      <c r="AE8" s="602"/>
      <c r="AF8" s="568"/>
      <c r="AG8" s="568"/>
      <c r="AH8" s="568" t="str">
        <f>IFERROR(INDEX('Annex 2_Code'!$J$110:$J$122,MATCH('Annex 3_MAFF'!AF8,'Annex 2_Code'!$G$110:$G$122,0)),"")</f>
        <v/>
      </c>
      <c r="AI8" s="881"/>
    </row>
    <row r="9" spans="1:38" s="366" customFormat="1">
      <c r="A9" s="102"/>
      <c r="B9" s="93" t="s">
        <v>173</v>
      </c>
      <c r="C9" s="89"/>
      <c r="D9" s="107" t="s">
        <v>601</v>
      </c>
      <c r="E9" s="312"/>
      <c r="F9" s="310"/>
      <c r="G9" s="724"/>
      <c r="H9" s="562"/>
      <c r="I9" s="563"/>
      <c r="J9" s="671"/>
      <c r="K9" s="672"/>
      <c r="L9" s="672"/>
      <c r="M9" s="672"/>
      <c r="N9" s="673"/>
      <c r="O9" s="688"/>
      <c r="P9" s="689"/>
      <c r="Q9" s="689"/>
      <c r="R9" s="689"/>
      <c r="S9" s="564"/>
      <c r="T9" s="618" t="str">
        <f>IFERROR(INDEX('Annex 2_Code'!I$8:I$33,MATCH('Annex 3_MAFF'!$AG9,'Annex 2_Code'!$G$8:$G$33,0)),"")</f>
        <v/>
      </c>
      <c r="U9" s="618" t="str">
        <f>IFERROR(INDEX('Annex 2_Code'!J$8:J$33,MATCH('Annex 3_MAFF'!$AG9,'Annex 2_Code'!$G$8:$G$33,0)),"")</f>
        <v/>
      </c>
      <c r="V9" s="618" t="str">
        <f>IFERROR(INDEX('Annex 2_Code'!K$8:K$33,MATCH('Annex 3_MAFF'!$AG9,'Annex 2_Code'!$G$8:$G$33,0)),"")</f>
        <v/>
      </c>
      <c r="W9" s="618" t="str">
        <f>IFERROR(INDEX('Annex 2_Code'!L$8:L$33,MATCH('Annex 3_MAFF'!$AG9,'Annex 2_Code'!$G$8:$G$33,0)),"")</f>
        <v/>
      </c>
      <c r="X9" s="618" t="str">
        <f>IFERROR(INDEX('Annex 2_Code'!M$8:M$33,MATCH('Annex 3_MAFF'!$AG9,'Annex 2_Code'!$G$8:$G$33,0)),"")</f>
        <v/>
      </c>
      <c r="Y9" s="1533" t="str">
        <f t="shared" ref="Y9:Y10" si="0">IFERROR($S9*T9,"")</f>
        <v/>
      </c>
      <c r="Z9" s="717" t="str">
        <f t="shared" ref="Z9:Z10" si="1">IFERROR($S9*U9,"")</f>
        <v/>
      </c>
      <c r="AA9" s="717" t="str">
        <f t="shared" ref="AA9:AA60" si="2">IFERROR($S9*V9,"")</f>
        <v/>
      </c>
      <c r="AB9" s="717" t="str">
        <f t="shared" ref="AB9:AB10" si="3">IFERROR($S9*W9,"")</f>
        <v/>
      </c>
      <c r="AC9" s="718" t="str">
        <f t="shared" ref="AC9:AC10" si="4">IFERROR($S9*X9,"")</f>
        <v/>
      </c>
      <c r="AD9" s="626">
        <f t="shared" ref="AD9:AD141" si="5">SUM(Y9:AC9)</f>
        <v>0</v>
      </c>
      <c r="AE9" s="627">
        <f t="shared" ref="AE9:AE141" si="6">AD9-S9</f>
        <v>0</v>
      </c>
      <c r="AF9" s="570"/>
      <c r="AG9" s="570"/>
      <c r="AH9" s="568" t="str">
        <f>IFERROR(INDEX('Annex 2_Code'!$J$110:$J$122,MATCH('Annex 3_MAFF'!AF9,'Annex 2_Code'!$G$110:$G$122,0)),"")</f>
        <v/>
      </c>
      <c r="AI9" s="882" t="str">
        <f t="shared" ref="AI9:AI10" si="7">IF(ISNUMBER(FIND("-",AH9,1))=FALSE,LEFT(AH9,LEN(AH9)),LEFT(AH9,(FIND("-",AH9,1))-1))</f>
        <v/>
      </c>
      <c r="AK9" s="1383"/>
      <c r="AL9" s="1383"/>
    </row>
    <row r="10" spans="1:38" s="575" customFormat="1" ht="15.75">
      <c r="A10" s="102"/>
      <c r="B10" s="103" t="s">
        <v>173</v>
      </c>
      <c r="C10" s="104"/>
      <c r="D10" s="1151" t="s">
        <v>774</v>
      </c>
      <c r="E10" s="445"/>
      <c r="F10" s="1142"/>
      <c r="G10" s="1143"/>
      <c r="H10" s="1144"/>
      <c r="I10" s="1145"/>
      <c r="J10" s="1146"/>
      <c r="K10" s="1147"/>
      <c r="L10" s="1147"/>
      <c r="M10" s="1147"/>
      <c r="N10" s="615"/>
      <c r="O10" s="1148"/>
      <c r="P10" s="1148"/>
      <c r="Q10" s="1148"/>
      <c r="R10" s="1148"/>
      <c r="S10" s="615"/>
      <c r="T10" s="618" t="str">
        <f>IFERROR(INDEX('Annex 2_Code'!I$8:I$33,MATCH('Annex 3_MAFF'!$AG10,'Annex 2_Code'!$G$8:$G$33,0)),"")</f>
        <v/>
      </c>
      <c r="U10" s="618" t="str">
        <f>IFERROR(INDEX('Annex 2_Code'!J$8:J$33,MATCH('Annex 3_MAFF'!$AG10,'Annex 2_Code'!$G$8:$G$33,0)),"")</f>
        <v/>
      </c>
      <c r="V10" s="618" t="str">
        <f>IFERROR(INDEX('Annex 2_Code'!K$8:K$33,MATCH('Annex 3_MAFF'!$AG10,'Annex 2_Code'!$G$8:$G$33,0)),"")</f>
        <v/>
      </c>
      <c r="W10" s="618" t="str">
        <f>IFERROR(INDEX('Annex 2_Code'!L$8:L$33,MATCH('Annex 3_MAFF'!$AG10,'Annex 2_Code'!$G$8:$G$33,0)),"")</f>
        <v/>
      </c>
      <c r="X10" s="618" t="str">
        <f>IFERROR(INDEX('Annex 2_Code'!M$8:M$33,MATCH('Annex 3_MAFF'!$AG10,'Annex 2_Code'!$G$8:$G$33,0)),"")</f>
        <v/>
      </c>
      <c r="Y10" s="1533" t="str">
        <f t="shared" si="0"/>
        <v/>
      </c>
      <c r="Z10" s="717" t="str">
        <f t="shared" si="1"/>
        <v/>
      </c>
      <c r="AA10" s="717" t="str">
        <f t="shared" si="2"/>
        <v/>
      </c>
      <c r="AB10" s="717" t="str">
        <f t="shared" si="3"/>
        <v/>
      </c>
      <c r="AC10" s="718" t="str">
        <f t="shared" si="4"/>
        <v/>
      </c>
      <c r="AD10" s="602"/>
      <c r="AE10" s="602"/>
      <c r="AF10" s="570"/>
      <c r="AG10" s="570"/>
      <c r="AH10" s="568" t="str">
        <f>IFERROR(INDEX('Annex 2_Code'!$J$110:$J$122,MATCH('Annex 3_MAFF'!AF10,'Annex 2_Code'!$G$110:$G$122,0)),"")</f>
        <v/>
      </c>
      <c r="AI10" s="882" t="str">
        <f t="shared" si="7"/>
        <v/>
      </c>
      <c r="AK10" s="1381"/>
      <c r="AL10" s="1381"/>
    </row>
    <row r="11" spans="1:38" s="542" customFormat="1" outlineLevel="1">
      <c r="A11" s="102"/>
      <c r="B11" s="76" t="s">
        <v>24</v>
      </c>
      <c r="C11" s="77" t="s">
        <v>295</v>
      </c>
      <c r="D11" s="421"/>
      <c r="E11" s="1935" t="s">
        <v>40</v>
      </c>
      <c r="F11" s="422"/>
      <c r="G11" s="725"/>
      <c r="H11" s="565" t="s">
        <v>171</v>
      </c>
      <c r="I11" s="2269">
        <v>199.49</v>
      </c>
      <c r="J11" s="665">
        <v>0</v>
      </c>
      <c r="K11" s="666">
        <v>2</v>
      </c>
      <c r="L11" s="666">
        <v>2</v>
      </c>
      <c r="M11" s="666">
        <v>1</v>
      </c>
      <c r="N11" s="667">
        <f>SUM(J11:M11)</f>
        <v>5</v>
      </c>
      <c r="O11" s="1946">
        <f>($I11*J11)</f>
        <v>0</v>
      </c>
      <c r="P11" s="1947">
        <f t="shared" ref="P11:R11" si="8">($I11*K11)</f>
        <v>398.98</v>
      </c>
      <c r="Q11" s="1947">
        <f t="shared" si="8"/>
        <v>398.98</v>
      </c>
      <c r="R11" s="1947">
        <f t="shared" si="8"/>
        <v>199.49</v>
      </c>
      <c r="S11" s="145">
        <f>SUM(O11:R11)</f>
        <v>997.45</v>
      </c>
      <c r="T11" s="618">
        <f>IFERROR(INDEX('Annex 2_Code'!I$8:I$33,MATCH('Annex 3_MAFF'!$AG11,'Annex 2_Code'!$G$8:$G$33,0)),"")</f>
        <v>1</v>
      </c>
      <c r="U11" s="618">
        <f>IFERROR(INDEX('Annex 2_Code'!J$8:J$33,MATCH('Annex 3_MAFF'!$AG11,'Annex 2_Code'!$G$8:$G$33,0)),"")</f>
        <v>0</v>
      </c>
      <c r="V11" s="618">
        <f>IFERROR(INDEX('Annex 2_Code'!K$8:K$33,MATCH('Annex 3_MAFF'!$AG11,'Annex 2_Code'!$G$8:$G$33,0)),"")</f>
        <v>0</v>
      </c>
      <c r="W11" s="618">
        <f>IFERROR(INDEX('Annex 2_Code'!L$8:L$33,MATCH('Annex 3_MAFF'!$AG11,'Annex 2_Code'!$G$8:$G$33,0)),"")</f>
        <v>0</v>
      </c>
      <c r="X11" s="618">
        <f>IFERROR(INDEX('Annex 2_Code'!M$8:M$33,MATCH('Annex 3_MAFF'!$AG11,'Annex 2_Code'!$G$8:$G$33,0)),"")</f>
        <v>0</v>
      </c>
      <c r="Y11" s="1533">
        <f t="shared" ref="Y11:AC190" si="9">IFERROR($S11*T11,"")</f>
        <v>997.45</v>
      </c>
      <c r="Z11" s="717">
        <f t="shared" ref="Z11:AC190" si="10">IFERROR($S11*U11,"")</f>
        <v>0</v>
      </c>
      <c r="AA11" s="717">
        <f t="shared" si="2"/>
        <v>0</v>
      </c>
      <c r="AB11" s="717">
        <f t="shared" ref="AB11:AB190" si="11">IFERROR($S11*W11,"")</f>
        <v>0</v>
      </c>
      <c r="AC11" s="718">
        <f t="shared" ref="AC11:AC190" si="12">IFERROR($S11*X11,"")</f>
        <v>0</v>
      </c>
      <c r="AD11" s="626">
        <f>SUM(Y11:AC11)</f>
        <v>997.45</v>
      </c>
      <c r="AE11" s="627">
        <f t="shared" si="6"/>
        <v>0</v>
      </c>
      <c r="AF11" s="568" t="s">
        <v>475</v>
      </c>
      <c r="AG11" s="568" t="s">
        <v>368</v>
      </c>
      <c r="AH11" s="568" t="str">
        <f>IFERROR(INDEX('Annex 2_Code'!$J$110:$J$122,MATCH('Annex 3_MAFF'!AF11,'Annex 2_Code'!$G$110:$G$122,0)),"")</f>
        <v>MAFF</v>
      </c>
      <c r="AI11" s="882" t="str">
        <f t="shared" ref="AI11:AI35" si="13">IF(ISNUMBER(FIND("-",AH11,1))=FALSE,LEFT(AH11,LEN(AH11)),LEFT(AH11,(FIND("-",AH11,1))-1))</f>
        <v>MAFF</v>
      </c>
      <c r="AK11" s="1382"/>
      <c r="AL11" s="1382"/>
    </row>
    <row r="12" spans="1:38" s="542" customFormat="1" outlineLevel="1">
      <c r="A12" s="102"/>
      <c r="B12" s="76" t="s">
        <v>173</v>
      </c>
      <c r="C12" s="77"/>
      <c r="D12" s="1474"/>
      <c r="E12" s="1440" t="s">
        <v>41</v>
      </c>
      <c r="F12" s="1441"/>
      <c r="G12" s="1472"/>
      <c r="H12" s="1475"/>
      <c r="I12" s="1476"/>
      <c r="J12" s="1468"/>
      <c r="K12" s="1469"/>
      <c r="L12" s="1469"/>
      <c r="M12" s="1469"/>
      <c r="N12" s="1470"/>
      <c r="O12" s="1434">
        <f>SUM(O11)</f>
        <v>0</v>
      </c>
      <c r="P12" s="1435">
        <f>SUM(P11)</f>
        <v>398.98</v>
      </c>
      <c r="Q12" s="1435">
        <f>SUM(Q11)</f>
        <v>398.98</v>
      </c>
      <c r="R12" s="1435">
        <f>SUM(R11)</f>
        <v>199.49</v>
      </c>
      <c r="S12" s="1423">
        <f>SUM(S11)</f>
        <v>997.45</v>
      </c>
      <c r="T12" s="618"/>
      <c r="U12" s="618"/>
      <c r="V12" s="618"/>
      <c r="W12" s="618"/>
      <c r="X12" s="618"/>
      <c r="Y12" s="1533"/>
      <c r="Z12" s="717"/>
      <c r="AA12" s="717">
        <f t="shared" si="2"/>
        <v>0</v>
      </c>
      <c r="AB12" s="717"/>
      <c r="AC12" s="718"/>
      <c r="AD12" s="626"/>
      <c r="AE12" s="627"/>
      <c r="AF12" s="568"/>
      <c r="AG12" s="568"/>
      <c r="AH12" s="568"/>
      <c r="AI12" s="882"/>
      <c r="AK12" s="1382"/>
      <c r="AL12" s="1382"/>
    </row>
    <row r="13" spans="1:38" s="542" customFormat="1" outlineLevel="1">
      <c r="A13" s="102"/>
      <c r="B13" s="76" t="s">
        <v>173</v>
      </c>
      <c r="C13" s="77"/>
      <c r="D13" s="86"/>
      <c r="E13" s="122" t="s">
        <v>42</v>
      </c>
      <c r="F13" s="364"/>
      <c r="G13" s="722"/>
      <c r="H13" s="565"/>
      <c r="I13" s="566"/>
      <c r="J13" s="665"/>
      <c r="K13" s="666"/>
      <c r="L13" s="666"/>
      <c r="M13" s="666"/>
      <c r="N13" s="667"/>
      <c r="O13" s="688"/>
      <c r="P13" s="689"/>
      <c r="Q13" s="689"/>
      <c r="R13" s="689"/>
      <c r="S13" s="145"/>
      <c r="T13" s="618" t="str">
        <f>IFERROR(INDEX('Annex 2_Code'!I$8:I$33,MATCH('Annex 3_MAFF'!$AG13,'Annex 2_Code'!$G$8:$G$33,0)),"")</f>
        <v/>
      </c>
      <c r="U13" s="618" t="str">
        <f>IFERROR(INDEX('Annex 2_Code'!J$8:J$33,MATCH('Annex 3_MAFF'!$AG13,'Annex 2_Code'!$G$8:$G$33,0)),"")</f>
        <v/>
      </c>
      <c r="V13" s="618" t="str">
        <f>IFERROR(INDEX('Annex 2_Code'!K$8:K$33,MATCH('Annex 3_MAFF'!$AG13,'Annex 2_Code'!$G$8:$G$33,0)),"")</f>
        <v/>
      </c>
      <c r="W13" s="618" t="str">
        <f>IFERROR(INDEX('Annex 2_Code'!L$8:L$33,MATCH('Annex 3_MAFF'!$AG13,'Annex 2_Code'!$G$8:$G$33,0)),"")</f>
        <v/>
      </c>
      <c r="X13" s="618" t="str">
        <f>IFERROR(INDEX('Annex 2_Code'!M$8:M$33,MATCH('Annex 3_MAFF'!$AG13,'Annex 2_Code'!$G$8:$G$33,0)),"")</f>
        <v/>
      </c>
      <c r="Y13" s="1533" t="str">
        <f t="shared" si="9"/>
        <v/>
      </c>
      <c r="Z13" s="717" t="str">
        <f t="shared" si="10"/>
        <v/>
      </c>
      <c r="AA13" s="717" t="str">
        <f t="shared" si="2"/>
        <v/>
      </c>
      <c r="AB13" s="717" t="str">
        <f t="shared" si="11"/>
        <v/>
      </c>
      <c r="AC13" s="718" t="str">
        <f t="shared" si="12"/>
        <v/>
      </c>
      <c r="AD13" s="626">
        <f>SUM(Y13:AC13)</f>
        <v>0</v>
      </c>
      <c r="AE13" s="627">
        <f t="shared" si="6"/>
        <v>0</v>
      </c>
      <c r="AF13" s="568"/>
      <c r="AG13" s="568"/>
      <c r="AH13" s="568" t="str">
        <f>IFERROR(INDEX('Annex 2_Code'!$J$110:$J$122,MATCH('Annex 3_MAFF'!AF13,'Annex 2_Code'!$G$110:$G$122,0)),"")</f>
        <v/>
      </c>
      <c r="AI13" s="882" t="str">
        <f t="shared" si="13"/>
        <v/>
      </c>
      <c r="AK13" s="1382"/>
      <c r="AL13" s="1382"/>
    </row>
    <row r="14" spans="1:38" s="542" customFormat="1" outlineLevel="1">
      <c r="A14" s="102"/>
      <c r="B14" s="1115" t="s">
        <v>24</v>
      </c>
      <c r="C14" s="1115" t="s">
        <v>295</v>
      </c>
      <c r="D14" s="86"/>
      <c r="E14" s="97"/>
      <c r="F14" s="536" t="s">
        <v>1142</v>
      </c>
      <c r="G14" s="722"/>
      <c r="H14" s="1926" t="s">
        <v>1</v>
      </c>
      <c r="I14" s="567">
        <f>11307.548/1000</f>
        <v>11.307548000000001</v>
      </c>
      <c r="J14" s="665">
        <v>0</v>
      </c>
      <c r="K14" s="666">
        <v>0</v>
      </c>
      <c r="L14" s="666">
        <v>0</v>
      </c>
      <c r="M14" s="666">
        <v>0</v>
      </c>
      <c r="N14" s="667">
        <f>SUM(J14:M14)</f>
        <v>0</v>
      </c>
      <c r="O14" s="1936">
        <f>($I14*J14)</f>
        <v>0</v>
      </c>
      <c r="P14" s="1032">
        <f>($I14*K14)</f>
        <v>0</v>
      </c>
      <c r="Q14" s="1032">
        <f t="shared" ref="Q14:R14" si="14">($I14*L14)</f>
        <v>0</v>
      </c>
      <c r="R14" s="1032">
        <f t="shared" si="14"/>
        <v>0</v>
      </c>
      <c r="S14" s="145">
        <f>SUM(O14:R14)</f>
        <v>0</v>
      </c>
      <c r="T14" s="618">
        <f>IFERROR(INDEX('Annex 2_Code'!I$8:I$33,MATCH('Annex 3_MAFF'!$AG14,'Annex 2_Code'!$G$8:$G$33,0)),"")</f>
        <v>1</v>
      </c>
      <c r="U14" s="618">
        <f>IFERROR(INDEX('Annex 2_Code'!J$8:J$33,MATCH('Annex 3_MAFF'!$AG14,'Annex 2_Code'!$G$8:$G$33,0)),"")</f>
        <v>0</v>
      </c>
      <c r="V14" s="618">
        <f>IFERROR(INDEX('Annex 2_Code'!K$8:K$33,MATCH('Annex 3_MAFF'!$AG14,'Annex 2_Code'!$G$8:$G$33,0)),"")</f>
        <v>0</v>
      </c>
      <c r="W14" s="618">
        <f>IFERROR(INDEX('Annex 2_Code'!L$8:L$33,MATCH('Annex 3_MAFF'!$AG14,'Annex 2_Code'!$G$8:$G$33,0)),"")</f>
        <v>0</v>
      </c>
      <c r="X14" s="618">
        <f>IFERROR(INDEX('Annex 2_Code'!M$8:M$33,MATCH('Annex 3_MAFF'!$AG14,'Annex 2_Code'!$G$8:$G$33,0)),"")</f>
        <v>0</v>
      </c>
      <c r="Y14" s="1533">
        <f t="shared" si="9"/>
        <v>0</v>
      </c>
      <c r="Z14" s="717">
        <f t="shared" si="10"/>
        <v>0</v>
      </c>
      <c r="AA14" s="717">
        <f t="shared" si="2"/>
        <v>0</v>
      </c>
      <c r="AB14" s="717">
        <f t="shared" si="11"/>
        <v>0</v>
      </c>
      <c r="AC14" s="718">
        <f t="shared" si="12"/>
        <v>0</v>
      </c>
      <c r="AD14" s="626">
        <f>SUM(Y14:AC14)</f>
        <v>0</v>
      </c>
      <c r="AE14" s="627">
        <f t="shared" si="6"/>
        <v>0</v>
      </c>
      <c r="AF14" s="568" t="s">
        <v>475</v>
      </c>
      <c r="AG14" s="568" t="s">
        <v>406</v>
      </c>
      <c r="AH14" s="568" t="str">
        <f>IFERROR(INDEX('Annex 2_Code'!$J$110:$J$122,MATCH('Annex 3_MAFF'!AF14,'Annex 2_Code'!$G$110:$G$122,0)),"")</f>
        <v>MAFF</v>
      </c>
      <c r="AI14" s="882" t="str">
        <f t="shared" si="13"/>
        <v>MAFF</v>
      </c>
      <c r="AK14" s="1382"/>
      <c r="AL14" s="1382"/>
    </row>
    <row r="15" spans="1:38" s="366" customFormat="1">
      <c r="A15" s="102"/>
      <c r="B15" s="1057" t="s">
        <v>173</v>
      </c>
      <c r="C15" s="1058"/>
      <c r="D15" s="1474"/>
      <c r="E15" s="1440" t="s">
        <v>41</v>
      </c>
      <c r="F15" s="1441"/>
      <c r="G15" s="1472"/>
      <c r="H15" s="1475"/>
      <c r="I15" s="1476"/>
      <c r="J15" s="1468"/>
      <c r="K15" s="1469"/>
      <c r="L15" s="1469"/>
      <c r="M15" s="1469"/>
      <c r="N15" s="1470"/>
      <c r="O15" s="1434">
        <f>SUM(O14:O14)</f>
        <v>0</v>
      </c>
      <c r="P15" s="1435">
        <f>SUM(P14:P14)</f>
        <v>0</v>
      </c>
      <c r="Q15" s="1435">
        <f>SUM(Q14:Q14)</f>
        <v>0</v>
      </c>
      <c r="R15" s="1435">
        <f>SUM(R14:R14)</f>
        <v>0</v>
      </c>
      <c r="S15" s="1436">
        <f>SUM(S14:S14)</f>
        <v>0</v>
      </c>
      <c r="T15" s="1061" t="str">
        <f>IFERROR(INDEX('Annex 2_Code'!I$8:I$33,MATCH('Annex 3_MAFF'!$AG15,'Annex 2_Code'!$G$8:$G$33,0)),"")</f>
        <v/>
      </c>
      <c r="U15" s="1061" t="str">
        <f>IFERROR(INDEX('Annex 2_Code'!J$8:J$33,MATCH('Annex 3_MAFF'!$AG15,'Annex 2_Code'!$G$8:$G$33,0)),"")</f>
        <v/>
      </c>
      <c r="V15" s="1061" t="str">
        <f>IFERROR(INDEX('Annex 2_Code'!K$8:K$33,MATCH('Annex 3_MAFF'!$AG15,'Annex 2_Code'!$G$8:$G$33,0)),"")</f>
        <v/>
      </c>
      <c r="W15" s="1061" t="str">
        <f>IFERROR(INDEX('Annex 2_Code'!L$8:L$33,MATCH('Annex 3_MAFF'!$AG15,'Annex 2_Code'!$G$8:$G$33,0)),"")</f>
        <v/>
      </c>
      <c r="X15" s="1061" t="str">
        <f>IFERROR(INDEX('Annex 2_Code'!M$8:M$33,MATCH('Annex 3_MAFF'!$AG15,'Annex 2_Code'!$G$8:$G$33,0)),"")</f>
        <v/>
      </c>
      <c r="Y15" s="1535" t="str">
        <f t="shared" si="9"/>
        <v/>
      </c>
      <c r="Z15" s="1063" t="str">
        <f t="shared" si="10"/>
        <v/>
      </c>
      <c r="AA15" s="717" t="str">
        <f t="shared" si="2"/>
        <v/>
      </c>
      <c r="AB15" s="1063" t="str">
        <f t="shared" si="11"/>
        <v/>
      </c>
      <c r="AC15" s="1064" t="str">
        <f t="shared" si="12"/>
        <v/>
      </c>
      <c r="AD15" s="626">
        <f t="shared" si="5"/>
        <v>0</v>
      </c>
      <c r="AE15" s="627">
        <f>AD15-S15</f>
        <v>0</v>
      </c>
      <c r="AF15" s="570"/>
      <c r="AG15" s="570"/>
      <c r="AH15" s="570" t="str">
        <f>IFERROR(INDEX('Annex 2_Code'!$J$110:$J$122,MATCH('Annex 3_MAFF'!AF15,'Annex 2_Code'!$G$110:$G$122,0)),"")</f>
        <v/>
      </c>
      <c r="AI15" s="1065" t="str">
        <f t="shared" si="13"/>
        <v/>
      </c>
      <c r="AK15" s="1383"/>
      <c r="AL15" s="1383"/>
    </row>
    <row r="16" spans="1:38" s="366" customFormat="1">
      <c r="A16" s="102"/>
      <c r="B16" s="93" t="s">
        <v>173</v>
      </c>
      <c r="C16" s="89"/>
      <c r="D16" s="1459" t="s">
        <v>663</v>
      </c>
      <c r="E16" s="1460"/>
      <c r="F16" s="1463"/>
      <c r="G16" s="1461"/>
      <c r="H16" s="1957"/>
      <c r="I16" s="1958"/>
      <c r="J16" s="1959"/>
      <c r="K16" s="1960"/>
      <c r="L16" s="1960"/>
      <c r="M16" s="1960"/>
      <c r="N16" s="1981"/>
      <c r="O16" s="1982">
        <f>SUM(O12,O15)</f>
        <v>0</v>
      </c>
      <c r="P16" s="1983">
        <f>SUM(P12,P15)</f>
        <v>398.98</v>
      </c>
      <c r="Q16" s="1983">
        <f>SUM(Q12,Q15)</f>
        <v>398.98</v>
      </c>
      <c r="R16" s="1983">
        <f>SUM(R12,R15)</f>
        <v>199.49</v>
      </c>
      <c r="S16" s="1984">
        <f>SUM(S12,S15)</f>
        <v>997.45</v>
      </c>
      <c r="T16" s="1473" t="str">
        <f>IFERROR(INDEX('Annex 2_Code'!I$8:I$33,MATCH('Annex 3_MAFF'!$AG16,'Annex 2_Code'!$G$8:$G$33,0)),"")</f>
        <v/>
      </c>
      <c r="U16" s="1473" t="str">
        <f>IFERROR(INDEX('Annex 2_Code'!J$8:J$33,MATCH('Annex 3_MAFF'!$AG16,'Annex 2_Code'!$G$8:$G$33,0)),"")</f>
        <v/>
      </c>
      <c r="V16" s="1473" t="str">
        <f>IFERROR(INDEX('Annex 2_Code'!K$8:K$33,MATCH('Annex 3_MAFF'!$AG16,'Annex 2_Code'!$G$8:$G$33,0)),"")</f>
        <v/>
      </c>
      <c r="W16" s="1473" t="str">
        <f>IFERROR(INDEX('Annex 2_Code'!L$8:L$33,MATCH('Annex 3_MAFF'!$AG16,'Annex 2_Code'!$G$8:$G$33,0)),"")</f>
        <v/>
      </c>
      <c r="X16" s="1473" t="str">
        <f>IFERROR(INDEX('Annex 2_Code'!M$8:M$33,MATCH('Annex 3_MAFF'!$AG16,'Annex 2_Code'!$G$8:$G$33,0)),"")</f>
        <v/>
      </c>
      <c r="Y16" s="1534"/>
      <c r="Z16" s="1105">
        <f>SUM(Z11:Z14)</f>
        <v>0</v>
      </c>
      <c r="AA16" s="717" t="str">
        <f t="shared" si="2"/>
        <v/>
      </c>
      <c r="AB16" s="1105">
        <f>SUM(AB11:AB14)</f>
        <v>0</v>
      </c>
      <c r="AC16" s="1106">
        <f>SUM(AC11:AC14)</f>
        <v>0</v>
      </c>
      <c r="AD16" s="626">
        <f t="shared" si="5"/>
        <v>0</v>
      </c>
      <c r="AE16" s="627">
        <f>AD16-S16</f>
        <v>-997.45</v>
      </c>
      <c r="AF16" s="570"/>
      <c r="AG16" s="570"/>
      <c r="AH16" s="568" t="str">
        <f>IFERROR(INDEX('Annex 2_Code'!$J$110:$J$122,MATCH('Annex 3_MAFF'!AF16,'Annex 2_Code'!$G$110:$G$122,0)),"")</f>
        <v/>
      </c>
      <c r="AI16" s="882" t="str">
        <f t="shared" si="13"/>
        <v/>
      </c>
      <c r="AK16" s="1383"/>
      <c r="AL16" s="1383"/>
    </row>
    <row r="17" spans="1:38" s="542" customFormat="1">
      <c r="A17" s="102"/>
      <c r="B17" s="76" t="s">
        <v>173</v>
      </c>
      <c r="C17" s="77"/>
      <c r="D17" s="107" t="s">
        <v>1207</v>
      </c>
      <c r="E17" s="312"/>
      <c r="F17" s="310"/>
      <c r="G17" s="724"/>
      <c r="H17" s="562"/>
      <c r="I17" s="563"/>
      <c r="J17" s="665"/>
      <c r="K17" s="666"/>
      <c r="L17" s="666"/>
      <c r="M17" s="666"/>
      <c r="N17" s="667"/>
      <c r="O17" s="688"/>
      <c r="P17" s="689"/>
      <c r="Q17" s="689"/>
      <c r="R17" s="689"/>
      <c r="S17" s="620"/>
      <c r="T17" s="618" t="str">
        <f>IFERROR(INDEX('Annex 2_Code'!I$8:I$33,MATCH('Annex 3_MAFF'!$AG17,'Annex 2_Code'!$G$8:$G$33,0)),"")</f>
        <v/>
      </c>
      <c r="U17" s="618" t="str">
        <f>IFERROR(INDEX('Annex 2_Code'!J$8:J$33,MATCH('Annex 3_MAFF'!$AG17,'Annex 2_Code'!$G$8:$G$33,0)),"")</f>
        <v/>
      </c>
      <c r="V17" s="618" t="str">
        <f>IFERROR(INDEX('Annex 2_Code'!K$8:K$33,MATCH('Annex 3_MAFF'!$AG17,'Annex 2_Code'!$G$8:$G$33,0)),"")</f>
        <v/>
      </c>
      <c r="W17" s="618" t="str">
        <f>IFERROR(INDEX('Annex 2_Code'!L$8:L$33,MATCH('Annex 3_MAFF'!$AG17,'Annex 2_Code'!$G$8:$G$33,0)),"")</f>
        <v/>
      </c>
      <c r="X17" s="618" t="str">
        <f>IFERROR(INDEX('Annex 2_Code'!M$8:M$33,MATCH('Annex 3_MAFF'!$AG17,'Annex 2_Code'!$G$8:$G$33,0)),"")</f>
        <v/>
      </c>
      <c r="Y17" s="1533" t="str">
        <f t="shared" si="9"/>
        <v/>
      </c>
      <c r="Z17" s="717" t="str">
        <f t="shared" si="10"/>
        <v/>
      </c>
      <c r="AA17" s="717" t="str">
        <f t="shared" si="2"/>
        <v/>
      </c>
      <c r="AB17" s="717" t="str">
        <f t="shared" si="11"/>
        <v/>
      </c>
      <c r="AC17" s="718" t="str">
        <f t="shared" si="12"/>
        <v/>
      </c>
      <c r="AD17" s="626">
        <f t="shared" si="5"/>
        <v>0</v>
      </c>
      <c r="AE17" s="655">
        <f>SUM(AD11:AD15)</f>
        <v>997.45</v>
      </c>
      <c r="AF17" s="568"/>
      <c r="AG17" s="568"/>
      <c r="AH17" s="568" t="str">
        <f>IFERROR(INDEX('Annex 2_Code'!$J$110:$J$122,MATCH('Annex 3_MAFF'!AF17,'Annex 2_Code'!$G$110:$G$122,0)),"")</f>
        <v/>
      </c>
      <c r="AI17" s="882" t="str">
        <f t="shared" si="13"/>
        <v/>
      </c>
      <c r="AK17" s="1382"/>
      <c r="AL17" s="1382"/>
    </row>
    <row r="18" spans="1:38" s="542" customFormat="1" outlineLevel="1">
      <c r="A18" s="102"/>
      <c r="B18" s="76" t="s">
        <v>24</v>
      </c>
      <c r="C18" s="77" t="s">
        <v>295</v>
      </c>
      <c r="D18" s="421"/>
      <c r="E18" s="1935" t="s">
        <v>43</v>
      </c>
      <c r="F18" s="422"/>
      <c r="G18" s="725"/>
      <c r="H18" s="565" t="s">
        <v>171</v>
      </c>
      <c r="I18" s="1941">
        <v>126.44</v>
      </c>
      <c r="J18" s="665">
        <v>0</v>
      </c>
      <c r="K18" s="666">
        <v>5</v>
      </c>
      <c r="L18" s="1929">
        <v>10</v>
      </c>
      <c r="M18" s="1929">
        <v>5</v>
      </c>
      <c r="N18" s="667">
        <f>SUM(J18:M18)</f>
        <v>20</v>
      </c>
      <c r="O18" s="688">
        <f>($I18*J18)</f>
        <v>0</v>
      </c>
      <c r="P18" s="689">
        <f>($I18*K18)</f>
        <v>632.20000000000005</v>
      </c>
      <c r="Q18" s="689">
        <f t="shared" ref="Q18:R18" si="15">($I18*L18)</f>
        <v>1264.4000000000001</v>
      </c>
      <c r="R18" s="689">
        <f t="shared" si="15"/>
        <v>632.20000000000005</v>
      </c>
      <c r="S18" s="145">
        <f>SUM(O18:R18)</f>
        <v>2528.8000000000002</v>
      </c>
      <c r="T18" s="618">
        <f>IFERROR(INDEX('Annex 2_Code'!I$8:I$33,MATCH('Annex 3_MAFF'!$AG18,'Annex 2_Code'!$G$8:$G$33,0)),"")</f>
        <v>1</v>
      </c>
      <c r="U18" s="618">
        <f>IFERROR(INDEX('Annex 2_Code'!J$8:J$33,MATCH('Annex 3_MAFF'!$AG18,'Annex 2_Code'!$G$8:$G$33,0)),"")</f>
        <v>0</v>
      </c>
      <c r="V18" s="618">
        <f>IFERROR(INDEX('Annex 2_Code'!K$8:K$33,MATCH('Annex 3_MAFF'!$AG18,'Annex 2_Code'!$G$8:$G$33,0)),"")</f>
        <v>0</v>
      </c>
      <c r="W18" s="618">
        <f>IFERROR(INDEX('Annex 2_Code'!L$8:L$33,MATCH('Annex 3_MAFF'!$AG18,'Annex 2_Code'!$G$8:$G$33,0)),"")</f>
        <v>0</v>
      </c>
      <c r="X18" s="618">
        <f>IFERROR(INDEX('Annex 2_Code'!M$8:M$33,MATCH('Annex 3_MAFF'!$AG18,'Annex 2_Code'!$G$8:$G$33,0)),"")</f>
        <v>0</v>
      </c>
      <c r="Y18" s="1533">
        <f t="shared" si="9"/>
        <v>2528.8000000000002</v>
      </c>
      <c r="Z18" s="717">
        <f t="shared" si="10"/>
        <v>0</v>
      </c>
      <c r="AA18" s="717">
        <f t="shared" si="2"/>
        <v>0</v>
      </c>
      <c r="AB18" s="717">
        <f t="shared" si="11"/>
        <v>0</v>
      </c>
      <c r="AC18" s="718">
        <f t="shared" si="12"/>
        <v>0</v>
      </c>
      <c r="AD18" s="626">
        <f t="shared" si="5"/>
        <v>2528.8000000000002</v>
      </c>
      <c r="AE18" s="627">
        <f t="shared" si="6"/>
        <v>0</v>
      </c>
      <c r="AF18" s="568" t="s">
        <v>475</v>
      </c>
      <c r="AG18" s="568" t="s">
        <v>368</v>
      </c>
      <c r="AH18" s="568" t="str">
        <f>IFERROR(INDEX('Annex 2_Code'!$J$110:$J$122,MATCH('Annex 3_MAFF'!AF18,'Annex 2_Code'!$G$110:$G$122,0)),"")</f>
        <v>MAFF</v>
      </c>
      <c r="AI18" s="882" t="str">
        <f t="shared" si="13"/>
        <v>MAFF</v>
      </c>
      <c r="AK18" s="1382"/>
      <c r="AL18" s="1382"/>
    </row>
    <row r="19" spans="1:38" s="542" customFormat="1" outlineLevel="1">
      <c r="A19" s="102"/>
      <c r="B19" s="76" t="s">
        <v>173</v>
      </c>
      <c r="C19" s="77"/>
      <c r="D19" s="1452"/>
      <c r="E19" s="1440" t="s">
        <v>41</v>
      </c>
      <c r="F19" s="1477"/>
      <c r="G19" s="1428"/>
      <c r="H19" s="1481"/>
      <c r="I19" s="1480"/>
      <c r="J19" s="1468"/>
      <c r="K19" s="1469"/>
      <c r="L19" s="1469"/>
      <c r="M19" s="1469"/>
      <c r="N19" s="1470"/>
      <c r="O19" s="1434">
        <f>SUM(O18)</f>
        <v>0</v>
      </c>
      <c r="P19" s="1435">
        <f>SUM(P18)</f>
        <v>632.20000000000005</v>
      </c>
      <c r="Q19" s="1435">
        <f t="shared" ref="Q19:S19" si="16">SUM(Q18)</f>
        <v>1264.4000000000001</v>
      </c>
      <c r="R19" s="1435">
        <f t="shared" si="16"/>
        <v>632.20000000000005</v>
      </c>
      <c r="S19" s="1436">
        <f t="shared" si="16"/>
        <v>2528.8000000000002</v>
      </c>
      <c r="T19" s="618"/>
      <c r="U19" s="618"/>
      <c r="V19" s="618"/>
      <c r="W19" s="618"/>
      <c r="X19" s="618"/>
      <c r="Y19" s="1533"/>
      <c r="Z19" s="717"/>
      <c r="AA19" s="717">
        <f t="shared" si="2"/>
        <v>0</v>
      </c>
      <c r="AB19" s="717"/>
      <c r="AC19" s="718"/>
      <c r="AD19" s="626"/>
      <c r="AE19" s="627"/>
      <c r="AF19" s="568"/>
      <c r="AG19" s="568"/>
      <c r="AH19" s="568"/>
      <c r="AI19" s="882"/>
      <c r="AK19" s="1382"/>
      <c r="AL19" s="1382"/>
    </row>
    <row r="20" spans="1:38" s="542" customFormat="1" outlineLevel="1">
      <c r="A20" s="102"/>
      <c r="B20" s="76" t="s">
        <v>173</v>
      </c>
      <c r="C20" s="77"/>
      <c r="D20" s="86"/>
      <c r="E20" s="424" t="s">
        <v>42</v>
      </c>
      <c r="F20" s="364"/>
      <c r="G20" s="722"/>
      <c r="H20" s="565"/>
      <c r="I20" s="566"/>
      <c r="J20" s="665"/>
      <c r="K20" s="666"/>
      <c r="L20" s="666"/>
      <c r="M20" s="666"/>
      <c r="N20" s="667"/>
      <c r="O20" s="546"/>
      <c r="P20" s="689"/>
      <c r="Q20" s="689"/>
      <c r="R20" s="689"/>
      <c r="S20" s="145"/>
      <c r="T20" s="618" t="str">
        <f>IFERROR(INDEX('Annex 2_Code'!I$8:I$33,MATCH('Annex 3_MAFF'!$AG20,'Annex 2_Code'!$G$8:$G$33,0)),"")</f>
        <v/>
      </c>
      <c r="U20" s="618" t="str">
        <f>IFERROR(INDEX('Annex 2_Code'!J$8:J$33,MATCH('Annex 3_MAFF'!$AG20,'Annex 2_Code'!$G$8:$G$33,0)),"")</f>
        <v/>
      </c>
      <c r="V20" s="618" t="str">
        <f>IFERROR(INDEX('Annex 2_Code'!K$8:K$33,MATCH('Annex 3_MAFF'!$AG20,'Annex 2_Code'!$G$8:$G$33,0)),"")</f>
        <v/>
      </c>
      <c r="W20" s="618" t="str">
        <f>IFERROR(INDEX('Annex 2_Code'!L$8:L$33,MATCH('Annex 3_MAFF'!$AG20,'Annex 2_Code'!$G$8:$G$33,0)),"")</f>
        <v/>
      </c>
      <c r="X20" s="618" t="str">
        <f>IFERROR(INDEX('Annex 2_Code'!M$8:M$33,MATCH('Annex 3_MAFF'!$AG20,'Annex 2_Code'!$G$8:$G$33,0)),"")</f>
        <v/>
      </c>
      <c r="Y20" s="1533" t="str">
        <f t="shared" si="9"/>
        <v/>
      </c>
      <c r="Z20" s="717" t="str">
        <f t="shared" si="10"/>
        <v/>
      </c>
      <c r="AA20" s="717" t="str">
        <f t="shared" si="2"/>
        <v/>
      </c>
      <c r="AB20" s="717" t="str">
        <f t="shared" si="11"/>
        <v/>
      </c>
      <c r="AC20" s="718" t="str">
        <f t="shared" si="12"/>
        <v/>
      </c>
      <c r="AD20" s="626">
        <f t="shared" si="5"/>
        <v>0</v>
      </c>
      <c r="AE20" s="627">
        <f t="shared" si="6"/>
        <v>0</v>
      </c>
      <c r="AF20" s="568"/>
      <c r="AG20" s="568"/>
      <c r="AH20" s="568" t="str">
        <f>IFERROR(INDEX('Annex 2_Code'!$J$110:$J$122,MATCH('Annex 3_MAFF'!AF20,'Annex 2_Code'!$G$110:$G$122,0)),"")</f>
        <v/>
      </c>
      <c r="AI20" s="882" t="str">
        <f t="shared" si="13"/>
        <v/>
      </c>
      <c r="AK20" s="1382"/>
      <c r="AL20" s="1382"/>
    </row>
    <row r="21" spans="1:38" s="542" customFormat="1" outlineLevel="1">
      <c r="A21" s="102"/>
      <c r="B21" s="374" t="s">
        <v>24</v>
      </c>
      <c r="C21" s="361" t="s">
        <v>295</v>
      </c>
      <c r="D21" s="86"/>
      <c r="E21" s="82"/>
      <c r="F21" s="536" t="s">
        <v>1142</v>
      </c>
      <c r="G21" s="722"/>
      <c r="H21" s="1926" t="s">
        <v>1</v>
      </c>
      <c r="I21" s="567">
        <f>11307.548/1000</f>
        <v>11.307548000000001</v>
      </c>
      <c r="J21" s="1932">
        <v>0</v>
      </c>
      <c r="K21" s="666">
        <v>0</v>
      </c>
      <c r="L21" s="1929">
        <v>0</v>
      </c>
      <c r="M21" s="1929">
        <v>0</v>
      </c>
      <c r="N21" s="667">
        <f>SUM(J21:M21)</f>
        <v>0</v>
      </c>
      <c r="O21" s="688">
        <f>($I21*J21)</f>
        <v>0</v>
      </c>
      <c r="P21" s="689">
        <f>($I21*K21)</f>
        <v>0</v>
      </c>
      <c r="Q21" s="689">
        <f t="shared" ref="Q21:R21" si="17">($I21*L21)</f>
        <v>0</v>
      </c>
      <c r="R21" s="689">
        <f t="shared" si="17"/>
        <v>0</v>
      </c>
      <c r="S21" s="145">
        <f>SUM(O21:R21)</f>
        <v>0</v>
      </c>
      <c r="T21" s="618">
        <f>IFERROR(INDEX('Annex 2_Code'!I$8:I$33,MATCH('Annex 3_MAFF'!$AG21,'Annex 2_Code'!$G$8:$G$33,0)),"")</f>
        <v>1</v>
      </c>
      <c r="U21" s="618">
        <f>IFERROR(INDEX('Annex 2_Code'!J$8:J$33,MATCH('Annex 3_MAFF'!$AG21,'Annex 2_Code'!$G$8:$G$33,0)),"")</f>
        <v>0</v>
      </c>
      <c r="V21" s="618">
        <f>IFERROR(INDEX('Annex 2_Code'!K$8:K$33,MATCH('Annex 3_MAFF'!$AG21,'Annex 2_Code'!$G$8:$G$33,0)),"")</f>
        <v>0</v>
      </c>
      <c r="W21" s="618">
        <f>IFERROR(INDEX('Annex 2_Code'!L$8:L$33,MATCH('Annex 3_MAFF'!$AG21,'Annex 2_Code'!$G$8:$G$33,0)),"")</f>
        <v>0</v>
      </c>
      <c r="X21" s="618">
        <f>IFERROR(INDEX('Annex 2_Code'!M$8:M$33,MATCH('Annex 3_MAFF'!$AG21,'Annex 2_Code'!$G$8:$G$33,0)),"")</f>
        <v>0</v>
      </c>
      <c r="Y21" s="1533">
        <f t="shared" si="9"/>
        <v>0</v>
      </c>
      <c r="Z21" s="717">
        <f t="shared" si="10"/>
        <v>0</v>
      </c>
      <c r="AA21" s="717">
        <f t="shared" si="2"/>
        <v>0</v>
      </c>
      <c r="AB21" s="717">
        <f t="shared" si="11"/>
        <v>0</v>
      </c>
      <c r="AC21" s="718">
        <f t="shared" si="12"/>
        <v>0</v>
      </c>
      <c r="AD21" s="626">
        <f t="shared" si="5"/>
        <v>0</v>
      </c>
      <c r="AE21" s="627">
        <f t="shared" si="6"/>
        <v>0</v>
      </c>
      <c r="AF21" s="568" t="s">
        <v>475</v>
      </c>
      <c r="AG21" s="568" t="s">
        <v>406</v>
      </c>
      <c r="AH21" s="568" t="str">
        <f>IFERROR(INDEX('Annex 2_Code'!$J$110:$J$122,MATCH('Annex 3_MAFF'!AF21,'Annex 2_Code'!$G$110:$G$122,0)),"")</f>
        <v>MAFF</v>
      </c>
      <c r="AI21" s="882" t="str">
        <f t="shared" si="13"/>
        <v>MAFF</v>
      </c>
      <c r="AK21" s="1382"/>
      <c r="AL21" s="1382"/>
    </row>
    <row r="22" spans="1:38" s="542" customFormat="1" outlineLevel="1">
      <c r="A22" s="102"/>
      <c r="B22" s="374" t="s">
        <v>173</v>
      </c>
      <c r="C22" s="361"/>
      <c r="D22" s="1452"/>
      <c r="E22" s="1440" t="s">
        <v>41</v>
      </c>
      <c r="F22" s="1477"/>
      <c r="G22" s="1428"/>
      <c r="H22" s="1481"/>
      <c r="I22" s="1480"/>
      <c r="J22" s="1468"/>
      <c r="K22" s="1469"/>
      <c r="L22" s="1469"/>
      <c r="M22" s="1469"/>
      <c r="N22" s="1470"/>
      <c r="O22" s="1434">
        <f>SUM(O21:O21)</f>
        <v>0</v>
      </c>
      <c r="P22" s="1435">
        <f>SUM(P21:P21)</f>
        <v>0</v>
      </c>
      <c r="Q22" s="1435">
        <f>SUM(Q21:Q21)</f>
        <v>0</v>
      </c>
      <c r="R22" s="1435">
        <f>SUM(R21:R21)</f>
        <v>0</v>
      </c>
      <c r="S22" s="1436">
        <f>SUM(S21:S21)</f>
        <v>0</v>
      </c>
      <c r="T22" s="618" t="str">
        <f>IFERROR(INDEX('Annex 2_Code'!I$8:I$33,MATCH('Annex 3_MAFF'!$AG22,'Annex 2_Code'!$G$8:$G$33,0)),"")</f>
        <v/>
      </c>
      <c r="U22" s="618" t="str">
        <f>IFERROR(INDEX('Annex 2_Code'!J$8:J$33,MATCH('Annex 3_MAFF'!$AG22,'Annex 2_Code'!$G$8:$G$33,0)),"")</f>
        <v/>
      </c>
      <c r="V22" s="618" t="str">
        <f>IFERROR(INDEX('Annex 2_Code'!K$8:K$33,MATCH('Annex 3_MAFF'!$AG22,'Annex 2_Code'!$G$8:$G$33,0)),"")</f>
        <v/>
      </c>
      <c r="W22" s="618" t="str">
        <f>IFERROR(INDEX('Annex 2_Code'!L$8:L$33,MATCH('Annex 3_MAFF'!$AG22,'Annex 2_Code'!$G$8:$G$33,0)),"")</f>
        <v/>
      </c>
      <c r="X22" s="618" t="str">
        <f>IFERROR(INDEX('Annex 2_Code'!M$8:M$33,MATCH('Annex 3_MAFF'!$AG22,'Annex 2_Code'!$G$8:$G$33,0)),"")</f>
        <v/>
      </c>
      <c r="Y22" s="1533" t="str">
        <f t="shared" si="9"/>
        <v/>
      </c>
      <c r="Z22" s="717" t="str">
        <f t="shared" si="10"/>
        <v/>
      </c>
      <c r="AA22" s="717" t="str">
        <f t="shared" si="2"/>
        <v/>
      </c>
      <c r="AB22" s="717" t="str">
        <f t="shared" si="11"/>
        <v/>
      </c>
      <c r="AC22" s="718" t="str">
        <f t="shared" si="12"/>
        <v/>
      </c>
      <c r="AD22" s="626">
        <f t="shared" si="5"/>
        <v>0</v>
      </c>
      <c r="AE22" s="627">
        <f t="shared" si="6"/>
        <v>0</v>
      </c>
      <c r="AF22" s="568"/>
      <c r="AG22" s="568"/>
      <c r="AH22" s="568" t="str">
        <f>IFERROR(INDEX('Annex 2_Code'!$J$110:$J$122,MATCH('Annex 3_MAFF'!AF22,'Annex 2_Code'!$G$110:$G$122,0)),"")</f>
        <v/>
      </c>
      <c r="AI22" s="882" t="str">
        <f t="shared" si="13"/>
        <v/>
      </c>
      <c r="AK22" s="1382"/>
      <c r="AL22" s="1382"/>
    </row>
    <row r="23" spans="1:38" s="542" customFormat="1" outlineLevel="1">
      <c r="A23" s="102"/>
      <c r="B23" s="374" t="s">
        <v>173</v>
      </c>
      <c r="C23" s="361"/>
      <c r="D23" s="362"/>
      <c r="E23" s="97" t="s">
        <v>44</v>
      </c>
      <c r="F23" s="543"/>
      <c r="G23" s="722"/>
      <c r="H23" s="565"/>
      <c r="I23" s="566"/>
      <c r="J23" s="665"/>
      <c r="K23" s="666"/>
      <c r="L23" s="666"/>
      <c r="M23" s="666"/>
      <c r="N23" s="667"/>
      <c r="O23" s="688"/>
      <c r="P23" s="689"/>
      <c r="Q23" s="689"/>
      <c r="R23" s="689"/>
      <c r="S23" s="145"/>
      <c r="T23" s="618" t="str">
        <f>IFERROR(INDEX('Annex 2_Code'!I$8:I$33,MATCH('Annex 3_MAFF'!$AG23,'Annex 2_Code'!$G$8:$G$33,0)),"")</f>
        <v/>
      </c>
      <c r="U23" s="618" t="str">
        <f>IFERROR(INDEX('Annex 2_Code'!J$8:J$33,MATCH('Annex 3_MAFF'!$AG23,'Annex 2_Code'!$G$8:$G$33,0)),"")</f>
        <v/>
      </c>
      <c r="V23" s="618" t="str">
        <f>IFERROR(INDEX('Annex 2_Code'!K$8:K$33,MATCH('Annex 3_MAFF'!$AG23,'Annex 2_Code'!$G$8:$G$33,0)),"")</f>
        <v/>
      </c>
      <c r="W23" s="618" t="str">
        <f>IFERROR(INDEX('Annex 2_Code'!L$8:L$33,MATCH('Annex 3_MAFF'!$AG23,'Annex 2_Code'!$G$8:$G$33,0)),"")</f>
        <v/>
      </c>
      <c r="X23" s="618" t="str">
        <f>IFERROR(INDEX('Annex 2_Code'!M$8:M$33,MATCH('Annex 3_MAFF'!$AG23,'Annex 2_Code'!$G$8:$G$33,0)),"")</f>
        <v/>
      </c>
      <c r="Y23" s="1533" t="str">
        <f t="shared" si="9"/>
        <v/>
      </c>
      <c r="Z23" s="717" t="str">
        <f t="shared" si="10"/>
        <v/>
      </c>
      <c r="AA23" s="717" t="str">
        <f t="shared" si="2"/>
        <v/>
      </c>
      <c r="AB23" s="717" t="str">
        <f t="shared" si="11"/>
        <v/>
      </c>
      <c r="AC23" s="718" t="str">
        <f t="shared" si="12"/>
        <v/>
      </c>
      <c r="AD23" s="626">
        <f t="shared" si="5"/>
        <v>0</v>
      </c>
      <c r="AE23" s="655">
        <f>SUM(AD18:AD21)</f>
        <v>2528.8000000000002</v>
      </c>
      <c r="AF23" s="568"/>
      <c r="AG23" s="568"/>
      <c r="AH23" s="568" t="str">
        <f>IFERROR(INDEX('Annex 2_Code'!$J$110:$J$122,MATCH('Annex 3_MAFF'!AF23,'Annex 2_Code'!$G$110:$G$122,0)),"")</f>
        <v/>
      </c>
      <c r="AI23" s="882" t="str">
        <f t="shared" si="13"/>
        <v/>
      </c>
      <c r="AK23" s="1382"/>
      <c r="AL23" s="1382"/>
    </row>
    <row r="24" spans="1:38" s="542" customFormat="1" outlineLevel="1">
      <c r="A24" s="102"/>
      <c r="B24" s="374" t="s">
        <v>24</v>
      </c>
      <c r="C24" s="361" t="s">
        <v>305</v>
      </c>
      <c r="D24" s="362"/>
      <c r="E24" s="1751"/>
      <c r="F24" s="2324" t="s">
        <v>1209</v>
      </c>
      <c r="G24" s="2325"/>
      <c r="H24" s="1739" t="s">
        <v>171</v>
      </c>
      <c r="I24" s="1741">
        <v>167.01</v>
      </c>
      <c r="J24" s="1932">
        <v>0</v>
      </c>
      <c r="K24" s="1745">
        <v>0</v>
      </c>
      <c r="L24" s="1929">
        <v>4</v>
      </c>
      <c r="M24" s="1929">
        <v>0</v>
      </c>
      <c r="N24" s="667">
        <f>SUM(J24:M24)</f>
        <v>4</v>
      </c>
      <c r="O24" s="688">
        <f>($I24*J24)</f>
        <v>0</v>
      </c>
      <c r="P24" s="689">
        <f>($I24*K24)</f>
        <v>0</v>
      </c>
      <c r="Q24" s="689">
        <f t="shared" ref="Q24:R28" si="18">($I24*L24)</f>
        <v>668.04</v>
      </c>
      <c r="R24" s="689">
        <f t="shared" si="18"/>
        <v>0</v>
      </c>
      <c r="S24" s="145">
        <f>SUM(O24:R24)</f>
        <v>668.04</v>
      </c>
      <c r="T24" s="618">
        <f>IFERROR(INDEX('Annex 2_Code'!I$8:I$33,MATCH('Annex 3_MAFF'!$AG24,'Annex 2_Code'!$G$8:$G$33,0)),"")</f>
        <v>1</v>
      </c>
      <c r="U24" s="618">
        <f>IFERROR(INDEX('Annex 2_Code'!J$8:J$33,MATCH('Annex 3_MAFF'!$AG24,'Annex 2_Code'!$G$8:$G$33,0)),"")</f>
        <v>0</v>
      </c>
      <c r="V24" s="618">
        <f>IFERROR(INDEX('Annex 2_Code'!K$8:K$33,MATCH('Annex 3_MAFF'!$AG24,'Annex 2_Code'!$G$8:$G$33,0)),"")</f>
        <v>0</v>
      </c>
      <c r="W24" s="618">
        <f>IFERROR(INDEX('Annex 2_Code'!L$8:L$33,MATCH('Annex 3_MAFF'!$AG24,'Annex 2_Code'!$G$8:$G$33,0)),"")</f>
        <v>0</v>
      </c>
      <c r="X24" s="618">
        <f>IFERROR(INDEX('Annex 2_Code'!M$8:M$33,MATCH('Annex 3_MAFF'!$AG24,'Annex 2_Code'!$G$8:$G$33,0)),"")</f>
        <v>0</v>
      </c>
      <c r="Y24" s="1533">
        <f t="shared" si="9"/>
        <v>668.04</v>
      </c>
      <c r="Z24" s="717">
        <f t="shared" si="10"/>
        <v>0</v>
      </c>
      <c r="AA24" s="717">
        <f t="shared" si="2"/>
        <v>0</v>
      </c>
      <c r="AB24" s="717">
        <f t="shared" si="11"/>
        <v>0</v>
      </c>
      <c r="AC24" s="718">
        <f t="shared" si="12"/>
        <v>0</v>
      </c>
      <c r="AD24" s="626">
        <f t="shared" si="5"/>
        <v>668.04</v>
      </c>
      <c r="AE24" s="627">
        <f t="shared" si="6"/>
        <v>0</v>
      </c>
      <c r="AF24" s="568" t="s">
        <v>475</v>
      </c>
      <c r="AG24" s="568" t="s">
        <v>375</v>
      </c>
      <c r="AH24" s="568" t="str">
        <f>IFERROR(INDEX('Annex 2_Code'!$J$110:$J$122,MATCH('Annex 3_MAFF'!AF24,'Annex 2_Code'!$G$110:$G$122,0)),"")</f>
        <v>MAFF</v>
      </c>
      <c r="AI24" s="882" t="str">
        <f t="shared" si="13"/>
        <v>MAFF</v>
      </c>
      <c r="AK24" s="1382"/>
      <c r="AL24" s="1382"/>
    </row>
    <row r="25" spans="1:38" s="542" customFormat="1" outlineLevel="1">
      <c r="A25" s="102"/>
      <c r="B25" s="374" t="s">
        <v>24</v>
      </c>
      <c r="C25" s="361" t="s">
        <v>305</v>
      </c>
      <c r="D25" s="362"/>
      <c r="E25" s="1751"/>
      <c r="F25" s="2324" t="s">
        <v>1210</v>
      </c>
      <c r="G25" s="2325"/>
      <c r="H25" s="1739" t="s">
        <v>171</v>
      </c>
      <c r="I25" s="1741">
        <v>30</v>
      </c>
      <c r="J25" s="1932">
        <v>0</v>
      </c>
      <c r="K25" s="1745">
        <v>0</v>
      </c>
      <c r="L25" s="1929">
        <v>4</v>
      </c>
      <c r="M25" s="1929">
        <v>0</v>
      </c>
      <c r="N25" s="667">
        <f>SUM(J25:M25)</f>
        <v>4</v>
      </c>
      <c r="O25" s="688">
        <f t="shared" ref="O25:O28" si="19">($I25*J25)</f>
        <v>0</v>
      </c>
      <c r="P25" s="689">
        <f t="shared" ref="P25:P28" si="20">($I25*K25)</f>
        <v>0</v>
      </c>
      <c r="Q25" s="689">
        <f t="shared" si="18"/>
        <v>120</v>
      </c>
      <c r="R25" s="689">
        <f t="shared" si="18"/>
        <v>0</v>
      </c>
      <c r="S25" s="145">
        <f>SUM(O25:R25)</f>
        <v>120</v>
      </c>
      <c r="T25" s="618">
        <f>IFERROR(INDEX('Annex 2_Code'!I$8:I$33,MATCH('Annex 3_MAFF'!$AG25,'Annex 2_Code'!$G$8:$G$33,0)),"")</f>
        <v>1</v>
      </c>
      <c r="U25" s="618">
        <f>IFERROR(INDEX('Annex 2_Code'!J$8:J$33,MATCH('Annex 3_MAFF'!$AG25,'Annex 2_Code'!$G$8:$G$33,0)),"")</f>
        <v>0</v>
      </c>
      <c r="V25" s="618">
        <f>IFERROR(INDEX('Annex 2_Code'!K$8:K$33,MATCH('Annex 3_MAFF'!$AG25,'Annex 2_Code'!$G$8:$G$33,0)),"")</f>
        <v>0</v>
      </c>
      <c r="W25" s="618">
        <f>IFERROR(INDEX('Annex 2_Code'!L$8:L$33,MATCH('Annex 3_MAFF'!$AG25,'Annex 2_Code'!$G$8:$G$33,0)),"")</f>
        <v>0</v>
      </c>
      <c r="X25" s="618">
        <f>IFERROR(INDEX('Annex 2_Code'!M$8:M$33,MATCH('Annex 3_MAFF'!$AG25,'Annex 2_Code'!$G$8:$G$33,0)),"")</f>
        <v>0</v>
      </c>
      <c r="Y25" s="1533">
        <f t="shared" si="9"/>
        <v>120</v>
      </c>
      <c r="Z25" s="717">
        <f t="shared" si="10"/>
        <v>0</v>
      </c>
      <c r="AA25" s="717">
        <f t="shared" si="2"/>
        <v>0</v>
      </c>
      <c r="AB25" s="717">
        <f t="shared" si="11"/>
        <v>0</v>
      </c>
      <c r="AC25" s="718">
        <f t="shared" si="12"/>
        <v>0</v>
      </c>
      <c r="AD25" s="626">
        <f t="shared" si="5"/>
        <v>120</v>
      </c>
      <c r="AE25" s="627">
        <f t="shared" si="6"/>
        <v>0</v>
      </c>
      <c r="AF25" s="568" t="s">
        <v>475</v>
      </c>
      <c r="AG25" s="568" t="s">
        <v>375</v>
      </c>
      <c r="AH25" s="568" t="str">
        <f>IFERROR(INDEX('Annex 2_Code'!$J$110:$J$122,MATCH('Annex 3_MAFF'!AF25,'Annex 2_Code'!$G$110:$G$122,0)),"")</f>
        <v>MAFF</v>
      </c>
      <c r="AI25" s="882" t="str">
        <f t="shared" si="13"/>
        <v>MAFF</v>
      </c>
      <c r="AK25" s="1382"/>
      <c r="AL25" s="1382"/>
    </row>
    <row r="26" spans="1:38" s="542" customFormat="1" outlineLevel="1">
      <c r="A26" s="102"/>
      <c r="B26" s="374" t="s">
        <v>24</v>
      </c>
      <c r="C26" s="361" t="s">
        <v>305</v>
      </c>
      <c r="D26" s="362"/>
      <c r="E26" s="1751"/>
      <c r="F26" s="2324" t="s">
        <v>1211</v>
      </c>
      <c r="G26" s="2325"/>
      <c r="H26" s="1739" t="s">
        <v>171</v>
      </c>
      <c r="I26" s="1741">
        <v>25</v>
      </c>
      <c r="J26" s="1932">
        <v>0</v>
      </c>
      <c r="K26" s="1745">
        <v>0</v>
      </c>
      <c r="L26" s="1929">
        <v>4</v>
      </c>
      <c r="M26" s="1929">
        <v>0</v>
      </c>
      <c r="N26" s="667">
        <f>SUM(J26:M26)</f>
        <v>4</v>
      </c>
      <c r="O26" s="688">
        <f t="shared" si="19"/>
        <v>0</v>
      </c>
      <c r="P26" s="689">
        <f t="shared" si="20"/>
        <v>0</v>
      </c>
      <c r="Q26" s="689">
        <f t="shared" si="18"/>
        <v>100</v>
      </c>
      <c r="R26" s="689">
        <f t="shared" si="18"/>
        <v>0</v>
      </c>
      <c r="S26" s="145">
        <f>SUM(O26:R26)</f>
        <v>100</v>
      </c>
      <c r="T26" s="618">
        <f>IFERROR(INDEX('Annex 2_Code'!I$8:I$33,MATCH('Annex 3_MAFF'!$AG26,'Annex 2_Code'!$G$8:$G$33,0)),"")</f>
        <v>1</v>
      </c>
      <c r="U26" s="618">
        <f>IFERROR(INDEX('Annex 2_Code'!J$8:J$33,MATCH('Annex 3_MAFF'!$AG26,'Annex 2_Code'!$G$8:$G$33,0)),"")</f>
        <v>0</v>
      </c>
      <c r="V26" s="618">
        <f>IFERROR(INDEX('Annex 2_Code'!K$8:K$33,MATCH('Annex 3_MAFF'!$AG26,'Annex 2_Code'!$G$8:$G$33,0)),"")</f>
        <v>0</v>
      </c>
      <c r="W26" s="618">
        <f>IFERROR(INDEX('Annex 2_Code'!L$8:L$33,MATCH('Annex 3_MAFF'!$AG26,'Annex 2_Code'!$G$8:$G$33,0)),"")</f>
        <v>0</v>
      </c>
      <c r="X26" s="618">
        <f>IFERROR(INDEX('Annex 2_Code'!M$8:M$33,MATCH('Annex 3_MAFF'!$AG26,'Annex 2_Code'!$G$8:$G$33,0)),"")</f>
        <v>0</v>
      </c>
      <c r="Y26" s="1533">
        <f t="shared" si="9"/>
        <v>100</v>
      </c>
      <c r="Z26" s="717">
        <f t="shared" si="10"/>
        <v>0</v>
      </c>
      <c r="AA26" s="717">
        <f t="shared" si="2"/>
        <v>0</v>
      </c>
      <c r="AB26" s="717">
        <f t="shared" si="11"/>
        <v>0</v>
      </c>
      <c r="AC26" s="718">
        <f t="shared" si="12"/>
        <v>0</v>
      </c>
      <c r="AD26" s="626">
        <f t="shared" si="5"/>
        <v>100</v>
      </c>
      <c r="AE26" s="627">
        <f t="shared" si="6"/>
        <v>0</v>
      </c>
      <c r="AF26" s="568" t="s">
        <v>475</v>
      </c>
      <c r="AG26" s="568" t="s">
        <v>375</v>
      </c>
      <c r="AH26" s="568" t="str">
        <f>IFERROR(INDEX('Annex 2_Code'!$J$110:$J$122,MATCH('Annex 3_MAFF'!AF26,'Annex 2_Code'!$G$110:$G$122,0)),"")</f>
        <v>MAFF</v>
      </c>
      <c r="AI26" s="882" t="str">
        <f t="shared" si="13"/>
        <v>MAFF</v>
      </c>
      <c r="AK26" s="1382"/>
      <c r="AL26" s="1382"/>
    </row>
    <row r="27" spans="1:38" s="542" customFormat="1" outlineLevel="1">
      <c r="A27" s="102"/>
      <c r="B27" s="374" t="s">
        <v>24</v>
      </c>
      <c r="C27" s="361" t="s">
        <v>305</v>
      </c>
      <c r="D27" s="362"/>
      <c r="E27" s="1751"/>
      <c r="F27" s="2324" t="s">
        <v>45</v>
      </c>
      <c r="G27" s="2325"/>
      <c r="H27" s="1739" t="s">
        <v>171</v>
      </c>
      <c r="I27" s="1741">
        <v>0</v>
      </c>
      <c r="J27" s="1932">
        <v>0</v>
      </c>
      <c r="K27" s="1745">
        <v>0</v>
      </c>
      <c r="L27" s="1929">
        <v>0</v>
      </c>
      <c r="M27" s="1929">
        <v>0</v>
      </c>
      <c r="N27" s="667">
        <f>SUM(J27:M27)</f>
        <v>0</v>
      </c>
      <c r="O27" s="688">
        <f t="shared" si="19"/>
        <v>0</v>
      </c>
      <c r="P27" s="689">
        <f t="shared" si="20"/>
        <v>0</v>
      </c>
      <c r="Q27" s="689">
        <f t="shared" si="18"/>
        <v>0</v>
      </c>
      <c r="R27" s="689">
        <f t="shared" si="18"/>
        <v>0</v>
      </c>
      <c r="S27" s="145">
        <f>SUM(O27:R27)</f>
        <v>0</v>
      </c>
      <c r="T27" s="618">
        <f>IFERROR(INDEX('Annex 2_Code'!I$8:I$33,MATCH('Annex 3_MAFF'!$AG27,'Annex 2_Code'!$G$8:$G$33,0)),"")</f>
        <v>1</v>
      </c>
      <c r="U27" s="618">
        <f>IFERROR(INDEX('Annex 2_Code'!J$8:J$33,MATCH('Annex 3_MAFF'!$AG27,'Annex 2_Code'!$G$8:$G$33,0)),"")</f>
        <v>0</v>
      </c>
      <c r="V27" s="618">
        <f>IFERROR(INDEX('Annex 2_Code'!K$8:K$33,MATCH('Annex 3_MAFF'!$AG27,'Annex 2_Code'!$G$8:$G$33,0)),"")</f>
        <v>0</v>
      </c>
      <c r="W27" s="618">
        <f>IFERROR(INDEX('Annex 2_Code'!L$8:L$33,MATCH('Annex 3_MAFF'!$AG27,'Annex 2_Code'!$G$8:$G$33,0)),"")</f>
        <v>0</v>
      </c>
      <c r="X27" s="618">
        <f>IFERROR(INDEX('Annex 2_Code'!M$8:M$33,MATCH('Annex 3_MAFF'!$AG27,'Annex 2_Code'!$G$8:$G$33,0)),"")</f>
        <v>0</v>
      </c>
      <c r="Y27" s="1533">
        <f t="shared" si="9"/>
        <v>0</v>
      </c>
      <c r="Z27" s="717">
        <f t="shared" si="10"/>
        <v>0</v>
      </c>
      <c r="AA27" s="717">
        <f t="shared" si="2"/>
        <v>0</v>
      </c>
      <c r="AB27" s="717">
        <f t="shared" si="11"/>
        <v>0</v>
      </c>
      <c r="AC27" s="718">
        <f t="shared" si="12"/>
        <v>0</v>
      </c>
      <c r="AD27" s="626">
        <f t="shared" si="5"/>
        <v>0</v>
      </c>
      <c r="AE27" s="627">
        <f t="shared" si="6"/>
        <v>0</v>
      </c>
      <c r="AF27" s="568" t="s">
        <v>475</v>
      </c>
      <c r="AG27" s="568" t="s">
        <v>368</v>
      </c>
      <c r="AH27" s="568" t="str">
        <f>IFERROR(INDEX('Annex 2_Code'!$J$110:$J$122,MATCH('Annex 3_MAFF'!AF27,'Annex 2_Code'!$G$110:$G$122,0)),"")</f>
        <v>MAFF</v>
      </c>
      <c r="AI27" s="882" t="str">
        <f t="shared" si="13"/>
        <v>MAFF</v>
      </c>
      <c r="AK27" s="1382"/>
      <c r="AL27" s="1382"/>
    </row>
    <row r="28" spans="1:38" s="542" customFormat="1" outlineLevel="1">
      <c r="A28" s="102"/>
      <c r="B28" s="374" t="s">
        <v>24</v>
      </c>
      <c r="C28" s="361" t="s">
        <v>305</v>
      </c>
      <c r="D28" s="362"/>
      <c r="E28" s="1751"/>
      <c r="F28" s="2324" t="s">
        <v>46</v>
      </c>
      <c r="G28" s="2325"/>
      <c r="H28" s="1739" t="s">
        <v>171</v>
      </c>
      <c r="I28" s="1741">
        <v>0</v>
      </c>
      <c r="J28" s="1932">
        <v>0</v>
      </c>
      <c r="K28" s="1745">
        <v>0</v>
      </c>
      <c r="L28" s="1929">
        <v>0</v>
      </c>
      <c r="M28" s="1929">
        <v>0</v>
      </c>
      <c r="N28" s="667">
        <f>SUM(J28:M28)</f>
        <v>0</v>
      </c>
      <c r="O28" s="688">
        <f t="shared" si="19"/>
        <v>0</v>
      </c>
      <c r="P28" s="689">
        <f t="shared" si="20"/>
        <v>0</v>
      </c>
      <c r="Q28" s="689">
        <f t="shared" si="18"/>
        <v>0</v>
      </c>
      <c r="R28" s="689">
        <f>($I28*M28)</f>
        <v>0</v>
      </c>
      <c r="S28" s="145">
        <f>SUM(O28:R28)</f>
        <v>0</v>
      </c>
      <c r="T28" s="618">
        <f>IFERROR(INDEX('Annex 2_Code'!I$8:I$33,MATCH('Annex 3_MAFF'!$AG28,'Annex 2_Code'!$G$8:$G$33,0)),"")</f>
        <v>1</v>
      </c>
      <c r="U28" s="618">
        <f>IFERROR(INDEX('Annex 2_Code'!J$8:J$33,MATCH('Annex 3_MAFF'!$AG28,'Annex 2_Code'!$G$8:$G$33,0)),"")</f>
        <v>0</v>
      </c>
      <c r="V28" s="618">
        <f>IFERROR(INDEX('Annex 2_Code'!K$8:K$33,MATCH('Annex 3_MAFF'!$AG28,'Annex 2_Code'!$G$8:$G$33,0)),"")</f>
        <v>0</v>
      </c>
      <c r="W28" s="618">
        <f>IFERROR(INDEX('Annex 2_Code'!L$8:L$33,MATCH('Annex 3_MAFF'!$AG28,'Annex 2_Code'!$G$8:$G$33,0)),"")</f>
        <v>0</v>
      </c>
      <c r="X28" s="618">
        <f>IFERROR(INDEX('Annex 2_Code'!M$8:M$33,MATCH('Annex 3_MAFF'!$AG28,'Annex 2_Code'!$G$8:$G$33,0)),"")</f>
        <v>0</v>
      </c>
      <c r="Y28" s="1533">
        <f t="shared" si="9"/>
        <v>0</v>
      </c>
      <c r="Z28" s="717">
        <f t="shared" si="10"/>
        <v>0</v>
      </c>
      <c r="AA28" s="717">
        <f t="shared" si="2"/>
        <v>0</v>
      </c>
      <c r="AB28" s="717">
        <f t="shared" si="11"/>
        <v>0</v>
      </c>
      <c r="AC28" s="718">
        <f t="shared" si="12"/>
        <v>0</v>
      </c>
      <c r="AD28" s="626">
        <f t="shared" si="5"/>
        <v>0</v>
      </c>
      <c r="AE28" s="627">
        <f t="shared" si="6"/>
        <v>0</v>
      </c>
      <c r="AF28" s="568" t="s">
        <v>475</v>
      </c>
      <c r="AG28" s="568" t="s">
        <v>368</v>
      </c>
      <c r="AH28" s="568" t="str">
        <f>IFERROR(INDEX('Annex 2_Code'!$J$110:$J$122,MATCH('Annex 3_MAFF'!AF28,'Annex 2_Code'!$G$110:$G$122,0)),"")</f>
        <v>MAFF</v>
      </c>
      <c r="AI28" s="882" t="str">
        <f t="shared" si="13"/>
        <v>MAFF</v>
      </c>
      <c r="AK28" s="1382"/>
      <c r="AL28" s="1382"/>
    </row>
    <row r="29" spans="1:38" s="542" customFormat="1" outlineLevel="1">
      <c r="A29" s="102"/>
      <c r="B29" s="76" t="s">
        <v>173</v>
      </c>
      <c r="C29" s="77"/>
      <c r="D29" s="1452"/>
      <c r="E29" s="1440" t="s">
        <v>41</v>
      </c>
      <c r="F29" s="1477"/>
      <c r="G29" s="1428"/>
      <c r="H29" s="1478"/>
      <c r="I29" s="1479"/>
      <c r="J29" s="1456"/>
      <c r="K29" s="1457"/>
      <c r="L29" s="1457"/>
      <c r="M29" s="1457"/>
      <c r="N29" s="1458"/>
      <c r="O29" s="1422">
        <f>SUM(O24:O28)</f>
        <v>0</v>
      </c>
      <c r="P29" s="1424">
        <f>SUM(P24:P28)</f>
        <v>0</v>
      </c>
      <c r="Q29" s="1424">
        <f>SUM(Q24:Q28)</f>
        <v>888.04</v>
      </c>
      <c r="R29" s="1424">
        <f>SUM(R24:R28)</f>
        <v>0</v>
      </c>
      <c r="S29" s="1423">
        <f>SUM(S24:S28)</f>
        <v>888.04</v>
      </c>
      <c r="T29" s="618" t="str">
        <f>IFERROR(INDEX('Annex 2_Code'!I$8:I$33,MATCH('Annex 3_MAFF'!$AG29,'Annex 2_Code'!$G$8:$G$33,0)),"")</f>
        <v/>
      </c>
      <c r="U29" s="618" t="str">
        <f>IFERROR(INDEX('Annex 2_Code'!J$8:J$33,MATCH('Annex 3_MAFF'!$AG29,'Annex 2_Code'!$G$8:$G$33,0)),"")</f>
        <v/>
      </c>
      <c r="V29" s="618" t="str">
        <f>IFERROR(INDEX('Annex 2_Code'!K$8:K$33,MATCH('Annex 3_MAFF'!$AG29,'Annex 2_Code'!$G$8:$G$33,0)),"")</f>
        <v/>
      </c>
      <c r="W29" s="618" t="str">
        <f>IFERROR(INDEX('Annex 2_Code'!L$8:L$33,MATCH('Annex 3_MAFF'!$AG29,'Annex 2_Code'!$G$8:$G$33,0)),"")</f>
        <v/>
      </c>
      <c r="X29" s="618" t="str">
        <f>IFERROR(INDEX('Annex 2_Code'!M$8:M$33,MATCH('Annex 3_MAFF'!$AG29,'Annex 2_Code'!$G$8:$G$33,0)),"")</f>
        <v/>
      </c>
      <c r="Y29" s="1533" t="str">
        <f t="shared" ref="Y29" si="21">IFERROR($S29*T29,"")</f>
        <v/>
      </c>
      <c r="Z29" s="717" t="str">
        <f t="shared" ref="Z29" si="22">IFERROR($S29*U29,"")</f>
        <v/>
      </c>
      <c r="AA29" s="717" t="str">
        <f t="shared" si="2"/>
        <v/>
      </c>
      <c r="AB29" s="717" t="str">
        <f t="shared" ref="AB29" si="23">IFERROR($S29*W29,"")</f>
        <v/>
      </c>
      <c r="AC29" s="718" t="str">
        <f t="shared" ref="AC29" si="24">IFERROR($S29*X29,"")</f>
        <v/>
      </c>
      <c r="AD29" s="626">
        <f>SUM(Y29:AC29)</f>
        <v>0</v>
      </c>
      <c r="AE29" s="627">
        <f t="shared" si="6"/>
        <v>-888.04</v>
      </c>
      <c r="AF29" s="568"/>
      <c r="AG29" s="568"/>
      <c r="AH29" s="568" t="str">
        <f>IFERROR(INDEX('Annex 2_Code'!$J$110:$J$122,MATCH('Annex 3_MAFF'!AF29,'Annex 2_Code'!$G$110:$G$122,0)),"")</f>
        <v/>
      </c>
      <c r="AI29" s="882" t="str">
        <f t="shared" si="13"/>
        <v/>
      </c>
      <c r="AK29" s="1382"/>
      <c r="AL29" s="1382"/>
    </row>
    <row r="30" spans="1:38" s="366" customFormat="1">
      <c r="A30" s="102"/>
      <c r="B30" s="1057" t="s">
        <v>173</v>
      </c>
      <c r="C30" s="1058"/>
      <c r="D30" s="1459" t="s">
        <v>667</v>
      </c>
      <c r="E30" s="1460"/>
      <c r="F30" s="1463"/>
      <c r="G30" s="1461"/>
      <c r="H30" s="1985"/>
      <c r="I30" s="1986"/>
      <c r="J30" s="1987"/>
      <c r="K30" s="1988"/>
      <c r="L30" s="1988"/>
      <c r="M30" s="1988"/>
      <c r="N30" s="1989"/>
      <c r="O30" s="1982">
        <f>SUM(O29,O22,O19)</f>
        <v>0</v>
      </c>
      <c r="P30" s="1983">
        <f>SUM(P29,P22,P19)</f>
        <v>632.20000000000005</v>
      </c>
      <c r="Q30" s="1983">
        <f>SUM(Q29,Q22,Q19)</f>
        <v>2152.44</v>
      </c>
      <c r="R30" s="1983">
        <f>SUM(R29,R22,R19)</f>
        <v>632.20000000000005</v>
      </c>
      <c r="S30" s="1984">
        <f>SUM(S29,S22,S19)</f>
        <v>3416.84</v>
      </c>
      <c r="T30" s="618" t="str">
        <f>IFERROR(INDEX('Annex 2_Code'!I$8:I$33,MATCH('Annex 3_MAFF'!$AG30,'Annex 2_Code'!$G$8:$G$33,0)),"")</f>
        <v/>
      </c>
      <c r="U30" s="618" t="str">
        <f>IFERROR(INDEX('Annex 2_Code'!J$8:J$33,MATCH('Annex 3_MAFF'!$AG30,'Annex 2_Code'!$G$8:$G$33,0)),"")</f>
        <v/>
      </c>
      <c r="V30" s="618" t="str">
        <f>IFERROR(INDEX('Annex 2_Code'!K$8:K$33,MATCH('Annex 3_MAFF'!$AG30,'Annex 2_Code'!$G$8:$G$33,0)),"")</f>
        <v/>
      </c>
      <c r="W30" s="618" t="str">
        <f>IFERROR(INDEX('Annex 2_Code'!L$8:L$33,MATCH('Annex 3_MAFF'!$AG30,'Annex 2_Code'!$G$8:$G$33,0)),"")</f>
        <v/>
      </c>
      <c r="X30" s="618" t="str">
        <f>IFERROR(INDEX('Annex 2_Code'!M$8:M$33,MATCH('Annex 3_MAFF'!$AG30,'Annex 2_Code'!$G$8:$G$33,0)),"")</f>
        <v/>
      </c>
      <c r="Y30" s="1104"/>
      <c r="Z30" s="1105">
        <f>SUM(Z18:Z28)</f>
        <v>0</v>
      </c>
      <c r="AA30" s="717" t="str">
        <f t="shared" si="2"/>
        <v/>
      </c>
      <c r="AB30" s="1105">
        <f>SUM(AB18:AB28)</f>
        <v>0</v>
      </c>
      <c r="AC30" s="1106">
        <f>SUM(AC18:AC28)</f>
        <v>0</v>
      </c>
      <c r="AD30" s="626">
        <f t="shared" si="5"/>
        <v>0</v>
      </c>
      <c r="AE30" s="627">
        <f>AD30-S30</f>
        <v>-3416.84</v>
      </c>
      <c r="AF30" s="570"/>
      <c r="AG30" s="570"/>
      <c r="AH30" s="568" t="str">
        <f>IFERROR(INDEX('Annex 2_Code'!$J$110:$J$122,MATCH('Annex 3_MAFF'!AF30,'Annex 2_Code'!$G$110:$G$122,0)),"")</f>
        <v/>
      </c>
      <c r="AI30" s="882" t="str">
        <f t="shared" si="13"/>
        <v/>
      </c>
      <c r="AK30" s="1383"/>
      <c r="AL30" s="1383"/>
    </row>
    <row r="31" spans="1:38" s="542" customFormat="1">
      <c r="A31" s="102"/>
      <c r="B31" s="76" t="s">
        <v>173</v>
      </c>
      <c r="C31" s="77"/>
      <c r="D31" s="426" t="s">
        <v>1208</v>
      </c>
      <c r="E31" s="309"/>
      <c r="F31" s="308"/>
      <c r="G31" s="720"/>
      <c r="H31" s="565"/>
      <c r="I31" s="566"/>
      <c r="J31" s="665"/>
      <c r="K31" s="666"/>
      <c r="L31" s="666"/>
      <c r="M31" s="666"/>
      <c r="N31" s="667"/>
      <c r="O31" s="688"/>
      <c r="P31" s="689"/>
      <c r="Q31" s="689"/>
      <c r="R31" s="689"/>
      <c r="S31" s="365"/>
      <c r="T31" s="618" t="str">
        <f>IFERROR(INDEX('Annex 2_Code'!I$8:I$33,MATCH('Annex 3_MAFF'!$AG31,'Annex 2_Code'!$G$8:$G$33,0)),"")</f>
        <v/>
      </c>
      <c r="U31" s="618" t="str">
        <f>IFERROR(INDEX('Annex 2_Code'!J$8:J$33,MATCH('Annex 3_MAFF'!$AG31,'Annex 2_Code'!$G$8:$G$33,0)),"")</f>
        <v/>
      </c>
      <c r="V31" s="618" t="str">
        <f>IFERROR(INDEX('Annex 2_Code'!K$8:K$33,MATCH('Annex 3_MAFF'!$AG31,'Annex 2_Code'!$G$8:$G$33,0)),"")</f>
        <v/>
      </c>
      <c r="W31" s="618" t="str">
        <f>IFERROR(INDEX('Annex 2_Code'!L$8:L$33,MATCH('Annex 3_MAFF'!$AG31,'Annex 2_Code'!$G$8:$G$33,0)),"")</f>
        <v/>
      </c>
      <c r="X31" s="618" t="str">
        <f>IFERROR(INDEX('Annex 2_Code'!M$8:M$33,MATCH('Annex 3_MAFF'!$AG31,'Annex 2_Code'!$G$8:$G$33,0)),"")</f>
        <v/>
      </c>
      <c r="Y31" s="1533" t="str">
        <f t="shared" si="9"/>
        <v/>
      </c>
      <c r="Z31" s="717" t="str">
        <f t="shared" si="10"/>
        <v/>
      </c>
      <c r="AA31" s="717" t="str">
        <f t="shared" si="2"/>
        <v/>
      </c>
      <c r="AB31" s="717" t="str">
        <f t="shared" si="11"/>
        <v/>
      </c>
      <c r="AC31" s="718" t="str">
        <f t="shared" si="12"/>
        <v/>
      </c>
      <c r="AD31" s="626">
        <f t="shared" si="5"/>
        <v>0</v>
      </c>
      <c r="AE31" s="655">
        <f>SUM(AD18:AD29)</f>
        <v>3416.84</v>
      </c>
      <c r="AF31" s="568"/>
      <c r="AG31" s="568"/>
      <c r="AH31" s="568" t="str">
        <f>IFERROR(INDEX('Annex 2_Code'!$J$110:$J$122,MATCH('Annex 3_MAFF'!AF31,'Annex 2_Code'!$G$110:$G$122,0)),"")</f>
        <v/>
      </c>
      <c r="AI31" s="882" t="str">
        <f t="shared" si="13"/>
        <v/>
      </c>
      <c r="AK31" s="1382"/>
      <c r="AL31" s="1382"/>
    </row>
    <row r="32" spans="1:38" s="542" customFormat="1" outlineLevel="1">
      <c r="A32" s="102"/>
      <c r="B32" s="76" t="s">
        <v>24</v>
      </c>
      <c r="C32" s="77" t="s">
        <v>295</v>
      </c>
      <c r="D32" s="421"/>
      <c r="E32" s="420" t="s">
        <v>52</v>
      </c>
      <c r="F32" s="422"/>
      <c r="G32" s="725"/>
      <c r="H32" s="588" t="s">
        <v>171</v>
      </c>
      <c r="I32" s="2270">
        <v>106.87</v>
      </c>
      <c r="J32" s="665"/>
      <c r="K32" s="666">
        <v>2</v>
      </c>
      <c r="L32" s="666">
        <v>5</v>
      </c>
      <c r="M32" s="666">
        <v>3</v>
      </c>
      <c r="N32" s="667">
        <f>SUM(J32:M32)</f>
        <v>10</v>
      </c>
      <c r="O32" s="688">
        <f>($I32*J32)</f>
        <v>0</v>
      </c>
      <c r="P32" s="689">
        <f>($I32*K32)</f>
        <v>213.74</v>
      </c>
      <c r="Q32" s="689">
        <f t="shared" ref="Q32:R32" si="25">($I32*L32)</f>
        <v>534.35</v>
      </c>
      <c r="R32" s="689">
        <f t="shared" si="25"/>
        <v>320.61</v>
      </c>
      <c r="S32" s="115">
        <f>SUM(O32:R32)</f>
        <v>1068.7</v>
      </c>
      <c r="T32" s="618">
        <f>IFERROR(INDEX('Annex 2_Code'!I$8:I$33,MATCH('Annex 3_MAFF'!$AG32,'Annex 2_Code'!$G$8:$G$33,0)),"")</f>
        <v>1</v>
      </c>
      <c r="U32" s="618">
        <f>IFERROR(INDEX('Annex 2_Code'!J$8:J$33,MATCH('Annex 3_MAFF'!$AG32,'Annex 2_Code'!$G$8:$G$33,0)),"")</f>
        <v>0</v>
      </c>
      <c r="V32" s="618">
        <f>IFERROR(INDEX('Annex 2_Code'!K$8:K$33,MATCH('Annex 3_MAFF'!$AG32,'Annex 2_Code'!$G$8:$G$33,0)),"")</f>
        <v>0</v>
      </c>
      <c r="W32" s="618">
        <f>IFERROR(INDEX('Annex 2_Code'!L$8:L$33,MATCH('Annex 3_MAFF'!$AG32,'Annex 2_Code'!$G$8:$G$33,0)),"")</f>
        <v>0</v>
      </c>
      <c r="X32" s="618">
        <f>IFERROR(INDEX('Annex 2_Code'!M$8:M$33,MATCH('Annex 3_MAFF'!$AG32,'Annex 2_Code'!$G$8:$G$33,0)),"")</f>
        <v>0</v>
      </c>
      <c r="Y32" s="1533">
        <f t="shared" si="9"/>
        <v>1068.7</v>
      </c>
      <c r="Z32" s="717">
        <f t="shared" si="10"/>
        <v>0</v>
      </c>
      <c r="AA32" s="717">
        <f t="shared" si="2"/>
        <v>0</v>
      </c>
      <c r="AB32" s="717">
        <f t="shared" si="11"/>
        <v>0</v>
      </c>
      <c r="AC32" s="718">
        <f t="shared" si="12"/>
        <v>0</v>
      </c>
      <c r="AD32" s="626">
        <f t="shared" si="5"/>
        <v>1068.7</v>
      </c>
      <c r="AE32" s="627">
        <f t="shared" si="6"/>
        <v>0</v>
      </c>
      <c r="AF32" s="568" t="s">
        <v>475</v>
      </c>
      <c r="AG32" s="568" t="s">
        <v>368</v>
      </c>
      <c r="AH32" s="568" t="str">
        <f>IFERROR(INDEX('Annex 2_Code'!$J$110:$J$122,MATCH('Annex 3_MAFF'!AF32,'Annex 2_Code'!$G$110:$G$122,0)),"")</f>
        <v>MAFF</v>
      </c>
      <c r="AI32" s="882" t="str">
        <f t="shared" si="13"/>
        <v>MAFF</v>
      </c>
      <c r="AK32" s="1382"/>
      <c r="AL32" s="1382"/>
    </row>
    <row r="33" spans="1:38" s="542" customFormat="1" outlineLevel="1">
      <c r="A33" s="102"/>
      <c r="B33" s="76" t="s">
        <v>173</v>
      </c>
      <c r="C33" s="77"/>
      <c r="D33" s="1482"/>
      <c r="E33" s="1427" t="s">
        <v>41</v>
      </c>
      <c r="F33" s="1441"/>
      <c r="G33" s="1483"/>
      <c r="H33" s="1481"/>
      <c r="I33" s="1480"/>
      <c r="J33" s="1468"/>
      <c r="K33" s="1469"/>
      <c r="L33" s="1469"/>
      <c r="M33" s="1469"/>
      <c r="N33" s="1470"/>
      <c r="O33" s="1434">
        <f>SUM(O32)</f>
        <v>0</v>
      </c>
      <c r="P33" s="1435">
        <f>SUM(P32)</f>
        <v>213.74</v>
      </c>
      <c r="Q33" s="1435">
        <f>SUM(Q32)</f>
        <v>534.35</v>
      </c>
      <c r="R33" s="1435">
        <f>SUM(R32)</f>
        <v>320.61</v>
      </c>
      <c r="S33" s="1423">
        <f>SUM(S32)</f>
        <v>1068.7</v>
      </c>
      <c r="T33" s="618"/>
      <c r="U33" s="618"/>
      <c r="V33" s="618"/>
      <c r="W33" s="618"/>
      <c r="X33" s="618"/>
      <c r="Y33" s="1533"/>
      <c r="Z33" s="717"/>
      <c r="AA33" s="717">
        <f t="shared" si="2"/>
        <v>0</v>
      </c>
      <c r="AB33" s="717"/>
      <c r="AC33" s="718"/>
      <c r="AD33" s="626"/>
      <c r="AE33" s="627"/>
      <c r="AF33" s="568"/>
      <c r="AG33" s="568"/>
      <c r="AH33" s="568"/>
      <c r="AI33" s="882"/>
      <c r="AK33" s="1382"/>
      <c r="AL33" s="1382"/>
    </row>
    <row r="34" spans="1:38" s="542" customFormat="1" outlineLevel="1">
      <c r="A34" s="102"/>
      <c r="B34" s="76" t="s">
        <v>173</v>
      </c>
      <c r="C34" s="77"/>
      <c r="D34" s="86"/>
      <c r="E34" s="97" t="s">
        <v>42</v>
      </c>
      <c r="F34" s="364"/>
      <c r="G34" s="722"/>
      <c r="H34" s="565"/>
      <c r="I34" s="566"/>
      <c r="J34" s="665"/>
      <c r="K34" s="666"/>
      <c r="L34" s="666"/>
      <c r="M34" s="666"/>
      <c r="N34" s="667"/>
      <c r="O34" s="688"/>
      <c r="P34" s="689"/>
      <c r="Q34" s="689"/>
      <c r="R34" s="689"/>
      <c r="S34" s="145"/>
      <c r="T34" s="618" t="str">
        <f>IFERROR(INDEX('Annex 2_Code'!I$8:I$33,MATCH('Annex 3_MAFF'!$AG34,'Annex 2_Code'!$G$8:$G$33,0)),"")</f>
        <v/>
      </c>
      <c r="U34" s="618" t="str">
        <f>IFERROR(INDEX('Annex 2_Code'!J$8:J$33,MATCH('Annex 3_MAFF'!$AG34,'Annex 2_Code'!$G$8:$G$33,0)),"")</f>
        <v/>
      </c>
      <c r="V34" s="618" t="str">
        <f>IFERROR(INDEX('Annex 2_Code'!K$8:K$33,MATCH('Annex 3_MAFF'!$AG34,'Annex 2_Code'!$G$8:$G$33,0)),"")</f>
        <v/>
      </c>
      <c r="W34" s="618" t="str">
        <f>IFERROR(INDEX('Annex 2_Code'!L$8:L$33,MATCH('Annex 3_MAFF'!$AG34,'Annex 2_Code'!$G$8:$G$33,0)),"")</f>
        <v/>
      </c>
      <c r="X34" s="618" t="str">
        <f>IFERROR(INDEX('Annex 2_Code'!M$8:M$33,MATCH('Annex 3_MAFF'!$AG34,'Annex 2_Code'!$G$8:$G$33,0)),"")</f>
        <v/>
      </c>
      <c r="Y34" s="1533" t="str">
        <f t="shared" si="9"/>
        <v/>
      </c>
      <c r="Z34" s="717" t="str">
        <f t="shared" si="10"/>
        <v/>
      </c>
      <c r="AA34" s="717" t="str">
        <f t="shared" si="2"/>
        <v/>
      </c>
      <c r="AB34" s="717" t="str">
        <f t="shared" si="11"/>
        <v/>
      </c>
      <c r="AC34" s="718" t="str">
        <f t="shared" si="12"/>
        <v/>
      </c>
      <c r="AD34" s="626">
        <f t="shared" si="5"/>
        <v>0</v>
      </c>
      <c r="AE34" s="627">
        <f t="shared" si="6"/>
        <v>0</v>
      </c>
      <c r="AF34" s="568"/>
      <c r="AG34" s="568"/>
      <c r="AH34" s="568" t="str">
        <f>IFERROR(INDEX('Annex 2_Code'!$J$110:$J$122,MATCH('Annex 3_MAFF'!AF34,'Annex 2_Code'!$G$110:$G$122,0)),"")</f>
        <v/>
      </c>
      <c r="AI34" s="882" t="str">
        <f t="shared" si="13"/>
        <v/>
      </c>
      <c r="AK34" s="1382"/>
      <c r="AL34" s="1382"/>
    </row>
    <row r="35" spans="1:38" s="542" customFormat="1" outlineLevel="1">
      <c r="A35" s="102"/>
      <c r="B35" s="374" t="s">
        <v>24</v>
      </c>
      <c r="C35" s="361" t="s">
        <v>295</v>
      </c>
      <c r="D35" s="86"/>
      <c r="E35" s="97"/>
      <c r="F35" s="536" t="s">
        <v>1142</v>
      </c>
      <c r="G35" s="722"/>
      <c r="H35" s="1926" t="s">
        <v>1</v>
      </c>
      <c r="I35" s="567">
        <f>11307.5481/1000</f>
        <v>11.3075481</v>
      </c>
      <c r="J35" s="665">
        <v>0</v>
      </c>
      <c r="K35" s="666">
        <v>0</v>
      </c>
      <c r="L35" s="666">
        <v>0</v>
      </c>
      <c r="M35" s="666">
        <v>0</v>
      </c>
      <c r="N35" s="667">
        <f>SUM(J35:M35)</f>
        <v>0</v>
      </c>
      <c r="O35" s="688">
        <f>($I35*J35)</f>
        <v>0</v>
      </c>
      <c r="P35" s="689">
        <f>($I35*K35)</f>
        <v>0</v>
      </c>
      <c r="Q35" s="689">
        <f t="shared" ref="Q35:R35" si="26">($I35*L35)</f>
        <v>0</v>
      </c>
      <c r="R35" s="689">
        <f t="shared" si="26"/>
        <v>0</v>
      </c>
      <c r="S35" s="145">
        <f>SUM(O35:R35)</f>
        <v>0</v>
      </c>
      <c r="T35" s="618">
        <f>IFERROR(INDEX('Annex 2_Code'!I$8:I$33,MATCH('Annex 3_MAFF'!$AG35,'Annex 2_Code'!$G$8:$G$33,0)),"")</f>
        <v>1</v>
      </c>
      <c r="U35" s="618">
        <f>IFERROR(INDEX('Annex 2_Code'!J$8:J$33,MATCH('Annex 3_MAFF'!$AG35,'Annex 2_Code'!$G$8:$G$33,0)),"")</f>
        <v>0</v>
      </c>
      <c r="V35" s="618">
        <f>IFERROR(INDEX('Annex 2_Code'!K$8:K$33,MATCH('Annex 3_MAFF'!$AG35,'Annex 2_Code'!$G$8:$G$33,0)),"")</f>
        <v>0</v>
      </c>
      <c r="W35" s="618">
        <f>IFERROR(INDEX('Annex 2_Code'!L$8:L$33,MATCH('Annex 3_MAFF'!$AG35,'Annex 2_Code'!$G$8:$G$33,0)),"")</f>
        <v>0</v>
      </c>
      <c r="X35" s="618">
        <f>IFERROR(INDEX('Annex 2_Code'!M$8:M$33,MATCH('Annex 3_MAFF'!$AG35,'Annex 2_Code'!$G$8:$G$33,0)),"")</f>
        <v>0</v>
      </c>
      <c r="Y35" s="1533">
        <f t="shared" si="9"/>
        <v>0</v>
      </c>
      <c r="Z35" s="717">
        <f t="shared" si="10"/>
        <v>0</v>
      </c>
      <c r="AA35" s="717">
        <f t="shared" si="2"/>
        <v>0</v>
      </c>
      <c r="AB35" s="717">
        <f t="shared" si="11"/>
        <v>0</v>
      </c>
      <c r="AC35" s="718">
        <f t="shared" si="12"/>
        <v>0</v>
      </c>
      <c r="AD35" s="626">
        <f t="shared" si="5"/>
        <v>0</v>
      </c>
      <c r="AE35" s="627">
        <f t="shared" si="6"/>
        <v>0</v>
      </c>
      <c r="AF35" s="568" t="s">
        <v>475</v>
      </c>
      <c r="AG35" s="568" t="s">
        <v>406</v>
      </c>
      <c r="AH35" s="568" t="str">
        <f>IFERROR(INDEX('Annex 2_Code'!$J$110:$J$122,MATCH('Annex 3_MAFF'!AF35,'Annex 2_Code'!$G$110:$G$122,0)),"")</f>
        <v>MAFF</v>
      </c>
      <c r="AI35" s="882" t="str">
        <f t="shared" si="13"/>
        <v>MAFF</v>
      </c>
      <c r="AK35" s="1382"/>
      <c r="AL35" s="1382"/>
    </row>
    <row r="36" spans="1:38" s="542" customFormat="1" outlineLevel="1">
      <c r="A36" s="102"/>
      <c r="B36" s="76" t="s">
        <v>173</v>
      </c>
      <c r="C36" s="77"/>
      <c r="D36" s="1482"/>
      <c r="E36" s="1427" t="s">
        <v>41</v>
      </c>
      <c r="F36" s="1441"/>
      <c r="G36" s="1483"/>
      <c r="H36" s="1481"/>
      <c r="I36" s="1480"/>
      <c r="J36" s="1468"/>
      <c r="K36" s="1469"/>
      <c r="L36" s="1469"/>
      <c r="M36" s="1469"/>
      <c r="N36" s="1470"/>
      <c r="O36" s="1434">
        <f>SUM(O35:O35)</f>
        <v>0</v>
      </c>
      <c r="P36" s="1435">
        <f>SUM(P35:P35)</f>
        <v>0</v>
      </c>
      <c r="Q36" s="1435">
        <f>SUM(Q35:Q35)</f>
        <v>0</v>
      </c>
      <c r="R36" s="1435">
        <f>SUM(R35:R35)</f>
        <v>0</v>
      </c>
      <c r="S36" s="1436">
        <f>SUM(S35:S35)</f>
        <v>0</v>
      </c>
      <c r="T36" s="618" t="str">
        <f>IFERROR(INDEX('Annex 2_Code'!I$8:I$33,MATCH('Annex 3_MAFF'!$AG36,'Annex 2_Code'!$G$8:$G$33,0)),"")</f>
        <v/>
      </c>
      <c r="U36" s="618" t="str">
        <f>IFERROR(INDEX('Annex 2_Code'!J$8:J$33,MATCH('Annex 3_MAFF'!$AG36,'Annex 2_Code'!$G$8:$G$33,0)),"")</f>
        <v/>
      </c>
      <c r="V36" s="618" t="str">
        <f>IFERROR(INDEX('Annex 2_Code'!K$8:K$33,MATCH('Annex 3_MAFF'!$AG36,'Annex 2_Code'!$G$8:$G$33,0)),"")</f>
        <v/>
      </c>
      <c r="W36" s="618" t="str">
        <f>IFERROR(INDEX('Annex 2_Code'!L$8:L$33,MATCH('Annex 3_MAFF'!$AG36,'Annex 2_Code'!$G$8:$G$33,0)),"")</f>
        <v/>
      </c>
      <c r="X36" s="618" t="str">
        <f>IFERROR(INDEX('Annex 2_Code'!M$8:M$33,MATCH('Annex 3_MAFF'!$AG36,'Annex 2_Code'!$G$8:$G$33,0)),"")</f>
        <v/>
      </c>
      <c r="Y36" s="1533" t="str">
        <f t="shared" si="9"/>
        <v/>
      </c>
      <c r="Z36" s="717" t="str">
        <f t="shared" si="10"/>
        <v/>
      </c>
      <c r="AA36" s="717" t="str">
        <f t="shared" si="2"/>
        <v/>
      </c>
      <c r="AB36" s="717" t="str">
        <f t="shared" si="11"/>
        <v/>
      </c>
      <c r="AC36" s="718" t="str">
        <f t="shared" si="12"/>
        <v/>
      </c>
      <c r="AD36" s="626">
        <f t="shared" si="5"/>
        <v>0</v>
      </c>
      <c r="AE36" s="627">
        <f t="shared" si="6"/>
        <v>0</v>
      </c>
      <c r="AF36" s="568"/>
      <c r="AG36" s="568"/>
      <c r="AH36" s="568" t="str">
        <f>IFERROR(INDEX('Annex 2_Code'!$J$110:$J$122,MATCH('Annex 3_MAFF'!AF36,'Annex 2_Code'!$G$110:$G$122,0)),"")</f>
        <v/>
      </c>
      <c r="AI36" s="882" t="str">
        <f t="shared" ref="AI36:AI190" si="27">IF(ISNUMBER(FIND("-",AH36,1))=FALSE,LEFT(AH36,LEN(AH36)),LEFT(AH36,(FIND("-",AH36,1))-1))</f>
        <v/>
      </c>
      <c r="AK36" s="1382"/>
      <c r="AL36" s="1382"/>
    </row>
    <row r="37" spans="1:38" s="366" customFormat="1">
      <c r="A37" s="102"/>
      <c r="B37" s="1057" t="s">
        <v>173</v>
      </c>
      <c r="C37" s="1058"/>
      <c r="D37" s="1459" t="s">
        <v>668</v>
      </c>
      <c r="E37" s="1484"/>
      <c r="F37" s="1485"/>
      <c r="G37" s="1486"/>
      <c r="H37" s="1990"/>
      <c r="I37" s="1990"/>
      <c r="J37" s="1987"/>
      <c r="K37" s="1988"/>
      <c r="L37" s="1988"/>
      <c r="M37" s="1988"/>
      <c r="N37" s="1989"/>
      <c r="O37" s="1982">
        <f>SUM(O33,O36)</f>
        <v>0</v>
      </c>
      <c r="P37" s="1983">
        <f>SUM(P33,P36)</f>
        <v>213.74</v>
      </c>
      <c r="Q37" s="1983">
        <f>SUM(Q33,Q36)</f>
        <v>534.35</v>
      </c>
      <c r="R37" s="1983">
        <f>SUM(R33,R36)</f>
        <v>320.61</v>
      </c>
      <c r="S37" s="1984">
        <f>SUM(S33,S36)</f>
        <v>1068.7</v>
      </c>
      <c r="T37" s="618" t="str">
        <f>IFERROR(INDEX('Annex 2_Code'!I$8:I$33,MATCH('Annex 3_MAFF'!$AG37,'Annex 2_Code'!$G$8:$G$33,0)),"")</f>
        <v/>
      </c>
      <c r="U37" s="618" t="str">
        <f>IFERROR(INDEX('Annex 2_Code'!J$8:J$33,MATCH('Annex 3_MAFF'!$AG37,'Annex 2_Code'!$G$8:$G$33,0)),"")</f>
        <v/>
      </c>
      <c r="V37" s="618" t="str">
        <f>IFERROR(INDEX('Annex 2_Code'!K$8:K$33,MATCH('Annex 3_MAFF'!$AG37,'Annex 2_Code'!$G$8:$G$33,0)),"")</f>
        <v/>
      </c>
      <c r="W37" s="618" t="str">
        <f>IFERROR(INDEX('Annex 2_Code'!L$8:L$33,MATCH('Annex 3_MAFF'!$AG37,'Annex 2_Code'!$G$8:$G$33,0)),"")</f>
        <v/>
      </c>
      <c r="X37" s="618" t="str">
        <f>IFERROR(INDEX('Annex 2_Code'!M$8:M$33,MATCH('Annex 3_MAFF'!$AG37,'Annex 2_Code'!$G$8:$G$33,0)),"")</f>
        <v/>
      </c>
      <c r="Y37" s="1104"/>
      <c r="Z37" s="1105">
        <f>SUM(Z32:Z35)</f>
        <v>0</v>
      </c>
      <c r="AA37" s="717" t="str">
        <f t="shared" si="2"/>
        <v/>
      </c>
      <c r="AB37" s="1105">
        <f>SUM(AB32:AB35)</f>
        <v>0</v>
      </c>
      <c r="AC37" s="1106">
        <f>SUM(AC32:AC35)</f>
        <v>0</v>
      </c>
      <c r="AD37" s="626">
        <f t="shared" si="5"/>
        <v>0</v>
      </c>
      <c r="AE37" s="627">
        <f t="shared" si="6"/>
        <v>-1068.7</v>
      </c>
      <c r="AF37" s="570"/>
      <c r="AG37" s="570"/>
      <c r="AH37" s="568" t="str">
        <f>IFERROR(INDEX('Annex 2_Code'!$J$110:$J$122,MATCH('Annex 3_MAFF'!AF37,'Annex 2_Code'!$G$110:$G$122,0)),"")</f>
        <v/>
      </c>
      <c r="AI37" s="882" t="str">
        <f t="shared" si="27"/>
        <v/>
      </c>
      <c r="AK37" s="1539" t="e">
        <f>SUM(#REF!)+SUM(S11:S14)+SUM(S18:S21)+SUM(S24:S28)+SUM(S32:S35)</f>
        <v>#REF!</v>
      </c>
      <c r="AL37" s="1381" t="s">
        <v>1009</v>
      </c>
    </row>
    <row r="38" spans="1:38" s="542" customFormat="1">
      <c r="A38" s="102"/>
      <c r="B38" s="76" t="s">
        <v>173</v>
      </c>
      <c r="C38" s="77"/>
      <c r="D38" s="106" t="s">
        <v>903</v>
      </c>
      <c r="E38" s="307"/>
      <c r="F38" s="306"/>
      <c r="G38" s="727"/>
      <c r="H38" s="565"/>
      <c r="I38" s="566"/>
      <c r="J38" s="665"/>
      <c r="K38" s="666"/>
      <c r="L38" s="666"/>
      <c r="M38" s="666"/>
      <c r="N38" s="667"/>
      <c r="O38" s="688"/>
      <c r="P38" s="689"/>
      <c r="Q38" s="689"/>
      <c r="R38" s="689"/>
      <c r="S38" s="365"/>
      <c r="T38" s="618" t="str">
        <f>IFERROR(INDEX('[3]Annex 2'!I$8:I$33,MATCH('[3]Annex 3 (''MEF)'!$AG48,'[3]Annex 2'!$G$8:$G$33,0)),"")</f>
        <v/>
      </c>
      <c r="U38" s="618" t="str">
        <f>IFERROR(INDEX('[3]Annex 2'!J$8:J$33,MATCH('[3]Annex 3 (''MEF)'!$AG48,'[3]Annex 2'!$G$8:$G$33,0)),"")</f>
        <v/>
      </c>
      <c r="V38" s="618" t="str">
        <f>IFERROR(INDEX('[3]Annex 2'!K$8:K$33,MATCH('[3]Annex 3 (''MEF)'!$AG48,'[3]Annex 2'!$G$8:$G$33,0)),"")</f>
        <v/>
      </c>
      <c r="W38" s="618" t="str">
        <f>IFERROR(INDEX('[3]Annex 2'!L$8:L$33,MATCH('[3]Annex 3 (''MEF)'!$AG48,'[3]Annex 2'!$G$8:$G$33,0)),"")</f>
        <v/>
      </c>
      <c r="X38" s="618" t="str">
        <f>IFERROR(INDEX('[3]Annex 2'!M$8:M$33,MATCH('[3]Annex 3 (''MEF)'!$AG48,'[3]Annex 2'!$G$8:$G$33,0)),"")</f>
        <v/>
      </c>
      <c r="Y38" s="716" t="str">
        <f t="shared" ref="Y38:AC67" si="28">IFERROR($S38*T38,"")</f>
        <v/>
      </c>
      <c r="Z38" s="717" t="str">
        <f t="shared" si="28"/>
        <v/>
      </c>
      <c r="AA38" s="717" t="str">
        <f t="shared" si="2"/>
        <v/>
      </c>
      <c r="AB38" s="717" t="str">
        <f t="shared" si="28"/>
        <v/>
      </c>
      <c r="AC38" s="718" t="str">
        <f t="shared" si="28"/>
        <v/>
      </c>
      <c r="AD38" s="626">
        <f t="shared" si="5"/>
        <v>0</v>
      </c>
      <c r="AE38" s="655">
        <f>SUM(AD32:AD36)</f>
        <v>1068.7</v>
      </c>
      <c r="AF38" s="568"/>
      <c r="AG38" s="568"/>
      <c r="AH38" s="568" t="str">
        <f>IFERROR(INDEX('[3]Annex 2'!$J$110:$J$122,MATCH('[3]Annex 3 (''MEF)'!AF48,'[3]Annex 2'!$G$110:$G$122,0)),"")</f>
        <v/>
      </c>
      <c r="AI38" s="882" t="str">
        <f t="shared" si="27"/>
        <v/>
      </c>
      <c r="AK38" s="1382"/>
      <c r="AL38" s="1382"/>
    </row>
    <row r="39" spans="1:38" s="542" customFormat="1" outlineLevel="1">
      <c r="A39" s="102"/>
      <c r="B39" s="76" t="s">
        <v>173</v>
      </c>
      <c r="C39" s="361"/>
      <c r="D39" s="86"/>
      <c r="E39" s="97" t="s">
        <v>55</v>
      </c>
      <c r="F39" s="364"/>
      <c r="G39" s="722"/>
      <c r="H39" s="565"/>
      <c r="I39" s="566"/>
      <c r="J39" s="665"/>
      <c r="K39" s="666"/>
      <c r="L39" s="666"/>
      <c r="M39" s="666"/>
      <c r="N39" s="667"/>
      <c r="O39" s="688"/>
      <c r="P39" s="689"/>
      <c r="Q39" s="689"/>
      <c r="R39" s="689"/>
      <c r="S39" s="620"/>
      <c r="T39" s="618" t="str">
        <f>IFERROR(INDEX('[3]Annex 2'!I$8:I$33,MATCH('[3]Annex 3 (''MEF)'!$AG49,'[3]Annex 2'!$G$8:$G$33,0)),"")</f>
        <v/>
      </c>
      <c r="U39" s="618" t="str">
        <f>IFERROR(INDEX('[3]Annex 2'!J$8:J$33,MATCH('[3]Annex 3 (''MEF)'!$AG49,'[3]Annex 2'!$G$8:$G$33,0)),"")</f>
        <v/>
      </c>
      <c r="V39" s="618" t="str">
        <f>IFERROR(INDEX('[3]Annex 2'!K$8:K$33,MATCH('[3]Annex 3 (''MEF)'!$AG49,'[3]Annex 2'!$G$8:$G$33,0)),"")</f>
        <v/>
      </c>
      <c r="W39" s="618" t="str">
        <f>IFERROR(INDEX('[3]Annex 2'!L$8:L$33,MATCH('[3]Annex 3 (''MEF)'!$AG49,'[3]Annex 2'!$G$8:$G$33,0)),"")</f>
        <v/>
      </c>
      <c r="X39" s="618" t="str">
        <f>IFERROR(INDEX('[3]Annex 2'!M$8:M$33,MATCH('[3]Annex 3 (''MEF)'!$AG49,'[3]Annex 2'!$G$8:$G$33,0)),"")</f>
        <v/>
      </c>
      <c r="Y39" s="716" t="str">
        <f t="shared" si="28"/>
        <v/>
      </c>
      <c r="Z39" s="717" t="str">
        <f t="shared" si="28"/>
        <v/>
      </c>
      <c r="AA39" s="717" t="str">
        <f t="shared" si="2"/>
        <v/>
      </c>
      <c r="AB39" s="717" t="str">
        <f t="shared" si="28"/>
        <v/>
      </c>
      <c r="AC39" s="718" t="str">
        <f t="shared" si="28"/>
        <v/>
      </c>
      <c r="AD39" s="626">
        <f t="shared" si="5"/>
        <v>0</v>
      </c>
      <c r="AE39" s="627">
        <f t="shared" si="6"/>
        <v>0</v>
      </c>
      <c r="AF39" s="568"/>
      <c r="AG39" s="568"/>
      <c r="AH39" s="568" t="str">
        <f>IFERROR(INDEX('[3]Annex 2'!$J$110:$J$122,MATCH('[3]Annex 3 (''MEF)'!AF49,'[3]Annex 2'!$G$110:$G$122,0)),"")</f>
        <v/>
      </c>
      <c r="AI39" s="882" t="str">
        <f t="shared" si="27"/>
        <v/>
      </c>
      <c r="AK39" s="1382"/>
      <c r="AL39" s="1382"/>
    </row>
    <row r="40" spans="1:38" s="542" customFormat="1" outlineLevel="1">
      <c r="A40" s="102"/>
      <c r="B40" s="76" t="s">
        <v>24</v>
      </c>
      <c r="C40" s="1071" t="s">
        <v>300</v>
      </c>
      <c r="D40" s="362"/>
      <c r="E40" s="485"/>
      <c r="F40" s="543" t="s">
        <v>575</v>
      </c>
      <c r="G40" s="722"/>
      <c r="H40" s="565" t="s">
        <v>171</v>
      </c>
      <c r="I40" s="567">
        <v>71.430000000000007</v>
      </c>
      <c r="J40" s="665">
        <v>0.6</v>
      </c>
      <c r="K40" s="666">
        <v>1.4</v>
      </c>
      <c r="L40" s="666">
        <v>1</v>
      </c>
      <c r="M40" s="666">
        <v>0</v>
      </c>
      <c r="N40" s="667">
        <f>SUM(J40:M40)</f>
        <v>3</v>
      </c>
      <c r="O40" s="1103">
        <f>($I40*J40)</f>
        <v>42.858000000000004</v>
      </c>
      <c r="P40" s="689">
        <f>($I40*K40)</f>
        <v>100.00200000000001</v>
      </c>
      <c r="Q40" s="689">
        <f>($I40*L40)</f>
        <v>71.430000000000007</v>
      </c>
      <c r="R40" s="689">
        <f>($I40*M40)</f>
        <v>0</v>
      </c>
      <c r="S40" s="690">
        <f>SUM(O40:R40)</f>
        <v>214.29000000000002</v>
      </c>
      <c r="T40" s="618">
        <f>IFERROR(INDEX('[3]Annex 2'!I$8:I$33,MATCH('[3]Annex 3 (''MEF)'!$AG50,'[3]Annex 2'!$G$8:$G$33,0)),"")</f>
        <v>1</v>
      </c>
      <c r="U40" s="618">
        <f>IFERROR(INDEX('[3]Annex 2'!J$8:J$33,MATCH('[3]Annex 3 (''MEF)'!$AG50,'[3]Annex 2'!$G$8:$G$33,0)),"")</f>
        <v>0</v>
      </c>
      <c r="V40" s="618">
        <f>IFERROR(INDEX('[3]Annex 2'!K$8:K$33,MATCH('[3]Annex 3 (''MEF)'!$AG50,'[3]Annex 2'!$G$8:$G$33,0)),"")</f>
        <v>0</v>
      </c>
      <c r="W40" s="618">
        <f>IFERROR(INDEX('[3]Annex 2'!L$8:L$33,MATCH('[3]Annex 3 (''MEF)'!$AG50,'[3]Annex 2'!$G$8:$G$33,0)),"")</f>
        <v>0</v>
      </c>
      <c r="X40" s="618">
        <f>IFERROR(INDEX('[3]Annex 2'!M$8:M$33,MATCH('[3]Annex 3 (''MEF)'!$AG50,'[3]Annex 2'!$G$8:$G$33,0)),"")</f>
        <v>0</v>
      </c>
      <c r="Y40" s="1536">
        <f t="shared" si="28"/>
        <v>214.29000000000002</v>
      </c>
      <c r="Z40" s="717">
        <f t="shared" si="28"/>
        <v>0</v>
      </c>
      <c r="AA40" s="717">
        <f t="shared" si="2"/>
        <v>0</v>
      </c>
      <c r="AB40" s="717">
        <f t="shared" si="28"/>
        <v>0</v>
      </c>
      <c r="AC40" s="718">
        <f t="shared" si="28"/>
        <v>0</v>
      </c>
      <c r="AD40" s="626">
        <f t="shared" si="5"/>
        <v>214.29000000000002</v>
      </c>
      <c r="AE40" s="627">
        <f t="shared" si="6"/>
        <v>0</v>
      </c>
      <c r="AF40" s="568" t="s">
        <v>490</v>
      </c>
      <c r="AG40" s="568" t="s">
        <v>370</v>
      </c>
      <c r="AH40" s="568" t="str">
        <f>IFERROR(INDEX('Annex 2_Code'!$J$110:$J$122,MATCH('Annex 3_MAFF'!AF40,'Annex 2_Code'!$G$110:$G$122,0)),"")</f>
        <v>MAFF-GDA</v>
      </c>
      <c r="AI40" s="882" t="str">
        <f t="shared" si="27"/>
        <v>MAFF</v>
      </c>
      <c r="AK40" s="1382"/>
      <c r="AL40" s="1382"/>
    </row>
    <row r="41" spans="1:38" s="542" customFormat="1" outlineLevel="1">
      <c r="A41" s="102"/>
      <c r="B41" s="76" t="s">
        <v>173</v>
      </c>
      <c r="C41" s="1071"/>
      <c r="D41" s="1482"/>
      <c r="E41" s="1427" t="s">
        <v>41</v>
      </c>
      <c r="F41" s="1441"/>
      <c r="G41" s="1483"/>
      <c r="H41" s="1481"/>
      <c r="I41" s="1480"/>
      <c r="J41" s="1468"/>
      <c r="K41" s="1469"/>
      <c r="L41" s="1469"/>
      <c r="M41" s="1469"/>
      <c r="N41" s="1470"/>
      <c r="O41" s="1434">
        <f>SUM(O40)</f>
        <v>42.858000000000004</v>
      </c>
      <c r="P41" s="1435">
        <f>SUM(P40)</f>
        <v>100.00200000000001</v>
      </c>
      <c r="Q41" s="1435">
        <f>SUM(Q40)</f>
        <v>71.430000000000007</v>
      </c>
      <c r="R41" s="1435">
        <f>SUM(R40)</f>
        <v>0</v>
      </c>
      <c r="S41" s="1436">
        <f>SUM(S40)</f>
        <v>214.29000000000002</v>
      </c>
      <c r="T41" s="618"/>
      <c r="U41" s="618"/>
      <c r="V41" s="618"/>
      <c r="W41" s="618"/>
      <c r="X41" s="618"/>
      <c r="Y41" s="1536"/>
      <c r="Z41" s="717"/>
      <c r="AA41" s="717">
        <f t="shared" si="2"/>
        <v>0</v>
      </c>
      <c r="AB41" s="717"/>
      <c r="AC41" s="718"/>
      <c r="AD41" s="626"/>
      <c r="AE41" s="627"/>
      <c r="AF41" s="568"/>
      <c r="AG41" s="568"/>
      <c r="AH41" s="568"/>
      <c r="AI41" s="882"/>
      <c r="AK41" s="1382"/>
      <c r="AL41" s="1382"/>
    </row>
    <row r="42" spans="1:38" s="542" customFormat="1" outlineLevel="1">
      <c r="A42" s="102"/>
      <c r="B42" s="76" t="s">
        <v>173</v>
      </c>
      <c r="C42" s="1071"/>
      <c r="D42" s="362"/>
      <c r="E42" s="97" t="s">
        <v>42</v>
      </c>
      <c r="F42" s="364"/>
      <c r="G42" s="722"/>
      <c r="H42" s="565"/>
      <c r="I42" s="567"/>
      <c r="J42" s="665"/>
      <c r="K42" s="666"/>
      <c r="L42" s="666"/>
      <c r="M42" s="666"/>
      <c r="N42" s="667"/>
      <c r="O42" s="1103"/>
      <c r="P42" s="689"/>
      <c r="Q42" s="689"/>
      <c r="R42" s="689"/>
      <c r="S42" s="690"/>
      <c r="T42" s="618"/>
      <c r="U42" s="618"/>
      <c r="V42" s="618"/>
      <c r="W42" s="618"/>
      <c r="X42" s="618"/>
      <c r="Y42" s="1536"/>
      <c r="Z42" s="717"/>
      <c r="AA42" s="717">
        <f t="shared" si="2"/>
        <v>0</v>
      </c>
      <c r="AB42" s="717"/>
      <c r="AC42" s="718"/>
      <c r="AD42" s="626"/>
      <c r="AE42" s="627"/>
      <c r="AF42" s="568"/>
      <c r="AG42" s="568"/>
      <c r="AH42" s="568"/>
      <c r="AI42" s="882"/>
      <c r="AK42" s="1382"/>
      <c r="AL42" s="1382"/>
    </row>
    <row r="43" spans="1:38" s="542" customFormat="1" outlineLevel="1">
      <c r="A43" s="102"/>
      <c r="B43" s="374" t="s">
        <v>24</v>
      </c>
      <c r="C43" s="1115" t="s">
        <v>300</v>
      </c>
      <c r="D43" s="362"/>
      <c r="E43" s="97"/>
      <c r="F43" s="536" t="s">
        <v>589</v>
      </c>
      <c r="G43" s="722"/>
      <c r="H43" s="565" t="s">
        <v>1</v>
      </c>
      <c r="I43" s="567">
        <f>I40*0.05</f>
        <v>3.5715000000000003</v>
      </c>
      <c r="J43" s="665">
        <v>1</v>
      </c>
      <c r="K43" s="666">
        <v>1</v>
      </c>
      <c r="L43" s="666">
        <v>1</v>
      </c>
      <c r="M43" s="666">
        <v>0</v>
      </c>
      <c r="N43" s="667">
        <f>SUM(J43:M43)</f>
        <v>3</v>
      </c>
      <c r="O43" s="1103">
        <f>($I43*J43)</f>
        <v>3.5715000000000003</v>
      </c>
      <c r="P43" s="689">
        <f>($I43*K43)</f>
        <v>3.5715000000000003</v>
      </c>
      <c r="Q43" s="689">
        <f t="shared" ref="Q43:R44" si="29">($I43*L43)</f>
        <v>3.5715000000000003</v>
      </c>
      <c r="R43" s="689">
        <f t="shared" si="29"/>
        <v>0</v>
      </c>
      <c r="S43" s="690">
        <f>SUM(O43:R43)</f>
        <v>10.714500000000001</v>
      </c>
      <c r="T43" s="618">
        <f>IFERROR(INDEX('[3]Annex 2'!I$8:I$33,MATCH('[3]Annex 3 (''MEF)'!$AG52,'[3]Annex 2'!$G$8:$G$33,0)),"")</f>
        <v>1</v>
      </c>
      <c r="U43" s="618">
        <f>IFERROR(INDEX('[3]Annex 2'!J$8:J$33,MATCH('[3]Annex 3 (''MEF)'!$AG52,'[3]Annex 2'!$G$8:$G$33,0)),"")</f>
        <v>0</v>
      </c>
      <c r="V43" s="618">
        <f>IFERROR(INDEX('[3]Annex 2'!K$8:K$33,MATCH('[3]Annex 3 (''MEF)'!$AG52,'[3]Annex 2'!$G$8:$G$33,0)),"")</f>
        <v>0</v>
      </c>
      <c r="W43" s="618">
        <f>IFERROR(INDEX('[3]Annex 2'!L$8:L$33,MATCH('[3]Annex 3 (''MEF)'!$AG52,'[3]Annex 2'!$G$8:$G$33,0)),"")</f>
        <v>0</v>
      </c>
      <c r="X43" s="618">
        <f>IFERROR(INDEX('[3]Annex 2'!M$8:M$33,MATCH('[3]Annex 3 (''MEF)'!$AG52,'[3]Annex 2'!$G$8:$G$33,0)),"")</f>
        <v>0</v>
      </c>
      <c r="Y43" s="1536">
        <f t="shared" ref="Y43:AC44" si="30">IFERROR($S43*T43,"")</f>
        <v>10.714500000000001</v>
      </c>
      <c r="Z43" s="717">
        <f t="shared" si="30"/>
        <v>0</v>
      </c>
      <c r="AA43" s="717">
        <f t="shared" si="2"/>
        <v>0</v>
      </c>
      <c r="AB43" s="717">
        <f t="shared" si="30"/>
        <v>0</v>
      </c>
      <c r="AC43" s="718">
        <f t="shared" si="30"/>
        <v>0</v>
      </c>
      <c r="AD43" s="626">
        <f t="shared" si="5"/>
        <v>10.714500000000001</v>
      </c>
      <c r="AE43" s="627">
        <f t="shared" si="6"/>
        <v>0</v>
      </c>
      <c r="AF43" s="568" t="s">
        <v>490</v>
      </c>
      <c r="AG43" s="568" t="s">
        <v>392</v>
      </c>
      <c r="AH43" s="568" t="str">
        <f>IFERROR(INDEX('[3]Annex 2'!$J$110:$J$122,MATCH('[3]Annex 3 (''MEF)'!AF52,'[3]Annex 2'!$G$110:$G$122,0)),"")</f>
        <v>MAFF-GDA</v>
      </c>
      <c r="AI43" s="882" t="str">
        <f>IF(ISNUMBER(FIND("-",AH43,1))=FALSE,LEFT(AH43,LEN(AH43)),LEFT(AH43,(FIND("-",AH43,1))-1))</f>
        <v>MAFF</v>
      </c>
      <c r="AK43" s="1382"/>
      <c r="AL43" s="1382"/>
    </row>
    <row r="44" spans="1:38" s="542" customFormat="1" outlineLevel="1">
      <c r="A44" s="102"/>
      <c r="B44" s="76" t="s">
        <v>24</v>
      </c>
      <c r="C44" s="1071" t="s">
        <v>300</v>
      </c>
      <c r="D44" s="362"/>
      <c r="E44" s="97"/>
      <c r="F44" s="1036" t="s">
        <v>586</v>
      </c>
      <c r="G44" s="722"/>
      <c r="H44" s="565" t="s">
        <v>172</v>
      </c>
      <c r="I44" s="567">
        <v>11.52</v>
      </c>
      <c r="J44" s="665">
        <v>0</v>
      </c>
      <c r="K44" s="666">
        <v>0</v>
      </c>
      <c r="L44" s="666">
        <v>3</v>
      </c>
      <c r="M44" s="666">
        <v>0</v>
      </c>
      <c r="N44" s="667">
        <f>SUM(J44:M44)</f>
        <v>3</v>
      </c>
      <c r="O44" s="1103">
        <f>($I44*J44)</f>
        <v>0</v>
      </c>
      <c r="P44" s="689">
        <f>($I44*K44)</f>
        <v>0</v>
      </c>
      <c r="Q44" s="689">
        <f t="shared" si="29"/>
        <v>34.56</v>
      </c>
      <c r="R44" s="689">
        <f t="shared" si="29"/>
        <v>0</v>
      </c>
      <c r="S44" s="690">
        <f>SUM(O44:R44)</f>
        <v>34.56</v>
      </c>
      <c r="T44" s="618">
        <f>IFERROR(INDEX('[3]Annex 2'!I$8:I$33,MATCH('[3]Annex 3 (''MEF)'!$AG53,'[3]Annex 2'!$G$8:$G$33,0)),"")</f>
        <v>1</v>
      </c>
      <c r="U44" s="618">
        <f>IFERROR(INDEX('[3]Annex 2'!J$8:J$33,MATCH('[3]Annex 3 (''MEF)'!$AG53,'[3]Annex 2'!$G$8:$G$33,0)),"")</f>
        <v>0</v>
      </c>
      <c r="V44" s="618">
        <f>IFERROR(INDEX('[3]Annex 2'!K$8:K$33,MATCH('[3]Annex 3 (''MEF)'!$AG53,'[3]Annex 2'!$G$8:$G$33,0)),"")</f>
        <v>0</v>
      </c>
      <c r="W44" s="618">
        <f>IFERROR(INDEX('[3]Annex 2'!L$8:L$33,MATCH('[3]Annex 3 (''MEF)'!$AG53,'[3]Annex 2'!$G$8:$G$33,0)),"")</f>
        <v>0</v>
      </c>
      <c r="X44" s="618">
        <f>IFERROR(INDEX('[3]Annex 2'!M$8:M$33,MATCH('[3]Annex 3 (''MEF)'!$AG53,'[3]Annex 2'!$G$8:$G$33,0)),"")</f>
        <v>0</v>
      </c>
      <c r="Y44" s="1536">
        <f t="shared" si="30"/>
        <v>34.56</v>
      </c>
      <c r="Z44" s="717">
        <f t="shared" si="30"/>
        <v>0</v>
      </c>
      <c r="AA44" s="717">
        <f t="shared" si="2"/>
        <v>0</v>
      </c>
      <c r="AB44" s="717">
        <f t="shared" si="30"/>
        <v>0</v>
      </c>
      <c r="AC44" s="718">
        <f t="shared" si="30"/>
        <v>0</v>
      </c>
      <c r="AD44" s="626">
        <f t="shared" si="5"/>
        <v>34.56</v>
      </c>
      <c r="AE44" s="627">
        <f t="shared" si="6"/>
        <v>0</v>
      </c>
      <c r="AF44" s="568" t="s">
        <v>490</v>
      </c>
      <c r="AG44" s="568" t="s">
        <v>370</v>
      </c>
      <c r="AH44" s="568" t="str">
        <f>IFERROR(INDEX('[3]Annex 2'!$J$110:$J$122,MATCH('[3]Annex 3 (''MEF)'!AF53,'[3]Annex 2'!$G$110:$G$122,0)),"")</f>
        <v>MAFF-GDA</v>
      </c>
      <c r="AI44" s="882" t="str">
        <f>IF(ISNUMBER(FIND("-",AH44,1))=FALSE,LEFT(AH44,LEN(AH44)),LEFT(AH44,(FIND("-",AH44,1))-1))</f>
        <v>MAFF</v>
      </c>
      <c r="AK44" s="1382"/>
      <c r="AL44" s="1382"/>
    </row>
    <row r="45" spans="1:38" s="542" customFormat="1" outlineLevel="1">
      <c r="A45" s="102"/>
      <c r="B45" s="76" t="s">
        <v>173</v>
      </c>
      <c r="C45" s="77"/>
      <c r="D45" s="1487"/>
      <c r="E45" s="1441" t="s">
        <v>41</v>
      </c>
      <c r="F45" s="1441"/>
      <c r="G45" s="1428"/>
      <c r="H45" s="1454"/>
      <c r="I45" s="1488"/>
      <c r="J45" s="1456"/>
      <c r="K45" s="1457"/>
      <c r="L45" s="1457"/>
      <c r="M45" s="1457"/>
      <c r="N45" s="1458"/>
      <c r="O45" s="1434">
        <f>SUM(O43,O44)</f>
        <v>3.5715000000000003</v>
      </c>
      <c r="P45" s="1435">
        <f>SUM(P44,P43)</f>
        <v>3.5715000000000003</v>
      </c>
      <c r="Q45" s="1435">
        <f>SUM(Q43,Q44)</f>
        <v>38.131500000000003</v>
      </c>
      <c r="R45" s="1435">
        <f>SUM(R43:R44)</f>
        <v>0</v>
      </c>
      <c r="S45" s="1436">
        <f>SUM(S43:S44)</f>
        <v>45.274500000000003</v>
      </c>
      <c r="T45" s="618"/>
      <c r="U45" s="618"/>
      <c r="V45" s="618"/>
      <c r="W45" s="618"/>
      <c r="X45" s="618"/>
      <c r="Y45" s="1536"/>
      <c r="Z45" s="717"/>
      <c r="AA45" s="717">
        <f t="shared" si="2"/>
        <v>0</v>
      </c>
      <c r="AB45" s="717"/>
      <c r="AC45" s="718"/>
      <c r="AD45" s="626"/>
      <c r="AE45" s="627">
        <f t="shared" si="6"/>
        <v>-45.274500000000003</v>
      </c>
      <c r="AF45" s="568"/>
      <c r="AG45" s="568"/>
      <c r="AH45" s="568"/>
      <c r="AI45" s="882"/>
      <c r="AK45" s="1382"/>
      <c r="AL45" s="1382"/>
    </row>
    <row r="46" spans="1:38" s="542" customFormat="1" outlineLevel="1">
      <c r="A46" s="102"/>
      <c r="B46" s="76" t="s">
        <v>173</v>
      </c>
      <c r="C46" s="361"/>
      <c r="D46" s="86"/>
      <c r="E46" s="97" t="s">
        <v>56</v>
      </c>
      <c r="F46" s="364"/>
      <c r="G46" s="722"/>
      <c r="H46" s="565"/>
      <c r="I46" s="566"/>
      <c r="J46" s="665"/>
      <c r="K46" s="666"/>
      <c r="L46" s="666"/>
      <c r="M46" s="666"/>
      <c r="N46" s="667" t="s">
        <v>14</v>
      </c>
      <c r="O46" s="688" t="s">
        <v>14</v>
      </c>
      <c r="P46" s="689"/>
      <c r="Q46" s="689"/>
      <c r="R46" s="689"/>
      <c r="S46" s="620"/>
      <c r="T46" s="618" t="str">
        <f>IFERROR(INDEX('[3]Annex 2'!I$8:I$33,MATCH('[3]Annex 3 (''MEF)'!$AG55,'[3]Annex 2'!$G$8:$G$33,0)),"")</f>
        <v/>
      </c>
      <c r="U46" s="618" t="str">
        <f>IFERROR(INDEX('[3]Annex 2'!J$8:J$33,MATCH('[3]Annex 3 (''MEF)'!$AG55,'[3]Annex 2'!$G$8:$G$33,0)),"")</f>
        <v/>
      </c>
      <c r="V46" s="618" t="str">
        <f>IFERROR(INDEX('[3]Annex 2'!K$8:K$33,MATCH('[3]Annex 3 (''MEF)'!$AG55,'[3]Annex 2'!$G$8:$G$33,0)),"")</f>
        <v/>
      </c>
      <c r="W46" s="618" t="str">
        <f>IFERROR(INDEX('[3]Annex 2'!L$8:L$33,MATCH('[3]Annex 3 (''MEF)'!$AG55,'[3]Annex 2'!$G$8:$G$33,0)),"")</f>
        <v/>
      </c>
      <c r="X46" s="618" t="str">
        <f>IFERROR(INDEX('[3]Annex 2'!M$8:M$33,MATCH('[3]Annex 3 (''MEF)'!$AG55,'[3]Annex 2'!$G$8:$G$33,0)),"")</f>
        <v/>
      </c>
      <c r="Y46" s="1536" t="str">
        <f t="shared" si="28"/>
        <v/>
      </c>
      <c r="Z46" s="717" t="str">
        <f t="shared" si="28"/>
        <v/>
      </c>
      <c r="AA46" s="717" t="str">
        <f t="shared" si="2"/>
        <v/>
      </c>
      <c r="AB46" s="717" t="str">
        <f t="shared" si="28"/>
        <v/>
      </c>
      <c r="AC46" s="718" t="str">
        <f t="shared" si="28"/>
        <v/>
      </c>
      <c r="AD46" s="626">
        <f t="shared" si="5"/>
        <v>0</v>
      </c>
      <c r="AE46" s="627">
        <f t="shared" si="6"/>
        <v>0</v>
      </c>
      <c r="AF46" s="568"/>
      <c r="AG46" s="568"/>
      <c r="AH46" s="568" t="str">
        <f>IFERROR(INDEX('[3]Annex 2'!$J$110:$J$122,MATCH('[3]Annex 3 (''MEF)'!AF55,'[3]Annex 2'!$G$110:$G$122,0)),"")</f>
        <v/>
      </c>
      <c r="AI46" s="882" t="str">
        <f t="shared" ref="AI46:AI50" si="31">IF(ISNUMBER(FIND("-",AH46,1))=FALSE,LEFT(AH46,LEN(AH46)),LEFT(AH46,(FIND("-",AH46,1))-1))</f>
        <v/>
      </c>
      <c r="AK46" s="1382"/>
      <c r="AL46" s="1382"/>
    </row>
    <row r="47" spans="1:38" s="542" customFormat="1" outlineLevel="1">
      <c r="A47" s="102"/>
      <c r="B47" s="76" t="s">
        <v>24</v>
      </c>
      <c r="C47" s="1071" t="s">
        <v>301</v>
      </c>
      <c r="D47" s="86"/>
      <c r="E47" s="82"/>
      <c r="F47" s="536" t="s">
        <v>1145</v>
      </c>
      <c r="G47" s="721"/>
      <c r="H47" s="538" t="s">
        <v>172</v>
      </c>
      <c r="I47" s="1371">
        <f>20000/1000</f>
        <v>20</v>
      </c>
      <c r="J47" s="665">
        <v>1</v>
      </c>
      <c r="K47" s="666">
        <v>0</v>
      </c>
      <c r="L47" s="666">
        <v>0</v>
      </c>
      <c r="M47" s="666">
        <v>0</v>
      </c>
      <c r="N47" s="667">
        <f>SUM(J47:M47)</f>
        <v>1</v>
      </c>
      <c r="O47" s="688">
        <f>($I47*J47)</f>
        <v>20</v>
      </c>
      <c r="P47" s="689">
        <f>(I$47*K47)</f>
        <v>0</v>
      </c>
      <c r="Q47" s="689">
        <f t="shared" ref="Q47:R47" si="32">(J$47*L47)</f>
        <v>0</v>
      </c>
      <c r="R47" s="689">
        <f t="shared" si="32"/>
        <v>0</v>
      </c>
      <c r="S47" s="145">
        <f>SUM(O47:R47)</f>
        <v>20</v>
      </c>
      <c r="T47" s="618">
        <f>IFERROR(INDEX('[3]Annex 2'!I$8:I$33,MATCH('[3]Annex 3 (''MEF)'!$AG56,'[3]Annex 2'!$G$8:$G$33,0)),"")</f>
        <v>1</v>
      </c>
      <c r="U47" s="618">
        <f>IFERROR(INDEX('[3]Annex 2'!J$8:J$33,MATCH('[3]Annex 3 (''MEF)'!$AG56,'[3]Annex 2'!$G$8:$G$33,0)),"")</f>
        <v>0</v>
      </c>
      <c r="V47" s="618">
        <f>IFERROR(INDEX('[3]Annex 2'!K$8:K$33,MATCH('[3]Annex 3 (''MEF)'!$AG56,'[3]Annex 2'!$G$8:$G$33,0)),"")</f>
        <v>0</v>
      </c>
      <c r="W47" s="618">
        <f>IFERROR(INDEX('[3]Annex 2'!L$8:L$33,MATCH('[3]Annex 3 (''MEF)'!$AG56,'[3]Annex 2'!$G$8:$G$33,0)),"")</f>
        <v>0</v>
      </c>
      <c r="X47" s="618">
        <f>IFERROR(INDEX('[3]Annex 2'!M$8:M$33,MATCH('[3]Annex 3 (''MEF)'!$AG56,'[3]Annex 2'!$G$8:$G$33,0)),"")</f>
        <v>0</v>
      </c>
      <c r="Y47" s="1536">
        <f t="shared" si="28"/>
        <v>20</v>
      </c>
      <c r="Z47" s="717">
        <f t="shared" si="28"/>
        <v>0</v>
      </c>
      <c r="AA47" s="717">
        <f t="shared" si="2"/>
        <v>0</v>
      </c>
      <c r="AB47" s="717">
        <f t="shared" si="28"/>
        <v>0</v>
      </c>
      <c r="AC47" s="718">
        <f t="shared" si="28"/>
        <v>0</v>
      </c>
      <c r="AD47" s="626">
        <f t="shared" si="5"/>
        <v>20</v>
      </c>
      <c r="AE47" s="627">
        <f t="shared" si="6"/>
        <v>0</v>
      </c>
      <c r="AF47" s="568" t="s">
        <v>490</v>
      </c>
      <c r="AG47" s="568" t="s">
        <v>370</v>
      </c>
      <c r="AH47" s="568" t="str">
        <f>IFERROR(INDEX('[3]Annex 2'!$J$110:$J$122,MATCH('[3]Annex 3 (''MEF)'!AF56,'[3]Annex 2'!$G$110:$G$122,0)),"")</f>
        <v>MAFF-GDA</v>
      </c>
      <c r="AI47" s="882" t="str">
        <f t="shared" si="31"/>
        <v>MAFF</v>
      </c>
      <c r="AK47" s="1382"/>
      <c r="AL47" s="1382"/>
    </row>
    <row r="48" spans="1:38" s="542" customFormat="1" outlineLevel="1">
      <c r="A48" s="102"/>
      <c r="B48" s="76" t="s">
        <v>173</v>
      </c>
      <c r="C48" s="1071"/>
      <c r="D48" s="1482"/>
      <c r="E48" s="1427" t="s">
        <v>41</v>
      </c>
      <c r="F48" s="1441"/>
      <c r="G48" s="1483"/>
      <c r="H48" s="1481"/>
      <c r="I48" s="1480"/>
      <c r="J48" s="1468"/>
      <c r="K48" s="1469"/>
      <c r="L48" s="1469"/>
      <c r="M48" s="1469"/>
      <c r="N48" s="1470"/>
      <c r="O48" s="1434">
        <f>SUM(O47)</f>
        <v>20</v>
      </c>
      <c r="P48" s="1435">
        <f>SUM(P47)</f>
        <v>0</v>
      </c>
      <c r="Q48" s="1435">
        <f>SUM(Q47)</f>
        <v>0</v>
      </c>
      <c r="R48" s="1435">
        <f>SUM(R47)</f>
        <v>0</v>
      </c>
      <c r="S48" s="1423">
        <f>SUM(S47)</f>
        <v>20</v>
      </c>
      <c r="T48" s="618"/>
      <c r="U48" s="618"/>
      <c r="V48" s="618"/>
      <c r="W48" s="618"/>
      <c r="X48" s="618"/>
      <c r="Y48" s="1536"/>
      <c r="Z48" s="717"/>
      <c r="AA48" s="717">
        <f t="shared" si="2"/>
        <v>0</v>
      </c>
      <c r="AB48" s="717"/>
      <c r="AC48" s="718"/>
      <c r="AD48" s="626"/>
      <c r="AE48" s="627"/>
      <c r="AF48" s="568"/>
      <c r="AG48" s="568"/>
      <c r="AH48" s="568"/>
      <c r="AI48" s="882"/>
      <c r="AK48" s="1382"/>
      <c r="AL48" s="1382"/>
    </row>
    <row r="49" spans="1:38" s="542" customFormat="1">
      <c r="A49" s="102"/>
      <c r="B49" s="374" t="s">
        <v>173</v>
      </c>
      <c r="C49" s="361"/>
      <c r="D49" s="1459" t="s">
        <v>669</v>
      </c>
      <c r="E49" s="1460"/>
      <c r="F49" s="1463"/>
      <c r="G49" s="1461"/>
      <c r="H49" s="1991"/>
      <c r="I49" s="1992"/>
      <c r="J49" s="1993"/>
      <c r="K49" s="1994"/>
      <c r="L49" s="1994"/>
      <c r="M49" s="1994"/>
      <c r="N49" s="1995"/>
      <c r="O49" s="1996">
        <f>SUM(O48,O45,O41)</f>
        <v>66.429500000000004</v>
      </c>
      <c r="P49" s="1997">
        <f>SUM(P48,P45,P41)</f>
        <v>103.57350000000001</v>
      </c>
      <c r="Q49" s="1997">
        <f t="shared" ref="Q49:R49" si="33">SUM(Q48,Q45,Q41)</f>
        <v>109.56150000000001</v>
      </c>
      <c r="R49" s="1997">
        <f t="shared" si="33"/>
        <v>0</v>
      </c>
      <c r="S49" s="1998">
        <f>SUM(S48,S45,S41)</f>
        <v>279.56450000000001</v>
      </c>
      <c r="T49" s="618" t="str">
        <f>IFERROR(INDEX('[3]Annex 2'!I$8:I$33,MATCH('[3]Annex 3 (''MEF)'!$AG57,'[3]Annex 2'!$G$8:$G$33,0)),"")</f>
        <v/>
      </c>
      <c r="U49" s="618" t="str">
        <f>IFERROR(INDEX('[3]Annex 2'!J$8:J$33,MATCH('[3]Annex 3 (''MEF)'!$AG57,'[3]Annex 2'!$G$8:$G$33,0)),"")</f>
        <v/>
      </c>
      <c r="V49" s="618" t="str">
        <f>IFERROR(INDEX('[3]Annex 2'!K$8:K$33,MATCH('[3]Annex 3 (''MEF)'!$AG57,'[3]Annex 2'!$G$8:$G$33,0)),"")</f>
        <v/>
      </c>
      <c r="W49" s="618" t="str">
        <f>IFERROR(INDEX('[3]Annex 2'!L$8:L$33,MATCH('[3]Annex 3 (''MEF)'!$AG57,'[3]Annex 2'!$G$8:$G$33,0)),"")</f>
        <v/>
      </c>
      <c r="X49" s="618" t="str">
        <f>IFERROR(INDEX('[3]Annex 2'!M$8:M$33,MATCH('[3]Annex 3 (''MEF)'!$AG57,'[3]Annex 2'!$G$8:$G$33,0)),"")</f>
        <v/>
      </c>
      <c r="Y49" s="716"/>
      <c r="Z49" s="717" t="str">
        <f t="shared" si="28"/>
        <v/>
      </c>
      <c r="AA49" s="717" t="str">
        <f t="shared" si="2"/>
        <v/>
      </c>
      <c r="AB49" s="717" t="str">
        <f t="shared" si="28"/>
        <v/>
      </c>
      <c r="AC49" s="718" t="str">
        <f t="shared" si="28"/>
        <v/>
      </c>
      <c r="AD49" s="626">
        <f t="shared" si="5"/>
        <v>0</v>
      </c>
      <c r="AE49" s="627">
        <f t="shared" si="6"/>
        <v>-279.56450000000001</v>
      </c>
      <c r="AF49" s="568"/>
      <c r="AG49" s="568"/>
      <c r="AH49" s="568" t="str">
        <f>IFERROR(INDEX('[3]Annex 2'!$J$110:$J$122,MATCH('[3]Annex 3 (''MEF)'!AF57,'[3]Annex 2'!$G$110:$G$122,0)),"")</f>
        <v/>
      </c>
      <c r="AI49" s="882" t="str">
        <f t="shared" si="31"/>
        <v/>
      </c>
      <c r="AK49" s="1539">
        <f>SUM(S40:S44)+S47</f>
        <v>493.85450000000003</v>
      </c>
      <c r="AL49" s="1381" t="s">
        <v>1011</v>
      </c>
    </row>
    <row r="50" spans="1:38" s="542" customFormat="1">
      <c r="A50" s="102"/>
      <c r="B50" s="76" t="s">
        <v>173</v>
      </c>
      <c r="C50" s="77"/>
      <c r="D50" s="106" t="s">
        <v>1094</v>
      </c>
      <c r="E50" s="290"/>
      <c r="F50" s="74"/>
      <c r="G50" s="728"/>
      <c r="H50" s="537"/>
      <c r="I50" s="539"/>
      <c r="J50" s="671"/>
      <c r="K50" s="672"/>
      <c r="L50" s="666"/>
      <c r="M50" s="666"/>
      <c r="N50" s="667"/>
      <c r="O50" s="688"/>
      <c r="P50" s="689"/>
      <c r="Q50" s="689"/>
      <c r="R50" s="689"/>
      <c r="S50" s="365"/>
      <c r="T50" s="618" t="str">
        <f>IFERROR(INDEX('[3]Annex 2'!I$8:I$33,MATCH('[3]Annex 3 (''MEF)'!$AG58,'[3]Annex 2'!$G$8:$G$33,0)),"")</f>
        <v/>
      </c>
      <c r="U50" s="618" t="str">
        <f>IFERROR(INDEX('[3]Annex 2'!J$8:J$33,MATCH('[3]Annex 3 (''MEF)'!$AG58,'[3]Annex 2'!$G$8:$G$33,0)),"")</f>
        <v/>
      </c>
      <c r="V50" s="618" t="str">
        <f>IFERROR(INDEX('[3]Annex 2'!K$8:K$33,MATCH('[3]Annex 3 (''MEF)'!$AG58,'[3]Annex 2'!$G$8:$G$33,0)),"")</f>
        <v/>
      </c>
      <c r="W50" s="618" t="str">
        <f>IFERROR(INDEX('[3]Annex 2'!L$8:L$33,MATCH('[3]Annex 3 (''MEF)'!$AG58,'[3]Annex 2'!$G$8:$G$33,0)),"")</f>
        <v/>
      </c>
      <c r="X50" s="618" t="str">
        <f>IFERROR(INDEX('[3]Annex 2'!M$8:M$33,MATCH('[3]Annex 3 (''MEF)'!$AG58,'[3]Annex 2'!$G$8:$G$33,0)),"")</f>
        <v/>
      </c>
      <c r="Y50" s="716" t="str">
        <f t="shared" si="28"/>
        <v/>
      </c>
      <c r="Z50" s="717" t="str">
        <f t="shared" si="28"/>
        <v/>
      </c>
      <c r="AA50" s="717" t="str">
        <f t="shared" si="2"/>
        <v/>
      </c>
      <c r="AB50" s="717" t="str">
        <f t="shared" si="28"/>
        <v/>
      </c>
      <c r="AC50" s="718" t="str">
        <f t="shared" si="28"/>
        <v/>
      </c>
      <c r="AD50" s="626">
        <f t="shared" si="5"/>
        <v>0</v>
      </c>
      <c r="AE50" s="655">
        <f>SUM(AD40:AD47)</f>
        <v>279.56450000000001</v>
      </c>
      <c r="AF50" s="568"/>
      <c r="AG50" s="568"/>
      <c r="AH50" s="568" t="str">
        <f>IFERROR(INDEX('[3]Annex 2'!$J$110:$J$122,MATCH('[3]Annex 3 (''MEF)'!AF58,'[3]Annex 2'!$G$110:$G$122,0)),"")</f>
        <v/>
      </c>
      <c r="AI50" s="882" t="str">
        <f t="shared" si="31"/>
        <v/>
      </c>
      <c r="AK50" s="1382"/>
      <c r="AL50" s="1382"/>
    </row>
    <row r="51" spans="1:38" s="542" customFormat="1" outlineLevel="1">
      <c r="A51" s="102"/>
      <c r="B51" s="76" t="s">
        <v>173</v>
      </c>
      <c r="C51" s="77"/>
      <c r="D51" s="423"/>
      <c r="E51" s="485" t="s">
        <v>902</v>
      </c>
      <c r="F51" s="1043"/>
      <c r="G51" s="1024"/>
      <c r="H51" s="537"/>
      <c r="I51" s="539"/>
      <c r="J51" s="671"/>
      <c r="K51" s="672"/>
      <c r="L51" s="666"/>
      <c r="M51" s="666"/>
      <c r="N51" s="667"/>
      <c r="O51" s="688"/>
      <c r="P51" s="689"/>
      <c r="Q51" s="689"/>
      <c r="R51" s="689"/>
      <c r="S51" s="564"/>
      <c r="T51" s="618"/>
      <c r="U51" s="618"/>
      <c r="V51" s="618"/>
      <c r="W51" s="618"/>
      <c r="X51" s="618"/>
      <c r="Y51" s="716"/>
      <c r="Z51" s="717"/>
      <c r="AA51" s="717">
        <f t="shared" si="2"/>
        <v>0</v>
      </c>
      <c r="AB51" s="717"/>
      <c r="AC51" s="718"/>
      <c r="AD51" s="626"/>
      <c r="AE51" s="627"/>
      <c r="AF51" s="568"/>
      <c r="AG51" s="568"/>
      <c r="AH51" s="568"/>
      <c r="AI51" s="882"/>
      <c r="AK51" s="1382"/>
      <c r="AL51" s="1382"/>
    </row>
    <row r="52" spans="1:38" s="542" customFormat="1" outlineLevel="1">
      <c r="A52" s="102"/>
      <c r="B52" s="374" t="s">
        <v>24</v>
      </c>
      <c r="C52" s="361" t="s">
        <v>423</v>
      </c>
      <c r="D52" s="362"/>
      <c r="E52" s="485"/>
      <c r="F52" s="543" t="s">
        <v>585</v>
      </c>
      <c r="G52" s="1024"/>
      <c r="H52" s="565" t="s">
        <v>171</v>
      </c>
      <c r="I52" s="1941">
        <f>54.546+2.73</f>
        <v>57.275999999999996</v>
      </c>
      <c r="J52" s="665">
        <v>1</v>
      </c>
      <c r="K52" s="666">
        <v>1</v>
      </c>
      <c r="L52" s="666">
        <v>1</v>
      </c>
      <c r="M52" s="666">
        <v>1</v>
      </c>
      <c r="N52" s="667">
        <f>SUM(J52:M52)</f>
        <v>4</v>
      </c>
      <c r="O52" s="1103">
        <f>($I52*J52)</f>
        <v>57.275999999999996</v>
      </c>
      <c r="P52" s="689">
        <f>($I52*K52)</f>
        <v>57.275999999999996</v>
      </c>
      <c r="Q52" s="689">
        <f t="shared" ref="Q52:R52" si="34">($I52*L52)</f>
        <v>57.275999999999996</v>
      </c>
      <c r="R52" s="689">
        <f t="shared" si="34"/>
        <v>57.275999999999996</v>
      </c>
      <c r="S52" s="690">
        <f>SUM(O52:R52)</f>
        <v>229.10399999999998</v>
      </c>
      <c r="T52" s="618">
        <f>IFERROR(INDEX('Annex 2_Code'!I$8:I$33,MATCH('Annex 3_MAFF'!$AG52,'Annex 2_Code'!$G$8:$G$33,0)),"")</f>
        <v>1</v>
      </c>
      <c r="U52" s="618">
        <f>IFERROR(INDEX('Annex 2_Code'!J$8:J$33,MATCH('Annex 3_MAFF'!$AG52,'Annex 2_Code'!$G$8:$G$33,0)),"")</f>
        <v>0</v>
      </c>
      <c r="V52" s="618">
        <f>IFERROR(INDEX('Annex 2_Code'!K$8:K$33,MATCH('Annex 3_MAFF'!$AG52,'Annex 2_Code'!$G$8:$G$33,0)),"")</f>
        <v>0</v>
      </c>
      <c r="W52" s="618">
        <f>IFERROR(INDEX('Annex 2_Code'!L$8:L$33,MATCH('Annex 3_MAFF'!$AG52,'Annex 2_Code'!$G$8:$G$33,0)),"")</f>
        <v>0</v>
      </c>
      <c r="X52" s="618">
        <f>IFERROR(INDEX('Annex 2_Code'!M$8:M$33,MATCH('Annex 3_MAFF'!$AG52,'Annex 2_Code'!$G$8:$G$33,0)),"")</f>
        <v>0</v>
      </c>
      <c r="Y52" s="1533">
        <f>IFERROR($S52*T52,"")</f>
        <v>229.10399999999998</v>
      </c>
      <c r="Z52" s="717">
        <f>IFERROR($S52*U52,"")</f>
        <v>0</v>
      </c>
      <c r="AA52" s="717">
        <f t="shared" si="2"/>
        <v>0</v>
      </c>
      <c r="AB52" s="717">
        <f>IFERROR($S52*W52,"")</f>
        <v>0</v>
      </c>
      <c r="AC52" s="718">
        <f>IFERROR($S52*X52,"")</f>
        <v>0</v>
      </c>
      <c r="AD52" s="626">
        <f t="shared" si="5"/>
        <v>229.10399999999998</v>
      </c>
      <c r="AE52" s="627">
        <f t="shared" si="6"/>
        <v>0</v>
      </c>
      <c r="AF52" s="568" t="s">
        <v>490</v>
      </c>
      <c r="AG52" s="568" t="s">
        <v>370</v>
      </c>
      <c r="AH52" s="1372" t="str">
        <f>IFERROR(INDEX('Annex 2_Code'!$J$110:$J$122,MATCH('Annex 3_MAFF'!AF52,'Annex 2_Code'!$G$110:$G$122,0)),"")</f>
        <v>MAFF-GDA</v>
      </c>
      <c r="AI52" s="882" t="str">
        <f>IF(ISNUMBER(FIND("-",AH52,1))=FALSE,LEFT(AH52,LEN(AH52)),LEFT(AH52,(FIND("-",AH52,1))-1))</f>
        <v>MAFF</v>
      </c>
      <c r="AK52" s="1382"/>
      <c r="AL52" s="1382"/>
    </row>
    <row r="53" spans="1:38" s="542" customFormat="1" outlineLevel="1">
      <c r="A53" s="102"/>
      <c r="B53" s="374" t="s">
        <v>173</v>
      </c>
      <c r="C53" s="361"/>
      <c r="D53" s="1452"/>
      <c r="E53" s="1451"/>
      <c r="F53" s="1441" t="s">
        <v>41</v>
      </c>
      <c r="G53" s="1428"/>
      <c r="H53" s="1454"/>
      <c r="I53" s="1455"/>
      <c r="J53" s="1456"/>
      <c r="K53" s="1457"/>
      <c r="L53" s="1457"/>
      <c r="M53" s="1457"/>
      <c r="N53" s="1458"/>
      <c r="O53" s="1434">
        <f>SUM(O52)</f>
        <v>57.275999999999996</v>
      </c>
      <c r="P53" s="1435">
        <f>SUM(P52)</f>
        <v>57.275999999999996</v>
      </c>
      <c r="Q53" s="1435">
        <f>SUM(Q52)</f>
        <v>57.275999999999996</v>
      </c>
      <c r="R53" s="1435">
        <f>SUM(R52)</f>
        <v>57.275999999999996</v>
      </c>
      <c r="S53" s="1436">
        <f>SUM(S52)</f>
        <v>229.10399999999998</v>
      </c>
      <c r="T53" s="618"/>
      <c r="U53" s="618"/>
      <c r="V53" s="618"/>
      <c r="W53" s="618"/>
      <c r="X53" s="618"/>
      <c r="Y53" s="1533"/>
      <c r="Z53" s="717"/>
      <c r="AA53" s="717">
        <f t="shared" si="2"/>
        <v>0</v>
      </c>
      <c r="AB53" s="717"/>
      <c r="AC53" s="718"/>
      <c r="AD53" s="626"/>
      <c r="AE53" s="627"/>
      <c r="AF53" s="568"/>
      <c r="AG53" s="568"/>
      <c r="AH53" s="1372"/>
      <c r="AI53" s="882"/>
      <c r="AK53" s="1382"/>
      <c r="AL53" s="1382"/>
    </row>
    <row r="54" spans="1:38" s="542" customFormat="1" outlineLevel="1">
      <c r="A54" s="102"/>
      <c r="B54" s="76" t="s">
        <v>173</v>
      </c>
      <c r="C54" s="77"/>
      <c r="D54" s="86"/>
      <c r="E54" s="97" t="s">
        <v>42</v>
      </c>
      <c r="F54" s="364"/>
      <c r="G54" s="722"/>
      <c r="H54" s="565"/>
      <c r="I54" s="566"/>
      <c r="J54" s="665"/>
      <c r="K54" s="666"/>
      <c r="L54" s="666"/>
      <c r="M54" s="666"/>
      <c r="N54" s="667"/>
      <c r="O54" s="1103"/>
      <c r="P54" s="689"/>
      <c r="Q54" s="689"/>
      <c r="R54" s="689"/>
      <c r="S54" s="115"/>
      <c r="T54" s="618" t="str">
        <f>IFERROR(INDEX('[3]Annex 2'!I$8:I$33,MATCH('[3]Annex 3 (''MEF)'!$AG61,'[3]Annex 2'!$G$8:$G$33,0)),"")</f>
        <v/>
      </c>
      <c r="U54" s="618" t="str">
        <f>IFERROR(INDEX('[3]Annex 2'!J$8:J$33,MATCH('[3]Annex 3 (''MEF)'!$AG61,'[3]Annex 2'!$G$8:$G$33,0)),"")</f>
        <v/>
      </c>
      <c r="V54" s="618" t="str">
        <f>IFERROR(INDEX('[3]Annex 2'!K$8:K$33,MATCH('[3]Annex 3 (''MEF)'!$AG61,'[3]Annex 2'!$G$8:$G$33,0)),"")</f>
        <v/>
      </c>
      <c r="W54" s="618" t="str">
        <f>IFERROR(INDEX('[3]Annex 2'!L$8:L$33,MATCH('[3]Annex 3 (''MEF)'!$AG61,'[3]Annex 2'!$G$8:$G$33,0)),"")</f>
        <v/>
      </c>
      <c r="X54" s="618" t="str">
        <f>IFERROR(INDEX('[3]Annex 2'!M$8:M$33,MATCH('[3]Annex 3 (''MEF)'!$AG61,'[3]Annex 2'!$G$8:$G$33,0)),"")</f>
        <v/>
      </c>
      <c r="Y54" s="1533" t="str">
        <f t="shared" si="28"/>
        <v/>
      </c>
      <c r="Z54" s="717" t="str">
        <f t="shared" si="28"/>
        <v/>
      </c>
      <c r="AA54" s="717" t="str">
        <f t="shared" si="2"/>
        <v/>
      </c>
      <c r="AB54" s="717" t="str">
        <f t="shared" si="28"/>
        <v/>
      </c>
      <c r="AC54" s="718" t="str">
        <f t="shared" si="28"/>
        <v/>
      </c>
      <c r="AD54" s="626"/>
      <c r="AE54" s="627"/>
      <c r="AF54" s="568"/>
      <c r="AG54" s="568"/>
      <c r="AH54" s="568" t="str">
        <f>IFERROR(INDEX('[3]Annex 2'!$J$110:$J$122,MATCH('[3]Annex 3 (''MEF)'!AF61,'[3]Annex 2'!$G$110:$G$122,0)),"")</f>
        <v/>
      </c>
      <c r="AI54" s="882" t="str">
        <f t="shared" ref="AI54:AI67" si="35">IF(ISNUMBER(FIND("-",AH54,1))=FALSE,LEFT(AH54,LEN(AH54)),LEFT(AH54,(FIND("-",AH54,1))-1))</f>
        <v/>
      </c>
      <c r="AK54" s="1382"/>
      <c r="AL54" s="1382"/>
    </row>
    <row r="55" spans="1:38" s="542" customFormat="1" outlineLevel="1">
      <c r="A55" s="102"/>
      <c r="B55" s="76" t="s">
        <v>24</v>
      </c>
      <c r="C55" s="77" t="s">
        <v>423</v>
      </c>
      <c r="D55" s="362"/>
      <c r="E55" s="97"/>
      <c r="F55" s="1036" t="s">
        <v>1143</v>
      </c>
      <c r="G55" s="722"/>
      <c r="H55" s="565" t="s">
        <v>172</v>
      </c>
      <c r="I55" s="567">
        <f>103687.67/3/1000</f>
        <v>34.562556666666666</v>
      </c>
      <c r="J55" s="665">
        <v>0</v>
      </c>
      <c r="K55" s="666">
        <v>0</v>
      </c>
      <c r="L55" s="666">
        <v>3</v>
      </c>
      <c r="M55" s="666">
        <v>1</v>
      </c>
      <c r="N55" s="667">
        <f>SUM(J55:M55)</f>
        <v>4</v>
      </c>
      <c r="O55" s="1103">
        <f>($I55*J55)</f>
        <v>0</v>
      </c>
      <c r="P55" s="689">
        <f>($I55*K55)</f>
        <v>0</v>
      </c>
      <c r="Q55" s="689">
        <f t="shared" ref="Q55:R55" si="36">($I55*L55)</f>
        <v>103.68767</v>
      </c>
      <c r="R55" s="689">
        <f t="shared" si="36"/>
        <v>34.562556666666666</v>
      </c>
      <c r="S55" s="690">
        <f>SUM(O55:R55)</f>
        <v>138.25022666666666</v>
      </c>
      <c r="T55" s="618">
        <f>IFERROR(INDEX('Annex 2_Code'!I$8:I$33,MATCH('Annex 3_MAFF'!$AG55,'Annex 2_Code'!$G$8:$G$33,0)),"")</f>
        <v>1</v>
      </c>
      <c r="U55" s="618">
        <f>IFERROR(INDEX('Annex 2_Code'!J$8:J$33,MATCH('Annex 3_MAFF'!$AG55,'Annex 2_Code'!$G$8:$G$33,0)),"")</f>
        <v>0</v>
      </c>
      <c r="V55" s="618">
        <f>IFERROR(INDEX('Annex 2_Code'!K$8:K$33,MATCH('Annex 3_MAFF'!$AG55,'Annex 2_Code'!$G$8:$G$33,0)),"")</f>
        <v>0</v>
      </c>
      <c r="W55" s="618">
        <f>IFERROR(INDEX('Annex 2_Code'!L$8:L$33,MATCH('Annex 3_MAFF'!$AG55,'Annex 2_Code'!$G$8:$G$33,0)),"")</f>
        <v>0</v>
      </c>
      <c r="X55" s="618">
        <f>IFERROR(INDEX('Annex 2_Code'!M$8:M$33,MATCH('Annex 3_MAFF'!$AG55,'Annex 2_Code'!$G$8:$G$33,0)),"")</f>
        <v>0</v>
      </c>
      <c r="Y55" s="1533">
        <f t="shared" si="28"/>
        <v>138.25022666666666</v>
      </c>
      <c r="Z55" s="717">
        <f t="shared" si="28"/>
        <v>0</v>
      </c>
      <c r="AA55" s="717">
        <f t="shared" si="2"/>
        <v>0</v>
      </c>
      <c r="AB55" s="717">
        <f t="shared" si="28"/>
        <v>0</v>
      </c>
      <c r="AC55" s="718">
        <f t="shared" si="28"/>
        <v>0</v>
      </c>
      <c r="AD55" s="626">
        <f t="shared" si="5"/>
        <v>138.25022666666666</v>
      </c>
      <c r="AE55" s="627">
        <f t="shared" si="6"/>
        <v>0</v>
      </c>
      <c r="AF55" s="568" t="s">
        <v>490</v>
      </c>
      <c r="AG55" s="568" t="s">
        <v>370</v>
      </c>
      <c r="AH55" s="1372" t="str">
        <f>IFERROR(INDEX('Annex 2_Code'!$J$110:$J$122,MATCH('Annex 3_MAFF'!AF55,'Annex 2_Code'!$G$110:$G$122,0)),"")</f>
        <v>MAFF-GDA</v>
      </c>
      <c r="AI55" s="882" t="str">
        <f t="shared" si="35"/>
        <v>MAFF</v>
      </c>
      <c r="AK55" s="1382"/>
      <c r="AL55" s="1382"/>
    </row>
    <row r="56" spans="1:38" s="542" customFormat="1" outlineLevel="1">
      <c r="A56" s="102"/>
      <c r="B56" s="76" t="s">
        <v>173</v>
      </c>
      <c r="C56" s="77"/>
      <c r="D56" s="362"/>
      <c r="E56" s="485"/>
      <c r="F56" s="1726" t="s">
        <v>1144</v>
      </c>
      <c r="G56" s="730"/>
      <c r="H56" s="565"/>
      <c r="I56" s="567"/>
      <c r="J56" s="665"/>
      <c r="K56" s="666"/>
      <c r="L56" s="666"/>
      <c r="M56" s="666"/>
      <c r="N56" s="667"/>
      <c r="O56" s="1103"/>
      <c r="P56" s="689"/>
      <c r="Q56" s="689"/>
      <c r="R56" s="689"/>
      <c r="S56" s="690"/>
      <c r="T56" s="618"/>
      <c r="U56" s="618"/>
      <c r="V56" s="618"/>
      <c r="W56" s="618"/>
      <c r="X56" s="618"/>
      <c r="Y56" s="1533"/>
      <c r="Z56" s="717"/>
      <c r="AA56" s="717">
        <f t="shared" si="2"/>
        <v>0</v>
      </c>
      <c r="AB56" s="717"/>
      <c r="AC56" s="718"/>
      <c r="AD56" s="626"/>
      <c r="AE56" s="627"/>
      <c r="AF56" s="568"/>
      <c r="AG56" s="568"/>
      <c r="AH56" s="568"/>
      <c r="AI56" s="882"/>
      <c r="AK56" s="1382"/>
      <c r="AL56" s="1382"/>
    </row>
    <row r="57" spans="1:38" s="542" customFormat="1" outlineLevel="1">
      <c r="A57" s="102"/>
      <c r="B57" s="76" t="s">
        <v>24</v>
      </c>
      <c r="C57" s="77" t="s">
        <v>423</v>
      </c>
      <c r="D57" s="362"/>
      <c r="E57" s="485"/>
      <c r="F57" s="1726"/>
      <c r="G57" s="1726" t="s">
        <v>999</v>
      </c>
      <c r="H57" s="565" t="s">
        <v>171</v>
      </c>
      <c r="I57" s="566">
        <f>24000/1000</f>
        <v>24</v>
      </c>
      <c r="J57" s="665">
        <v>1</v>
      </c>
      <c r="K57" s="666">
        <v>1</v>
      </c>
      <c r="L57" s="666">
        <v>1</v>
      </c>
      <c r="M57" s="666">
        <v>1</v>
      </c>
      <c r="N57" s="667">
        <f t="shared" ref="N57:N63" si="37">SUM(J57:M57)</f>
        <v>4</v>
      </c>
      <c r="O57" s="1103">
        <f>($I57*J57)</f>
        <v>24</v>
      </c>
      <c r="P57" s="689">
        <f>($I57*K57)</f>
        <v>24</v>
      </c>
      <c r="Q57" s="689">
        <f t="shared" ref="Q57:R63" si="38">($I57*L57)</f>
        <v>24</v>
      </c>
      <c r="R57" s="689">
        <f t="shared" si="38"/>
        <v>24</v>
      </c>
      <c r="S57" s="690">
        <f>SUM(O57:R57)</f>
        <v>96</v>
      </c>
      <c r="T57" s="618">
        <f>IFERROR(INDEX('Annex 2_Code'!I$8:I$33,MATCH('Annex 3_MAFF'!$AG57,'Annex 2_Code'!$G$8:$G$33,0)),"")</f>
        <v>1</v>
      </c>
      <c r="U57" s="618">
        <f>IFERROR(INDEX('Annex 2_Code'!J$8:J$33,MATCH('Annex 3_MAFF'!$AG57,'Annex 2_Code'!$G$8:$G$33,0)),"")</f>
        <v>0</v>
      </c>
      <c r="V57" s="618">
        <f>IFERROR(INDEX('Annex 2_Code'!K$8:K$33,MATCH('Annex 3_MAFF'!$AG57,'Annex 2_Code'!$G$8:$G$33,0)),"")</f>
        <v>0</v>
      </c>
      <c r="W57" s="618">
        <f>IFERROR(INDEX('Annex 2_Code'!L$8:L$33,MATCH('Annex 3_MAFF'!$AG57,'Annex 2_Code'!$G$8:$G$33,0)),"")</f>
        <v>0</v>
      </c>
      <c r="X57" s="618">
        <f>IFERROR(INDEX('Annex 2_Code'!M$8:M$33,MATCH('Annex 3_MAFF'!$AG57,'Annex 2_Code'!$G$8:$G$33,0)),"")</f>
        <v>0</v>
      </c>
      <c r="Y57" s="1533">
        <f t="shared" ref="Y57:Y63" si="39">IFERROR($S57*T57,"")</f>
        <v>96</v>
      </c>
      <c r="Z57" s="717">
        <f t="shared" ref="Z57:AA72" si="40">IFERROR($S57*U57,"")</f>
        <v>0</v>
      </c>
      <c r="AA57" s="717">
        <f t="shared" si="2"/>
        <v>0</v>
      </c>
      <c r="AB57" s="717">
        <f t="shared" ref="AB57:AB63" si="41">IFERROR($S57*W57,"")</f>
        <v>0</v>
      </c>
      <c r="AC57" s="718">
        <f t="shared" ref="AC57:AC63" si="42">IFERROR($S57*X57,"")</f>
        <v>0</v>
      </c>
      <c r="AD57" s="626">
        <f t="shared" ref="AD57:AD64" si="43">SUM(Y57:AC57)</f>
        <v>96</v>
      </c>
      <c r="AE57" s="627">
        <f t="shared" ref="AE57:AE64" si="44">AD57-S57</f>
        <v>0</v>
      </c>
      <c r="AF57" s="568" t="s">
        <v>490</v>
      </c>
      <c r="AG57" s="568" t="s">
        <v>370</v>
      </c>
      <c r="AH57" s="1372" t="str">
        <f>IFERROR(INDEX('Annex 2_Code'!$J$110:$J$122,MATCH('Annex 3_MAFF'!AF57,'Annex 2_Code'!$G$110:$G$122,0)),"")</f>
        <v>MAFF-GDA</v>
      </c>
      <c r="AI57" s="882" t="str">
        <f t="shared" ref="AI57:AI63" si="45">IF(ISNUMBER(FIND("-",AH57,1))=FALSE,LEFT(AH57,LEN(AH57)),LEFT(AH57,(FIND("-",AH57,1))-1))</f>
        <v>MAFF</v>
      </c>
      <c r="AK57" s="1382"/>
      <c r="AL57" s="1382"/>
    </row>
    <row r="58" spans="1:38" s="542" customFormat="1" outlineLevel="1">
      <c r="A58" s="102"/>
      <c r="B58" s="76" t="s">
        <v>24</v>
      </c>
      <c r="C58" s="77" t="s">
        <v>423</v>
      </c>
      <c r="D58" s="362"/>
      <c r="E58" s="485"/>
      <c r="F58" s="1726"/>
      <c r="G58" s="1726" t="s">
        <v>1000</v>
      </c>
      <c r="H58" s="565" t="s">
        <v>171</v>
      </c>
      <c r="I58" s="566">
        <f>18000/1000</f>
        <v>18</v>
      </c>
      <c r="J58" s="665">
        <v>1</v>
      </c>
      <c r="K58" s="666">
        <v>1</v>
      </c>
      <c r="L58" s="666">
        <v>1</v>
      </c>
      <c r="M58" s="666">
        <v>1</v>
      </c>
      <c r="N58" s="667">
        <f t="shared" si="37"/>
        <v>4</v>
      </c>
      <c r="O58" s="1103">
        <f t="shared" ref="O58:O63" si="46">($I58*J58)</f>
        <v>18</v>
      </c>
      <c r="P58" s="689">
        <f t="shared" ref="P58:P63" si="47">($I58*K58)</f>
        <v>18</v>
      </c>
      <c r="Q58" s="689">
        <f t="shared" si="38"/>
        <v>18</v>
      </c>
      <c r="R58" s="689">
        <f t="shared" si="38"/>
        <v>18</v>
      </c>
      <c r="S58" s="690">
        <f t="shared" ref="S58:S63" si="48">SUM(O58:R58)</f>
        <v>72</v>
      </c>
      <c r="T58" s="618">
        <f>IFERROR(INDEX('[3]Annex 2'!I$8:I$33,MATCH('[3]Annex 3 (''MEF)'!$AG66,'[3]Annex 2'!$G$8:$G$33,0)),"")</f>
        <v>1</v>
      </c>
      <c r="U58" s="618">
        <f>IFERROR(INDEX('[3]Annex 2'!J$8:J$33,MATCH('[3]Annex 3 (''MEF)'!$AG66,'[3]Annex 2'!$G$8:$G$33,0)),"")</f>
        <v>0</v>
      </c>
      <c r="V58" s="618">
        <f>IFERROR(INDEX('[3]Annex 2'!K$8:K$33,MATCH('[3]Annex 3 (''MEF)'!$AG66,'[3]Annex 2'!$G$8:$G$33,0)),"")</f>
        <v>0</v>
      </c>
      <c r="W58" s="618">
        <f>IFERROR(INDEX('[3]Annex 2'!L$8:L$33,MATCH('[3]Annex 3 (''MEF)'!$AG66,'[3]Annex 2'!$G$8:$G$33,0)),"")</f>
        <v>0</v>
      </c>
      <c r="X58" s="618">
        <f>IFERROR(INDEX('[3]Annex 2'!M$8:M$33,MATCH('[3]Annex 3 (''MEF)'!$AG66,'[3]Annex 2'!$G$8:$G$33,0)),"")</f>
        <v>0</v>
      </c>
      <c r="Y58" s="1533">
        <f t="shared" si="39"/>
        <v>72</v>
      </c>
      <c r="Z58" s="717">
        <f t="shared" si="40"/>
        <v>0</v>
      </c>
      <c r="AA58" s="717">
        <f t="shared" si="2"/>
        <v>0</v>
      </c>
      <c r="AB58" s="717">
        <f t="shared" si="41"/>
        <v>0</v>
      </c>
      <c r="AC58" s="718">
        <f t="shared" si="42"/>
        <v>0</v>
      </c>
      <c r="AD58" s="626">
        <f t="shared" si="43"/>
        <v>72</v>
      </c>
      <c r="AE58" s="627">
        <f t="shared" si="44"/>
        <v>0</v>
      </c>
      <c r="AF58" s="568" t="s">
        <v>490</v>
      </c>
      <c r="AG58" s="568" t="s">
        <v>370</v>
      </c>
      <c r="AH58" s="1372" t="str">
        <f>IFERROR(INDEX('Annex 2_Code'!$J$110:$J$122,MATCH('Annex 3_MAFF'!AF58,'Annex 2_Code'!$G$110:$G$122,0)),"")</f>
        <v>MAFF-GDA</v>
      </c>
      <c r="AI58" s="882" t="str">
        <f t="shared" si="45"/>
        <v>MAFF</v>
      </c>
      <c r="AK58" s="1382"/>
      <c r="AL58" s="1382"/>
    </row>
    <row r="59" spans="1:38" s="542" customFormat="1" outlineLevel="1">
      <c r="A59" s="102"/>
      <c r="B59" s="76" t="s">
        <v>24</v>
      </c>
      <c r="C59" s="77" t="s">
        <v>423</v>
      </c>
      <c r="D59" s="362"/>
      <c r="E59" s="485"/>
      <c r="F59" s="1726"/>
      <c r="G59" s="1726" t="s">
        <v>1001</v>
      </c>
      <c r="H59" s="565" t="s">
        <v>171</v>
      </c>
      <c r="I59" s="566">
        <f>12000/1000</f>
        <v>12</v>
      </c>
      <c r="J59" s="665">
        <v>1</v>
      </c>
      <c r="K59" s="666">
        <v>1</v>
      </c>
      <c r="L59" s="666">
        <v>1</v>
      </c>
      <c r="M59" s="666">
        <v>1</v>
      </c>
      <c r="N59" s="667">
        <f t="shared" si="37"/>
        <v>4</v>
      </c>
      <c r="O59" s="1103">
        <f t="shared" si="46"/>
        <v>12</v>
      </c>
      <c r="P59" s="689">
        <f t="shared" si="47"/>
        <v>12</v>
      </c>
      <c r="Q59" s="689">
        <f t="shared" si="38"/>
        <v>12</v>
      </c>
      <c r="R59" s="689">
        <f t="shared" si="38"/>
        <v>12</v>
      </c>
      <c r="S59" s="690">
        <f t="shared" si="48"/>
        <v>48</v>
      </c>
      <c r="T59" s="618">
        <f>IFERROR(INDEX('Annex 2_Code'!I$8:I$33,MATCH('Annex 3_MAFF'!$AG59,'Annex 2_Code'!$G$8:$G$33,0)),"")</f>
        <v>1</v>
      </c>
      <c r="U59" s="618">
        <f>IFERROR(INDEX('Annex 2_Code'!J$8:J$33,MATCH('Annex 3_MAFF'!$AG59,'Annex 2_Code'!$G$8:$G$33,0)),"")</f>
        <v>0</v>
      </c>
      <c r="V59" s="618">
        <f>IFERROR(INDEX('Annex 2_Code'!K$8:K$33,MATCH('Annex 3_MAFF'!$AG59,'Annex 2_Code'!$G$8:$G$33,0)),"")</f>
        <v>0</v>
      </c>
      <c r="W59" s="618">
        <f>IFERROR(INDEX('Annex 2_Code'!L$8:L$33,MATCH('Annex 3_MAFF'!$AG59,'Annex 2_Code'!$G$8:$G$33,0)),"")</f>
        <v>0</v>
      </c>
      <c r="X59" s="618">
        <f>IFERROR(INDEX('Annex 2_Code'!M$8:M$33,MATCH('Annex 3_MAFF'!$AG59,'Annex 2_Code'!$G$8:$G$33,0)),"")</f>
        <v>0</v>
      </c>
      <c r="Y59" s="1533">
        <f t="shared" si="39"/>
        <v>48</v>
      </c>
      <c r="Z59" s="717">
        <f t="shared" si="40"/>
        <v>0</v>
      </c>
      <c r="AA59" s="717">
        <f t="shared" si="2"/>
        <v>0</v>
      </c>
      <c r="AB59" s="717">
        <f t="shared" si="41"/>
        <v>0</v>
      </c>
      <c r="AC59" s="718">
        <f t="shared" si="42"/>
        <v>0</v>
      </c>
      <c r="AD59" s="626">
        <f t="shared" si="43"/>
        <v>48</v>
      </c>
      <c r="AE59" s="627">
        <f t="shared" si="44"/>
        <v>0</v>
      </c>
      <c r="AF59" s="568" t="s">
        <v>490</v>
      </c>
      <c r="AG59" s="568" t="s">
        <v>370</v>
      </c>
      <c r="AH59" s="1372" t="str">
        <f>IFERROR(INDEX('Annex 2_Code'!$J$110:$J$122,MATCH('Annex 3_MAFF'!AF59,'Annex 2_Code'!$G$110:$G$122,0)),"")</f>
        <v>MAFF-GDA</v>
      </c>
      <c r="AI59" s="882" t="str">
        <f t="shared" si="45"/>
        <v>MAFF</v>
      </c>
      <c r="AK59" s="1382"/>
      <c r="AL59" s="1382"/>
    </row>
    <row r="60" spans="1:38" s="542" customFormat="1" outlineLevel="1">
      <c r="A60" s="102"/>
      <c r="B60" s="76" t="s">
        <v>24</v>
      </c>
      <c r="C60" s="77" t="s">
        <v>423</v>
      </c>
      <c r="D60" s="362"/>
      <c r="E60" s="485"/>
      <c r="F60" s="1726"/>
      <c r="G60" s="1726" t="s">
        <v>1002</v>
      </c>
      <c r="H60" s="565" t="s">
        <v>171</v>
      </c>
      <c r="I60" s="566">
        <f>12000/1000</f>
        <v>12</v>
      </c>
      <c r="J60" s="665">
        <v>1</v>
      </c>
      <c r="K60" s="666">
        <v>1</v>
      </c>
      <c r="L60" s="666">
        <v>1</v>
      </c>
      <c r="M60" s="666">
        <v>1</v>
      </c>
      <c r="N60" s="667">
        <f t="shared" si="37"/>
        <v>4</v>
      </c>
      <c r="O60" s="1103">
        <f t="shared" si="46"/>
        <v>12</v>
      </c>
      <c r="P60" s="689">
        <f t="shared" si="47"/>
        <v>12</v>
      </c>
      <c r="Q60" s="689">
        <f t="shared" si="38"/>
        <v>12</v>
      </c>
      <c r="R60" s="689">
        <f t="shared" si="38"/>
        <v>12</v>
      </c>
      <c r="S60" s="690">
        <f t="shared" si="48"/>
        <v>48</v>
      </c>
      <c r="T60" s="618">
        <f>IFERROR(INDEX('Annex 2_Code'!I$8:I$33,MATCH('Annex 3_MAFF'!$AG60,'Annex 2_Code'!$G$8:$G$33,0)),"")</f>
        <v>1</v>
      </c>
      <c r="U60" s="618">
        <f>IFERROR(INDEX('Annex 2_Code'!J$8:J$33,MATCH('Annex 3_MAFF'!$AG60,'Annex 2_Code'!$G$8:$G$33,0)),"")</f>
        <v>0</v>
      </c>
      <c r="V60" s="618">
        <f>IFERROR(INDEX('Annex 2_Code'!K$8:K$33,MATCH('Annex 3_MAFF'!$AG60,'Annex 2_Code'!$G$8:$G$33,0)),"")</f>
        <v>0</v>
      </c>
      <c r="W60" s="618">
        <f>IFERROR(INDEX('Annex 2_Code'!L$8:L$33,MATCH('Annex 3_MAFF'!$AG60,'Annex 2_Code'!$G$8:$G$33,0)),"")</f>
        <v>0</v>
      </c>
      <c r="X60" s="618">
        <f>IFERROR(INDEX('Annex 2_Code'!M$8:M$33,MATCH('Annex 3_MAFF'!$AG60,'Annex 2_Code'!$G$8:$G$33,0)),"")</f>
        <v>0</v>
      </c>
      <c r="Y60" s="1533">
        <f t="shared" si="39"/>
        <v>48</v>
      </c>
      <c r="Z60" s="717">
        <f t="shared" si="40"/>
        <v>0</v>
      </c>
      <c r="AA60" s="717">
        <f t="shared" si="2"/>
        <v>0</v>
      </c>
      <c r="AB60" s="717">
        <f t="shared" si="41"/>
        <v>0</v>
      </c>
      <c r="AC60" s="718">
        <f t="shared" si="42"/>
        <v>0</v>
      </c>
      <c r="AD60" s="626">
        <f t="shared" si="43"/>
        <v>48</v>
      </c>
      <c r="AE60" s="627">
        <f t="shared" si="44"/>
        <v>0</v>
      </c>
      <c r="AF60" s="568" t="s">
        <v>490</v>
      </c>
      <c r="AG60" s="568" t="s">
        <v>370</v>
      </c>
      <c r="AH60" s="1372" t="str">
        <f>IFERROR(INDEX('Annex 2_Code'!$J$110:$J$122,MATCH('Annex 3_MAFF'!AF60,'Annex 2_Code'!$G$110:$G$122,0)),"")</f>
        <v>MAFF-GDA</v>
      </c>
      <c r="AI60" s="882" t="str">
        <f t="shared" si="45"/>
        <v>MAFF</v>
      </c>
      <c r="AK60" s="1382"/>
      <c r="AL60" s="1382"/>
    </row>
    <row r="61" spans="1:38" s="542" customFormat="1" outlineLevel="1">
      <c r="A61" s="102"/>
      <c r="B61" s="76" t="s">
        <v>24</v>
      </c>
      <c r="C61" s="77" t="s">
        <v>423</v>
      </c>
      <c r="D61" s="362"/>
      <c r="E61" s="485"/>
      <c r="F61" s="1726"/>
      <c r="G61" s="1726" t="s">
        <v>1003</v>
      </c>
      <c r="H61" s="565" t="s">
        <v>171</v>
      </c>
      <c r="I61" s="566">
        <f>12000/1000</f>
        <v>12</v>
      </c>
      <c r="J61" s="665">
        <v>1</v>
      </c>
      <c r="K61" s="666">
        <v>1</v>
      </c>
      <c r="L61" s="666">
        <v>1</v>
      </c>
      <c r="M61" s="666">
        <v>1</v>
      </c>
      <c r="N61" s="667">
        <f t="shared" si="37"/>
        <v>4</v>
      </c>
      <c r="O61" s="1103">
        <f t="shared" si="46"/>
        <v>12</v>
      </c>
      <c r="P61" s="689">
        <f t="shared" si="47"/>
        <v>12</v>
      </c>
      <c r="Q61" s="689">
        <f t="shared" si="38"/>
        <v>12</v>
      </c>
      <c r="R61" s="689">
        <f t="shared" si="38"/>
        <v>12</v>
      </c>
      <c r="S61" s="690">
        <f t="shared" si="48"/>
        <v>48</v>
      </c>
      <c r="T61" s="618">
        <f>IFERROR(INDEX('Annex 2_Code'!I$8:I$33,MATCH('Annex 3_MAFF'!$AG61,'Annex 2_Code'!$G$8:$G$33,0)),"")</f>
        <v>1</v>
      </c>
      <c r="U61" s="618">
        <f>IFERROR(INDEX('Annex 2_Code'!J$8:J$33,MATCH('Annex 3_MAFF'!$AG61,'Annex 2_Code'!$G$8:$G$33,0)),"")</f>
        <v>0</v>
      </c>
      <c r="V61" s="618">
        <f>IFERROR(INDEX('Annex 2_Code'!K$8:K$33,MATCH('Annex 3_MAFF'!$AG61,'Annex 2_Code'!$G$8:$G$33,0)),"")</f>
        <v>0</v>
      </c>
      <c r="W61" s="618">
        <f>IFERROR(INDEX('Annex 2_Code'!L$8:L$33,MATCH('Annex 3_MAFF'!$AG61,'Annex 2_Code'!$G$8:$G$33,0)),"")</f>
        <v>0</v>
      </c>
      <c r="X61" s="618">
        <f>IFERROR(INDEX('Annex 2_Code'!M$8:M$33,MATCH('Annex 3_MAFF'!$AG61,'Annex 2_Code'!$G$8:$G$33,0)),"")</f>
        <v>0</v>
      </c>
      <c r="Y61" s="1533">
        <f t="shared" si="39"/>
        <v>48</v>
      </c>
      <c r="Z61" s="717">
        <f t="shared" si="40"/>
        <v>0</v>
      </c>
      <c r="AA61" s="717">
        <f t="shared" si="40"/>
        <v>0</v>
      </c>
      <c r="AB61" s="717">
        <f t="shared" si="41"/>
        <v>0</v>
      </c>
      <c r="AC61" s="718">
        <f t="shared" si="42"/>
        <v>0</v>
      </c>
      <c r="AD61" s="626">
        <f t="shared" si="43"/>
        <v>48</v>
      </c>
      <c r="AE61" s="627">
        <f t="shared" si="44"/>
        <v>0</v>
      </c>
      <c r="AF61" s="568" t="s">
        <v>490</v>
      </c>
      <c r="AG61" s="568" t="s">
        <v>370</v>
      </c>
      <c r="AH61" s="1372" t="str">
        <f>IFERROR(INDEX('Annex 2_Code'!$J$110:$J$122,MATCH('Annex 3_MAFF'!AF61,'Annex 2_Code'!$G$110:$G$122,0)),"")</f>
        <v>MAFF-GDA</v>
      </c>
      <c r="AI61" s="882" t="str">
        <f t="shared" si="45"/>
        <v>MAFF</v>
      </c>
      <c r="AK61" s="1382"/>
      <c r="AL61" s="1382"/>
    </row>
    <row r="62" spans="1:38" s="542" customFormat="1" outlineLevel="1">
      <c r="A62" s="102"/>
      <c r="B62" s="76" t="s">
        <v>24</v>
      </c>
      <c r="C62" s="77" t="s">
        <v>423</v>
      </c>
      <c r="D62" s="362"/>
      <c r="E62" s="485"/>
      <c r="F62" s="1726"/>
      <c r="G62" s="1726" t="s">
        <v>1004</v>
      </c>
      <c r="H62" s="565" t="s">
        <v>171</v>
      </c>
      <c r="I62" s="566">
        <f>51500/1000</f>
        <v>51.5</v>
      </c>
      <c r="J62" s="665">
        <v>1</v>
      </c>
      <c r="K62" s="666">
        <v>1</v>
      </c>
      <c r="L62" s="666">
        <v>1</v>
      </c>
      <c r="M62" s="666">
        <v>1</v>
      </c>
      <c r="N62" s="667">
        <f t="shared" si="37"/>
        <v>4</v>
      </c>
      <c r="O62" s="1103">
        <f t="shared" si="46"/>
        <v>51.5</v>
      </c>
      <c r="P62" s="689">
        <f t="shared" si="47"/>
        <v>51.5</v>
      </c>
      <c r="Q62" s="689">
        <f t="shared" si="38"/>
        <v>51.5</v>
      </c>
      <c r="R62" s="689">
        <f>($I62*M62)</f>
        <v>51.5</v>
      </c>
      <c r="S62" s="690">
        <f t="shared" si="48"/>
        <v>206</v>
      </c>
      <c r="T62" s="618">
        <f>IFERROR(INDEX('Annex 2_Code'!I$8:I$33,MATCH('Annex 3_MAFF'!$AG62,'Annex 2_Code'!$G$8:$G$33,0)),"")</f>
        <v>1</v>
      </c>
      <c r="U62" s="618">
        <f>IFERROR(INDEX('Annex 2_Code'!J$8:J$33,MATCH('Annex 3_MAFF'!$AG62,'Annex 2_Code'!$G$8:$G$33,0)),"")</f>
        <v>0</v>
      </c>
      <c r="V62" s="618">
        <f>IFERROR(INDEX('Annex 2_Code'!K$8:K$33,MATCH('Annex 3_MAFF'!$AG62,'Annex 2_Code'!$G$8:$G$33,0)),"")</f>
        <v>0</v>
      </c>
      <c r="W62" s="618">
        <f>IFERROR(INDEX('Annex 2_Code'!L$8:L$33,MATCH('Annex 3_MAFF'!$AG62,'Annex 2_Code'!$G$8:$G$33,0)),"")</f>
        <v>0</v>
      </c>
      <c r="X62" s="618">
        <f>IFERROR(INDEX('Annex 2_Code'!M$8:M$33,MATCH('Annex 3_MAFF'!$AG62,'Annex 2_Code'!$G$8:$G$33,0)),"")</f>
        <v>0</v>
      </c>
      <c r="Y62" s="1533">
        <f t="shared" si="39"/>
        <v>206</v>
      </c>
      <c r="Z62" s="717">
        <f t="shared" si="40"/>
        <v>0</v>
      </c>
      <c r="AA62" s="717">
        <f t="shared" si="40"/>
        <v>0</v>
      </c>
      <c r="AB62" s="717">
        <f t="shared" si="41"/>
        <v>0</v>
      </c>
      <c r="AC62" s="718">
        <f t="shared" si="42"/>
        <v>0</v>
      </c>
      <c r="AD62" s="626">
        <f t="shared" si="43"/>
        <v>206</v>
      </c>
      <c r="AE62" s="627">
        <f t="shared" si="44"/>
        <v>0</v>
      </c>
      <c r="AF62" s="568" t="s">
        <v>490</v>
      </c>
      <c r="AG62" s="568" t="s">
        <v>370</v>
      </c>
      <c r="AH62" s="1372" t="str">
        <f>IFERROR(INDEX('Annex 2_Code'!$J$110:$J$122,MATCH('Annex 3_MAFF'!AF62,'Annex 2_Code'!$G$110:$G$122,0)),"")</f>
        <v>MAFF-GDA</v>
      </c>
      <c r="AI62" s="882" t="str">
        <f t="shared" si="45"/>
        <v>MAFF</v>
      </c>
      <c r="AK62" s="1382"/>
      <c r="AL62" s="1382"/>
    </row>
    <row r="63" spans="1:38" s="542" customFormat="1" outlineLevel="1">
      <c r="A63" s="102"/>
      <c r="B63" s="1115" t="s">
        <v>294</v>
      </c>
      <c r="C63" s="1115" t="s">
        <v>548</v>
      </c>
      <c r="D63" s="362"/>
      <c r="E63" s="485"/>
      <c r="F63" s="1726" t="s">
        <v>998</v>
      </c>
      <c r="G63" s="730"/>
      <c r="H63" s="565" t="s">
        <v>172</v>
      </c>
      <c r="I63" s="1941">
        <v>0</v>
      </c>
      <c r="J63" s="665">
        <v>1</v>
      </c>
      <c r="K63" s="666">
        <v>1</v>
      </c>
      <c r="L63" s="666">
        <v>1</v>
      </c>
      <c r="M63" s="666">
        <v>1</v>
      </c>
      <c r="N63" s="667">
        <f t="shared" si="37"/>
        <v>4</v>
      </c>
      <c r="O63" s="1103">
        <f t="shared" si="46"/>
        <v>0</v>
      </c>
      <c r="P63" s="689">
        <f t="shared" si="47"/>
        <v>0</v>
      </c>
      <c r="Q63" s="689">
        <f t="shared" si="38"/>
        <v>0</v>
      </c>
      <c r="R63" s="689">
        <f t="shared" si="38"/>
        <v>0</v>
      </c>
      <c r="S63" s="690">
        <f t="shared" si="48"/>
        <v>0</v>
      </c>
      <c r="T63" s="618">
        <f>IFERROR(INDEX('Annex 2_Code'!I$8:I$33,MATCH('Annex 3_MAFF'!$AG63,'Annex 2_Code'!$G$8:$G$33,0)),"")</f>
        <v>1</v>
      </c>
      <c r="U63" s="618">
        <f>IFERROR(INDEX('Annex 2_Code'!J$8:J$33,MATCH('Annex 3_MAFF'!$AG63,'Annex 2_Code'!$G$8:$G$33,0)),"")</f>
        <v>0</v>
      </c>
      <c r="V63" s="618">
        <f>IFERROR(INDEX('Annex 2_Code'!K$8:K$33,MATCH('Annex 3_MAFF'!$AG63,'Annex 2_Code'!$G$8:$G$33,0)),"")</f>
        <v>0</v>
      </c>
      <c r="W63" s="618">
        <f>IFERROR(INDEX('Annex 2_Code'!L$8:L$33,MATCH('Annex 3_MAFF'!$AG63,'Annex 2_Code'!$G$8:$G$33,0)),"")</f>
        <v>0</v>
      </c>
      <c r="X63" s="618">
        <f>IFERROR(INDEX('Annex 2_Code'!M$8:M$33,MATCH('Annex 3_MAFF'!$AG63,'Annex 2_Code'!$G$8:$G$33,0)),"")</f>
        <v>0</v>
      </c>
      <c r="Y63" s="1533">
        <f t="shared" si="39"/>
        <v>0</v>
      </c>
      <c r="Z63" s="717">
        <f t="shared" si="40"/>
        <v>0</v>
      </c>
      <c r="AA63" s="717">
        <f t="shared" si="40"/>
        <v>0</v>
      </c>
      <c r="AB63" s="717">
        <f t="shared" si="41"/>
        <v>0</v>
      </c>
      <c r="AC63" s="718">
        <f t="shared" si="42"/>
        <v>0</v>
      </c>
      <c r="AD63" s="626">
        <f t="shared" si="43"/>
        <v>0</v>
      </c>
      <c r="AE63" s="627">
        <f t="shared" si="44"/>
        <v>0</v>
      </c>
      <c r="AF63" s="568" t="s">
        <v>490</v>
      </c>
      <c r="AG63" s="568" t="s">
        <v>370</v>
      </c>
      <c r="AH63" s="1372" t="str">
        <f>IFERROR(INDEX('Annex 2_Code'!$J$110:$J$122,MATCH('Annex 3_MAFF'!AF63,'Annex 2_Code'!$G$110:$G$122,0)),"")</f>
        <v>MAFF-GDA</v>
      </c>
      <c r="AI63" s="882" t="str">
        <f t="shared" si="45"/>
        <v>MAFF</v>
      </c>
      <c r="AK63" s="1382"/>
      <c r="AL63" s="1382"/>
    </row>
    <row r="64" spans="1:38" s="542" customFormat="1" outlineLevel="1">
      <c r="A64" s="102"/>
      <c r="B64" s="76" t="s">
        <v>173</v>
      </c>
      <c r="C64" s="77"/>
      <c r="D64" s="1452"/>
      <c r="E64" s="1451"/>
      <c r="F64" s="1441" t="s">
        <v>41</v>
      </c>
      <c r="G64" s="1428"/>
      <c r="H64" s="1454"/>
      <c r="I64" s="1455"/>
      <c r="J64" s="1456"/>
      <c r="K64" s="1457"/>
      <c r="L64" s="1457"/>
      <c r="M64" s="1457"/>
      <c r="N64" s="1458"/>
      <c r="O64" s="1422">
        <f>SUM(O55:O63)</f>
        <v>129.5</v>
      </c>
      <c r="P64" s="1424">
        <f>SUM(P55:P63)</f>
        <v>129.5</v>
      </c>
      <c r="Q64" s="1424">
        <f>SUM(Q55:Q63)</f>
        <v>233.18767</v>
      </c>
      <c r="R64" s="1424">
        <f>SUM(R55:R63)</f>
        <v>164.06255666666667</v>
      </c>
      <c r="S64" s="1423">
        <f>SUM(S55:S63)</f>
        <v>656.25022666666666</v>
      </c>
      <c r="T64" s="618"/>
      <c r="U64" s="618"/>
      <c r="V64" s="618"/>
      <c r="W64" s="618"/>
      <c r="X64" s="618"/>
      <c r="Y64" s="1533"/>
      <c r="Z64" s="717"/>
      <c r="AA64" s="717">
        <f t="shared" si="40"/>
        <v>0</v>
      </c>
      <c r="AB64" s="717"/>
      <c r="AC64" s="718"/>
      <c r="AD64" s="626">
        <f t="shared" si="43"/>
        <v>0</v>
      </c>
      <c r="AE64" s="627">
        <f t="shared" si="44"/>
        <v>-656.25022666666666</v>
      </c>
      <c r="AF64" s="1635"/>
      <c r="AG64" s="1635"/>
      <c r="AH64" s="1635"/>
      <c r="AI64" s="1636"/>
      <c r="AK64" s="1382"/>
      <c r="AL64" s="1382"/>
    </row>
    <row r="65" spans="1:38" s="542" customFormat="1" outlineLevel="1">
      <c r="A65" s="102"/>
      <c r="B65" s="76" t="s">
        <v>173</v>
      </c>
      <c r="C65" s="77"/>
      <c r="D65" s="86"/>
      <c r="E65" s="97" t="s">
        <v>59</v>
      </c>
      <c r="F65" s="364"/>
      <c r="G65" s="722"/>
      <c r="H65" s="565"/>
      <c r="I65" s="566"/>
      <c r="J65" s="665"/>
      <c r="K65" s="666"/>
      <c r="L65" s="666"/>
      <c r="M65" s="666"/>
      <c r="N65" s="667"/>
      <c r="O65" s="688"/>
      <c r="P65" s="689"/>
      <c r="Q65" s="689"/>
      <c r="R65" s="689"/>
      <c r="S65" s="145"/>
      <c r="T65" s="618" t="str">
        <f>IFERROR(INDEX('[3]Annex 2'!I$8:I$33,MATCH('[3]Annex 3 (''MEF)'!$AG65,'[3]Annex 2'!$G$8:$G$33,0)),"")</f>
        <v/>
      </c>
      <c r="U65" s="618" t="str">
        <f>IFERROR(INDEX('[3]Annex 2'!J$8:J$33,MATCH('[3]Annex 3 (''MEF)'!$AG65,'[3]Annex 2'!$G$8:$G$33,0)),"")</f>
        <v/>
      </c>
      <c r="V65" s="618" t="str">
        <f>IFERROR(INDEX('[3]Annex 2'!K$8:K$33,MATCH('[3]Annex 3 (''MEF)'!$AG65,'[3]Annex 2'!$G$8:$G$33,0)),"")</f>
        <v/>
      </c>
      <c r="W65" s="618" t="str">
        <f>IFERROR(INDEX('[3]Annex 2'!L$8:L$33,MATCH('[3]Annex 3 (''MEF)'!$AG65,'[3]Annex 2'!$G$8:$G$33,0)),"")</f>
        <v/>
      </c>
      <c r="X65" s="618" t="str">
        <f>IFERROR(INDEX('[3]Annex 2'!M$8:M$33,MATCH('[3]Annex 3 (''MEF)'!$AG65,'[3]Annex 2'!$G$8:$G$33,0)),"")</f>
        <v/>
      </c>
      <c r="Y65" s="1533" t="str">
        <f t="shared" si="28"/>
        <v/>
      </c>
      <c r="Z65" s="717" t="str">
        <f t="shared" si="28"/>
        <v/>
      </c>
      <c r="AA65" s="717" t="str">
        <f t="shared" si="40"/>
        <v/>
      </c>
      <c r="AB65" s="717" t="str">
        <f t="shared" si="28"/>
        <v/>
      </c>
      <c r="AC65" s="718" t="str">
        <f t="shared" si="28"/>
        <v/>
      </c>
      <c r="AD65" s="626"/>
      <c r="AE65" s="627"/>
      <c r="AF65" s="568"/>
      <c r="AG65" s="568"/>
      <c r="AH65" s="568" t="str">
        <f>IFERROR(INDEX('[3]Annex 2'!$J$110:$J$122,MATCH('[3]Annex 3 (''MEF)'!AF65,'[3]Annex 2'!$G$110:$G$122,0)),"")</f>
        <v/>
      </c>
      <c r="AI65" s="882" t="str">
        <f t="shared" si="35"/>
        <v/>
      </c>
      <c r="AK65" s="1382"/>
      <c r="AL65" s="1382"/>
    </row>
    <row r="66" spans="1:38" s="542" customFormat="1" outlineLevel="1">
      <c r="A66" s="102"/>
      <c r="B66" s="76" t="s">
        <v>294</v>
      </c>
      <c r="C66" s="1071" t="s">
        <v>548</v>
      </c>
      <c r="D66" s="86"/>
      <c r="E66" s="97"/>
      <c r="F66" s="536" t="s">
        <v>60</v>
      </c>
      <c r="G66" s="722"/>
      <c r="H66" s="538" t="s">
        <v>172</v>
      </c>
      <c r="I66" s="566">
        <f>4147/1000</f>
        <v>4.1470000000000002</v>
      </c>
      <c r="J66" s="665">
        <v>0</v>
      </c>
      <c r="K66" s="666">
        <v>0</v>
      </c>
      <c r="L66" s="666">
        <v>0</v>
      </c>
      <c r="M66" s="666">
        <v>0</v>
      </c>
      <c r="N66" s="667">
        <f>SUM(J66:M66)</f>
        <v>0</v>
      </c>
      <c r="O66" s="688">
        <f>($I66*J66)</f>
        <v>0</v>
      </c>
      <c r="P66" s="689">
        <f>($I66*K66)</f>
        <v>0</v>
      </c>
      <c r="Q66" s="689">
        <f>$I66*L66</f>
        <v>0</v>
      </c>
      <c r="R66" s="689">
        <f>$I66*M66</f>
        <v>0</v>
      </c>
      <c r="S66" s="115">
        <f>SUM(O66:R66)</f>
        <v>0</v>
      </c>
      <c r="T66" s="618">
        <f>IFERROR(INDEX('[3]Annex 2'!I$8:I$33,MATCH('[3]Annex 3 (''MEF)'!$AG66,'[3]Annex 2'!$G$8:$G$33,0)),"")</f>
        <v>1</v>
      </c>
      <c r="U66" s="618">
        <f>IFERROR(INDEX('[3]Annex 2'!J$8:J$33,MATCH('[3]Annex 3 (''MEF)'!$AG66,'[3]Annex 2'!$G$8:$G$33,0)),"")</f>
        <v>0</v>
      </c>
      <c r="V66" s="618">
        <f>IFERROR(INDEX('[3]Annex 2'!K$8:K$33,MATCH('[3]Annex 3 (''MEF)'!$AG66,'[3]Annex 2'!$G$8:$G$33,0)),"")</f>
        <v>0</v>
      </c>
      <c r="W66" s="618">
        <f>IFERROR(INDEX('[3]Annex 2'!L$8:L$33,MATCH('[3]Annex 3 (''MEF)'!$AG66,'[3]Annex 2'!$G$8:$G$33,0)),"")</f>
        <v>0</v>
      </c>
      <c r="X66" s="618">
        <f>IFERROR(INDEX('[3]Annex 2'!M$8:M$33,MATCH('[3]Annex 3 (''MEF)'!$AG66,'[3]Annex 2'!$G$8:$G$33,0)),"")</f>
        <v>0</v>
      </c>
      <c r="Y66" s="1533">
        <f t="shared" ref="Y66" si="49">IFERROR($S66*T66,"")</f>
        <v>0</v>
      </c>
      <c r="Z66" s="717">
        <f t="shared" ref="Z66" si="50">IFERROR($S66*U66,"")</f>
        <v>0</v>
      </c>
      <c r="AA66" s="717">
        <f t="shared" si="40"/>
        <v>0</v>
      </c>
      <c r="AB66" s="717">
        <f t="shared" ref="AB66" si="51">IFERROR($S66*W66,"")</f>
        <v>0</v>
      </c>
      <c r="AC66" s="718">
        <f t="shared" ref="AC66" si="52">IFERROR($S66*X66,"")</f>
        <v>0</v>
      </c>
      <c r="AD66" s="626">
        <f t="shared" si="5"/>
        <v>0</v>
      </c>
      <c r="AE66" s="627">
        <f t="shared" si="6"/>
        <v>0</v>
      </c>
      <c r="AF66" s="568" t="s">
        <v>490</v>
      </c>
      <c r="AG66" s="568" t="s">
        <v>375</v>
      </c>
      <c r="AH66" s="2212" t="str">
        <f>IFERROR(INDEX('Annex 2_Code'!$J$110:$J$122,MATCH('Annex 3_MAFF'!AF66,'Annex 2_Code'!$G$110:$G$122,0)),"")</f>
        <v>MAFF-GDA</v>
      </c>
      <c r="AI66" s="882" t="str">
        <f t="shared" si="35"/>
        <v>MAFF</v>
      </c>
      <c r="AK66" s="1384">
        <f>SUM(S52:S63)+S66</f>
        <v>1114.4582266666666</v>
      </c>
      <c r="AL66" s="1385" t="s">
        <v>1012</v>
      </c>
    </row>
    <row r="67" spans="1:38" s="542" customFormat="1">
      <c r="A67" s="102"/>
      <c r="B67" s="76" t="s">
        <v>173</v>
      </c>
      <c r="C67" s="77"/>
      <c r="D67" s="1459" t="s">
        <v>841</v>
      </c>
      <c r="E67" s="1484"/>
      <c r="F67" s="1485"/>
      <c r="G67" s="1486"/>
      <c r="H67" s="1957"/>
      <c r="I67" s="1958"/>
      <c r="J67" s="1959"/>
      <c r="K67" s="1960"/>
      <c r="L67" s="1960"/>
      <c r="M67" s="1960"/>
      <c r="N67" s="1981"/>
      <c r="O67" s="1962">
        <f>SUM(O53,O64:O66)</f>
        <v>186.77600000000001</v>
      </c>
      <c r="P67" s="1963">
        <f>SUM(P53,P64:P66)</f>
        <v>186.77600000000001</v>
      </c>
      <c r="Q67" s="1963">
        <f>SUM(Q53,Q64:Q66)</f>
        <v>290.46366999999998</v>
      </c>
      <c r="R67" s="1963">
        <f>SUM(R53,R64:R66)</f>
        <v>221.33855666666665</v>
      </c>
      <c r="S67" s="1964">
        <f>SUM(S53,S64:S66)</f>
        <v>885.35422666666659</v>
      </c>
      <c r="T67" s="618" t="str">
        <f>IFERROR(INDEX('[3]Annex 2'!I$8:I$33,MATCH('[3]Annex 3 (''MEF)'!$AG67,'[3]Annex 2'!$G$8:$G$33,0)),"")</f>
        <v/>
      </c>
      <c r="U67" s="618" t="str">
        <f>IFERROR(INDEX('[3]Annex 2'!J$8:J$33,MATCH('[3]Annex 3 (''MEF)'!$AG67,'[3]Annex 2'!$G$8:$G$33,0)),"")</f>
        <v/>
      </c>
      <c r="V67" s="618" t="str">
        <f>IFERROR(INDEX('[3]Annex 2'!K$8:K$33,MATCH('[3]Annex 3 (''MEF)'!$AG67,'[3]Annex 2'!$G$8:$G$33,0)),"")</f>
        <v/>
      </c>
      <c r="W67" s="618" t="str">
        <f>IFERROR(INDEX('[3]Annex 2'!L$8:L$33,MATCH('[3]Annex 3 (''MEF)'!$AG67,'[3]Annex 2'!$G$8:$G$33,0)),"")</f>
        <v/>
      </c>
      <c r="X67" s="618" t="str">
        <f>IFERROR(INDEX('[3]Annex 2'!M$8:M$33,MATCH('[3]Annex 3 (''MEF)'!$AG67,'[3]Annex 2'!$G$8:$G$33,0)),"")</f>
        <v/>
      </c>
      <c r="Y67" s="1038"/>
      <c r="Z67" s="717" t="str">
        <f t="shared" si="28"/>
        <v/>
      </c>
      <c r="AA67" s="717" t="str">
        <f t="shared" si="40"/>
        <v/>
      </c>
      <c r="AB67" s="717" t="str">
        <f t="shared" si="28"/>
        <v/>
      </c>
      <c r="AC67" s="718" t="str">
        <f t="shared" si="28"/>
        <v/>
      </c>
      <c r="AD67" s="626">
        <f t="shared" si="5"/>
        <v>0</v>
      </c>
      <c r="AE67" s="1187">
        <f t="shared" si="6"/>
        <v>-885.35422666666659</v>
      </c>
      <c r="AF67" s="568"/>
      <c r="AG67" s="568"/>
      <c r="AH67" s="568" t="str">
        <f>IFERROR(INDEX('[3]Annex 2'!$J$110:$J$122,MATCH('[3]Annex 3 (''MEF)'!AF67,'[3]Annex 2'!$G$110:$G$122,0)),"")</f>
        <v/>
      </c>
      <c r="AI67" s="882" t="str">
        <f t="shared" si="35"/>
        <v/>
      </c>
      <c r="AK67" s="1382"/>
      <c r="AL67" s="1382"/>
    </row>
    <row r="68" spans="1:38" s="366" customFormat="1">
      <c r="A68" s="102"/>
      <c r="B68" s="93" t="s">
        <v>173</v>
      </c>
      <c r="C68" s="89"/>
      <c r="D68" s="106" t="s">
        <v>558</v>
      </c>
      <c r="E68" s="307"/>
      <c r="F68" s="306"/>
      <c r="G68" s="727"/>
      <c r="H68" s="582"/>
      <c r="I68" s="583"/>
      <c r="J68" s="671"/>
      <c r="K68" s="672"/>
      <c r="L68" s="672"/>
      <c r="M68" s="672"/>
      <c r="N68" s="673"/>
      <c r="O68" s="688"/>
      <c r="P68" s="689"/>
      <c r="Q68" s="689"/>
      <c r="R68" s="689"/>
      <c r="S68" s="365"/>
      <c r="T68" s="618" t="str">
        <f>IFERROR(INDEX('Annex 2_Code'!I$8:I$33,MATCH('Annex 3_MAFF'!$AG68,'Annex 2_Code'!$G$8:$G$33,0)),"")</f>
        <v/>
      </c>
      <c r="U68" s="618" t="str">
        <f>IFERROR(INDEX('Annex 2_Code'!J$8:J$33,MATCH('Annex 3_MAFF'!$AG68,'Annex 2_Code'!$G$8:$G$33,0)),"")</f>
        <v/>
      </c>
      <c r="V68" s="618" t="str">
        <f>IFERROR(INDEX('Annex 2_Code'!K$8:K$33,MATCH('Annex 3_MAFF'!$AG68,'Annex 2_Code'!$G$8:$G$33,0)),"")</f>
        <v/>
      </c>
      <c r="W68" s="618" t="str">
        <f>IFERROR(INDEX('Annex 2_Code'!L$8:L$33,MATCH('Annex 3_MAFF'!$AG68,'Annex 2_Code'!$G$8:$G$33,0)),"")</f>
        <v/>
      </c>
      <c r="X68" s="618" t="str">
        <f>IFERROR(INDEX('Annex 2_Code'!M$8:M$33,MATCH('Annex 3_MAFF'!$AG68,'Annex 2_Code'!$G$8:$G$33,0)),"")</f>
        <v/>
      </c>
      <c r="Y68" s="716" t="str">
        <f t="shared" si="9"/>
        <v/>
      </c>
      <c r="Z68" s="717" t="str">
        <f t="shared" si="10"/>
        <v/>
      </c>
      <c r="AA68" s="717" t="str">
        <f t="shared" si="40"/>
        <v/>
      </c>
      <c r="AB68" s="717" t="str">
        <f t="shared" si="11"/>
        <v/>
      </c>
      <c r="AC68" s="718" t="str">
        <f t="shared" si="12"/>
        <v/>
      </c>
      <c r="AD68" s="626">
        <f t="shared" si="5"/>
        <v>0</v>
      </c>
      <c r="AE68" s="655">
        <f t="shared" si="6"/>
        <v>0</v>
      </c>
      <c r="AF68" s="570"/>
      <c r="AG68" s="570"/>
      <c r="AH68" s="568" t="str">
        <f>IFERROR(INDEX('Annex 2_Code'!$J$110:$J$122,MATCH('Annex 3_MAFF'!AF68,'Annex 2_Code'!$G$110:$G$122,0)),"")</f>
        <v/>
      </c>
      <c r="AI68" s="882" t="str">
        <f t="shared" si="27"/>
        <v/>
      </c>
      <c r="AK68" s="1383"/>
      <c r="AL68" s="1383"/>
    </row>
    <row r="69" spans="1:38" s="366" customFormat="1">
      <c r="A69" s="102"/>
      <c r="B69" s="93" t="s">
        <v>173</v>
      </c>
      <c r="C69" s="89"/>
      <c r="D69" s="106" t="s">
        <v>773</v>
      </c>
      <c r="E69" s="307"/>
      <c r="F69" s="306"/>
      <c r="G69" s="727"/>
      <c r="H69" s="582"/>
      <c r="I69" s="583"/>
      <c r="J69" s="671"/>
      <c r="K69" s="672"/>
      <c r="L69" s="672"/>
      <c r="M69" s="672"/>
      <c r="N69" s="673"/>
      <c r="O69" s="688"/>
      <c r="P69" s="689"/>
      <c r="Q69" s="689"/>
      <c r="R69" s="689"/>
      <c r="S69" s="564"/>
      <c r="T69" s="618"/>
      <c r="U69" s="618"/>
      <c r="V69" s="618"/>
      <c r="W69" s="618"/>
      <c r="X69" s="618"/>
      <c r="Y69" s="716"/>
      <c r="Z69" s="717"/>
      <c r="AA69" s="717">
        <f t="shared" si="40"/>
        <v>0</v>
      </c>
      <c r="AB69" s="717"/>
      <c r="AC69" s="718"/>
      <c r="AD69" s="626"/>
      <c r="AE69" s="627"/>
      <c r="AF69" s="570"/>
      <c r="AG69" s="570"/>
      <c r="AH69" s="568"/>
      <c r="AI69" s="882"/>
      <c r="AK69" s="1383"/>
      <c r="AL69" s="1383"/>
    </row>
    <row r="70" spans="1:38" s="366" customFormat="1" outlineLevel="1">
      <c r="A70" s="102"/>
      <c r="B70" s="76" t="s">
        <v>173</v>
      </c>
      <c r="C70" s="361"/>
      <c r="D70" s="484"/>
      <c r="E70" s="1727" t="s">
        <v>904</v>
      </c>
      <c r="F70" s="1728"/>
      <c r="G70" s="1729"/>
      <c r="H70" s="565"/>
      <c r="I70" s="566"/>
      <c r="J70" s="665"/>
      <c r="K70" s="666"/>
      <c r="L70" s="666"/>
      <c r="M70" s="666"/>
      <c r="N70" s="667"/>
      <c r="O70" s="688"/>
      <c r="P70" s="689"/>
      <c r="Q70" s="689"/>
      <c r="R70" s="689"/>
      <c r="S70" s="145"/>
      <c r="T70" s="618" t="str">
        <f>IFERROR(INDEX('Annex 2_Code'!I$8:I$33,MATCH('Annex 3_MAFF'!$AG70,'Annex 2_Code'!$G$8:$G$33,0)),"")</f>
        <v/>
      </c>
      <c r="U70" s="618" t="str">
        <f>IFERROR(INDEX('Annex 2_Code'!J$8:J$33,MATCH('Annex 3_MAFF'!$AG70,'Annex 2_Code'!$G$8:$G$33,0)),"")</f>
        <v/>
      </c>
      <c r="V70" s="618" t="str">
        <f>IFERROR(INDEX('Annex 2_Code'!K$8:K$33,MATCH('Annex 3_MAFF'!$AG70,'Annex 2_Code'!$G$8:$G$33,0)),"")</f>
        <v/>
      </c>
      <c r="W70" s="618" t="str">
        <f>IFERROR(INDEX('Annex 2_Code'!L$8:L$33,MATCH('Annex 3_MAFF'!$AG70,'Annex 2_Code'!$G$8:$G$33,0)),"")</f>
        <v/>
      </c>
      <c r="X70" s="618" t="str">
        <f>IFERROR(INDEX('Annex 2_Code'!M$8:M$33,MATCH('Annex 3_MAFF'!$AG70,'Annex 2_Code'!$G$8:$G$33,0)),"")</f>
        <v/>
      </c>
      <c r="Y70" s="716" t="str">
        <f t="shared" si="9"/>
        <v/>
      </c>
      <c r="Z70" s="717" t="str">
        <f t="shared" si="10"/>
        <v/>
      </c>
      <c r="AA70" s="717" t="str">
        <f t="shared" si="40"/>
        <v/>
      </c>
      <c r="AB70" s="717" t="str">
        <f t="shared" si="11"/>
        <v/>
      </c>
      <c r="AC70" s="718" t="str">
        <f t="shared" si="12"/>
        <v/>
      </c>
      <c r="AD70" s="626">
        <f t="shared" si="5"/>
        <v>0</v>
      </c>
      <c r="AE70" s="627">
        <f t="shared" si="6"/>
        <v>0</v>
      </c>
      <c r="AF70" s="570"/>
      <c r="AG70" s="570"/>
      <c r="AH70" s="568" t="str">
        <f>IFERROR(INDEX('Annex 2_Code'!$J$110:$J$122,MATCH('Annex 3_MAFF'!AF70,'Annex 2_Code'!$G$110:$G$122,0)),"")</f>
        <v/>
      </c>
      <c r="AI70" s="882" t="str">
        <f t="shared" si="27"/>
        <v/>
      </c>
      <c r="AK70" s="1383"/>
      <c r="AL70" s="1383"/>
    </row>
    <row r="71" spans="1:38" s="366" customFormat="1" outlineLevel="1">
      <c r="A71" s="102"/>
      <c r="B71" s="374" t="s">
        <v>294</v>
      </c>
      <c r="C71" s="361" t="s">
        <v>545</v>
      </c>
      <c r="D71" s="484"/>
      <c r="E71" s="1729"/>
      <c r="F71" s="1727" t="s">
        <v>832</v>
      </c>
      <c r="G71" s="1727"/>
      <c r="H71" s="1730" t="s">
        <v>833</v>
      </c>
      <c r="I71" s="1731">
        <v>42</v>
      </c>
      <c r="J71" s="666">
        <v>0</v>
      </c>
      <c r="K71" s="666">
        <v>0.5</v>
      </c>
      <c r="L71" s="666">
        <v>0.5</v>
      </c>
      <c r="M71" s="666"/>
      <c r="N71" s="1096">
        <f t="shared" ref="N71:N79" si="53">SUM(J71:M71)</f>
        <v>1</v>
      </c>
      <c r="O71" s="1121">
        <f>(I$71*J71)</f>
        <v>0</v>
      </c>
      <c r="P71" s="1121">
        <f>($I71*K71)</f>
        <v>21</v>
      </c>
      <c r="Q71" s="1121">
        <f t="shared" ref="Q71:R79" si="54">($I71*L71)</f>
        <v>21</v>
      </c>
      <c r="R71" s="1121">
        <f t="shared" si="54"/>
        <v>0</v>
      </c>
      <c r="S71" s="145">
        <f t="shared" ref="S71:S78" si="55">SUM(O71:R71)</f>
        <v>42</v>
      </c>
      <c r="T71" s="618">
        <f>IFERROR(INDEX('Annex 2_Code'!I$8:I$33,MATCH('Annex 3_MAFF'!$AG71,'Annex 2_Code'!$G$8:$G$33,0)),"")</f>
        <v>1</v>
      </c>
      <c r="U71" s="618">
        <f>IFERROR(INDEX('Annex 2_Code'!J$8:J$33,MATCH('Annex 3_MAFF'!$AG71,'Annex 2_Code'!$G$8:$G$33,0)),"")</f>
        <v>0</v>
      </c>
      <c r="V71" s="618">
        <f>IFERROR(INDEX('Annex 2_Code'!K$8:K$33,MATCH('Annex 3_MAFF'!$AG71,'Annex 2_Code'!$G$8:$G$33,0)),"")</f>
        <v>0</v>
      </c>
      <c r="W71" s="618">
        <f>IFERROR(INDEX('Annex 2_Code'!L$8:L$33,MATCH('Annex 3_MAFF'!$AG71,'Annex 2_Code'!$G$8:$G$33,0)),"")</f>
        <v>0</v>
      </c>
      <c r="X71" s="618">
        <f>IFERROR(INDEX('Annex 2_Code'!M$8:M$33,MATCH('Annex 3_MAFF'!$AG71,'Annex 2_Code'!$G$8:$G$33,0)),"")</f>
        <v>0</v>
      </c>
      <c r="Y71" s="1536">
        <f t="shared" si="9"/>
        <v>42</v>
      </c>
      <c r="Z71" s="717">
        <f t="shared" si="9"/>
        <v>0</v>
      </c>
      <c r="AA71" s="717">
        <f t="shared" si="40"/>
        <v>0</v>
      </c>
      <c r="AB71" s="717">
        <f t="shared" si="9"/>
        <v>0</v>
      </c>
      <c r="AC71" s="718">
        <f t="shared" si="9"/>
        <v>0</v>
      </c>
      <c r="AD71" s="626">
        <f t="shared" ref="AD71:AD78" si="56">SUM(Y71:AC71)</f>
        <v>42</v>
      </c>
      <c r="AE71" s="627">
        <f t="shared" si="6"/>
        <v>0</v>
      </c>
      <c r="AF71" s="1069" t="s">
        <v>480</v>
      </c>
      <c r="AG71" s="1069" t="s">
        <v>370</v>
      </c>
      <c r="AH71" s="2212" t="str">
        <f>IFERROR(INDEX('Annex 2_Code'!$J$110:$J$122,MATCH('Annex 3_MAFF'!AF71,'Annex 2_Code'!$G$110:$G$122,0)),"")</f>
        <v>MAFF-GDA</v>
      </c>
      <c r="AI71" s="882" t="str">
        <f>IF(ISNUMBER(FIND("-",AH71,1))=FALSE,LEFT(AH71,LEN(AH71)),LEFT(AH71,(FIND("-",AH71,1))-1))</f>
        <v>MAFF</v>
      </c>
      <c r="AK71" s="1383"/>
      <c r="AL71" s="1383"/>
    </row>
    <row r="72" spans="1:38" s="366" customFormat="1" outlineLevel="1">
      <c r="A72" s="102"/>
      <c r="B72" s="374" t="s">
        <v>294</v>
      </c>
      <c r="C72" s="361" t="s">
        <v>545</v>
      </c>
      <c r="D72" s="484"/>
      <c r="E72" s="1729"/>
      <c r="F72" s="1727" t="s">
        <v>834</v>
      </c>
      <c r="G72" s="1727"/>
      <c r="H72" s="1730" t="s">
        <v>833</v>
      </c>
      <c r="I72" s="1731">
        <v>20</v>
      </c>
      <c r="J72" s="666">
        <v>0</v>
      </c>
      <c r="K72" s="666">
        <v>0.5</v>
      </c>
      <c r="L72" s="666">
        <v>0.5</v>
      </c>
      <c r="M72" s="666"/>
      <c r="N72" s="1096">
        <f t="shared" si="53"/>
        <v>1</v>
      </c>
      <c r="O72" s="1121">
        <f t="shared" ref="O72:O76" si="57">($I72*J72)</f>
        <v>0</v>
      </c>
      <c r="P72" s="1121">
        <f t="shared" ref="P72:P78" si="58">($I72*K72)</f>
        <v>10</v>
      </c>
      <c r="Q72" s="1121">
        <f t="shared" si="54"/>
        <v>10</v>
      </c>
      <c r="R72" s="1121">
        <f t="shared" si="54"/>
        <v>0</v>
      </c>
      <c r="S72" s="145">
        <f t="shared" si="55"/>
        <v>20</v>
      </c>
      <c r="T72" s="618">
        <f>IFERROR(INDEX('Annex 2_Code'!I$8:I$33,MATCH('Annex 3_MAFF'!$AG72,'Annex 2_Code'!$G$8:$G$33,0)),"")</f>
        <v>1</v>
      </c>
      <c r="U72" s="618">
        <f>IFERROR(INDEX('Annex 2_Code'!J$8:J$33,MATCH('Annex 3_MAFF'!$AG72,'Annex 2_Code'!$G$8:$G$33,0)),"")</f>
        <v>0</v>
      </c>
      <c r="V72" s="618">
        <f>IFERROR(INDEX('Annex 2_Code'!K$8:K$33,MATCH('Annex 3_MAFF'!$AG72,'Annex 2_Code'!$G$8:$G$33,0)),"")</f>
        <v>0</v>
      </c>
      <c r="W72" s="618">
        <f>IFERROR(INDEX('Annex 2_Code'!L$8:L$33,MATCH('Annex 3_MAFF'!$AG72,'Annex 2_Code'!$G$8:$G$33,0)),"")</f>
        <v>0</v>
      </c>
      <c r="X72" s="618">
        <f>IFERROR(INDEX('Annex 2_Code'!M$8:M$33,MATCH('Annex 3_MAFF'!$AG72,'Annex 2_Code'!$G$8:$G$33,0)),"")</f>
        <v>0</v>
      </c>
      <c r="Y72" s="1536">
        <f t="shared" si="9"/>
        <v>20</v>
      </c>
      <c r="Z72" s="717">
        <f t="shared" si="9"/>
        <v>0</v>
      </c>
      <c r="AA72" s="717">
        <f t="shared" si="40"/>
        <v>0</v>
      </c>
      <c r="AB72" s="717">
        <f t="shared" si="9"/>
        <v>0</v>
      </c>
      <c r="AC72" s="718">
        <f t="shared" si="9"/>
        <v>0</v>
      </c>
      <c r="AD72" s="626">
        <f t="shared" si="56"/>
        <v>20</v>
      </c>
      <c r="AE72" s="627">
        <f t="shared" si="6"/>
        <v>0</v>
      </c>
      <c r="AF72" s="1069" t="s">
        <v>480</v>
      </c>
      <c r="AG72" s="1069" t="s">
        <v>370</v>
      </c>
      <c r="AH72" s="2212" t="str">
        <f>IFERROR(INDEX('Annex 2_Code'!$J$110:$J$122,MATCH('Annex 3_MAFF'!AF72,'Annex 2_Code'!$G$110:$G$122,0)),"")</f>
        <v>MAFF-GDA</v>
      </c>
      <c r="AI72" s="1070" t="str">
        <f t="shared" si="27"/>
        <v>MAFF</v>
      </c>
      <c r="AK72" s="1383"/>
      <c r="AL72" s="1383"/>
    </row>
    <row r="73" spans="1:38" s="366" customFormat="1" outlineLevel="1">
      <c r="A73" s="102"/>
      <c r="B73" s="374" t="s">
        <v>294</v>
      </c>
      <c r="C73" s="361" t="s">
        <v>545</v>
      </c>
      <c r="D73" s="484"/>
      <c r="E73" s="1729"/>
      <c r="F73" s="1727" t="s">
        <v>835</v>
      </c>
      <c r="G73" s="1727"/>
      <c r="H73" s="1730" t="s">
        <v>833</v>
      </c>
      <c r="I73" s="1731">
        <v>35</v>
      </c>
      <c r="J73" s="666">
        <v>0</v>
      </c>
      <c r="K73" s="666">
        <v>0.5</v>
      </c>
      <c r="L73" s="666">
        <v>0.5</v>
      </c>
      <c r="M73" s="666">
        <v>0</v>
      </c>
      <c r="N73" s="1096">
        <f t="shared" si="53"/>
        <v>1</v>
      </c>
      <c r="O73" s="1121">
        <f t="shared" si="57"/>
        <v>0</v>
      </c>
      <c r="P73" s="1121">
        <f t="shared" si="58"/>
        <v>17.5</v>
      </c>
      <c r="Q73" s="1121">
        <f t="shared" si="54"/>
        <v>17.5</v>
      </c>
      <c r="R73" s="1121">
        <f t="shared" si="54"/>
        <v>0</v>
      </c>
      <c r="S73" s="145">
        <f t="shared" si="55"/>
        <v>35</v>
      </c>
      <c r="T73" s="618">
        <f>IFERROR(INDEX('Annex 2_Code'!I$8:I$33,MATCH('Annex 3_MAFF'!$AG73,'Annex 2_Code'!$G$8:$G$33,0)),"")</f>
        <v>1</v>
      </c>
      <c r="U73" s="618">
        <f>IFERROR(INDEX('Annex 2_Code'!J$8:J$33,MATCH('Annex 3_MAFF'!$AG73,'Annex 2_Code'!$G$8:$G$33,0)),"")</f>
        <v>0</v>
      </c>
      <c r="V73" s="618">
        <f>IFERROR(INDEX('Annex 2_Code'!K$8:K$33,MATCH('Annex 3_MAFF'!$AG73,'Annex 2_Code'!$G$8:$G$33,0)),"")</f>
        <v>0</v>
      </c>
      <c r="W73" s="618">
        <f>IFERROR(INDEX('Annex 2_Code'!L$8:L$33,MATCH('Annex 3_MAFF'!$AG73,'Annex 2_Code'!$G$8:$G$33,0)),"")</f>
        <v>0</v>
      </c>
      <c r="X73" s="618">
        <f>IFERROR(INDEX('Annex 2_Code'!M$8:M$33,MATCH('Annex 3_MAFF'!$AG73,'Annex 2_Code'!$G$8:$G$33,0)),"")</f>
        <v>0</v>
      </c>
      <c r="Y73" s="1536">
        <f t="shared" si="9"/>
        <v>35</v>
      </c>
      <c r="Z73" s="717">
        <f t="shared" si="9"/>
        <v>0</v>
      </c>
      <c r="AA73" s="717">
        <f t="shared" si="9"/>
        <v>0</v>
      </c>
      <c r="AB73" s="717">
        <f t="shared" si="9"/>
        <v>0</v>
      </c>
      <c r="AC73" s="718">
        <f t="shared" si="9"/>
        <v>0</v>
      </c>
      <c r="AD73" s="626">
        <f t="shared" si="56"/>
        <v>35</v>
      </c>
      <c r="AE73" s="627">
        <f t="shared" si="6"/>
        <v>0</v>
      </c>
      <c r="AF73" s="1069" t="s">
        <v>480</v>
      </c>
      <c r="AG73" s="1069" t="s">
        <v>370</v>
      </c>
      <c r="AH73" s="2212" t="str">
        <f>IFERROR(INDEX('Annex 2_Code'!$J$110:$J$122,MATCH('Annex 3_MAFF'!AF73,'Annex 2_Code'!$G$110:$G$122,0)),"")</f>
        <v>MAFF-GDA</v>
      </c>
      <c r="AI73" s="1070" t="str">
        <f t="shared" si="27"/>
        <v>MAFF</v>
      </c>
      <c r="AK73" s="1383"/>
      <c r="AL73" s="1383"/>
    </row>
    <row r="74" spans="1:38" s="366" customFormat="1" outlineLevel="1">
      <c r="A74" s="102"/>
      <c r="B74" s="374" t="s">
        <v>294</v>
      </c>
      <c r="C74" s="361" t="s">
        <v>545</v>
      </c>
      <c r="D74" s="484"/>
      <c r="E74" s="1729"/>
      <c r="F74" s="1920" t="s">
        <v>836</v>
      </c>
      <c r="G74" s="1727"/>
      <c r="H74" s="1730" t="s">
        <v>171</v>
      </c>
      <c r="I74" s="1731">
        <v>2.5</v>
      </c>
      <c r="J74" s="666">
        <v>0</v>
      </c>
      <c r="K74" s="666">
        <v>3</v>
      </c>
      <c r="L74" s="666">
        <v>3</v>
      </c>
      <c r="M74" s="666"/>
      <c r="N74" s="1096">
        <f t="shared" si="53"/>
        <v>6</v>
      </c>
      <c r="O74" s="1121">
        <f t="shared" si="57"/>
        <v>0</v>
      </c>
      <c r="P74" s="1121">
        <f t="shared" si="58"/>
        <v>7.5</v>
      </c>
      <c r="Q74" s="1121">
        <f t="shared" si="54"/>
        <v>7.5</v>
      </c>
      <c r="R74" s="1121">
        <f t="shared" si="54"/>
        <v>0</v>
      </c>
      <c r="S74" s="145">
        <f t="shared" si="55"/>
        <v>15</v>
      </c>
      <c r="T74" s="618">
        <f>IFERROR(INDEX('Annex 2_Code'!I$8:I$33,MATCH('Annex 3_MAFF'!$AG74,'Annex 2_Code'!$G$8:$G$33,0)),"")</f>
        <v>1</v>
      </c>
      <c r="U74" s="618">
        <f>IFERROR(INDEX('Annex 2_Code'!J$8:J$33,MATCH('Annex 3_MAFF'!$AG74,'Annex 2_Code'!$G$8:$G$33,0)),"")</f>
        <v>0</v>
      </c>
      <c r="V74" s="618">
        <f>IFERROR(INDEX('Annex 2_Code'!K$8:K$33,MATCH('Annex 3_MAFF'!$AG74,'Annex 2_Code'!$G$8:$G$33,0)),"")</f>
        <v>0</v>
      </c>
      <c r="W74" s="618">
        <f>IFERROR(INDEX('Annex 2_Code'!L$8:L$33,MATCH('Annex 3_MAFF'!$AG74,'Annex 2_Code'!$G$8:$G$33,0)),"")</f>
        <v>0</v>
      </c>
      <c r="X74" s="618">
        <f>IFERROR(INDEX('Annex 2_Code'!M$8:M$33,MATCH('Annex 3_MAFF'!$AG74,'Annex 2_Code'!$G$8:$G$33,0)),"")</f>
        <v>0</v>
      </c>
      <c r="Y74" s="1536">
        <f t="shared" si="9"/>
        <v>15</v>
      </c>
      <c r="Z74" s="717">
        <f t="shared" si="9"/>
        <v>0</v>
      </c>
      <c r="AA74" s="717">
        <f t="shared" si="9"/>
        <v>0</v>
      </c>
      <c r="AB74" s="717">
        <f t="shared" si="9"/>
        <v>0</v>
      </c>
      <c r="AC74" s="718">
        <f t="shared" si="9"/>
        <v>0</v>
      </c>
      <c r="AD74" s="626">
        <f t="shared" si="56"/>
        <v>15</v>
      </c>
      <c r="AE74" s="627">
        <f t="shared" si="6"/>
        <v>0</v>
      </c>
      <c r="AF74" s="1069" t="s">
        <v>480</v>
      </c>
      <c r="AG74" s="1069" t="s">
        <v>370</v>
      </c>
      <c r="AH74" s="2212" t="str">
        <f>IFERROR(INDEX('Annex 2_Code'!$J$110:$J$122,MATCH('Annex 3_MAFF'!AF74,'Annex 2_Code'!$G$110:$G$122,0)),"")</f>
        <v>MAFF-GDA</v>
      </c>
      <c r="AI74" s="882" t="str">
        <f t="shared" si="27"/>
        <v>MAFF</v>
      </c>
      <c r="AK74" s="1383"/>
      <c r="AL74" s="1383"/>
    </row>
    <row r="75" spans="1:38" s="366" customFormat="1" outlineLevel="1">
      <c r="A75" s="102"/>
      <c r="B75" s="374" t="s">
        <v>294</v>
      </c>
      <c r="C75" s="361" t="s">
        <v>545</v>
      </c>
      <c r="D75" s="484"/>
      <c r="E75" s="1729"/>
      <c r="F75" s="1920" t="s">
        <v>837</v>
      </c>
      <c r="G75" s="1727"/>
      <c r="H75" s="1730" t="s">
        <v>171</v>
      </c>
      <c r="I75" s="1731">
        <v>3</v>
      </c>
      <c r="J75" s="666">
        <v>0</v>
      </c>
      <c r="K75" s="666">
        <v>3</v>
      </c>
      <c r="L75" s="666">
        <v>3</v>
      </c>
      <c r="M75" s="666"/>
      <c r="N75" s="1096">
        <f t="shared" si="53"/>
        <v>6</v>
      </c>
      <c r="O75" s="1121">
        <f t="shared" si="57"/>
        <v>0</v>
      </c>
      <c r="P75" s="1121">
        <f t="shared" si="58"/>
        <v>9</v>
      </c>
      <c r="Q75" s="1121">
        <f t="shared" si="54"/>
        <v>9</v>
      </c>
      <c r="R75" s="1121">
        <f t="shared" si="54"/>
        <v>0</v>
      </c>
      <c r="S75" s="145">
        <f t="shared" si="55"/>
        <v>18</v>
      </c>
      <c r="T75" s="618">
        <f>IFERROR(INDEX('Annex 2_Code'!I$8:I$33,MATCH('Annex 3_MAFF'!$AG75,'Annex 2_Code'!$G$8:$G$33,0)),"")</f>
        <v>1</v>
      </c>
      <c r="U75" s="618">
        <f>IFERROR(INDEX('Annex 2_Code'!J$8:J$33,MATCH('Annex 3_MAFF'!$AG75,'Annex 2_Code'!$G$8:$G$33,0)),"")</f>
        <v>0</v>
      </c>
      <c r="V75" s="618">
        <f>IFERROR(INDEX('Annex 2_Code'!K$8:K$33,MATCH('Annex 3_MAFF'!$AG75,'Annex 2_Code'!$G$8:$G$33,0)),"")</f>
        <v>0</v>
      </c>
      <c r="W75" s="618">
        <f>IFERROR(INDEX('Annex 2_Code'!L$8:L$33,MATCH('Annex 3_MAFF'!$AG75,'Annex 2_Code'!$G$8:$G$33,0)),"")</f>
        <v>0</v>
      </c>
      <c r="X75" s="618">
        <f>IFERROR(INDEX('Annex 2_Code'!M$8:M$33,MATCH('Annex 3_MAFF'!$AG75,'Annex 2_Code'!$G$8:$G$33,0)),"")</f>
        <v>0</v>
      </c>
      <c r="Y75" s="1536">
        <f t="shared" si="9"/>
        <v>18</v>
      </c>
      <c r="Z75" s="717">
        <f t="shared" si="9"/>
        <v>0</v>
      </c>
      <c r="AA75" s="717">
        <f t="shared" si="9"/>
        <v>0</v>
      </c>
      <c r="AB75" s="717">
        <f t="shared" si="9"/>
        <v>0</v>
      </c>
      <c r="AC75" s="718">
        <f t="shared" si="9"/>
        <v>0</v>
      </c>
      <c r="AD75" s="626">
        <f t="shared" si="56"/>
        <v>18</v>
      </c>
      <c r="AE75" s="627">
        <f t="shared" si="6"/>
        <v>0</v>
      </c>
      <c r="AF75" s="1069" t="s">
        <v>480</v>
      </c>
      <c r="AG75" s="1069" t="s">
        <v>370</v>
      </c>
      <c r="AH75" s="2212" t="str">
        <f>IFERROR(INDEX('Annex 2_Code'!$J$110:$J$122,MATCH('Annex 3_MAFF'!AF75,'Annex 2_Code'!$G$110:$G$122,0)),"")</f>
        <v>MAFF-GDA</v>
      </c>
      <c r="AI75" s="882" t="str">
        <f t="shared" si="27"/>
        <v>MAFF</v>
      </c>
      <c r="AK75" s="1383"/>
      <c r="AL75" s="1383"/>
    </row>
    <row r="76" spans="1:38" s="366" customFormat="1" outlineLevel="1">
      <c r="A76" s="102"/>
      <c r="B76" s="374" t="s">
        <v>294</v>
      </c>
      <c r="C76" s="361" t="s">
        <v>545</v>
      </c>
      <c r="D76" s="484"/>
      <c r="E76" s="1729"/>
      <c r="F76" s="1727" t="s">
        <v>838</v>
      </c>
      <c r="G76" s="1727"/>
      <c r="H76" s="1730" t="s">
        <v>171</v>
      </c>
      <c r="I76" s="1731">
        <v>1.2</v>
      </c>
      <c r="J76" s="666">
        <v>0</v>
      </c>
      <c r="K76" s="666">
        <v>3</v>
      </c>
      <c r="L76" s="666">
        <v>2</v>
      </c>
      <c r="M76" s="666">
        <v>0</v>
      </c>
      <c r="N76" s="1096">
        <f t="shared" si="53"/>
        <v>5</v>
      </c>
      <c r="O76" s="1121">
        <f t="shared" si="57"/>
        <v>0</v>
      </c>
      <c r="P76" s="1121">
        <f t="shared" si="58"/>
        <v>3.5999999999999996</v>
      </c>
      <c r="Q76" s="1121">
        <f t="shared" si="54"/>
        <v>2.4</v>
      </c>
      <c r="R76" s="1121">
        <f t="shared" si="54"/>
        <v>0</v>
      </c>
      <c r="S76" s="145">
        <f t="shared" si="55"/>
        <v>6</v>
      </c>
      <c r="T76" s="618">
        <f>IFERROR(INDEX('Annex 2_Code'!I$8:I$33,MATCH('Annex 3_MAFF'!$AG76,'Annex 2_Code'!$G$8:$G$33,0)),"")</f>
        <v>1</v>
      </c>
      <c r="U76" s="618">
        <f>IFERROR(INDEX('Annex 2_Code'!J$8:J$33,MATCH('Annex 3_MAFF'!$AG76,'Annex 2_Code'!$G$8:$G$33,0)),"")</f>
        <v>0</v>
      </c>
      <c r="V76" s="618">
        <f>IFERROR(INDEX('Annex 2_Code'!K$8:K$33,MATCH('Annex 3_MAFF'!$AG76,'Annex 2_Code'!$G$8:$G$33,0)),"")</f>
        <v>0</v>
      </c>
      <c r="W76" s="618">
        <f>IFERROR(INDEX('Annex 2_Code'!L$8:L$33,MATCH('Annex 3_MAFF'!$AG76,'Annex 2_Code'!$G$8:$G$33,0)),"")</f>
        <v>0</v>
      </c>
      <c r="X76" s="618">
        <f>IFERROR(INDEX('Annex 2_Code'!M$8:M$33,MATCH('Annex 3_MAFF'!$AG76,'Annex 2_Code'!$G$8:$G$33,0)),"")</f>
        <v>0</v>
      </c>
      <c r="Y76" s="1536">
        <f t="shared" si="9"/>
        <v>6</v>
      </c>
      <c r="Z76" s="717">
        <f t="shared" si="9"/>
        <v>0</v>
      </c>
      <c r="AA76" s="717">
        <f t="shared" si="9"/>
        <v>0</v>
      </c>
      <c r="AB76" s="717">
        <f t="shared" si="9"/>
        <v>0</v>
      </c>
      <c r="AC76" s="718">
        <f t="shared" si="9"/>
        <v>0</v>
      </c>
      <c r="AD76" s="626">
        <f t="shared" si="56"/>
        <v>6</v>
      </c>
      <c r="AE76" s="627">
        <f t="shared" si="6"/>
        <v>0</v>
      </c>
      <c r="AF76" s="1069" t="s">
        <v>480</v>
      </c>
      <c r="AG76" s="1069" t="s">
        <v>370</v>
      </c>
      <c r="AH76" s="2212" t="str">
        <f>IFERROR(INDEX('Annex 2_Code'!$J$110:$J$122,MATCH('Annex 3_MAFF'!AF76,'Annex 2_Code'!$G$110:$G$122,0)),"")</f>
        <v>MAFF-GDA</v>
      </c>
      <c r="AI76" s="882" t="str">
        <f t="shared" si="27"/>
        <v>MAFF</v>
      </c>
      <c r="AK76" s="1383"/>
      <c r="AL76" s="1383"/>
    </row>
    <row r="77" spans="1:38" s="366" customFormat="1" outlineLevel="1">
      <c r="A77" s="102"/>
      <c r="B77" s="374" t="s">
        <v>294</v>
      </c>
      <c r="C77" s="361" t="s">
        <v>545</v>
      </c>
      <c r="D77" s="484"/>
      <c r="E77" s="1729"/>
      <c r="F77" s="1727" t="s">
        <v>839</v>
      </c>
      <c r="G77" s="1727"/>
      <c r="H77" s="1730" t="s">
        <v>171</v>
      </c>
      <c r="I77" s="1731">
        <v>10</v>
      </c>
      <c r="J77" s="666">
        <v>0</v>
      </c>
      <c r="K77" s="666">
        <v>0.5</v>
      </c>
      <c r="L77" s="666">
        <v>0.5</v>
      </c>
      <c r="M77" s="666">
        <v>0</v>
      </c>
      <c r="N77" s="1096">
        <f t="shared" si="53"/>
        <v>1</v>
      </c>
      <c r="O77" s="1121">
        <f>($I77*J77)</f>
        <v>0</v>
      </c>
      <c r="P77" s="1121">
        <f t="shared" si="58"/>
        <v>5</v>
      </c>
      <c r="Q77" s="1121">
        <f t="shared" si="54"/>
        <v>5</v>
      </c>
      <c r="R77" s="1121">
        <f t="shared" si="54"/>
        <v>0</v>
      </c>
      <c r="S77" s="145">
        <f t="shared" si="55"/>
        <v>10</v>
      </c>
      <c r="T77" s="618">
        <f>IFERROR(INDEX('Annex 2_Code'!I$8:I$33,MATCH('Annex 3_MAFF'!$AG77,'Annex 2_Code'!$G$8:$G$33,0)),"")</f>
        <v>1</v>
      </c>
      <c r="U77" s="618">
        <f>IFERROR(INDEX('Annex 2_Code'!J$8:J$33,MATCH('Annex 3_MAFF'!$AG77,'Annex 2_Code'!$G$8:$G$33,0)),"")</f>
        <v>0</v>
      </c>
      <c r="V77" s="618">
        <f>IFERROR(INDEX('Annex 2_Code'!K$8:K$33,MATCH('Annex 3_MAFF'!$AG77,'Annex 2_Code'!$G$8:$G$33,0)),"")</f>
        <v>0</v>
      </c>
      <c r="W77" s="618">
        <f>IFERROR(INDEX('Annex 2_Code'!L$8:L$33,MATCH('Annex 3_MAFF'!$AG77,'Annex 2_Code'!$G$8:$G$33,0)),"")</f>
        <v>0</v>
      </c>
      <c r="X77" s="618">
        <f>IFERROR(INDEX('Annex 2_Code'!M$8:M$33,MATCH('Annex 3_MAFF'!$AG77,'Annex 2_Code'!$G$8:$G$33,0)),"")</f>
        <v>0</v>
      </c>
      <c r="Y77" s="1536">
        <f t="shared" si="9"/>
        <v>10</v>
      </c>
      <c r="Z77" s="717">
        <f t="shared" si="9"/>
        <v>0</v>
      </c>
      <c r="AA77" s="717">
        <f t="shared" si="9"/>
        <v>0</v>
      </c>
      <c r="AB77" s="717">
        <f t="shared" si="9"/>
        <v>0</v>
      </c>
      <c r="AC77" s="718">
        <f t="shared" si="9"/>
        <v>0</v>
      </c>
      <c r="AD77" s="626">
        <f t="shared" si="56"/>
        <v>10</v>
      </c>
      <c r="AE77" s="627">
        <f t="shared" si="6"/>
        <v>0</v>
      </c>
      <c r="AF77" s="1069" t="s">
        <v>480</v>
      </c>
      <c r="AG77" s="1069" t="s">
        <v>370</v>
      </c>
      <c r="AH77" s="2212" t="str">
        <f>IFERROR(INDEX('Annex 2_Code'!$J$110:$J$122,MATCH('Annex 3_MAFF'!AF77,'Annex 2_Code'!$G$110:$G$122,0)),"")</f>
        <v>MAFF-GDA</v>
      </c>
      <c r="AI77" s="882" t="str">
        <f t="shared" si="27"/>
        <v>MAFF</v>
      </c>
      <c r="AK77" s="1383"/>
      <c r="AL77" s="1383"/>
    </row>
    <row r="78" spans="1:38" s="366" customFormat="1" outlineLevel="1">
      <c r="A78" s="102"/>
      <c r="B78" s="374" t="s">
        <v>294</v>
      </c>
      <c r="C78" s="361" t="s">
        <v>545</v>
      </c>
      <c r="D78" s="484"/>
      <c r="E78" s="1729"/>
      <c r="F78" s="1727" t="s">
        <v>840</v>
      </c>
      <c r="G78" s="1727"/>
      <c r="H78" s="1730" t="s">
        <v>172</v>
      </c>
      <c r="I78" s="1731">
        <v>12</v>
      </c>
      <c r="J78" s="666">
        <v>0</v>
      </c>
      <c r="K78" s="666">
        <v>0.5</v>
      </c>
      <c r="L78" s="666">
        <v>0.5</v>
      </c>
      <c r="M78" s="666"/>
      <c r="N78" s="1096">
        <f t="shared" si="53"/>
        <v>1</v>
      </c>
      <c r="O78" s="1121">
        <f>($I78*J78)</f>
        <v>0</v>
      </c>
      <c r="P78" s="1121">
        <f t="shared" si="58"/>
        <v>6</v>
      </c>
      <c r="Q78" s="1121">
        <f t="shared" si="54"/>
        <v>6</v>
      </c>
      <c r="R78" s="1121">
        <f t="shared" si="54"/>
        <v>0</v>
      </c>
      <c r="S78" s="145">
        <f t="shared" si="55"/>
        <v>12</v>
      </c>
      <c r="T78" s="618">
        <f>IFERROR(INDEX('Annex 2_Code'!I$8:I$33,MATCH('Annex 3_MAFF'!$AG78,'Annex 2_Code'!$G$8:$G$33,0)),"")</f>
        <v>1</v>
      </c>
      <c r="U78" s="618">
        <f>IFERROR(INDEX('Annex 2_Code'!J$8:J$33,MATCH('Annex 3_MAFF'!$AG78,'Annex 2_Code'!$G$8:$G$33,0)),"")</f>
        <v>0</v>
      </c>
      <c r="V78" s="618">
        <f>IFERROR(INDEX('Annex 2_Code'!K$8:K$33,MATCH('Annex 3_MAFF'!$AG78,'Annex 2_Code'!$G$8:$G$33,0)),"")</f>
        <v>0</v>
      </c>
      <c r="W78" s="618">
        <f>IFERROR(INDEX('Annex 2_Code'!L$8:L$33,MATCH('Annex 3_MAFF'!$AG78,'Annex 2_Code'!$G$8:$G$33,0)),"")</f>
        <v>0</v>
      </c>
      <c r="X78" s="618">
        <f>IFERROR(INDEX('Annex 2_Code'!M$8:M$33,MATCH('Annex 3_MAFF'!$AG78,'Annex 2_Code'!$G$8:$G$33,0)),"")</f>
        <v>0</v>
      </c>
      <c r="Y78" s="1536">
        <f t="shared" si="9"/>
        <v>12</v>
      </c>
      <c r="Z78" s="717">
        <f t="shared" si="9"/>
        <v>0</v>
      </c>
      <c r="AA78" s="717">
        <f t="shared" si="9"/>
        <v>0</v>
      </c>
      <c r="AB78" s="717">
        <f t="shared" si="9"/>
        <v>0</v>
      </c>
      <c r="AC78" s="718">
        <f t="shared" si="9"/>
        <v>0</v>
      </c>
      <c r="AD78" s="626">
        <f t="shared" si="56"/>
        <v>12</v>
      </c>
      <c r="AE78" s="627">
        <f t="shared" si="6"/>
        <v>0</v>
      </c>
      <c r="AF78" s="1069" t="s">
        <v>480</v>
      </c>
      <c r="AG78" s="1069" t="s">
        <v>370</v>
      </c>
      <c r="AH78" s="2212" t="str">
        <f>IFERROR(INDEX('Annex 2_Code'!$J$110:$J$122,MATCH('Annex 3_MAFF'!AF78,'Annex 2_Code'!$G$110:$G$122,0)),"")</f>
        <v>MAFF-GDA</v>
      </c>
      <c r="AI78" s="882" t="str">
        <f t="shared" si="27"/>
        <v>MAFF</v>
      </c>
      <c r="AK78" s="1383"/>
      <c r="AL78" s="1383"/>
    </row>
    <row r="79" spans="1:38" s="366" customFormat="1" outlineLevel="1">
      <c r="A79" s="102"/>
      <c r="B79" s="374" t="s">
        <v>294</v>
      </c>
      <c r="C79" s="361" t="s">
        <v>545</v>
      </c>
      <c r="D79" s="78"/>
      <c r="E79" s="97"/>
      <c r="F79" s="1727" t="s">
        <v>806</v>
      </c>
      <c r="G79" s="722"/>
      <c r="H79" s="1739" t="s">
        <v>607</v>
      </c>
      <c r="I79" s="1937">
        <v>1.2</v>
      </c>
      <c r="J79" s="1744">
        <v>1</v>
      </c>
      <c r="K79" s="1745">
        <v>1</v>
      </c>
      <c r="L79" s="1745">
        <v>1</v>
      </c>
      <c r="M79" s="1745">
        <v>1</v>
      </c>
      <c r="N79" s="667">
        <f t="shared" si="53"/>
        <v>4</v>
      </c>
      <c r="O79" s="1121">
        <f>($I79*J79)</f>
        <v>1.2</v>
      </c>
      <c r="P79" s="1121">
        <f>($I79*K79)</f>
        <v>1.2</v>
      </c>
      <c r="Q79" s="1121">
        <f t="shared" si="54"/>
        <v>1.2</v>
      </c>
      <c r="R79" s="1121">
        <f>($I79*M79)</f>
        <v>1.2</v>
      </c>
      <c r="S79" s="1737">
        <f>SUM(O79:R79)</f>
        <v>4.8</v>
      </c>
      <c r="T79" s="618">
        <f>IFERROR(INDEX('Annex 2_Code'!I$8:I$33,MATCH('Annex 3_MAFF'!$AG79,'Annex 2_Code'!$G$8:$G$33,0)),"")</f>
        <v>1</v>
      </c>
      <c r="U79" s="618">
        <f>IFERROR(INDEX('Annex 2_Code'!J$8:J$33,MATCH('Annex 3_MAFF'!$AG79,'Annex 2_Code'!$G$8:$G$33,0)),"")</f>
        <v>0</v>
      </c>
      <c r="V79" s="618">
        <f>IFERROR(INDEX('Annex 2_Code'!K$8:K$33,MATCH('Annex 3_MAFF'!$AG79,'Annex 2_Code'!$G$8:$G$33,0)),"")</f>
        <v>0</v>
      </c>
      <c r="W79" s="618">
        <f>IFERROR(INDEX('Annex 2_Code'!L$8:L$33,MATCH('Annex 3_MAFF'!$AG79,'Annex 2_Code'!$G$8:$G$33,0)),"")</f>
        <v>0</v>
      </c>
      <c r="X79" s="618">
        <f>IFERROR(INDEX('Annex 2_Code'!M$8:M$33,MATCH('Annex 3_MAFF'!$AG79,'Annex 2_Code'!$G$8:$G$33,0)),"")</f>
        <v>0</v>
      </c>
      <c r="Y79" s="1536">
        <f t="shared" si="9"/>
        <v>4.8</v>
      </c>
      <c r="Z79" s="717">
        <f t="shared" si="9"/>
        <v>0</v>
      </c>
      <c r="AA79" s="717">
        <f t="shared" si="9"/>
        <v>0</v>
      </c>
      <c r="AB79" s="717">
        <f t="shared" si="9"/>
        <v>0</v>
      </c>
      <c r="AC79" s="718">
        <f t="shared" si="9"/>
        <v>0</v>
      </c>
      <c r="AD79" s="626">
        <f t="shared" ref="AD79" si="59">SUM(Y79:AC79)</f>
        <v>4.8</v>
      </c>
      <c r="AE79" s="627">
        <f t="shared" si="6"/>
        <v>0</v>
      </c>
      <c r="AF79" s="568" t="s">
        <v>480</v>
      </c>
      <c r="AG79" s="568" t="s">
        <v>370</v>
      </c>
      <c r="AH79" s="2212" t="str">
        <f>IFERROR(INDEX('Annex 2_Code'!$J$110:$J$122,MATCH('Annex 3_MAFF'!AF79,'Annex 2_Code'!$G$110:$G$122,0)),"")</f>
        <v>MAFF-GDA</v>
      </c>
      <c r="AI79" s="882" t="str">
        <f t="shared" ref="AI79" si="60">IF(ISNUMBER(FIND("-",AH79,1))=FALSE,LEFT(AH79,LEN(AH79)),LEFT(AH79,(FIND("-",AH79,1))-1))</f>
        <v>MAFF</v>
      </c>
      <c r="AK79" s="1383"/>
      <c r="AL79" s="1383"/>
    </row>
    <row r="80" spans="1:38" s="366" customFormat="1" outlineLevel="1">
      <c r="A80" s="102"/>
      <c r="B80" s="93" t="s">
        <v>173</v>
      </c>
      <c r="C80" s="89"/>
      <c r="D80" s="1471"/>
      <c r="E80" s="1440" t="s">
        <v>41</v>
      </c>
      <c r="F80" s="1441"/>
      <c r="G80" s="1532"/>
      <c r="H80" s="1481"/>
      <c r="I80" s="1632"/>
      <c r="J80" s="1468"/>
      <c r="K80" s="1469"/>
      <c r="L80" s="1469"/>
      <c r="M80" s="1469"/>
      <c r="N80" s="1470"/>
      <c r="O80" s="1492">
        <f>SUM(O71:O79)</f>
        <v>1.2</v>
      </c>
      <c r="P80" s="1493">
        <f t="shared" ref="P80:R80" si="61">SUM(P71:P79)</f>
        <v>80.8</v>
      </c>
      <c r="Q80" s="1493">
        <f t="shared" si="61"/>
        <v>79.600000000000009</v>
      </c>
      <c r="R80" s="1493">
        <f t="shared" si="61"/>
        <v>1.2</v>
      </c>
      <c r="S80" s="1494">
        <f>SUM(S71:S79)</f>
        <v>162.80000000000001</v>
      </c>
      <c r="T80" s="1061"/>
      <c r="U80" s="1061"/>
      <c r="V80" s="1061"/>
      <c r="W80" s="1061"/>
      <c r="X80" s="1061"/>
      <c r="Y80" s="1537"/>
      <c r="Z80" s="1063"/>
      <c r="AA80" s="717">
        <f t="shared" si="9"/>
        <v>0</v>
      </c>
      <c r="AB80" s="1063"/>
      <c r="AC80" s="1064"/>
      <c r="AD80" s="1610"/>
      <c r="AE80" s="653"/>
      <c r="AF80" s="570"/>
      <c r="AG80" s="570"/>
      <c r="AH80" s="570"/>
      <c r="AI80" s="1065"/>
      <c r="AK80" s="1383"/>
      <c r="AL80" s="1383"/>
    </row>
    <row r="81" spans="1:38" s="366" customFormat="1" outlineLevel="1">
      <c r="A81" s="102"/>
      <c r="B81" s="76" t="s">
        <v>173</v>
      </c>
      <c r="C81" s="77"/>
      <c r="D81" s="78"/>
      <c r="E81" s="97"/>
      <c r="F81" s="364"/>
      <c r="G81" s="1197"/>
      <c r="H81" s="565"/>
      <c r="I81" s="566"/>
      <c r="J81" s="665"/>
      <c r="K81" s="666"/>
      <c r="L81" s="666"/>
      <c r="M81" s="666"/>
      <c r="N81" s="667"/>
      <c r="O81" s="688"/>
      <c r="P81" s="689"/>
      <c r="Q81" s="689"/>
      <c r="R81" s="689"/>
      <c r="S81" s="145"/>
      <c r="T81" s="618"/>
      <c r="U81" s="618"/>
      <c r="V81" s="618"/>
      <c r="W81" s="618"/>
      <c r="X81" s="618"/>
      <c r="Y81" s="1536"/>
      <c r="Z81" s="717"/>
      <c r="AA81" s="717">
        <f t="shared" si="9"/>
        <v>0</v>
      </c>
      <c r="AB81" s="717"/>
      <c r="AC81" s="718"/>
      <c r="AD81" s="626"/>
      <c r="AE81" s="627"/>
      <c r="AF81" s="570"/>
      <c r="AG81" s="570"/>
      <c r="AH81" s="568"/>
      <c r="AI81" s="882"/>
      <c r="AK81" s="1383"/>
      <c r="AL81" s="1383"/>
    </row>
    <row r="82" spans="1:38" s="366" customFormat="1" outlineLevel="1">
      <c r="A82" s="102"/>
      <c r="B82" s="76" t="s">
        <v>173</v>
      </c>
      <c r="C82" s="77"/>
      <c r="D82" s="78"/>
      <c r="E82" s="1119" t="s">
        <v>743</v>
      </c>
      <c r="F82" s="1119"/>
      <c r="G82" s="1120"/>
      <c r="H82" s="770"/>
      <c r="I82" s="781"/>
      <c r="J82" s="665"/>
      <c r="K82" s="666"/>
      <c r="L82" s="666"/>
      <c r="M82" s="666"/>
      <c r="N82" s="1096"/>
      <c r="O82" s="877"/>
      <c r="P82" s="281"/>
      <c r="Q82" s="281"/>
      <c r="R82" s="281"/>
      <c r="S82" s="145"/>
      <c r="T82" s="618" t="str">
        <f>IFERROR(INDEX('Annex 2_Code'!I$8:I$33,MATCH('Annex 3_MAFF'!$AG82,'Annex 2_Code'!$G$8:$G$33,0)),"")</f>
        <v/>
      </c>
      <c r="U82" s="618" t="str">
        <f>IFERROR(INDEX('Annex 2_Code'!J$8:J$33,MATCH('Annex 3_MAFF'!$AG82,'Annex 2_Code'!$G$8:$G$33,0)),"")</f>
        <v/>
      </c>
      <c r="V82" s="618" t="str">
        <f>IFERROR(INDEX('Annex 2_Code'!K$8:K$33,MATCH('Annex 3_MAFF'!$AG82,'Annex 2_Code'!$G$8:$G$33,0)),"")</f>
        <v/>
      </c>
      <c r="W82" s="618" t="str">
        <f>IFERROR(INDEX('Annex 2_Code'!L$8:L$33,MATCH('Annex 3_MAFF'!$AG82,'Annex 2_Code'!$G$8:$G$33,0)),"")</f>
        <v/>
      </c>
      <c r="X82" s="618" t="str">
        <f>IFERROR(INDEX('Annex 2_Code'!M$8:M$33,MATCH('Annex 3_MAFF'!$AG82,'Annex 2_Code'!$G$8:$G$33,0)),"")</f>
        <v/>
      </c>
      <c r="Y82" s="1536" t="str">
        <f t="shared" si="9"/>
        <v/>
      </c>
      <c r="Z82" s="717" t="str">
        <f t="shared" si="10"/>
        <v/>
      </c>
      <c r="AA82" s="717" t="str">
        <f t="shared" si="9"/>
        <v/>
      </c>
      <c r="AB82" s="717" t="str">
        <f t="shared" si="11"/>
        <v/>
      </c>
      <c r="AC82" s="718" t="str">
        <f t="shared" si="12"/>
        <v/>
      </c>
      <c r="AD82" s="626">
        <f t="shared" si="5"/>
        <v>0</v>
      </c>
      <c r="AE82" s="627">
        <f t="shared" si="6"/>
        <v>0</v>
      </c>
      <c r="AF82" s="1080"/>
      <c r="AG82" s="1080"/>
      <c r="AH82" s="568" t="str">
        <f>IFERROR(INDEX('Annex 2_Code'!$J$110:$J$122,MATCH('Annex 3_MAFF'!AF82,'Annex 2_Code'!$G$110:$G$122,0)),"")</f>
        <v/>
      </c>
      <c r="AI82" s="1070" t="str">
        <f t="shared" si="27"/>
        <v/>
      </c>
      <c r="AK82" s="1383"/>
      <c r="AL82" s="1383"/>
    </row>
    <row r="83" spans="1:38" s="366" customFormat="1" outlineLevel="1">
      <c r="A83" s="102"/>
      <c r="B83" s="374" t="s">
        <v>294</v>
      </c>
      <c r="C83" s="361" t="s">
        <v>545</v>
      </c>
      <c r="D83" s="484"/>
      <c r="E83" s="1729"/>
      <c r="F83" s="1727" t="s">
        <v>842</v>
      </c>
      <c r="G83" s="1727"/>
      <c r="H83" s="1730" t="s">
        <v>171</v>
      </c>
      <c r="I83" s="1731">
        <v>2.5</v>
      </c>
      <c r="J83" s="666">
        <v>0</v>
      </c>
      <c r="K83" s="666">
        <v>0.5</v>
      </c>
      <c r="L83" s="666">
        <v>0.5</v>
      </c>
      <c r="M83" s="666"/>
      <c r="N83" s="1096">
        <f t="shared" ref="N83:N103" si="62">SUM(J83:M83)</f>
        <v>1</v>
      </c>
      <c r="O83" s="1121">
        <f>($I83*J83)</f>
        <v>0</v>
      </c>
      <c r="P83" s="1121">
        <f>($I83*K83)</f>
        <v>1.25</v>
      </c>
      <c r="Q83" s="1121">
        <f t="shared" ref="Q83:R98" si="63">($I83*L83)</f>
        <v>1.25</v>
      </c>
      <c r="R83" s="1121">
        <f t="shared" si="63"/>
        <v>0</v>
      </c>
      <c r="S83" s="145">
        <f t="shared" ref="S83:S103" si="64">SUM(O83:R83)</f>
        <v>2.5</v>
      </c>
      <c r="T83" s="618">
        <f>IFERROR(INDEX('[3]Annex 2'!I$8:I$33,MATCH('[3]Annex 3 (''MEF)'!$AG82,'[3]Annex 2'!$G$8:$G$33,0)),"")</f>
        <v>1</v>
      </c>
      <c r="U83" s="618">
        <f>IFERROR(INDEX('[3]Annex 2'!J$8:J$33,MATCH('[3]Annex 3 (''MEF)'!$AG82,'[3]Annex 2'!$G$8:$G$33,0)),"")</f>
        <v>0</v>
      </c>
      <c r="V83" s="618">
        <f>IFERROR(INDEX('[3]Annex 2'!K$8:K$33,MATCH('[3]Annex 3 (''MEF)'!$AG82,'[3]Annex 2'!$G$8:$G$33,0)),"")</f>
        <v>0</v>
      </c>
      <c r="W83" s="618">
        <f>IFERROR(INDEX('[3]Annex 2'!L$8:L$33,MATCH('[3]Annex 3 (''MEF)'!$AG82,'[3]Annex 2'!$G$8:$G$33,0)),"")</f>
        <v>0</v>
      </c>
      <c r="X83" s="618">
        <f>IFERROR(INDEX('[3]Annex 2'!M$8:M$33,MATCH('[3]Annex 3 (''MEF)'!$AG82,'[3]Annex 2'!$G$8:$G$33,0)),"")</f>
        <v>0</v>
      </c>
      <c r="Y83" s="1536">
        <f t="shared" si="9"/>
        <v>2.5</v>
      </c>
      <c r="Z83" s="717">
        <f t="shared" si="10"/>
        <v>0</v>
      </c>
      <c r="AA83" s="717">
        <f t="shared" si="9"/>
        <v>0</v>
      </c>
      <c r="AB83" s="717">
        <f t="shared" si="10"/>
        <v>0</v>
      </c>
      <c r="AC83" s="718">
        <f t="shared" si="10"/>
        <v>0</v>
      </c>
      <c r="AD83" s="626">
        <f t="shared" si="5"/>
        <v>2.5</v>
      </c>
      <c r="AE83" s="627">
        <f t="shared" si="6"/>
        <v>0</v>
      </c>
      <c r="AF83" s="1069" t="s">
        <v>480</v>
      </c>
      <c r="AG83" s="1069" t="s">
        <v>370</v>
      </c>
      <c r="AH83" s="2212" t="str">
        <f>IFERROR(INDEX('Annex 2_Code'!$J$110:$J$122,MATCH('Annex 3_MAFF'!AF83,'Annex 2_Code'!$G$110:$G$122,0)),"")</f>
        <v>MAFF-GDA</v>
      </c>
      <c r="AI83" s="1070" t="str">
        <f t="shared" si="27"/>
        <v>MAFF</v>
      </c>
      <c r="AK83" s="1383"/>
      <c r="AL83" s="1383"/>
    </row>
    <row r="84" spans="1:38" s="366" customFormat="1" outlineLevel="1">
      <c r="A84" s="102"/>
      <c r="B84" s="374" t="s">
        <v>294</v>
      </c>
      <c r="C84" s="361" t="s">
        <v>545</v>
      </c>
      <c r="D84" s="484"/>
      <c r="E84" s="1729"/>
      <c r="F84" s="1727" t="s">
        <v>843</v>
      </c>
      <c r="G84" s="1727"/>
      <c r="H84" s="1730" t="s">
        <v>171</v>
      </c>
      <c r="I84" s="1731">
        <v>3</v>
      </c>
      <c r="J84" s="666">
        <v>0</v>
      </c>
      <c r="K84" s="666">
        <v>0.5</v>
      </c>
      <c r="L84" s="666">
        <v>0.5</v>
      </c>
      <c r="M84" s="666">
        <v>0</v>
      </c>
      <c r="N84" s="1096">
        <f t="shared" si="62"/>
        <v>1</v>
      </c>
      <c r="O84" s="1121">
        <f t="shared" ref="O84:O104" si="65">($I84*J84)</f>
        <v>0</v>
      </c>
      <c r="P84" s="1121">
        <f t="shared" ref="P84:P105" si="66">($I84*K84)</f>
        <v>1.5</v>
      </c>
      <c r="Q84" s="1121">
        <f t="shared" si="63"/>
        <v>1.5</v>
      </c>
      <c r="R84" s="1121">
        <f t="shared" si="63"/>
        <v>0</v>
      </c>
      <c r="S84" s="145">
        <f t="shared" si="64"/>
        <v>3</v>
      </c>
      <c r="T84" s="618">
        <f>IFERROR(INDEX('[3]Annex 2'!I$8:I$33,MATCH('[3]Annex 3 (''MEF)'!$AG83,'[3]Annex 2'!$G$8:$G$33,0)),"")</f>
        <v>1</v>
      </c>
      <c r="U84" s="618">
        <f>IFERROR(INDEX('[3]Annex 2'!J$8:J$33,MATCH('[3]Annex 3 (''MEF)'!$AG83,'[3]Annex 2'!$G$8:$G$33,0)),"")</f>
        <v>0</v>
      </c>
      <c r="V84" s="618">
        <f>IFERROR(INDEX('[3]Annex 2'!K$8:K$33,MATCH('[3]Annex 3 (''MEF)'!$AG83,'[3]Annex 2'!$G$8:$G$33,0)),"")</f>
        <v>0</v>
      </c>
      <c r="W84" s="618">
        <f>IFERROR(INDEX('[3]Annex 2'!L$8:L$33,MATCH('[3]Annex 3 (''MEF)'!$AG83,'[3]Annex 2'!$G$8:$G$33,0)),"")</f>
        <v>0</v>
      </c>
      <c r="X84" s="618">
        <f>IFERROR(INDEX('[3]Annex 2'!M$8:M$33,MATCH('[3]Annex 3 (''MEF)'!$AG83,'[3]Annex 2'!$G$8:$G$33,0)),"")</f>
        <v>0</v>
      </c>
      <c r="Y84" s="1536">
        <f t="shared" si="9"/>
        <v>3</v>
      </c>
      <c r="Z84" s="717">
        <f t="shared" si="10"/>
        <v>0</v>
      </c>
      <c r="AA84" s="717">
        <f t="shared" si="9"/>
        <v>0</v>
      </c>
      <c r="AB84" s="717">
        <f t="shared" si="10"/>
        <v>0</v>
      </c>
      <c r="AC84" s="718">
        <f t="shared" si="10"/>
        <v>0</v>
      </c>
      <c r="AD84" s="626">
        <f t="shared" si="5"/>
        <v>3</v>
      </c>
      <c r="AE84" s="627">
        <f t="shared" si="6"/>
        <v>0</v>
      </c>
      <c r="AF84" s="1069" t="s">
        <v>480</v>
      </c>
      <c r="AG84" s="1069" t="s">
        <v>370</v>
      </c>
      <c r="AH84" s="2212" t="str">
        <f>IFERROR(INDEX('Annex 2_Code'!$J$110:$J$122,MATCH('Annex 3_MAFF'!AF84,'Annex 2_Code'!$G$110:$G$122,0)),"")</f>
        <v>MAFF-GDA</v>
      </c>
      <c r="AI84" s="1070" t="str">
        <f t="shared" si="27"/>
        <v>MAFF</v>
      </c>
      <c r="AK84" s="1383"/>
      <c r="AL84" s="1383"/>
    </row>
    <row r="85" spans="1:38" s="366" customFormat="1" outlineLevel="1">
      <c r="A85" s="102"/>
      <c r="B85" s="374" t="s">
        <v>294</v>
      </c>
      <c r="C85" s="361" t="s">
        <v>545</v>
      </c>
      <c r="D85" s="484"/>
      <c r="E85" s="1729"/>
      <c r="F85" s="1727" t="s">
        <v>844</v>
      </c>
      <c r="G85" s="1727"/>
      <c r="H85" s="1730" t="s">
        <v>171</v>
      </c>
      <c r="I85" s="1731">
        <v>0.5</v>
      </c>
      <c r="J85" s="666">
        <v>0</v>
      </c>
      <c r="K85" s="666">
        <v>2</v>
      </c>
      <c r="L85" s="666">
        <v>2</v>
      </c>
      <c r="M85" s="666">
        <v>0</v>
      </c>
      <c r="N85" s="1096">
        <f t="shared" si="62"/>
        <v>4</v>
      </c>
      <c r="O85" s="1121">
        <f t="shared" si="65"/>
        <v>0</v>
      </c>
      <c r="P85" s="1121">
        <f t="shared" si="66"/>
        <v>1</v>
      </c>
      <c r="Q85" s="1121">
        <f t="shared" si="63"/>
        <v>1</v>
      </c>
      <c r="R85" s="1121">
        <f t="shared" si="63"/>
        <v>0</v>
      </c>
      <c r="S85" s="145">
        <f t="shared" si="64"/>
        <v>2</v>
      </c>
      <c r="T85" s="618">
        <f>IFERROR(INDEX('[3]Annex 2'!I$8:I$33,MATCH('[3]Annex 3 (''MEF)'!$AG84,'[3]Annex 2'!$G$8:$G$33,0)),"")</f>
        <v>1</v>
      </c>
      <c r="U85" s="618">
        <f>IFERROR(INDEX('[3]Annex 2'!J$8:J$33,MATCH('[3]Annex 3 (''MEF)'!$AG84,'[3]Annex 2'!$G$8:$G$33,0)),"")</f>
        <v>0</v>
      </c>
      <c r="V85" s="618">
        <f>IFERROR(INDEX('[3]Annex 2'!K$8:K$33,MATCH('[3]Annex 3 (''MEF)'!$AG84,'[3]Annex 2'!$G$8:$G$33,0)),"")</f>
        <v>0</v>
      </c>
      <c r="W85" s="618">
        <f>IFERROR(INDEX('[3]Annex 2'!L$8:L$33,MATCH('[3]Annex 3 (''MEF)'!$AG84,'[3]Annex 2'!$G$8:$G$33,0)),"")</f>
        <v>0</v>
      </c>
      <c r="X85" s="618">
        <f>IFERROR(INDEX('[3]Annex 2'!M$8:M$33,MATCH('[3]Annex 3 (''MEF)'!$AG84,'[3]Annex 2'!$G$8:$G$33,0)),"")</f>
        <v>0</v>
      </c>
      <c r="Y85" s="1536">
        <f t="shared" si="9"/>
        <v>2</v>
      </c>
      <c r="Z85" s="717">
        <f t="shared" si="10"/>
        <v>0</v>
      </c>
      <c r="AA85" s="717">
        <f t="shared" si="9"/>
        <v>0</v>
      </c>
      <c r="AB85" s="717">
        <f t="shared" si="10"/>
        <v>0</v>
      </c>
      <c r="AC85" s="718">
        <f t="shared" si="10"/>
        <v>0</v>
      </c>
      <c r="AD85" s="626">
        <f t="shared" si="5"/>
        <v>2</v>
      </c>
      <c r="AE85" s="627">
        <f t="shared" si="6"/>
        <v>0</v>
      </c>
      <c r="AF85" s="1069" t="s">
        <v>480</v>
      </c>
      <c r="AG85" s="1069" t="s">
        <v>370</v>
      </c>
      <c r="AH85" s="2212" t="str">
        <f>IFERROR(INDEX('Annex 2_Code'!$J$110:$J$122,MATCH('Annex 3_MAFF'!AF85,'Annex 2_Code'!$G$110:$G$122,0)),"")</f>
        <v>MAFF-GDA</v>
      </c>
      <c r="AI85" s="1070" t="str">
        <f t="shared" si="27"/>
        <v>MAFF</v>
      </c>
      <c r="AK85" s="1383"/>
      <c r="AL85" s="1383"/>
    </row>
    <row r="86" spans="1:38" s="366" customFormat="1" outlineLevel="1">
      <c r="A86" s="102"/>
      <c r="B86" s="374" t="s">
        <v>294</v>
      </c>
      <c r="C86" s="361" t="s">
        <v>545</v>
      </c>
      <c r="D86" s="484"/>
      <c r="E86" s="1729"/>
      <c r="F86" s="1727" t="s">
        <v>845</v>
      </c>
      <c r="G86" s="1727"/>
      <c r="H86" s="1730" t="s">
        <v>171</v>
      </c>
      <c r="I86" s="1731">
        <v>11</v>
      </c>
      <c r="J86" s="666">
        <v>0</v>
      </c>
      <c r="K86" s="666">
        <v>0.5</v>
      </c>
      <c r="L86" s="666">
        <v>0.5</v>
      </c>
      <c r="M86" s="666">
        <v>0</v>
      </c>
      <c r="N86" s="1096">
        <f t="shared" si="62"/>
        <v>1</v>
      </c>
      <c r="O86" s="1121">
        <f t="shared" si="65"/>
        <v>0</v>
      </c>
      <c r="P86" s="1121">
        <f t="shared" si="66"/>
        <v>5.5</v>
      </c>
      <c r="Q86" s="1121">
        <f t="shared" si="63"/>
        <v>5.5</v>
      </c>
      <c r="R86" s="1121">
        <f t="shared" si="63"/>
        <v>0</v>
      </c>
      <c r="S86" s="145">
        <f t="shared" si="64"/>
        <v>11</v>
      </c>
      <c r="T86" s="618">
        <f>IFERROR(INDEX('[3]Annex 2'!I$8:I$33,MATCH('[3]Annex 3 (''MEF)'!$AG85,'[3]Annex 2'!$G$8:$G$33,0)),"")</f>
        <v>1</v>
      </c>
      <c r="U86" s="618">
        <f>IFERROR(INDEX('[3]Annex 2'!J$8:J$33,MATCH('[3]Annex 3 (''MEF)'!$AG85,'[3]Annex 2'!$G$8:$G$33,0)),"")</f>
        <v>0</v>
      </c>
      <c r="V86" s="618">
        <f>IFERROR(INDEX('[3]Annex 2'!K$8:K$33,MATCH('[3]Annex 3 (''MEF)'!$AG85,'[3]Annex 2'!$G$8:$G$33,0)),"")</f>
        <v>0</v>
      </c>
      <c r="W86" s="618">
        <f>IFERROR(INDEX('[3]Annex 2'!L$8:L$33,MATCH('[3]Annex 3 (''MEF)'!$AG85,'[3]Annex 2'!$G$8:$G$33,0)),"")</f>
        <v>0</v>
      </c>
      <c r="X86" s="618">
        <f>IFERROR(INDEX('[3]Annex 2'!M$8:M$33,MATCH('[3]Annex 3 (''MEF)'!$AG85,'[3]Annex 2'!$G$8:$G$33,0)),"")</f>
        <v>0</v>
      </c>
      <c r="Y86" s="1536">
        <f t="shared" si="9"/>
        <v>11</v>
      </c>
      <c r="Z86" s="717">
        <f t="shared" si="10"/>
        <v>0</v>
      </c>
      <c r="AA86" s="717">
        <f t="shared" si="9"/>
        <v>0</v>
      </c>
      <c r="AB86" s="717">
        <f t="shared" si="10"/>
        <v>0</v>
      </c>
      <c r="AC86" s="718">
        <f t="shared" si="10"/>
        <v>0</v>
      </c>
      <c r="AD86" s="626">
        <f t="shared" si="5"/>
        <v>11</v>
      </c>
      <c r="AE86" s="627">
        <f t="shared" si="6"/>
        <v>0</v>
      </c>
      <c r="AF86" s="1069" t="s">
        <v>480</v>
      </c>
      <c r="AG86" s="1069" t="s">
        <v>370</v>
      </c>
      <c r="AH86" s="2212" t="str">
        <f>IFERROR(INDEX('Annex 2_Code'!$J$110:$J$122,MATCH('Annex 3_MAFF'!AF86,'Annex 2_Code'!$G$110:$G$122,0)),"")</f>
        <v>MAFF-GDA</v>
      </c>
      <c r="AI86" s="1070" t="str">
        <f t="shared" si="27"/>
        <v>MAFF</v>
      </c>
      <c r="AK86" s="1383"/>
      <c r="AL86" s="1383"/>
    </row>
    <row r="87" spans="1:38" s="366" customFormat="1" outlineLevel="1">
      <c r="A87" s="102"/>
      <c r="B87" s="374" t="s">
        <v>294</v>
      </c>
      <c r="C87" s="361" t="s">
        <v>545</v>
      </c>
      <c r="D87" s="484"/>
      <c r="E87" s="1729"/>
      <c r="F87" s="1727" t="s">
        <v>846</v>
      </c>
      <c r="G87" s="1727"/>
      <c r="H87" s="1730" t="s">
        <v>171</v>
      </c>
      <c r="I87" s="1731">
        <v>3.5</v>
      </c>
      <c r="J87" s="666">
        <v>0</v>
      </c>
      <c r="K87" s="666">
        <v>0.5</v>
      </c>
      <c r="L87" s="666">
        <v>0.5</v>
      </c>
      <c r="M87" s="666"/>
      <c r="N87" s="1096">
        <f t="shared" si="62"/>
        <v>1</v>
      </c>
      <c r="O87" s="1121">
        <f t="shared" si="65"/>
        <v>0</v>
      </c>
      <c r="P87" s="1121">
        <f t="shared" si="66"/>
        <v>1.75</v>
      </c>
      <c r="Q87" s="1121">
        <f t="shared" si="63"/>
        <v>1.75</v>
      </c>
      <c r="R87" s="1121">
        <f t="shared" si="63"/>
        <v>0</v>
      </c>
      <c r="S87" s="145">
        <f t="shared" si="64"/>
        <v>3.5</v>
      </c>
      <c r="T87" s="618">
        <f>IFERROR(INDEX('[3]Annex 2'!I$8:I$33,MATCH('[3]Annex 3 (''MEF)'!$AG86,'[3]Annex 2'!$G$8:$G$33,0)),"")</f>
        <v>1</v>
      </c>
      <c r="U87" s="618">
        <f>IFERROR(INDEX('[3]Annex 2'!J$8:J$33,MATCH('[3]Annex 3 (''MEF)'!$AG86,'[3]Annex 2'!$G$8:$G$33,0)),"")</f>
        <v>0</v>
      </c>
      <c r="V87" s="618">
        <f>IFERROR(INDEX('[3]Annex 2'!K$8:K$33,MATCH('[3]Annex 3 (''MEF)'!$AG86,'[3]Annex 2'!$G$8:$G$33,0)),"")</f>
        <v>0</v>
      </c>
      <c r="W87" s="618">
        <f>IFERROR(INDEX('[3]Annex 2'!L$8:L$33,MATCH('[3]Annex 3 (''MEF)'!$AG86,'[3]Annex 2'!$G$8:$G$33,0)),"")</f>
        <v>0</v>
      </c>
      <c r="X87" s="618">
        <f>IFERROR(INDEX('[3]Annex 2'!M$8:M$33,MATCH('[3]Annex 3 (''MEF)'!$AG86,'[3]Annex 2'!$G$8:$G$33,0)),"")</f>
        <v>0</v>
      </c>
      <c r="Y87" s="1536">
        <f t="shared" si="9"/>
        <v>3.5</v>
      </c>
      <c r="Z87" s="717">
        <f t="shared" si="10"/>
        <v>0</v>
      </c>
      <c r="AA87" s="717">
        <f t="shared" si="9"/>
        <v>0</v>
      </c>
      <c r="AB87" s="717">
        <f t="shared" si="10"/>
        <v>0</v>
      </c>
      <c r="AC87" s="718">
        <f t="shared" si="10"/>
        <v>0</v>
      </c>
      <c r="AD87" s="626">
        <f t="shared" si="5"/>
        <v>3.5</v>
      </c>
      <c r="AE87" s="627">
        <f t="shared" si="6"/>
        <v>0</v>
      </c>
      <c r="AF87" s="1069" t="s">
        <v>480</v>
      </c>
      <c r="AG87" s="1069" t="s">
        <v>370</v>
      </c>
      <c r="AH87" s="2212" t="str">
        <f>IFERROR(INDEX('Annex 2_Code'!$J$110:$J$122,MATCH('Annex 3_MAFF'!AF87,'Annex 2_Code'!$G$110:$G$122,0)),"")</f>
        <v>MAFF-GDA</v>
      </c>
      <c r="AI87" s="1070" t="str">
        <f t="shared" si="27"/>
        <v>MAFF</v>
      </c>
      <c r="AK87" s="1383"/>
      <c r="AL87" s="1383"/>
    </row>
    <row r="88" spans="1:38" s="366" customFormat="1" outlineLevel="1">
      <c r="A88" s="102"/>
      <c r="B88" s="374" t="s">
        <v>294</v>
      </c>
      <c r="C88" s="361" t="s">
        <v>545</v>
      </c>
      <c r="D88" s="484"/>
      <c r="E88" s="1729"/>
      <c r="F88" s="1727" t="s">
        <v>847</v>
      </c>
      <c r="G88" s="1727"/>
      <c r="H88" s="1730" t="s">
        <v>171</v>
      </c>
      <c r="I88" s="1731">
        <v>32</v>
      </c>
      <c r="J88" s="666">
        <v>0</v>
      </c>
      <c r="K88" s="666">
        <v>0.5</v>
      </c>
      <c r="L88" s="666">
        <v>0.5</v>
      </c>
      <c r="M88" s="666"/>
      <c r="N88" s="1096">
        <f t="shared" si="62"/>
        <v>1</v>
      </c>
      <c r="O88" s="1121">
        <f t="shared" si="65"/>
        <v>0</v>
      </c>
      <c r="P88" s="1121">
        <f t="shared" si="66"/>
        <v>16</v>
      </c>
      <c r="Q88" s="1121">
        <f t="shared" si="63"/>
        <v>16</v>
      </c>
      <c r="R88" s="1121">
        <f t="shared" si="63"/>
        <v>0</v>
      </c>
      <c r="S88" s="145">
        <f t="shared" si="64"/>
        <v>32</v>
      </c>
      <c r="T88" s="618">
        <f>IFERROR(INDEX('[3]Annex 2'!I$8:I$33,MATCH('[3]Annex 3 (''MEF)'!$AG87,'[3]Annex 2'!$G$8:$G$33,0)),"")</f>
        <v>1</v>
      </c>
      <c r="U88" s="618">
        <f>IFERROR(INDEX('[3]Annex 2'!J$8:J$33,MATCH('[3]Annex 3 (''MEF)'!$AG87,'[3]Annex 2'!$G$8:$G$33,0)),"")</f>
        <v>0</v>
      </c>
      <c r="V88" s="618">
        <f>IFERROR(INDEX('[3]Annex 2'!K$8:K$33,MATCH('[3]Annex 3 (''MEF)'!$AG87,'[3]Annex 2'!$G$8:$G$33,0)),"")</f>
        <v>0</v>
      </c>
      <c r="W88" s="618">
        <f>IFERROR(INDEX('[3]Annex 2'!L$8:L$33,MATCH('[3]Annex 3 (''MEF)'!$AG87,'[3]Annex 2'!$G$8:$G$33,0)),"")</f>
        <v>0</v>
      </c>
      <c r="X88" s="618">
        <f>IFERROR(INDEX('[3]Annex 2'!M$8:M$33,MATCH('[3]Annex 3 (''MEF)'!$AG87,'[3]Annex 2'!$G$8:$G$33,0)),"")</f>
        <v>0</v>
      </c>
      <c r="Y88" s="1536">
        <f t="shared" si="9"/>
        <v>32</v>
      </c>
      <c r="Z88" s="717">
        <f t="shared" si="10"/>
        <v>0</v>
      </c>
      <c r="AA88" s="717">
        <f t="shared" si="9"/>
        <v>0</v>
      </c>
      <c r="AB88" s="717">
        <f t="shared" si="10"/>
        <v>0</v>
      </c>
      <c r="AC88" s="718">
        <f t="shared" si="10"/>
        <v>0</v>
      </c>
      <c r="AD88" s="626">
        <f t="shared" si="5"/>
        <v>32</v>
      </c>
      <c r="AE88" s="627">
        <f t="shared" si="6"/>
        <v>0</v>
      </c>
      <c r="AF88" s="1069" t="s">
        <v>480</v>
      </c>
      <c r="AG88" s="1069" t="s">
        <v>370</v>
      </c>
      <c r="AH88" s="2212" t="str">
        <f>IFERROR(INDEX('Annex 2_Code'!$J$110:$J$122,MATCH('Annex 3_MAFF'!AF88,'Annex 2_Code'!$G$110:$G$122,0)),"")</f>
        <v>MAFF-GDA</v>
      </c>
      <c r="AI88" s="1070" t="str">
        <f t="shared" si="27"/>
        <v>MAFF</v>
      </c>
      <c r="AK88" s="1383"/>
      <c r="AL88" s="1383"/>
    </row>
    <row r="89" spans="1:38" s="366" customFormat="1" outlineLevel="1">
      <c r="A89" s="102"/>
      <c r="B89" s="374" t="s">
        <v>294</v>
      </c>
      <c r="C89" s="361" t="s">
        <v>545</v>
      </c>
      <c r="D89" s="484"/>
      <c r="E89" s="1729"/>
      <c r="F89" s="1727" t="s">
        <v>745</v>
      </c>
      <c r="G89" s="1727"/>
      <c r="H89" s="1730" t="s">
        <v>171</v>
      </c>
      <c r="I89" s="1731">
        <v>9</v>
      </c>
      <c r="J89" s="1745">
        <v>0</v>
      </c>
      <c r="K89" s="1745">
        <v>1</v>
      </c>
      <c r="L89" s="1745">
        <v>1</v>
      </c>
      <c r="M89" s="1745"/>
      <c r="N89" s="667">
        <f t="shared" si="62"/>
        <v>2</v>
      </c>
      <c r="O89" s="1121">
        <f t="shared" si="65"/>
        <v>0</v>
      </c>
      <c r="P89" s="1121">
        <f t="shared" si="66"/>
        <v>9</v>
      </c>
      <c r="Q89" s="1121">
        <f t="shared" si="63"/>
        <v>9</v>
      </c>
      <c r="R89" s="1121">
        <f t="shared" si="63"/>
        <v>0</v>
      </c>
      <c r="S89" s="1737">
        <f t="shared" si="64"/>
        <v>18</v>
      </c>
      <c r="T89" s="618">
        <f>IFERROR(INDEX('[3]Annex 2'!I$8:I$33,MATCH('[3]Annex 3 (''MEF)'!$AG88,'[3]Annex 2'!$G$8:$G$33,0)),"")</f>
        <v>1</v>
      </c>
      <c r="U89" s="618">
        <f>IFERROR(INDEX('[3]Annex 2'!J$8:J$33,MATCH('[3]Annex 3 (''MEF)'!$AG88,'[3]Annex 2'!$G$8:$G$33,0)),"")</f>
        <v>0</v>
      </c>
      <c r="V89" s="618">
        <f>IFERROR(INDEX('[3]Annex 2'!K$8:K$33,MATCH('[3]Annex 3 (''MEF)'!$AG88,'[3]Annex 2'!$G$8:$G$33,0)),"")</f>
        <v>0</v>
      </c>
      <c r="W89" s="618">
        <f>IFERROR(INDEX('[3]Annex 2'!L$8:L$33,MATCH('[3]Annex 3 (''MEF)'!$AG88,'[3]Annex 2'!$G$8:$G$33,0)),"")</f>
        <v>0</v>
      </c>
      <c r="X89" s="618">
        <f>IFERROR(INDEX('[3]Annex 2'!M$8:M$33,MATCH('[3]Annex 3 (''MEF)'!$AG88,'[3]Annex 2'!$G$8:$G$33,0)),"")</f>
        <v>0</v>
      </c>
      <c r="Y89" s="1536">
        <f t="shared" si="9"/>
        <v>18</v>
      </c>
      <c r="Z89" s="717">
        <f t="shared" si="10"/>
        <v>0</v>
      </c>
      <c r="AA89" s="717">
        <f t="shared" si="9"/>
        <v>0</v>
      </c>
      <c r="AB89" s="717">
        <f t="shared" si="10"/>
        <v>0</v>
      </c>
      <c r="AC89" s="718">
        <f t="shared" si="10"/>
        <v>0</v>
      </c>
      <c r="AD89" s="626">
        <f t="shared" si="5"/>
        <v>18</v>
      </c>
      <c r="AE89" s="627">
        <f t="shared" si="6"/>
        <v>0</v>
      </c>
      <c r="AF89" s="1069" t="s">
        <v>480</v>
      </c>
      <c r="AG89" s="1069" t="s">
        <v>370</v>
      </c>
      <c r="AH89" s="2212" t="str">
        <f>IFERROR(INDEX('Annex 2_Code'!$J$110:$J$122,MATCH('Annex 3_MAFF'!AF89,'Annex 2_Code'!$G$110:$G$122,0)),"")</f>
        <v>MAFF-GDA</v>
      </c>
      <c r="AI89" s="1070" t="str">
        <f t="shared" si="27"/>
        <v>MAFF</v>
      </c>
      <c r="AK89" s="1383"/>
      <c r="AL89" s="1383"/>
    </row>
    <row r="90" spans="1:38" s="366" customFormat="1" outlineLevel="1">
      <c r="A90" s="102"/>
      <c r="B90" s="374" t="s">
        <v>294</v>
      </c>
      <c r="C90" s="361" t="s">
        <v>545</v>
      </c>
      <c r="D90" s="484"/>
      <c r="E90" s="1729"/>
      <c r="F90" s="1727" t="s">
        <v>744</v>
      </c>
      <c r="G90" s="1727"/>
      <c r="H90" s="1730" t="s">
        <v>171</v>
      </c>
      <c r="I90" s="1731">
        <v>25</v>
      </c>
      <c r="J90" s="666">
        <v>0</v>
      </c>
      <c r="K90" s="666">
        <v>0.5</v>
      </c>
      <c r="L90" s="666">
        <v>0.5</v>
      </c>
      <c r="M90" s="666"/>
      <c r="N90" s="1096">
        <f t="shared" si="62"/>
        <v>1</v>
      </c>
      <c r="O90" s="1121">
        <f t="shared" si="65"/>
        <v>0</v>
      </c>
      <c r="P90" s="1121">
        <f t="shared" si="66"/>
        <v>12.5</v>
      </c>
      <c r="Q90" s="1121">
        <f t="shared" si="63"/>
        <v>12.5</v>
      </c>
      <c r="R90" s="1121">
        <f t="shared" si="63"/>
        <v>0</v>
      </c>
      <c r="S90" s="145">
        <f t="shared" si="64"/>
        <v>25</v>
      </c>
      <c r="T90" s="618">
        <f>IFERROR(INDEX('[3]Annex 2'!I$8:I$33,MATCH('[3]Annex 3 (''MEF)'!$AG89,'[3]Annex 2'!$G$8:$G$33,0)),"")</f>
        <v>1</v>
      </c>
      <c r="U90" s="618">
        <f>IFERROR(INDEX('[3]Annex 2'!J$8:J$33,MATCH('[3]Annex 3 (''MEF)'!$AG89,'[3]Annex 2'!$G$8:$G$33,0)),"")</f>
        <v>0</v>
      </c>
      <c r="V90" s="618">
        <f>IFERROR(INDEX('[3]Annex 2'!K$8:K$33,MATCH('[3]Annex 3 (''MEF)'!$AG89,'[3]Annex 2'!$G$8:$G$33,0)),"")</f>
        <v>0</v>
      </c>
      <c r="W90" s="618">
        <f>IFERROR(INDEX('[3]Annex 2'!L$8:L$33,MATCH('[3]Annex 3 (''MEF)'!$AG89,'[3]Annex 2'!$G$8:$G$33,0)),"")</f>
        <v>0</v>
      </c>
      <c r="X90" s="618">
        <f>IFERROR(INDEX('[3]Annex 2'!M$8:M$33,MATCH('[3]Annex 3 (''MEF)'!$AG89,'[3]Annex 2'!$G$8:$G$33,0)),"")</f>
        <v>0</v>
      </c>
      <c r="Y90" s="1536">
        <f t="shared" si="9"/>
        <v>25</v>
      </c>
      <c r="Z90" s="717">
        <f t="shared" si="10"/>
        <v>0</v>
      </c>
      <c r="AA90" s="717">
        <f t="shared" si="9"/>
        <v>0</v>
      </c>
      <c r="AB90" s="717">
        <f t="shared" si="10"/>
        <v>0</v>
      </c>
      <c r="AC90" s="718">
        <f t="shared" si="10"/>
        <v>0</v>
      </c>
      <c r="AD90" s="626">
        <f t="shared" si="5"/>
        <v>25</v>
      </c>
      <c r="AE90" s="627">
        <f t="shared" si="6"/>
        <v>0</v>
      </c>
      <c r="AF90" s="1069" t="s">
        <v>480</v>
      </c>
      <c r="AG90" s="1069" t="s">
        <v>370</v>
      </c>
      <c r="AH90" s="2212" t="str">
        <f>IFERROR(INDEX('Annex 2_Code'!$J$110:$J$122,MATCH('Annex 3_MAFF'!AF90,'Annex 2_Code'!$G$110:$G$122,0)),"")</f>
        <v>MAFF-GDA</v>
      </c>
      <c r="AI90" s="1070" t="str">
        <f t="shared" si="27"/>
        <v>MAFF</v>
      </c>
      <c r="AK90" s="1383"/>
      <c r="AL90" s="1383"/>
    </row>
    <row r="91" spans="1:38" s="366" customFormat="1" outlineLevel="1">
      <c r="A91" s="102"/>
      <c r="B91" s="374" t="s">
        <v>294</v>
      </c>
      <c r="C91" s="361" t="s">
        <v>545</v>
      </c>
      <c r="D91" s="484"/>
      <c r="E91" s="1729"/>
      <c r="F91" s="1727" t="s">
        <v>848</v>
      </c>
      <c r="G91" s="1727"/>
      <c r="H91" s="1730" t="s">
        <v>171</v>
      </c>
      <c r="I91" s="1731">
        <v>15</v>
      </c>
      <c r="J91" s="666">
        <v>0</v>
      </c>
      <c r="K91" s="666">
        <v>0.5</v>
      </c>
      <c r="L91" s="666">
        <v>0.5</v>
      </c>
      <c r="M91" s="666"/>
      <c r="N91" s="1096">
        <f t="shared" si="62"/>
        <v>1</v>
      </c>
      <c r="O91" s="1121">
        <f t="shared" si="65"/>
        <v>0</v>
      </c>
      <c r="P91" s="1121">
        <f t="shared" si="66"/>
        <v>7.5</v>
      </c>
      <c r="Q91" s="1121">
        <f t="shared" si="63"/>
        <v>7.5</v>
      </c>
      <c r="R91" s="1121">
        <f t="shared" si="63"/>
        <v>0</v>
      </c>
      <c r="S91" s="145">
        <f t="shared" si="64"/>
        <v>15</v>
      </c>
      <c r="T91" s="618">
        <f>IFERROR(INDEX('[3]Annex 2'!I$8:I$33,MATCH('[3]Annex 3 (''MEF)'!$AG90,'[3]Annex 2'!$G$8:$G$33,0)),"")</f>
        <v>1</v>
      </c>
      <c r="U91" s="618">
        <f>IFERROR(INDEX('[3]Annex 2'!J$8:J$33,MATCH('[3]Annex 3 (''MEF)'!$AG90,'[3]Annex 2'!$G$8:$G$33,0)),"")</f>
        <v>0</v>
      </c>
      <c r="V91" s="618">
        <f>IFERROR(INDEX('[3]Annex 2'!K$8:K$33,MATCH('[3]Annex 3 (''MEF)'!$AG90,'[3]Annex 2'!$G$8:$G$33,0)),"")</f>
        <v>0</v>
      </c>
      <c r="W91" s="618">
        <f>IFERROR(INDEX('[3]Annex 2'!L$8:L$33,MATCH('[3]Annex 3 (''MEF)'!$AG90,'[3]Annex 2'!$G$8:$G$33,0)),"")</f>
        <v>0</v>
      </c>
      <c r="X91" s="618">
        <f>IFERROR(INDEX('[3]Annex 2'!M$8:M$33,MATCH('[3]Annex 3 (''MEF)'!$AG90,'[3]Annex 2'!$G$8:$G$33,0)),"")</f>
        <v>0</v>
      </c>
      <c r="Y91" s="1536">
        <f t="shared" si="9"/>
        <v>15</v>
      </c>
      <c r="Z91" s="717">
        <f t="shared" si="10"/>
        <v>0</v>
      </c>
      <c r="AA91" s="717">
        <f t="shared" si="9"/>
        <v>0</v>
      </c>
      <c r="AB91" s="717">
        <f t="shared" si="10"/>
        <v>0</v>
      </c>
      <c r="AC91" s="718">
        <f t="shared" si="10"/>
        <v>0</v>
      </c>
      <c r="AD91" s="626">
        <f t="shared" si="5"/>
        <v>15</v>
      </c>
      <c r="AE91" s="627">
        <f t="shared" si="6"/>
        <v>0</v>
      </c>
      <c r="AF91" s="1069" t="s">
        <v>480</v>
      </c>
      <c r="AG91" s="1069" t="s">
        <v>370</v>
      </c>
      <c r="AH91" s="2212" t="str">
        <f>IFERROR(INDEX('Annex 2_Code'!$J$110:$J$122,MATCH('Annex 3_MAFF'!AF91,'Annex 2_Code'!$G$110:$G$122,0)),"")</f>
        <v>MAFF-GDA</v>
      </c>
      <c r="AI91" s="1070" t="str">
        <f t="shared" si="27"/>
        <v>MAFF</v>
      </c>
      <c r="AK91" s="1383"/>
      <c r="AL91" s="1383"/>
    </row>
    <row r="92" spans="1:38" s="366" customFormat="1" outlineLevel="1">
      <c r="A92" s="102"/>
      <c r="B92" s="374" t="s">
        <v>294</v>
      </c>
      <c r="C92" s="361" t="s">
        <v>545</v>
      </c>
      <c r="D92" s="484"/>
      <c r="E92" s="1729"/>
      <c r="F92" s="1727" t="s">
        <v>849</v>
      </c>
      <c r="G92" s="1727"/>
      <c r="H92" s="1730" t="s">
        <v>171</v>
      </c>
      <c r="I92" s="1731">
        <v>4</v>
      </c>
      <c r="J92" s="666">
        <v>0</v>
      </c>
      <c r="K92" s="666">
        <v>1</v>
      </c>
      <c r="L92" s="666">
        <v>1</v>
      </c>
      <c r="M92" s="666"/>
      <c r="N92" s="1096">
        <f t="shared" si="62"/>
        <v>2</v>
      </c>
      <c r="O92" s="1121">
        <f t="shared" si="65"/>
        <v>0</v>
      </c>
      <c r="P92" s="1121">
        <f t="shared" si="66"/>
        <v>4</v>
      </c>
      <c r="Q92" s="1121">
        <f t="shared" si="63"/>
        <v>4</v>
      </c>
      <c r="R92" s="1121">
        <f t="shared" si="63"/>
        <v>0</v>
      </c>
      <c r="S92" s="145">
        <f t="shared" si="64"/>
        <v>8</v>
      </c>
      <c r="T92" s="618">
        <f>IFERROR(INDEX('[3]Annex 2'!I$8:I$33,MATCH('[3]Annex 3 (''MEF)'!$AG91,'[3]Annex 2'!$G$8:$G$33,0)),"")</f>
        <v>1</v>
      </c>
      <c r="U92" s="618">
        <f>IFERROR(INDEX('[3]Annex 2'!J$8:J$33,MATCH('[3]Annex 3 (''MEF)'!$AG91,'[3]Annex 2'!$G$8:$G$33,0)),"")</f>
        <v>0</v>
      </c>
      <c r="V92" s="618">
        <f>IFERROR(INDEX('[3]Annex 2'!K$8:K$33,MATCH('[3]Annex 3 (''MEF)'!$AG91,'[3]Annex 2'!$G$8:$G$33,0)),"")</f>
        <v>0</v>
      </c>
      <c r="W92" s="618">
        <f>IFERROR(INDEX('[3]Annex 2'!L$8:L$33,MATCH('[3]Annex 3 (''MEF)'!$AG91,'[3]Annex 2'!$G$8:$G$33,0)),"")</f>
        <v>0</v>
      </c>
      <c r="X92" s="618">
        <f>IFERROR(INDEX('[3]Annex 2'!M$8:M$33,MATCH('[3]Annex 3 (''MEF)'!$AG91,'[3]Annex 2'!$G$8:$G$33,0)),"")</f>
        <v>0</v>
      </c>
      <c r="Y92" s="1536">
        <f t="shared" si="9"/>
        <v>8</v>
      </c>
      <c r="Z92" s="717">
        <f t="shared" si="10"/>
        <v>0</v>
      </c>
      <c r="AA92" s="717">
        <f t="shared" si="9"/>
        <v>0</v>
      </c>
      <c r="AB92" s="717">
        <f t="shared" si="10"/>
        <v>0</v>
      </c>
      <c r="AC92" s="718">
        <f t="shared" si="10"/>
        <v>0</v>
      </c>
      <c r="AD92" s="626">
        <f t="shared" si="5"/>
        <v>8</v>
      </c>
      <c r="AE92" s="627">
        <f t="shared" si="6"/>
        <v>0</v>
      </c>
      <c r="AF92" s="1069" t="s">
        <v>480</v>
      </c>
      <c r="AG92" s="1069" t="s">
        <v>370</v>
      </c>
      <c r="AH92" s="2212" t="str">
        <f>IFERROR(INDEX('Annex 2_Code'!$J$110:$J$122,MATCH('Annex 3_MAFF'!AF92,'Annex 2_Code'!$G$110:$G$122,0)),"")</f>
        <v>MAFF-GDA</v>
      </c>
      <c r="AI92" s="1070" t="str">
        <f t="shared" si="27"/>
        <v>MAFF</v>
      </c>
      <c r="AK92" s="1383"/>
      <c r="AL92" s="1383"/>
    </row>
    <row r="93" spans="1:38" s="366" customFormat="1" outlineLevel="1">
      <c r="A93" s="102"/>
      <c r="B93" s="374" t="s">
        <v>294</v>
      </c>
      <c r="C93" s="361" t="s">
        <v>545</v>
      </c>
      <c r="D93" s="484"/>
      <c r="E93" s="1729"/>
      <c r="F93" s="1727" t="s">
        <v>850</v>
      </c>
      <c r="G93" s="1727"/>
      <c r="H93" s="1730" t="s">
        <v>171</v>
      </c>
      <c r="I93" s="1731">
        <v>14</v>
      </c>
      <c r="J93" s="666">
        <v>0</v>
      </c>
      <c r="K93" s="666">
        <v>1</v>
      </c>
      <c r="L93" s="666">
        <v>1</v>
      </c>
      <c r="M93" s="666"/>
      <c r="N93" s="1096">
        <f t="shared" si="62"/>
        <v>2</v>
      </c>
      <c r="O93" s="1121">
        <f t="shared" si="65"/>
        <v>0</v>
      </c>
      <c r="P93" s="1121">
        <f t="shared" si="66"/>
        <v>14</v>
      </c>
      <c r="Q93" s="1121">
        <f t="shared" si="63"/>
        <v>14</v>
      </c>
      <c r="R93" s="1121">
        <f t="shared" si="63"/>
        <v>0</v>
      </c>
      <c r="S93" s="145">
        <f t="shared" si="64"/>
        <v>28</v>
      </c>
      <c r="T93" s="618">
        <f>IFERROR(INDEX('[3]Annex 2'!I$8:I$33,MATCH('[3]Annex 3 (''MEF)'!$AG92,'[3]Annex 2'!$G$8:$G$33,0)),"")</f>
        <v>1</v>
      </c>
      <c r="U93" s="618">
        <f>IFERROR(INDEX('[3]Annex 2'!J$8:J$33,MATCH('[3]Annex 3 (''MEF)'!$AG92,'[3]Annex 2'!$G$8:$G$33,0)),"")</f>
        <v>0</v>
      </c>
      <c r="V93" s="618">
        <f>IFERROR(INDEX('[3]Annex 2'!K$8:K$33,MATCH('[3]Annex 3 (''MEF)'!$AG92,'[3]Annex 2'!$G$8:$G$33,0)),"")</f>
        <v>0</v>
      </c>
      <c r="W93" s="618">
        <f>IFERROR(INDEX('[3]Annex 2'!L$8:L$33,MATCH('[3]Annex 3 (''MEF)'!$AG92,'[3]Annex 2'!$G$8:$G$33,0)),"")</f>
        <v>0</v>
      </c>
      <c r="X93" s="618">
        <f>IFERROR(INDEX('[3]Annex 2'!M$8:M$33,MATCH('[3]Annex 3 (''MEF)'!$AG92,'[3]Annex 2'!$G$8:$G$33,0)),"")</f>
        <v>0</v>
      </c>
      <c r="Y93" s="1536">
        <f t="shared" si="9"/>
        <v>28</v>
      </c>
      <c r="Z93" s="717">
        <f t="shared" si="10"/>
        <v>0</v>
      </c>
      <c r="AA93" s="717">
        <f t="shared" si="9"/>
        <v>0</v>
      </c>
      <c r="AB93" s="717">
        <f t="shared" si="10"/>
        <v>0</v>
      </c>
      <c r="AC93" s="718">
        <f t="shared" si="10"/>
        <v>0</v>
      </c>
      <c r="AD93" s="626">
        <f t="shared" si="5"/>
        <v>28</v>
      </c>
      <c r="AE93" s="627">
        <f t="shared" si="6"/>
        <v>0</v>
      </c>
      <c r="AF93" s="1069" t="s">
        <v>480</v>
      </c>
      <c r="AG93" s="1069" t="s">
        <v>370</v>
      </c>
      <c r="AH93" s="2212" t="str">
        <f>IFERROR(INDEX('Annex 2_Code'!$J$110:$J$122,MATCH('Annex 3_MAFF'!AF93,'Annex 2_Code'!$G$110:$G$122,0)),"")</f>
        <v>MAFF-GDA</v>
      </c>
      <c r="AI93" s="1070" t="str">
        <f t="shared" si="27"/>
        <v>MAFF</v>
      </c>
      <c r="AK93" s="1383"/>
      <c r="AL93" s="1383"/>
    </row>
    <row r="94" spans="1:38" s="366" customFormat="1" outlineLevel="1">
      <c r="A94" s="102"/>
      <c r="B94" s="374" t="s">
        <v>294</v>
      </c>
      <c r="C94" s="361" t="s">
        <v>545</v>
      </c>
      <c r="D94" s="484"/>
      <c r="E94" s="1729"/>
      <c r="F94" s="1727" t="s">
        <v>851</v>
      </c>
      <c r="G94" s="1727"/>
      <c r="H94" s="1730" t="s">
        <v>171</v>
      </c>
      <c r="I94" s="1731">
        <v>3.5</v>
      </c>
      <c r="J94" s="666">
        <v>0</v>
      </c>
      <c r="K94" s="666">
        <v>0.5</v>
      </c>
      <c r="L94" s="666">
        <v>0.5</v>
      </c>
      <c r="M94" s="666"/>
      <c r="N94" s="1096">
        <f t="shared" si="62"/>
        <v>1</v>
      </c>
      <c r="O94" s="1121">
        <f t="shared" si="65"/>
        <v>0</v>
      </c>
      <c r="P94" s="1121">
        <f t="shared" si="66"/>
        <v>1.75</v>
      </c>
      <c r="Q94" s="1121">
        <f t="shared" si="63"/>
        <v>1.75</v>
      </c>
      <c r="R94" s="1121">
        <f t="shared" si="63"/>
        <v>0</v>
      </c>
      <c r="S94" s="145">
        <f t="shared" si="64"/>
        <v>3.5</v>
      </c>
      <c r="T94" s="618">
        <f>IFERROR(INDEX('[3]Annex 2'!I$8:I$33,MATCH('[3]Annex 3 (''MEF)'!$AG93,'[3]Annex 2'!$G$8:$G$33,0)),"")</f>
        <v>1</v>
      </c>
      <c r="U94" s="618">
        <f>IFERROR(INDEX('[3]Annex 2'!J$8:J$33,MATCH('[3]Annex 3 (''MEF)'!$AG93,'[3]Annex 2'!$G$8:$G$33,0)),"")</f>
        <v>0</v>
      </c>
      <c r="V94" s="618">
        <f>IFERROR(INDEX('[3]Annex 2'!K$8:K$33,MATCH('[3]Annex 3 (''MEF)'!$AG93,'[3]Annex 2'!$G$8:$G$33,0)),"")</f>
        <v>0</v>
      </c>
      <c r="W94" s="618">
        <f>IFERROR(INDEX('[3]Annex 2'!L$8:L$33,MATCH('[3]Annex 3 (''MEF)'!$AG93,'[3]Annex 2'!$G$8:$G$33,0)),"")</f>
        <v>0</v>
      </c>
      <c r="X94" s="618">
        <f>IFERROR(INDEX('[3]Annex 2'!M$8:M$33,MATCH('[3]Annex 3 (''MEF)'!$AG93,'[3]Annex 2'!$G$8:$G$33,0)),"")</f>
        <v>0</v>
      </c>
      <c r="Y94" s="1536">
        <f t="shared" si="9"/>
        <v>3.5</v>
      </c>
      <c r="Z94" s="717">
        <f t="shared" si="10"/>
        <v>0</v>
      </c>
      <c r="AA94" s="717">
        <f t="shared" si="9"/>
        <v>0</v>
      </c>
      <c r="AB94" s="717">
        <f t="shared" si="10"/>
        <v>0</v>
      </c>
      <c r="AC94" s="718">
        <f t="shared" si="10"/>
        <v>0</v>
      </c>
      <c r="AD94" s="626">
        <f t="shared" si="5"/>
        <v>3.5</v>
      </c>
      <c r="AE94" s="627">
        <f t="shared" si="6"/>
        <v>0</v>
      </c>
      <c r="AF94" s="1069" t="s">
        <v>480</v>
      </c>
      <c r="AG94" s="1069" t="s">
        <v>370</v>
      </c>
      <c r="AH94" s="2212" t="str">
        <f>IFERROR(INDEX('Annex 2_Code'!$J$110:$J$122,MATCH('Annex 3_MAFF'!AF94,'Annex 2_Code'!$G$110:$G$122,0)),"")</f>
        <v>MAFF-GDA</v>
      </c>
      <c r="AI94" s="1070" t="str">
        <f t="shared" si="27"/>
        <v>MAFF</v>
      </c>
      <c r="AK94" s="1383"/>
      <c r="AL94" s="1383"/>
    </row>
    <row r="95" spans="1:38" s="366" customFormat="1" outlineLevel="1">
      <c r="A95" s="102"/>
      <c r="B95" s="374" t="s">
        <v>294</v>
      </c>
      <c r="C95" s="361" t="s">
        <v>545</v>
      </c>
      <c r="D95" s="484"/>
      <c r="E95" s="1729"/>
      <c r="F95" s="1727" t="s">
        <v>852</v>
      </c>
      <c r="G95" s="1727"/>
      <c r="H95" s="1730" t="s">
        <v>171</v>
      </c>
      <c r="I95" s="1898">
        <v>13</v>
      </c>
      <c r="J95" s="1745">
        <v>0</v>
      </c>
      <c r="K95" s="1745">
        <v>1</v>
      </c>
      <c r="L95" s="1745">
        <v>1</v>
      </c>
      <c r="M95" s="1745"/>
      <c r="N95" s="667">
        <f t="shared" si="62"/>
        <v>2</v>
      </c>
      <c r="O95" s="1121">
        <f t="shared" si="65"/>
        <v>0</v>
      </c>
      <c r="P95" s="1121">
        <f t="shared" si="66"/>
        <v>13</v>
      </c>
      <c r="Q95" s="1121">
        <f t="shared" si="63"/>
        <v>13</v>
      </c>
      <c r="R95" s="1121">
        <f t="shared" si="63"/>
        <v>0</v>
      </c>
      <c r="S95" s="1737">
        <f t="shared" si="64"/>
        <v>26</v>
      </c>
      <c r="T95" s="618">
        <f>IFERROR(INDEX('[3]Annex 2'!I$8:I$33,MATCH('[3]Annex 3 (''MEF)'!$AG94,'[3]Annex 2'!$G$8:$G$33,0)),"")</f>
        <v>1</v>
      </c>
      <c r="U95" s="618">
        <f>IFERROR(INDEX('[3]Annex 2'!J$8:J$33,MATCH('[3]Annex 3 (''MEF)'!$AG94,'[3]Annex 2'!$G$8:$G$33,0)),"")</f>
        <v>0</v>
      </c>
      <c r="V95" s="618">
        <f>IFERROR(INDEX('[3]Annex 2'!K$8:K$33,MATCH('[3]Annex 3 (''MEF)'!$AG94,'[3]Annex 2'!$G$8:$G$33,0)),"")</f>
        <v>0</v>
      </c>
      <c r="W95" s="618">
        <f>IFERROR(INDEX('[3]Annex 2'!L$8:L$33,MATCH('[3]Annex 3 (''MEF)'!$AG94,'[3]Annex 2'!$G$8:$G$33,0)),"")</f>
        <v>0</v>
      </c>
      <c r="X95" s="618">
        <f>IFERROR(INDEX('[3]Annex 2'!M$8:M$33,MATCH('[3]Annex 3 (''MEF)'!$AG94,'[3]Annex 2'!$G$8:$G$33,0)),"")</f>
        <v>0</v>
      </c>
      <c r="Y95" s="1536">
        <f t="shared" si="9"/>
        <v>26</v>
      </c>
      <c r="Z95" s="717">
        <f t="shared" si="10"/>
        <v>0</v>
      </c>
      <c r="AA95" s="717">
        <f t="shared" si="9"/>
        <v>0</v>
      </c>
      <c r="AB95" s="717">
        <f t="shared" si="10"/>
        <v>0</v>
      </c>
      <c r="AC95" s="718">
        <f t="shared" si="10"/>
        <v>0</v>
      </c>
      <c r="AD95" s="626">
        <f t="shared" si="5"/>
        <v>26</v>
      </c>
      <c r="AE95" s="627">
        <f t="shared" si="6"/>
        <v>0</v>
      </c>
      <c r="AF95" s="1069" t="s">
        <v>480</v>
      </c>
      <c r="AG95" s="1069" t="s">
        <v>370</v>
      </c>
      <c r="AH95" s="2212" t="str">
        <f>IFERROR(INDEX('Annex 2_Code'!$J$110:$J$122,MATCH('Annex 3_MAFF'!AF95,'Annex 2_Code'!$G$110:$G$122,0)),"")</f>
        <v>MAFF-GDA</v>
      </c>
      <c r="AI95" s="1070" t="str">
        <f t="shared" si="27"/>
        <v>MAFF</v>
      </c>
      <c r="AK95" s="1383"/>
      <c r="AL95" s="1383"/>
    </row>
    <row r="96" spans="1:38" s="366" customFormat="1" outlineLevel="1">
      <c r="A96" s="102"/>
      <c r="B96" s="374" t="s">
        <v>294</v>
      </c>
      <c r="C96" s="361" t="s">
        <v>545</v>
      </c>
      <c r="D96" s="484"/>
      <c r="E96" s="1729"/>
      <c r="F96" s="1727" t="s">
        <v>853</v>
      </c>
      <c r="G96" s="1727"/>
      <c r="H96" s="1730" t="s">
        <v>171</v>
      </c>
      <c r="I96" s="1731">
        <v>33</v>
      </c>
      <c r="J96" s="1745">
        <v>0</v>
      </c>
      <c r="K96" s="1745">
        <v>1</v>
      </c>
      <c r="L96" s="1745">
        <v>1</v>
      </c>
      <c r="M96" s="1745"/>
      <c r="N96" s="667">
        <f t="shared" si="62"/>
        <v>2</v>
      </c>
      <c r="O96" s="1121">
        <f t="shared" si="65"/>
        <v>0</v>
      </c>
      <c r="P96" s="1121">
        <f t="shared" si="66"/>
        <v>33</v>
      </c>
      <c r="Q96" s="1121">
        <f t="shared" si="63"/>
        <v>33</v>
      </c>
      <c r="R96" s="1121">
        <f t="shared" si="63"/>
        <v>0</v>
      </c>
      <c r="S96" s="1737">
        <f t="shared" si="64"/>
        <v>66</v>
      </c>
      <c r="T96" s="618">
        <f>IFERROR(INDEX('[3]Annex 2'!I$8:I$33,MATCH('[3]Annex 3 (''MEF)'!$AG95,'[3]Annex 2'!$G$8:$G$33,0)),"")</f>
        <v>1</v>
      </c>
      <c r="U96" s="618">
        <f>IFERROR(INDEX('[3]Annex 2'!J$8:J$33,MATCH('[3]Annex 3 (''MEF)'!$AG95,'[3]Annex 2'!$G$8:$G$33,0)),"")</f>
        <v>0</v>
      </c>
      <c r="V96" s="618">
        <f>IFERROR(INDEX('[3]Annex 2'!K$8:K$33,MATCH('[3]Annex 3 (''MEF)'!$AG95,'[3]Annex 2'!$G$8:$G$33,0)),"")</f>
        <v>0</v>
      </c>
      <c r="W96" s="618">
        <f>IFERROR(INDEX('[3]Annex 2'!L$8:L$33,MATCH('[3]Annex 3 (''MEF)'!$AG95,'[3]Annex 2'!$G$8:$G$33,0)),"")</f>
        <v>0</v>
      </c>
      <c r="X96" s="618">
        <f>IFERROR(INDEX('[3]Annex 2'!M$8:M$33,MATCH('[3]Annex 3 (''MEF)'!$AG95,'[3]Annex 2'!$G$8:$G$33,0)),"")</f>
        <v>0</v>
      </c>
      <c r="Y96" s="1536">
        <f t="shared" si="9"/>
        <v>66</v>
      </c>
      <c r="Z96" s="717">
        <f t="shared" si="10"/>
        <v>0</v>
      </c>
      <c r="AA96" s="717">
        <f t="shared" si="9"/>
        <v>0</v>
      </c>
      <c r="AB96" s="717">
        <f t="shared" si="10"/>
        <v>0</v>
      </c>
      <c r="AC96" s="718">
        <f t="shared" si="10"/>
        <v>0</v>
      </c>
      <c r="AD96" s="626">
        <f t="shared" si="5"/>
        <v>66</v>
      </c>
      <c r="AE96" s="627">
        <f t="shared" si="6"/>
        <v>0</v>
      </c>
      <c r="AF96" s="1069" t="s">
        <v>480</v>
      </c>
      <c r="AG96" s="1069" t="s">
        <v>370</v>
      </c>
      <c r="AH96" s="2212" t="str">
        <f>IFERROR(INDEX('Annex 2_Code'!$J$110:$J$122,MATCH('Annex 3_MAFF'!AF96,'Annex 2_Code'!$G$110:$G$122,0)),"")</f>
        <v>MAFF-GDA</v>
      </c>
      <c r="AI96" s="1070" t="str">
        <f t="shared" si="27"/>
        <v>MAFF</v>
      </c>
      <c r="AK96" s="1383"/>
      <c r="AL96" s="1383"/>
    </row>
    <row r="97" spans="1:38" s="366" customFormat="1" outlineLevel="1">
      <c r="A97" s="102"/>
      <c r="B97" s="374" t="s">
        <v>294</v>
      </c>
      <c r="C97" s="361" t="s">
        <v>545</v>
      </c>
      <c r="D97" s="484"/>
      <c r="E97" s="1729"/>
      <c r="F97" s="1727" t="s">
        <v>854</v>
      </c>
      <c r="G97" s="1727"/>
      <c r="H97" s="1730" t="s">
        <v>171</v>
      </c>
      <c r="I97" s="1731">
        <v>23</v>
      </c>
      <c r="J97" s="666">
        <v>0</v>
      </c>
      <c r="K97" s="666">
        <v>0.5</v>
      </c>
      <c r="L97" s="666">
        <v>0.5</v>
      </c>
      <c r="M97" s="666"/>
      <c r="N97" s="1096">
        <f t="shared" si="62"/>
        <v>1</v>
      </c>
      <c r="O97" s="1121">
        <f t="shared" si="65"/>
        <v>0</v>
      </c>
      <c r="P97" s="1121">
        <f t="shared" si="66"/>
        <v>11.5</v>
      </c>
      <c r="Q97" s="1121">
        <f t="shared" si="63"/>
        <v>11.5</v>
      </c>
      <c r="R97" s="1121">
        <f t="shared" si="63"/>
        <v>0</v>
      </c>
      <c r="S97" s="145">
        <f t="shared" si="64"/>
        <v>23</v>
      </c>
      <c r="T97" s="618">
        <f>IFERROR(INDEX('[3]Annex 2'!I$8:I$33,MATCH('[3]Annex 3 (''MEF)'!$AG96,'[3]Annex 2'!$G$8:$G$33,0)),"")</f>
        <v>1</v>
      </c>
      <c r="U97" s="618">
        <f>IFERROR(INDEX('[3]Annex 2'!J$8:J$33,MATCH('[3]Annex 3 (''MEF)'!$AG96,'[3]Annex 2'!$G$8:$G$33,0)),"")</f>
        <v>0</v>
      </c>
      <c r="V97" s="618">
        <f>IFERROR(INDEX('[3]Annex 2'!K$8:K$33,MATCH('[3]Annex 3 (''MEF)'!$AG96,'[3]Annex 2'!$G$8:$G$33,0)),"")</f>
        <v>0</v>
      </c>
      <c r="W97" s="618">
        <f>IFERROR(INDEX('[3]Annex 2'!L$8:L$33,MATCH('[3]Annex 3 (''MEF)'!$AG96,'[3]Annex 2'!$G$8:$G$33,0)),"")</f>
        <v>0</v>
      </c>
      <c r="X97" s="618">
        <f>IFERROR(INDEX('[3]Annex 2'!M$8:M$33,MATCH('[3]Annex 3 (''MEF)'!$AG96,'[3]Annex 2'!$G$8:$G$33,0)),"")</f>
        <v>0</v>
      </c>
      <c r="Y97" s="1536">
        <f t="shared" si="9"/>
        <v>23</v>
      </c>
      <c r="Z97" s="717">
        <f t="shared" si="10"/>
        <v>0</v>
      </c>
      <c r="AA97" s="717">
        <f t="shared" si="9"/>
        <v>0</v>
      </c>
      <c r="AB97" s="717">
        <f t="shared" si="10"/>
        <v>0</v>
      </c>
      <c r="AC97" s="718">
        <f t="shared" si="10"/>
        <v>0</v>
      </c>
      <c r="AD97" s="626">
        <f t="shared" si="5"/>
        <v>23</v>
      </c>
      <c r="AE97" s="627">
        <f t="shared" si="6"/>
        <v>0</v>
      </c>
      <c r="AF97" s="1069" t="s">
        <v>480</v>
      </c>
      <c r="AG97" s="1069" t="s">
        <v>370</v>
      </c>
      <c r="AH97" s="2212" t="str">
        <f>IFERROR(INDEX('Annex 2_Code'!$J$110:$J$122,MATCH('Annex 3_MAFF'!AF97,'Annex 2_Code'!$G$110:$G$122,0)),"")</f>
        <v>MAFF-GDA</v>
      </c>
      <c r="AI97" s="1070" t="str">
        <f t="shared" si="27"/>
        <v>MAFF</v>
      </c>
      <c r="AK97" s="1383"/>
      <c r="AL97" s="1383"/>
    </row>
    <row r="98" spans="1:38" s="366" customFormat="1" outlineLevel="1">
      <c r="A98" s="102"/>
      <c r="B98" s="374" t="s">
        <v>294</v>
      </c>
      <c r="C98" s="361" t="s">
        <v>545</v>
      </c>
      <c r="D98" s="484"/>
      <c r="E98" s="1729"/>
      <c r="F98" s="1727" t="s">
        <v>855</v>
      </c>
      <c r="G98" s="1727"/>
      <c r="H98" s="1730" t="s">
        <v>1</v>
      </c>
      <c r="I98" s="1731">
        <v>3.5</v>
      </c>
      <c r="J98" s="666">
        <v>0</v>
      </c>
      <c r="K98" s="666">
        <v>0.5</v>
      </c>
      <c r="L98" s="666">
        <v>0.5</v>
      </c>
      <c r="M98" s="666">
        <v>0</v>
      </c>
      <c r="N98" s="1096">
        <f t="shared" si="62"/>
        <v>1</v>
      </c>
      <c r="O98" s="1121">
        <f t="shared" si="65"/>
        <v>0</v>
      </c>
      <c r="P98" s="1121">
        <f t="shared" si="66"/>
        <v>1.75</v>
      </c>
      <c r="Q98" s="1121">
        <f t="shared" si="63"/>
        <v>1.75</v>
      </c>
      <c r="R98" s="1121">
        <f t="shared" si="63"/>
        <v>0</v>
      </c>
      <c r="S98" s="145">
        <f t="shared" si="64"/>
        <v>3.5</v>
      </c>
      <c r="T98" s="618">
        <f>IFERROR(INDEX('[3]Annex 2'!I$8:I$33,MATCH('[3]Annex 3 (''MEF)'!$AG97,'[3]Annex 2'!$G$8:$G$33,0)),"")</f>
        <v>1</v>
      </c>
      <c r="U98" s="618">
        <f>IFERROR(INDEX('[3]Annex 2'!J$8:J$33,MATCH('[3]Annex 3 (''MEF)'!$AG97,'[3]Annex 2'!$G$8:$G$33,0)),"")</f>
        <v>0</v>
      </c>
      <c r="V98" s="618">
        <f>IFERROR(INDEX('[3]Annex 2'!K$8:K$33,MATCH('[3]Annex 3 (''MEF)'!$AG97,'[3]Annex 2'!$G$8:$G$33,0)),"")</f>
        <v>0</v>
      </c>
      <c r="W98" s="618">
        <f>IFERROR(INDEX('[3]Annex 2'!L$8:L$33,MATCH('[3]Annex 3 (''MEF)'!$AG97,'[3]Annex 2'!$G$8:$G$33,0)),"")</f>
        <v>0</v>
      </c>
      <c r="X98" s="618">
        <f>IFERROR(INDEX('[3]Annex 2'!M$8:M$33,MATCH('[3]Annex 3 (''MEF)'!$AG97,'[3]Annex 2'!$G$8:$G$33,0)),"")</f>
        <v>0</v>
      </c>
      <c r="Y98" s="1536">
        <f t="shared" si="9"/>
        <v>3.5</v>
      </c>
      <c r="Z98" s="717">
        <f t="shared" si="10"/>
        <v>0</v>
      </c>
      <c r="AA98" s="717">
        <f t="shared" si="9"/>
        <v>0</v>
      </c>
      <c r="AB98" s="717">
        <f t="shared" si="10"/>
        <v>0</v>
      </c>
      <c r="AC98" s="718">
        <f t="shared" si="10"/>
        <v>0</v>
      </c>
      <c r="AD98" s="626">
        <f t="shared" si="5"/>
        <v>3.5</v>
      </c>
      <c r="AE98" s="627">
        <f t="shared" si="6"/>
        <v>0</v>
      </c>
      <c r="AF98" s="1069" t="s">
        <v>480</v>
      </c>
      <c r="AG98" s="1069" t="s">
        <v>370</v>
      </c>
      <c r="AH98" s="2212" t="str">
        <f>IFERROR(INDEX('Annex 2_Code'!$J$110:$J$122,MATCH('Annex 3_MAFF'!AF98,'Annex 2_Code'!$G$110:$G$122,0)),"")</f>
        <v>MAFF-GDA</v>
      </c>
      <c r="AI98" s="1070" t="str">
        <f t="shared" si="27"/>
        <v>MAFF</v>
      </c>
      <c r="AK98" s="1383"/>
      <c r="AL98" s="1383"/>
    </row>
    <row r="99" spans="1:38" s="366" customFormat="1" outlineLevel="1">
      <c r="A99" s="102"/>
      <c r="B99" s="374" t="s">
        <v>294</v>
      </c>
      <c r="C99" s="361" t="s">
        <v>545</v>
      </c>
      <c r="D99" s="484"/>
      <c r="E99" s="1729"/>
      <c r="F99" s="1727" t="s">
        <v>856</v>
      </c>
      <c r="G99" s="1727"/>
      <c r="H99" s="1730" t="s">
        <v>1</v>
      </c>
      <c r="I99" s="1731">
        <v>2.5</v>
      </c>
      <c r="J99" s="666">
        <v>0</v>
      </c>
      <c r="K99" s="666">
        <v>0.5</v>
      </c>
      <c r="L99" s="666">
        <v>0.5</v>
      </c>
      <c r="M99" s="666">
        <v>0</v>
      </c>
      <c r="N99" s="1096">
        <f t="shared" si="62"/>
        <v>1</v>
      </c>
      <c r="O99" s="1121">
        <f t="shared" si="65"/>
        <v>0</v>
      </c>
      <c r="P99" s="1121">
        <f t="shared" si="66"/>
        <v>1.25</v>
      </c>
      <c r="Q99" s="1121">
        <f t="shared" ref="Q99:Q102" si="67">($I99*L99)</f>
        <v>1.25</v>
      </c>
      <c r="R99" s="1121">
        <f t="shared" ref="R99:R105" si="68">($I99*M99)</f>
        <v>0</v>
      </c>
      <c r="S99" s="145">
        <f t="shared" si="64"/>
        <v>2.5</v>
      </c>
      <c r="T99" s="618">
        <f>IFERROR(INDEX('[3]Annex 2'!I$8:I$33,MATCH('[3]Annex 3 (''MEF)'!$AG98,'[3]Annex 2'!$G$8:$G$33,0)),"")</f>
        <v>1</v>
      </c>
      <c r="U99" s="618">
        <f>IFERROR(INDEX('[3]Annex 2'!J$8:J$33,MATCH('[3]Annex 3 (''MEF)'!$AG98,'[3]Annex 2'!$G$8:$G$33,0)),"")</f>
        <v>0</v>
      </c>
      <c r="V99" s="618">
        <f>IFERROR(INDEX('[3]Annex 2'!K$8:K$33,MATCH('[3]Annex 3 (''MEF)'!$AG98,'[3]Annex 2'!$G$8:$G$33,0)),"")</f>
        <v>0</v>
      </c>
      <c r="W99" s="618">
        <f>IFERROR(INDEX('[3]Annex 2'!L$8:L$33,MATCH('[3]Annex 3 (''MEF)'!$AG98,'[3]Annex 2'!$G$8:$G$33,0)),"")</f>
        <v>0</v>
      </c>
      <c r="X99" s="618">
        <f>IFERROR(INDEX('[3]Annex 2'!M$8:M$33,MATCH('[3]Annex 3 (''MEF)'!$AG98,'[3]Annex 2'!$G$8:$G$33,0)),"")</f>
        <v>0</v>
      </c>
      <c r="Y99" s="1536">
        <f t="shared" si="9"/>
        <v>2.5</v>
      </c>
      <c r="Z99" s="717">
        <f t="shared" si="10"/>
        <v>0</v>
      </c>
      <c r="AA99" s="717">
        <f t="shared" si="9"/>
        <v>0</v>
      </c>
      <c r="AB99" s="717">
        <f t="shared" si="10"/>
        <v>0</v>
      </c>
      <c r="AC99" s="718">
        <f t="shared" si="10"/>
        <v>0</v>
      </c>
      <c r="AD99" s="626">
        <f t="shared" si="5"/>
        <v>2.5</v>
      </c>
      <c r="AE99" s="627">
        <f t="shared" si="6"/>
        <v>0</v>
      </c>
      <c r="AF99" s="1069" t="s">
        <v>480</v>
      </c>
      <c r="AG99" s="1069" t="s">
        <v>370</v>
      </c>
      <c r="AH99" s="2212" t="str">
        <f>IFERROR(INDEX('Annex 2_Code'!$J$110:$J$122,MATCH('Annex 3_MAFF'!AF99,'Annex 2_Code'!$G$110:$G$122,0)),"")</f>
        <v>MAFF-GDA</v>
      </c>
      <c r="AI99" s="1070" t="str">
        <f t="shared" si="27"/>
        <v>MAFF</v>
      </c>
      <c r="AK99" s="1383"/>
      <c r="AL99" s="1383"/>
    </row>
    <row r="100" spans="1:38" s="366" customFormat="1" outlineLevel="1">
      <c r="A100" s="102"/>
      <c r="B100" s="374" t="s">
        <v>294</v>
      </c>
      <c r="C100" s="361" t="s">
        <v>545</v>
      </c>
      <c r="D100" s="484"/>
      <c r="E100" s="1729"/>
      <c r="F100" s="1727" t="s">
        <v>857</v>
      </c>
      <c r="G100" s="1727"/>
      <c r="H100" s="1730" t="s">
        <v>1</v>
      </c>
      <c r="I100" s="1731">
        <v>3.5</v>
      </c>
      <c r="J100" s="666">
        <v>0</v>
      </c>
      <c r="K100" s="666">
        <v>0.5</v>
      </c>
      <c r="L100" s="666">
        <v>0.5</v>
      </c>
      <c r="M100" s="666">
        <v>0</v>
      </c>
      <c r="N100" s="1096">
        <f t="shared" si="62"/>
        <v>1</v>
      </c>
      <c r="O100" s="1121">
        <f t="shared" si="65"/>
        <v>0</v>
      </c>
      <c r="P100" s="1121">
        <f t="shared" si="66"/>
        <v>1.75</v>
      </c>
      <c r="Q100" s="1121">
        <f t="shared" si="67"/>
        <v>1.75</v>
      </c>
      <c r="R100" s="1121">
        <f t="shared" si="68"/>
        <v>0</v>
      </c>
      <c r="S100" s="145">
        <f t="shared" si="64"/>
        <v>3.5</v>
      </c>
      <c r="T100" s="618">
        <f>IFERROR(INDEX('[3]Annex 2'!I$8:I$33,MATCH('[3]Annex 3 (''MEF)'!$AG99,'[3]Annex 2'!$G$8:$G$33,0)),"")</f>
        <v>1</v>
      </c>
      <c r="U100" s="618">
        <f>IFERROR(INDEX('[3]Annex 2'!J$8:J$33,MATCH('[3]Annex 3 (''MEF)'!$AG99,'[3]Annex 2'!$G$8:$G$33,0)),"")</f>
        <v>0</v>
      </c>
      <c r="V100" s="618">
        <f>IFERROR(INDEX('[3]Annex 2'!K$8:K$33,MATCH('[3]Annex 3 (''MEF)'!$AG99,'[3]Annex 2'!$G$8:$G$33,0)),"")</f>
        <v>0</v>
      </c>
      <c r="W100" s="618">
        <f>IFERROR(INDEX('[3]Annex 2'!L$8:L$33,MATCH('[3]Annex 3 (''MEF)'!$AG99,'[3]Annex 2'!$G$8:$G$33,0)),"")</f>
        <v>0</v>
      </c>
      <c r="X100" s="618">
        <f>IFERROR(INDEX('[3]Annex 2'!M$8:M$33,MATCH('[3]Annex 3 (''MEF)'!$AG99,'[3]Annex 2'!$G$8:$G$33,0)),"")</f>
        <v>0</v>
      </c>
      <c r="Y100" s="1536">
        <f t="shared" si="9"/>
        <v>3.5</v>
      </c>
      <c r="Z100" s="717">
        <f t="shared" si="10"/>
        <v>0</v>
      </c>
      <c r="AA100" s="717">
        <f t="shared" si="9"/>
        <v>0</v>
      </c>
      <c r="AB100" s="717">
        <f t="shared" si="10"/>
        <v>0</v>
      </c>
      <c r="AC100" s="718">
        <f t="shared" si="10"/>
        <v>0</v>
      </c>
      <c r="AD100" s="626">
        <f t="shared" si="5"/>
        <v>3.5</v>
      </c>
      <c r="AE100" s="627">
        <f t="shared" si="6"/>
        <v>0</v>
      </c>
      <c r="AF100" s="1069" t="s">
        <v>480</v>
      </c>
      <c r="AG100" s="1069" t="s">
        <v>370</v>
      </c>
      <c r="AH100" s="2212" t="str">
        <f>IFERROR(INDEX('Annex 2_Code'!$J$110:$J$122,MATCH('Annex 3_MAFF'!AF100,'Annex 2_Code'!$G$110:$G$122,0)),"")</f>
        <v>MAFF-GDA</v>
      </c>
      <c r="AI100" s="1070" t="str">
        <f t="shared" si="27"/>
        <v>MAFF</v>
      </c>
      <c r="AK100" s="1383"/>
      <c r="AL100" s="1383"/>
    </row>
    <row r="101" spans="1:38" s="366" customFormat="1" outlineLevel="1">
      <c r="A101" s="102"/>
      <c r="B101" s="374" t="s">
        <v>294</v>
      </c>
      <c r="C101" s="361" t="s">
        <v>545</v>
      </c>
      <c r="D101" s="484"/>
      <c r="E101" s="1729"/>
      <c r="F101" s="1727" t="s">
        <v>858</v>
      </c>
      <c r="G101" s="1727"/>
      <c r="H101" s="565" t="s">
        <v>1</v>
      </c>
      <c r="I101" s="1732">
        <v>135</v>
      </c>
      <c r="J101" s="665">
        <v>0</v>
      </c>
      <c r="K101" s="666">
        <v>0.5</v>
      </c>
      <c r="L101" s="666">
        <v>0.5</v>
      </c>
      <c r="M101" s="666">
        <v>0</v>
      </c>
      <c r="N101" s="1096">
        <f t="shared" si="62"/>
        <v>1</v>
      </c>
      <c r="O101" s="1121">
        <f t="shared" si="65"/>
        <v>0</v>
      </c>
      <c r="P101" s="1121">
        <f t="shared" si="66"/>
        <v>67.5</v>
      </c>
      <c r="Q101" s="1121">
        <f t="shared" si="67"/>
        <v>67.5</v>
      </c>
      <c r="R101" s="1121">
        <f t="shared" si="68"/>
        <v>0</v>
      </c>
      <c r="S101" s="145">
        <f t="shared" si="64"/>
        <v>135</v>
      </c>
      <c r="T101" s="618">
        <f>IFERROR(INDEX('[3]Annex 2'!I$8:I$33,MATCH('[3]Annex 3 (''MEF)'!$AG100,'[3]Annex 2'!$G$8:$G$33,0)),"")</f>
        <v>1</v>
      </c>
      <c r="U101" s="618">
        <f>IFERROR(INDEX('[3]Annex 2'!J$8:J$33,MATCH('[3]Annex 3 (''MEF)'!$AG100,'[3]Annex 2'!$G$8:$G$33,0)),"")</f>
        <v>0</v>
      </c>
      <c r="V101" s="618">
        <f>IFERROR(INDEX('[3]Annex 2'!K$8:K$33,MATCH('[3]Annex 3 (''MEF)'!$AG100,'[3]Annex 2'!$G$8:$G$33,0)),"")</f>
        <v>0</v>
      </c>
      <c r="W101" s="618">
        <f>IFERROR(INDEX('[3]Annex 2'!L$8:L$33,MATCH('[3]Annex 3 (''MEF)'!$AG100,'[3]Annex 2'!$G$8:$G$33,0)),"")</f>
        <v>0</v>
      </c>
      <c r="X101" s="618">
        <f>IFERROR(INDEX('[3]Annex 2'!M$8:M$33,MATCH('[3]Annex 3 (''MEF)'!$AG100,'[3]Annex 2'!$G$8:$G$33,0)),"")</f>
        <v>0</v>
      </c>
      <c r="Y101" s="1536">
        <f t="shared" si="9"/>
        <v>135</v>
      </c>
      <c r="Z101" s="717">
        <f t="shared" si="10"/>
        <v>0</v>
      </c>
      <c r="AA101" s="717">
        <f t="shared" si="9"/>
        <v>0</v>
      </c>
      <c r="AB101" s="717">
        <f t="shared" si="10"/>
        <v>0</v>
      </c>
      <c r="AC101" s="718">
        <f t="shared" si="10"/>
        <v>0</v>
      </c>
      <c r="AD101" s="626">
        <f t="shared" si="5"/>
        <v>135</v>
      </c>
      <c r="AE101" s="627">
        <f t="shared" si="6"/>
        <v>0</v>
      </c>
      <c r="AF101" s="1069" t="s">
        <v>480</v>
      </c>
      <c r="AG101" s="1069" t="s">
        <v>370</v>
      </c>
      <c r="AH101" s="2212" t="str">
        <f>IFERROR(INDEX('Annex 2_Code'!$J$110:$J$122,MATCH('Annex 3_MAFF'!AF101,'Annex 2_Code'!$G$110:$G$122,0)),"")</f>
        <v>MAFF-GDA</v>
      </c>
      <c r="AI101" s="1070" t="str">
        <f t="shared" si="27"/>
        <v>MAFF</v>
      </c>
      <c r="AK101" s="1383"/>
      <c r="AL101" s="1383"/>
    </row>
    <row r="102" spans="1:38" s="366" customFormat="1" outlineLevel="1">
      <c r="A102" s="102"/>
      <c r="B102" s="374" t="s">
        <v>294</v>
      </c>
      <c r="C102" s="361" t="s">
        <v>545</v>
      </c>
      <c r="D102" s="484"/>
      <c r="E102" s="1729"/>
      <c r="F102" s="1727" t="s">
        <v>859</v>
      </c>
      <c r="G102" s="1727"/>
      <c r="H102" s="565" t="s">
        <v>1</v>
      </c>
      <c r="I102" s="1732">
        <v>2.7</v>
      </c>
      <c r="J102" s="665">
        <v>0</v>
      </c>
      <c r="K102" s="666">
        <v>1</v>
      </c>
      <c r="L102" s="666">
        <v>1</v>
      </c>
      <c r="M102" s="666">
        <v>0</v>
      </c>
      <c r="N102" s="1096">
        <f t="shared" si="62"/>
        <v>2</v>
      </c>
      <c r="O102" s="1121">
        <f t="shared" si="65"/>
        <v>0</v>
      </c>
      <c r="P102" s="1121">
        <f t="shared" si="66"/>
        <v>2.7</v>
      </c>
      <c r="Q102" s="1121">
        <f t="shared" si="67"/>
        <v>2.7</v>
      </c>
      <c r="R102" s="1121">
        <f t="shared" si="68"/>
        <v>0</v>
      </c>
      <c r="S102" s="145">
        <f t="shared" si="64"/>
        <v>5.4</v>
      </c>
      <c r="T102" s="618">
        <f>IFERROR(INDEX('[3]Annex 2'!I$8:I$33,MATCH('[3]Annex 3 (''MEF)'!$AG101,'[3]Annex 2'!$G$8:$G$33,0)),"")</f>
        <v>1</v>
      </c>
      <c r="U102" s="618">
        <f>IFERROR(INDEX('[3]Annex 2'!J$8:J$33,MATCH('[3]Annex 3 (''MEF)'!$AG101,'[3]Annex 2'!$G$8:$G$33,0)),"")</f>
        <v>0</v>
      </c>
      <c r="V102" s="618">
        <f>IFERROR(INDEX('[3]Annex 2'!K$8:K$33,MATCH('[3]Annex 3 (''MEF)'!$AG101,'[3]Annex 2'!$G$8:$G$33,0)),"")</f>
        <v>0</v>
      </c>
      <c r="W102" s="618">
        <f>IFERROR(INDEX('[3]Annex 2'!L$8:L$33,MATCH('[3]Annex 3 (''MEF)'!$AG101,'[3]Annex 2'!$G$8:$G$33,0)),"")</f>
        <v>0</v>
      </c>
      <c r="X102" s="618">
        <f>IFERROR(INDEX('[3]Annex 2'!M$8:M$33,MATCH('[3]Annex 3 (''MEF)'!$AG101,'[3]Annex 2'!$G$8:$G$33,0)),"")</f>
        <v>0</v>
      </c>
      <c r="Y102" s="1536">
        <f t="shared" si="9"/>
        <v>5.4</v>
      </c>
      <c r="Z102" s="717">
        <f t="shared" si="10"/>
        <v>0</v>
      </c>
      <c r="AA102" s="717">
        <f t="shared" si="9"/>
        <v>0</v>
      </c>
      <c r="AB102" s="717">
        <f t="shared" si="10"/>
        <v>0</v>
      </c>
      <c r="AC102" s="718">
        <f t="shared" si="10"/>
        <v>0</v>
      </c>
      <c r="AD102" s="626">
        <f t="shared" si="5"/>
        <v>5.4</v>
      </c>
      <c r="AE102" s="627">
        <f t="shared" si="6"/>
        <v>0</v>
      </c>
      <c r="AF102" s="1069" t="s">
        <v>480</v>
      </c>
      <c r="AG102" s="1069" t="s">
        <v>370</v>
      </c>
      <c r="AH102" s="2212" t="str">
        <f>IFERROR(INDEX('Annex 2_Code'!$J$110:$J$122,MATCH('Annex 3_MAFF'!AF102,'Annex 2_Code'!$G$110:$G$122,0)),"")</f>
        <v>MAFF-GDA</v>
      </c>
      <c r="AI102" s="1070" t="str">
        <f t="shared" si="27"/>
        <v>MAFF</v>
      </c>
      <c r="AK102" s="1383"/>
      <c r="AL102" s="1383"/>
    </row>
    <row r="103" spans="1:38" s="366" customFormat="1" outlineLevel="1">
      <c r="A103" s="102"/>
      <c r="B103" s="374" t="s">
        <v>294</v>
      </c>
      <c r="C103" s="361" t="s">
        <v>545</v>
      </c>
      <c r="D103" s="484"/>
      <c r="E103" s="1729"/>
      <c r="F103" s="1727" t="s">
        <v>860</v>
      </c>
      <c r="G103" s="1727"/>
      <c r="H103" s="565" t="s">
        <v>1</v>
      </c>
      <c r="I103" s="1732">
        <v>78</v>
      </c>
      <c r="J103" s="665">
        <v>0</v>
      </c>
      <c r="K103" s="666">
        <v>0.5</v>
      </c>
      <c r="L103" s="666">
        <v>0.5</v>
      </c>
      <c r="M103" s="666">
        <v>0</v>
      </c>
      <c r="N103" s="1096">
        <f t="shared" si="62"/>
        <v>1</v>
      </c>
      <c r="O103" s="1121">
        <f t="shared" si="65"/>
        <v>0</v>
      </c>
      <c r="P103" s="1121">
        <f t="shared" si="66"/>
        <v>39</v>
      </c>
      <c r="Q103" s="1121">
        <f>($I103*L103)</f>
        <v>39</v>
      </c>
      <c r="R103" s="1121">
        <f t="shared" si="68"/>
        <v>0</v>
      </c>
      <c r="S103" s="145">
        <f t="shared" si="64"/>
        <v>78</v>
      </c>
      <c r="T103" s="618">
        <f>IFERROR(INDEX('[3]Annex 2'!I$8:I$33,MATCH('[3]Annex 3 (''MEF)'!$AG102,'[3]Annex 2'!$G$8:$G$33,0)),"")</f>
        <v>1</v>
      </c>
      <c r="U103" s="618">
        <f>IFERROR(INDEX('[3]Annex 2'!J$8:J$33,MATCH('[3]Annex 3 (''MEF)'!$AG102,'[3]Annex 2'!$G$8:$G$33,0)),"")</f>
        <v>0</v>
      </c>
      <c r="V103" s="618">
        <f>IFERROR(INDEX('[3]Annex 2'!K$8:K$33,MATCH('[3]Annex 3 (''MEF)'!$AG102,'[3]Annex 2'!$G$8:$G$33,0)),"")</f>
        <v>0</v>
      </c>
      <c r="W103" s="618">
        <f>IFERROR(INDEX('[3]Annex 2'!L$8:L$33,MATCH('[3]Annex 3 (''MEF)'!$AG102,'[3]Annex 2'!$G$8:$G$33,0)),"")</f>
        <v>0</v>
      </c>
      <c r="X103" s="618">
        <f>IFERROR(INDEX('[3]Annex 2'!M$8:M$33,MATCH('[3]Annex 3 (''MEF)'!$AG102,'[3]Annex 2'!$G$8:$G$33,0)),"")</f>
        <v>0</v>
      </c>
      <c r="Y103" s="1536">
        <f t="shared" si="9"/>
        <v>78</v>
      </c>
      <c r="Z103" s="717">
        <f t="shared" si="10"/>
        <v>0</v>
      </c>
      <c r="AA103" s="717">
        <f t="shared" si="9"/>
        <v>0</v>
      </c>
      <c r="AB103" s="717">
        <f t="shared" si="10"/>
        <v>0</v>
      </c>
      <c r="AC103" s="718">
        <f t="shared" si="10"/>
        <v>0</v>
      </c>
      <c r="AD103" s="626">
        <f t="shared" si="5"/>
        <v>78</v>
      </c>
      <c r="AE103" s="627">
        <f t="shared" si="6"/>
        <v>0</v>
      </c>
      <c r="AF103" s="1069" t="s">
        <v>480</v>
      </c>
      <c r="AG103" s="1069" t="s">
        <v>370</v>
      </c>
      <c r="AH103" s="2212" t="str">
        <f>IFERROR(INDEX('Annex 2_Code'!$J$110:$J$122,MATCH('Annex 3_MAFF'!AF103,'Annex 2_Code'!$G$110:$G$122,0)),"")</f>
        <v>MAFF-GDA</v>
      </c>
      <c r="AI103" s="1070" t="str">
        <f>IF(ISNUMBER(FIND("-",AH103,1))=FALSE,LEFT(AH103,LEN(AH103)),LEFT(AH103,(FIND("-",AH103,1))-1))</f>
        <v>MAFF</v>
      </c>
      <c r="AK103" s="1383"/>
      <c r="AL103" s="1383"/>
    </row>
    <row r="104" spans="1:38" s="366" customFormat="1" outlineLevel="1">
      <c r="A104" s="102"/>
      <c r="B104" s="374" t="s">
        <v>294</v>
      </c>
      <c r="C104" s="361" t="s">
        <v>545</v>
      </c>
      <c r="D104" s="484"/>
      <c r="E104" s="1729"/>
      <c r="F104" s="1727" t="s">
        <v>747</v>
      </c>
      <c r="G104" s="1727"/>
      <c r="H104" s="565" t="s">
        <v>172</v>
      </c>
      <c r="I104" s="1126">
        <v>0</v>
      </c>
      <c r="J104" s="665"/>
      <c r="K104" s="1745">
        <v>0</v>
      </c>
      <c r="L104" s="1745">
        <v>0</v>
      </c>
      <c r="M104" s="666"/>
      <c r="N104" s="1096"/>
      <c r="O104" s="1121">
        <f t="shared" si="65"/>
        <v>0</v>
      </c>
      <c r="P104" s="1121">
        <f t="shared" si="66"/>
        <v>0</v>
      </c>
      <c r="Q104" s="1121">
        <f>($I104*L104)</f>
        <v>0</v>
      </c>
      <c r="R104" s="1121">
        <f t="shared" si="68"/>
        <v>0</v>
      </c>
      <c r="S104" s="1737">
        <v>0</v>
      </c>
      <c r="T104" s="618">
        <f>IFERROR(INDEX('[3]Annex 2'!I$8:I$33,MATCH('[3]Annex 3 (''MEF)'!$AG103,'[3]Annex 2'!$G$8:$G$33,0)),"")</f>
        <v>1</v>
      </c>
      <c r="U104" s="618">
        <f>IFERROR(INDEX('[3]Annex 2'!J$8:J$33,MATCH('[3]Annex 3 (''MEF)'!$AG103,'[3]Annex 2'!$G$8:$G$33,0)),"")</f>
        <v>0</v>
      </c>
      <c r="V104" s="618">
        <f>IFERROR(INDEX('[3]Annex 2'!K$8:K$33,MATCH('[3]Annex 3 (''MEF)'!$AG103,'[3]Annex 2'!$G$8:$G$33,0)),"")</f>
        <v>0</v>
      </c>
      <c r="W104" s="618">
        <f>IFERROR(INDEX('[3]Annex 2'!L$8:L$33,MATCH('[3]Annex 3 (''MEF)'!$AG103,'[3]Annex 2'!$G$8:$G$33,0)),"")</f>
        <v>0</v>
      </c>
      <c r="X104" s="618">
        <f>IFERROR(INDEX('[3]Annex 2'!M$8:M$33,MATCH('[3]Annex 3 (''MEF)'!$AG103,'[3]Annex 2'!$G$8:$G$33,0)),"")</f>
        <v>0</v>
      </c>
      <c r="Y104" s="1536">
        <f t="shared" si="9"/>
        <v>0</v>
      </c>
      <c r="Z104" s="717">
        <f t="shared" si="10"/>
        <v>0</v>
      </c>
      <c r="AA104" s="717">
        <f t="shared" si="9"/>
        <v>0</v>
      </c>
      <c r="AB104" s="717">
        <f t="shared" si="10"/>
        <v>0</v>
      </c>
      <c r="AC104" s="718">
        <f t="shared" si="10"/>
        <v>0</v>
      </c>
      <c r="AD104" s="626">
        <f t="shared" si="5"/>
        <v>0</v>
      </c>
      <c r="AE104" s="627">
        <f t="shared" si="6"/>
        <v>0</v>
      </c>
      <c r="AF104" s="1069" t="s">
        <v>480</v>
      </c>
      <c r="AG104" s="1069" t="s">
        <v>370</v>
      </c>
      <c r="AH104" s="2212" t="str">
        <f>IFERROR(INDEX('Annex 2_Code'!$J$110:$J$122,MATCH('Annex 3_MAFF'!AF104,'Annex 2_Code'!$G$110:$G$122,0)),"")</f>
        <v>MAFF-GDA</v>
      </c>
      <c r="AI104" s="1070" t="str">
        <f t="shared" si="27"/>
        <v>MAFF</v>
      </c>
      <c r="AK104" s="1383"/>
      <c r="AL104" s="1383"/>
    </row>
    <row r="105" spans="1:38" s="366" customFormat="1" outlineLevel="1">
      <c r="A105" s="102"/>
      <c r="B105" s="374" t="s">
        <v>294</v>
      </c>
      <c r="C105" s="361" t="s">
        <v>545</v>
      </c>
      <c r="D105" s="484"/>
      <c r="E105" s="1729"/>
      <c r="F105" s="1927" t="s">
        <v>748</v>
      </c>
      <c r="G105" s="1727"/>
      <c r="H105" s="565" t="s">
        <v>172</v>
      </c>
      <c r="I105" s="1126">
        <v>0</v>
      </c>
      <c r="J105" s="665"/>
      <c r="K105" s="666">
        <v>0</v>
      </c>
      <c r="L105" s="666">
        <v>0</v>
      </c>
      <c r="M105" s="666"/>
      <c r="N105" s="1096"/>
      <c r="O105" s="1121">
        <f>($I105*J105)</f>
        <v>0</v>
      </c>
      <c r="P105" s="1121">
        <f t="shared" si="66"/>
        <v>0</v>
      </c>
      <c r="Q105" s="1121">
        <f>($I105*L105)</f>
        <v>0</v>
      </c>
      <c r="R105" s="1121">
        <f t="shared" si="68"/>
        <v>0</v>
      </c>
      <c r="S105" s="1737">
        <v>0</v>
      </c>
      <c r="T105" s="618">
        <f>IFERROR(INDEX('[3]Annex 2'!I$8:I$33,MATCH('[3]Annex 3 (''MEF)'!$AG104,'[3]Annex 2'!$G$8:$G$33,0)),"")</f>
        <v>1</v>
      </c>
      <c r="U105" s="618">
        <f>IFERROR(INDEX('[3]Annex 2'!J$8:J$33,MATCH('[3]Annex 3 (''MEF)'!$AG104,'[3]Annex 2'!$G$8:$G$33,0)),"")</f>
        <v>0</v>
      </c>
      <c r="V105" s="618">
        <f>IFERROR(INDEX('[3]Annex 2'!K$8:K$33,MATCH('[3]Annex 3 (''MEF)'!$AG104,'[3]Annex 2'!$G$8:$G$33,0)),"")</f>
        <v>0</v>
      </c>
      <c r="W105" s="618">
        <f>IFERROR(INDEX('[3]Annex 2'!L$8:L$33,MATCH('[3]Annex 3 (''MEF)'!$AG104,'[3]Annex 2'!$G$8:$G$33,0)),"")</f>
        <v>0</v>
      </c>
      <c r="X105" s="618">
        <f>IFERROR(INDEX('[3]Annex 2'!M$8:M$33,MATCH('[3]Annex 3 (''MEF)'!$AG104,'[3]Annex 2'!$G$8:$G$33,0)),"")</f>
        <v>0</v>
      </c>
      <c r="Y105" s="1536">
        <f t="shared" si="9"/>
        <v>0</v>
      </c>
      <c r="Z105" s="717">
        <f t="shared" si="10"/>
        <v>0</v>
      </c>
      <c r="AA105" s="717">
        <f t="shared" si="9"/>
        <v>0</v>
      </c>
      <c r="AB105" s="717">
        <f t="shared" si="10"/>
        <v>0</v>
      </c>
      <c r="AC105" s="718">
        <f t="shared" si="10"/>
        <v>0</v>
      </c>
      <c r="AD105" s="626">
        <f t="shared" si="5"/>
        <v>0</v>
      </c>
      <c r="AE105" s="627">
        <f t="shared" si="6"/>
        <v>0</v>
      </c>
      <c r="AF105" s="1069" t="s">
        <v>480</v>
      </c>
      <c r="AG105" s="1069" t="s">
        <v>370</v>
      </c>
      <c r="AH105" s="2212" t="str">
        <f>IFERROR(INDEX('Annex 2_Code'!$J$110:$J$122,MATCH('Annex 3_MAFF'!AF105,'Annex 2_Code'!$G$110:$G$122,0)),"")</f>
        <v>MAFF-GDA</v>
      </c>
      <c r="AI105" s="1070" t="str">
        <f t="shared" si="27"/>
        <v>MAFF</v>
      </c>
      <c r="AK105" s="1383"/>
      <c r="AL105" s="1383"/>
    </row>
    <row r="106" spans="1:38" s="366" customFormat="1" outlineLevel="1">
      <c r="A106" s="102"/>
      <c r="B106" s="76" t="s">
        <v>294</v>
      </c>
      <c r="C106" s="361" t="s">
        <v>545</v>
      </c>
      <c r="D106" s="484"/>
      <c r="E106" s="1729"/>
      <c r="F106" s="1920"/>
      <c r="G106" s="2291" t="s">
        <v>1196</v>
      </c>
      <c r="H106" s="565" t="s">
        <v>1197</v>
      </c>
      <c r="I106" s="1943">
        <v>0.25</v>
      </c>
      <c r="J106" s="1744">
        <v>0</v>
      </c>
      <c r="K106" s="1745">
        <v>15</v>
      </c>
      <c r="L106" s="1745">
        <v>20</v>
      </c>
      <c r="M106" s="1745">
        <v>15</v>
      </c>
      <c r="N106" s="1096">
        <f t="shared" ref="N106:N108" si="69">SUM(J106:M106)</f>
        <v>50</v>
      </c>
      <c r="O106" s="1121">
        <f t="shared" ref="O106:O108" si="70">($I106*J106)</f>
        <v>0</v>
      </c>
      <c r="P106" s="1121">
        <f t="shared" ref="P106:P108" si="71">($I106*K106)</f>
        <v>3.75</v>
      </c>
      <c r="Q106" s="1121">
        <f t="shared" ref="Q106:Q108" si="72">($I106*L106)</f>
        <v>5</v>
      </c>
      <c r="R106" s="1121">
        <f t="shared" ref="R106:R108" si="73">($I106*M106)</f>
        <v>3.75</v>
      </c>
      <c r="S106" s="1737">
        <f t="shared" ref="S106:S108" si="74">SUM(O106:R106)</f>
        <v>12.5</v>
      </c>
      <c r="T106" s="618">
        <f>IFERROR(INDEX('Annex 2_Code'!I$8:I$33,MATCH('Annex 3_MAFF'!$AG106,'Annex 2_Code'!$G$8:$G$33,0)),"")</f>
        <v>1</v>
      </c>
      <c r="U106" s="618">
        <f>IFERROR(INDEX('Annex 2_Code'!J$8:J$33,MATCH('Annex 3_MAFF'!$AG106,'Annex 2_Code'!$G$8:$G$33,0)),"")</f>
        <v>0</v>
      </c>
      <c r="V106" s="618">
        <f>IFERROR(INDEX('Annex 2_Code'!K$8:K$33,MATCH('Annex 3_MAFF'!$AG106,'Annex 2_Code'!$G$8:$G$33,0)),"")</f>
        <v>0</v>
      </c>
      <c r="W106" s="618">
        <f>IFERROR(INDEX('Annex 2_Code'!L$8:L$33,MATCH('Annex 3_MAFF'!$AG106,'Annex 2_Code'!$G$8:$G$33,0)),"")</f>
        <v>0</v>
      </c>
      <c r="X106" s="618">
        <f>IFERROR(INDEX('Annex 2_Code'!M$8:M$33,MATCH('Annex 3_MAFF'!$AG106,'Annex 2_Code'!$G$8:$G$33,0)),"")</f>
        <v>0</v>
      </c>
      <c r="Y106" s="1536">
        <f t="shared" ref="Y106:Y108" si="75">IFERROR($S106*T106,"")</f>
        <v>12.5</v>
      </c>
      <c r="Z106" s="717">
        <f t="shared" si="10"/>
        <v>0</v>
      </c>
      <c r="AA106" s="717">
        <f t="shared" ref="AA106:AA108" si="76">IFERROR($S106*V106,"")</f>
        <v>0</v>
      </c>
      <c r="AB106" s="717">
        <f t="shared" si="10"/>
        <v>0</v>
      </c>
      <c r="AC106" s="718">
        <f t="shared" si="10"/>
        <v>0</v>
      </c>
      <c r="AD106" s="626">
        <f t="shared" si="5"/>
        <v>12.5</v>
      </c>
      <c r="AE106" s="627">
        <f t="shared" ref="AE106:AE108" si="77">AD106-S106</f>
        <v>0</v>
      </c>
      <c r="AF106" s="1069" t="s">
        <v>480</v>
      </c>
      <c r="AG106" s="1069" t="s">
        <v>370</v>
      </c>
      <c r="AH106" s="2212" t="str">
        <f>IFERROR(INDEX('Annex 2_Code'!$J$110:$J$122,MATCH('Annex 3_MAFF'!AF106,'Annex 2_Code'!$G$110:$G$122,0)),"")</f>
        <v>MAFF-GDA</v>
      </c>
      <c r="AI106" s="1070" t="str">
        <f t="shared" ref="AI106:AI108" si="78">IF(ISNUMBER(FIND("-",AH106,1))=FALSE,LEFT(AH106,LEN(AH106)),LEFT(AH106,(FIND("-",AH106,1))-1))</f>
        <v>MAFF</v>
      </c>
      <c r="AK106" s="1383"/>
      <c r="AL106" s="1383"/>
    </row>
    <row r="107" spans="1:38" s="366" customFormat="1" outlineLevel="1">
      <c r="A107" s="102"/>
      <c r="B107" s="76" t="s">
        <v>294</v>
      </c>
      <c r="C107" s="361" t="s">
        <v>545</v>
      </c>
      <c r="D107" s="484"/>
      <c r="E107" s="1729"/>
      <c r="F107" s="1920"/>
      <c r="G107" s="2291" t="s">
        <v>1198</v>
      </c>
      <c r="H107" s="565" t="s">
        <v>1197</v>
      </c>
      <c r="I107" s="1943">
        <v>0.3</v>
      </c>
      <c r="J107" s="1744">
        <v>0</v>
      </c>
      <c r="K107" s="1745">
        <v>40</v>
      </c>
      <c r="L107" s="1745">
        <v>40</v>
      </c>
      <c r="M107" s="1745">
        <v>40</v>
      </c>
      <c r="N107" s="1096">
        <f t="shared" si="69"/>
        <v>120</v>
      </c>
      <c r="O107" s="1121">
        <f t="shared" si="70"/>
        <v>0</v>
      </c>
      <c r="P107" s="1121">
        <f t="shared" si="71"/>
        <v>12</v>
      </c>
      <c r="Q107" s="1121">
        <f t="shared" si="72"/>
        <v>12</v>
      </c>
      <c r="R107" s="1121">
        <f t="shared" si="73"/>
        <v>12</v>
      </c>
      <c r="S107" s="1737">
        <f t="shared" si="74"/>
        <v>36</v>
      </c>
      <c r="T107" s="618">
        <f>IFERROR(INDEX('Annex 2_Code'!I$8:I$33,MATCH('Annex 3_MAFF'!$AG107,'Annex 2_Code'!$G$8:$G$33,0)),"")</f>
        <v>1</v>
      </c>
      <c r="U107" s="618">
        <f>IFERROR(INDEX('Annex 2_Code'!J$8:J$33,MATCH('Annex 3_MAFF'!$AG107,'Annex 2_Code'!$G$8:$G$33,0)),"")</f>
        <v>0</v>
      </c>
      <c r="V107" s="618">
        <f>IFERROR(INDEX('Annex 2_Code'!K$8:K$33,MATCH('Annex 3_MAFF'!$AG107,'Annex 2_Code'!$G$8:$G$33,0)),"")</f>
        <v>0</v>
      </c>
      <c r="W107" s="618">
        <f>IFERROR(INDEX('Annex 2_Code'!L$8:L$33,MATCH('Annex 3_MAFF'!$AG107,'Annex 2_Code'!$G$8:$G$33,0)),"")</f>
        <v>0</v>
      </c>
      <c r="X107" s="618">
        <f>IFERROR(INDEX('Annex 2_Code'!M$8:M$33,MATCH('Annex 3_MAFF'!$AG107,'Annex 2_Code'!$G$8:$G$33,0)),"")</f>
        <v>0</v>
      </c>
      <c r="Y107" s="1536">
        <f t="shared" si="75"/>
        <v>36</v>
      </c>
      <c r="Z107" s="717">
        <f t="shared" si="10"/>
        <v>0</v>
      </c>
      <c r="AA107" s="717">
        <f t="shared" si="76"/>
        <v>0</v>
      </c>
      <c r="AB107" s="717">
        <f t="shared" si="10"/>
        <v>0</v>
      </c>
      <c r="AC107" s="718">
        <f t="shared" si="10"/>
        <v>0</v>
      </c>
      <c r="AD107" s="626">
        <f t="shared" si="5"/>
        <v>36</v>
      </c>
      <c r="AE107" s="627">
        <f t="shared" si="77"/>
        <v>0</v>
      </c>
      <c r="AF107" s="1069" t="s">
        <v>480</v>
      </c>
      <c r="AG107" s="1069" t="s">
        <v>370</v>
      </c>
      <c r="AH107" s="2212" t="str">
        <f>IFERROR(INDEX('Annex 2_Code'!$J$110:$J$122,MATCH('Annex 3_MAFF'!AF107,'Annex 2_Code'!$G$110:$G$122,0)),"")</f>
        <v>MAFF-GDA</v>
      </c>
      <c r="AI107" s="1070" t="str">
        <f t="shared" si="78"/>
        <v>MAFF</v>
      </c>
      <c r="AK107" s="1383"/>
      <c r="AL107" s="1383"/>
    </row>
    <row r="108" spans="1:38" s="366" customFormat="1" outlineLevel="1">
      <c r="A108" s="102"/>
      <c r="B108" s="76" t="s">
        <v>294</v>
      </c>
      <c r="C108" s="361" t="s">
        <v>545</v>
      </c>
      <c r="D108" s="484"/>
      <c r="E108" s="1729"/>
      <c r="F108" s="1920"/>
      <c r="G108" s="2291" t="s">
        <v>1199</v>
      </c>
      <c r="H108" s="565" t="s">
        <v>1197</v>
      </c>
      <c r="I108" s="1943">
        <v>0.1</v>
      </c>
      <c r="J108" s="1744">
        <v>0</v>
      </c>
      <c r="K108" s="1745">
        <v>10</v>
      </c>
      <c r="L108" s="1745">
        <v>10</v>
      </c>
      <c r="M108" s="1745">
        <v>10</v>
      </c>
      <c r="N108" s="1096">
        <f t="shared" si="69"/>
        <v>30</v>
      </c>
      <c r="O108" s="1121">
        <f t="shared" si="70"/>
        <v>0</v>
      </c>
      <c r="P108" s="1121">
        <f t="shared" si="71"/>
        <v>1</v>
      </c>
      <c r="Q108" s="1121">
        <f t="shared" si="72"/>
        <v>1</v>
      </c>
      <c r="R108" s="1121">
        <f t="shared" si="73"/>
        <v>1</v>
      </c>
      <c r="S108" s="1737">
        <f t="shared" si="74"/>
        <v>3</v>
      </c>
      <c r="T108" s="618">
        <f>IFERROR(INDEX('Annex 2_Code'!I$8:I$33,MATCH('Annex 3_MAFF'!$AG108,'Annex 2_Code'!$G$8:$G$33,0)),"")</f>
        <v>1</v>
      </c>
      <c r="U108" s="618">
        <f>IFERROR(INDEX('Annex 2_Code'!J$8:J$33,MATCH('Annex 3_MAFF'!$AG108,'Annex 2_Code'!$G$8:$G$33,0)),"")</f>
        <v>0</v>
      </c>
      <c r="V108" s="618">
        <f>IFERROR(INDEX('Annex 2_Code'!K$8:K$33,MATCH('Annex 3_MAFF'!$AG108,'Annex 2_Code'!$G$8:$G$33,0)),"")</f>
        <v>0</v>
      </c>
      <c r="W108" s="618">
        <f>IFERROR(INDEX('Annex 2_Code'!L$8:L$33,MATCH('Annex 3_MAFF'!$AG108,'Annex 2_Code'!$G$8:$G$33,0)),"")</f>
        <v>0</v>
      </c>
      <c r="X108" s="618">
        <f>IFERROR(INDEX('Annex 2_Code'!M$8:M$33,MATCH('Annex 3_MAFF'!$AG108,'Annex 2_Code'!$G$8:$G$33,0)),"")</f>
        <v>0</v>
      </c>
      <c r="Y108" s="1536">
        <f t="shared" si="75"/>
        <v>3</v>
      </c>
      <c r="Z108" s="717">
        <f t="shared" si="10"/>
        <v>0</v>
      </c>
      <c r="AA108" s="717">
        <f t="shared" si="76"/>
        <v>0</v>
      </c>
      <c r="AB108" s="717">
        <f t="shared" si="10"/>
        <v>0</v>
      </c>
      <c r="AC108" s="718">
        <f t="shared" si="10"/>
        <v>0</v>
      </c>
      <c r="AD108" s="626">
        <f t="shared" si="5"/>
        <v>3</v>
      </c>
      <c r="AE108" s="627">
        <f t="shared" si="77"/>
        <v>0</v>
      </c>
      <c r="AF108" s="1069" t="s">
        <v>480</v>
      </c>
      <c r="AG108" s="1069" t="s">
        <v>370</v>
      </c>
      <c r="AH108" s="2212" t="str">
        <f>IFERROR(INDEX('Annex 2_Code'!$J$110:$J$122,MATCH('Annex 3_MAFF'!AF108,'Annex 2_Code'!$G$110:$G$122,0)),"")</f>
        <v>MAFF-GDA</v>
      </c>
      <c r="AI108" s="1070" t="str">
        <f t="shared" si="78"/>
        <v>MAFF</v>
      </c>
      <c r="AK108" s="1383"/>
      <c r="AL108" s="1383"/>
    </row>
    <row r="109" spans="1:38" s="366" customFormat="1" outlineLevel="1">
      <c r="A109" s="102"/>
      <c r="B109" s="76" t="s">
        <v>173</v>
      </c>
      <c r="C109" s="361"/>
      <c r="D109" s="1464"/>
      <c r="E109" s="1440" t="s">
        <v>41</v>
      </c>
      <c r="F109" s="1444"/>
      <c r="G109" s="1428"/>
      <c r="H109" s="1530"/>
      <c r="I109" s="1531"/>
      <c r="J109" s="1456"/>
      <c r="K109" s="1457"/>
      <c r="L109" s="1457"/>
      <c r="M109" s="1457"/>
      <c r="N109" s="1466"/>
      <c r="O109" s="1492">
        <f>SUM(O83:O108)</f>
        <v>0</v>
      </c>
      <c r="P109" s="1493">
        <f>SUM(P83:P108)</f>
        <v>263.95</v>
      </c>
      <c r="Q109" s="1493">
        <f>SUM(Q83:Q108)</f>
        <v>265.2</v>
      </c>
      <c r="R109" s="1493">
        <f>SUM(R83:R108)</f>
        <v>16.75</v>
      </c>
      <c r="S109" s="1494">
        <f>SUM(S83:S108)</f>
        <v>545.9</v>
      </c>
      <c r="T109" s="618" t="str">
        <f>IFERROR(INDEX('[4]Annex 2'!I$8:I$33,MATCH('[4]Annex 3'!$AF67,'[4]Annex 2'!$G$8:$G$33,0)),"")</f>
        <v/>
      </c>
      <c r="U109" s="618" t="str">
        <f>IFERROR(INDEX('[4]Annex 2'!J$8:J$33,MATCH('[4]Annex 3'!$AF67,'[4]Annex 2'!$G$8:$G$33,0)),"")</f>
        <v/>
      </c>
      <c r="V109" s="618" t="str">
        <f>IFERROR(INDEX('[4]Annex 2'!K$8:K$33,MATCH('[4]Annex 3'!$AF67,'[4]Annex 2'!$G$8:$G$33,0)),"")</f>
        <v/>
      </c>
      <c r="W109" s="618" t="str">
        <f>IFERROR(INDEX('[4]Annex 2'!L$8:L$33,MATCH('[4]Annex 3'!$AF67,'[4]Annex 2'!$G$8:$G$33,0)),"")</f>
        <v/>
      </c>
      <c r="X109" s="618" t="str">
        <f>IFERROR(INDEX('[4]Annex 2'!M$8:M$33,MATCH('[4]Annex 3'!$AF67,'[4]Annex 2'!$G$8:$G$33,0)),"")</f>
        <v/>
      </c>
      <c r="Y109" s="1536" t="str">
        <f t="shared" ref="Y109" si="79">IFERROR($S109*T109,"")</f>
        <v/>
      </c>
      <c r="Z109" s="717" t="str">
        <f t="shared" ref="Z109" si="80">IFERROR($S109*U109,"")</f>
        <v/>
      </c>
      <c r="AA109" s="717" t="str">
        <f t="shared" si="9"/>
        <v/>
      </c>
      <c r="AB109" s="717" t="str">
        <f t="shared" ref="AB109" si="81">IFERROR($S109*W109,"")</f>
        <v/>
      </c>
      <c r="AC109" s="718" t="str">
        <f t="shared" ref="AC109" si="82">IFERROR($S109*X109,"")</f>
        <v/>
      </c>
      <c r="AD109" s="626">
        <f t="shared" si="5"/>
        <v>0</v>
      </c>
      <c r="AE109" s="627">
        <f>AD109-S109</f>
        <v>-545.9</v>
      </c>
      <c r="AF109" s="1080"/>
      <c r="AG109" s="1080"/>
      <c r="AH109" s="568" t="str">
        <f>IFERROR(INDEX('Annex 2_Code'!$J$110:$J$122,MATCH('Annex 3_MAFF'!AF109,'Annex 2_Code'!$G$110:$G$122,0)),"")</f>
        <v/>
      </c>
      <c r="AI109" s="1070" t="str">
        <f t="shared" ref="AI109" si="83">IF(ISNUMBER(FIND("-",AH109,1))=FALSE,LEFT(AH109,LEN(AH109)),LEFT(AH109,(FIND("-",AH109,1))-1))</f>
        <v/>
      </c>
      <c r="AK109" s="1383"/>
      <c r="AL109" s="1383"/>
    </row>
    <row r="110" spans="1:38" s="366" customFormat="1" outlineLevel="1">
      <c r="A110" s="102"/>
      <c r="B110" s="76" t="s">
        <v>173</v>
      </c>
      <c r="C110" s="361"/>
      <c r="D110" s="78"/>
      <c r="E110" s="97"/>
      <c r="F110" s="283"/>
      <c r="G110" s="722"/>
      <c r="H110" s="770"/>
      <c r="I110" s="781"/>
      <c r="J110" s="665"/>
      <c r="K110" s="666"/>
      <c r="L110" s="666"/>
      <c r="M110" s="666"/>
      <c r="N110" s="1096"/>
      <c r="O110" s="877"/>
      <c r="P110" s="281"/>
      <c r="Q110" s="281"/>
      <c r="R110" s="281"/>
      <c r="S110" s="145"/>
      <c r="T110" s="618"/>
      <c r="U110" s="618"/>
      <c r="V110" s="618"/>
      <c r="W110" s="618"/>
      <c r="X110" s="618"/>
      <c r="Y110" s="1536"/>
      <c r="Z110" s="717"/>
      <c r="AA110" s="717"/>
      <c r="AB110" s="717"/>
      <c r="AC110" s="718"/>
      <c r="AD110" s="626">
        <f t="shared" si="5"/>
        <v>0</v>
      </c>
      <c r="AE110" s="627">
        <f t="shared" si="6"/>
        <v>0</v>
      </c>
      <c r="AF110" s="1080"/>
      <c r="AG110" s="1080"/>
      <c r="AH110" s="1069"/>
      <c r="AI110" s="1070"/>
      <c r="AK110" s="1383"/>
      <c r="AL110" s="1383"/>
    </row>
    <row r="111" spans="1:38" s="366" customFormat="1" outlineLevel="1">
      <c r="A111" s="102"/>
      <c r="B111" s="76" t="s">
        <v>173</v>
      </c>
      <c r="C111" s="77"/>
      <c r="D111" s="78"/>
      <c r="E111" s="1119" t="s">
        <v>749</v>
      </c>
      <c r="F111" s="1119"/>
      <c r="G111" s="1120"/>
      <c r="H111" s="770"/>
      <c r="I111" s="781"/>
      <c r="J111" s="665"/>
      <c r="K111" s="666"/>
      <c r="L111" s="666"/>
      <c r="M111" s="666"/>
      <c r="N111" s="1096"/>
      <c r="O111" s="877"/>
      <c r="P111" s="281"/>
      <c r="Q111" s="281"/>
      <c r="R111" s="281"/>
      <c r="S111" s="145"/>
      <c r="T111" s="618"/>
      <c r="U111" s="618"/>
      <c r="V111" s="618"/>
      <c r="W111" s="618"/>
      <c r="X111" s="618"/>
      <c r="Y111" s="1536"/>
      <c r="Z111" s="717"/>
      <c r="AA111" s="717"/>
      <c r="AB111" s="717"/>
      <c r="AC111" s="718"/>
      <c r="AD111" s="626">
        <f t="shared" si="5"/>
        <v>0</v>
      </c>
      <c r="AE111" s="627">
        <f t="shared" si="6"/>
        <v>0</v>
      </c>
      <c r="AF111" s="1080"/>
      <c r="AG111" s="1080"/>
      <c r="AH111" s="1069"/>
      <c r="AI111" s="1070"/>
      <c r="AK111" s="1383"/>
      <c r="AL111" s="1383"/>
    </row>
    <row r="112" spans="1:38" s="366" customFormat="1" outlineLevel="1">
      <c r="A112" s="102"/>
      <c r="B112" s="76" t="s">
        <v>294</v>
      </c>
      <c r="C112" s="361" t="s">
        <v>545</v>
      </c>
      <c r="D112" s="484"/>
      <c r="E112" s="1729"/>
      <c r="F112" s="1727" t="s">
        <v>744</v>
      </c>
      <c r="G112" s="1727"/>
      <c r="H112" s="1730" t="s">
        <v>171</v>
      </c>
      <c r="I112" s="1731">
        <v>23.5</v>
      </c>
      <c r="J112" s="666">
        <v>0</v>
      </c>
      <c r="K112" s="666">
        <v>0.5</v>
      </c>
      <c r="L112" s="666">
        <v>0.5</v>
      </c>
      <c r="M112" s="666">
        <v>0</v>
      </c>
      <c r="N112" s="1096">
        <f t="shared" ref="N112:N132" si="84">SUM(J112:M112)</f>
        <v>1</v>
      </c>
      <c r="O112" s="1121">
        <f>($I112*J112)</f>
        <v>0</v>
      </c>
      <c r="P112" s="1121">
        <f>($I112*K112)</f>
        <v>11.75</v>
      </c>
      <c r="Q112" s="1121">
        <f t="shared" ref="Q112:R127" si="85">($I112*L112)</f>
        <v>11.75</v>
      </c>
      <c r="R112" s="1121">
        <f t="shared" si="85"/>
        <v>0</v>
      </c>
      <c r="S112" s="145">
        <f t="shared" ref="S112:S131" si="86">SUM(O112:R112)</f>
        <v>23.5</v>
      </c>
      <c r="T112" s="618">
        <f>IFERROR(INDEX('Annex 2_Code'!I$8:I$33,MATCH('Annex 3_MAFF'!$AG112,'Annex 2_Code'!$G$8:$G$33,0)),"")</f>
        <v>1</v>
      </c>
      <c r="U112" s="618">
        <f>IFERROR(INDEX('Annex 2_Code'!J$8:J$33,MATCH('Annex 3_MAFF'!$AG112,'Annex 2_Code'!$G$8:$G$33,0)),"")</f>
        <v>0</v>
      </c>
      <c r="V112" s="618">
        <f>IFERROR(INDEX('Annex 2_Code'!K$8:K$33,MATCH('Annex 3_MAFF'!$AG112,'Annex 2_Code'!$G$8:$G$33,0)),"")</f>
        <v>0</v>
      </c>
      <c r="W112" s="618">
        <f>IFERROR(INDEX('Annex 2_Code'!L$8:L$33,MATCH('Annex 3_MAFF'!$AG112,'Annex 2_Code'!$G$8:$G$33,0)),"")</f>
        <v>0</v>
      </c>
      <c r="X112" s="618">
        <f>IFERROR(INDEX('Annex 2_Code'!M$8:M$33,MATCH('Annex 3_MAFF'!$AG112,'Annex 2_Code'!$G$8:$G$33,0)),"")</f>
        <v>0</v>
      </c>
      <c r="Y112" s="1536">
        <f t="shared" ref="Y112:Y134" si="87">IFERROR($S112*T112,"")</f>
        <v>23.5</v>
      </c>
      <c r="Z112" s="717">
        <f t="shared" ref="Z112:Z134" si="88">IFERROR($S112*U112,"")</f>
        <v>0</v>
      </c>
      <c r="AA112" s="717">
        <f t="shared" ref="AA112:AA134" si="89">IFERROR($S112*V112,"")</f>
        <v>0</v>
      </c>
      <c r="AB112" s="717">
        <f t="shared" ref="AB112:AB134" si="90">IFERROR($S112*W112,"")</f>
        <v>0</v>
      </c>
      <c r="AC112" s="718">
        <f t="shared" ref="AC112:AC134" si="91">IFERROR($S112*X112,"")</f>
        <v>0</v>
      </c>
      <c r="AD112" s="626">
        <f t="shared" ref="AD112:AD134" si="92">SUM(Y112:AC112)</f>
        <v>23.5</v>
      </c>
      <c r="AE112" s="627">
        <f t="shared" si="6"/>
        <v>0</v>
      </c>
      <c r="AF112" s="1069" t="s">
        <v>480</v>
      </c>
      <c r="AG112" s="1069" t="s">
        <v>370</v>
      </c>
      <c r="AH112" s="2212" t="str">
        <f>IFERROR(INDEX('Annex 2_Code'!$J$110:$J$122,MATCH('Annex 3_MAFF'!AF112,'Annex 2_Code'!$G$110:$G$122,0)),"")</f>
        <v>MAFF-GDA</v>
      </c>
      <c r="AI112" s="1070" t="str">
        <f t="shared" ref="AI112:AI134" si="93">IF(ISNUMBER(FIND("-",AH112,1))=FALSE,LEFT(AH112,LEN(AH112)),LEFT(AH112,(FIND("-",AH112,1))-1))</f>
        <v>MAFF</v>
      </c>
      <c r="AK112" s="1383"/>
      <c r="AL112" s="1383"/>
    </row>
    <row r="113" spans="1:38" s="366" customFormat="1" outlineLevel="1">
      <c r="A113" s="102"/>
      <c r="B113" s="76" t="s">
        <v>294</v>
      </c>
      <c r="C113" s="361" t="s">
        <v>545</v>
      </c>
      <c r="D113" s="484"/>
      <c r="E113" s="1729"/>
      <c r="F113" s="1727" t="s">
        <v>861</v>
      </c>
      <c r="G113" s="1727"/>
      <c r="H113" s="1730" t="s">
        <v>171</v>
      </c>
      <c r="I113" s="1731">
        <v>2.2999999999999998</v>
      </c>
      <c r="J113" s="666">
        <v>0</v>
      </c>
      <c r="K113" s="666">
        <v>0.5</v>
      </c>
      <c r="L113" s="666">
        <v>0.5</v>
      </c>
      <c r="M113" s="666">
        <v>0</v>
      </c>
      <c r="N113" s="1096">
        <f t="shared" si="84"/>
        <v>1</v>
      </c>
      <c r="O113" s="1121">
        <f t="shared" ref="O113:O132" si="94">($I113*J113)</f>
        <v>0</v>
      </c>
      <c r="P113" s="1121">
        <f t="shared" ref="P113:P132" si="95">($I113*K113)</f>
        <v>1.1499999999999999</v>
      </c>
      <c r="Q113" s="1121">
        <f t="shared" si="85"/>
        <v>1.1499999999999999</v>
      </c>
      <c r="R113" s="1121">
        <f t="shared" si="85"/>
        <v>0</v>
      </c>
      <c r="S113" s="145">
        <f t="shared" si="86"/>
        <v>2.2999999999999998</v>
      </c>
      <c r="T113" s="618">
        <f>IFERROR(INDEX('Annex 2_Code'!I$8:I$33,MATCH('Annex 3_MAFF'!$AG113,'Annex 2_Code'!$G$8:$G$33,0)),"")</f>
        <v>1</v>
      </c>
      <c r="U113" s="618">
        <f>IFERROR(INDEX('Annex 2_Code'!J$8:J$33,MATCH('Annex 3_MAFF'!$AG113,'Annex 2_Code'!$G$8:$G$33,0)),"")</f>
        <v>0</v>
      </c>
      <c r="V113" s="618">
        <f>IFERROR(INDEX('Annex 2_Code'!K$8:K$33,MATCH('Annex 3_MAFF'!$AG113,'Annex 2_Code'!$G$8:$G$33,0)),"")</f>
        <v>0</v>
      </c>
      <c r="W113" s="618">
        <f>IFERROR(INDEX('Annex 2_Code'!L$8:L$33,MATCH('Annex 3_MAFF'!$AG113,'Annex 2_Code'!$G$8:$G$33,0)),"")</f>
        <v>0</v>
      </c>
      <c r="X113" s="618">
        <f>IFERROR(INDEX('Annex 2_Code'!M$8:M$33,MATCH('Annex 3_MAFF'!$AG113,'Annex 2_Code'!$G$8:$G$33,0)),"")</f>
        <v>0</v>
      </c>
      <c r="Y113" s="1536">
        <f t="shared" si="87"/>
        <v>2.2999999999999998</v>
      </c>
      <c r="Z113" s="717">
        <f t="shared" si="88"/>
        <v>0</v>
      </c>
      <c r="AA113" s="717">
        <f t="shared" si="89"/>
        <v>0</v>
      </c>
      <c r="AB113" s="717">
        <f t="shared" si="90"/>
        <v>0</v>
      </c>
      <c r="AC113" s="718">
        <f t="shared" si="91"/>
        <v>0</v>
      </c>
      <c r="AD113" s="626">
        <f t="shared" si="92"/>
        <v>2.2999999999999998</v>
      </c>
      <c r="AE113" s="627">
        <f t="shared" si="6"/>
        <v>0</v>
      </c>
      <c r="AF113" s="1069" t="s">
        <v>480</v>
      </c>
      <c r="AG113" s="1069" t="s">
        <v>370</v>
      </c>
      <c r="AH113" s="2212" t="str">
        <f>IFERROR(INDEX('Annex 2_Code'!$J$110:$J$122,MATCH('Annex 3_MAFF'!AF113,'Annex 2_Code'!$G$110:$G$122,0)),"")</f>
        <v>MAFF-GDA</v>
      </c>
      <c r="AI113" s="1070" t="str">
        <f t="shared" si="93"/>
        <v>MAFF</v>
      </c>
      <c r="AK113" s="1383"/>
      <c r="AL113" s="1383"/>
    </row>
    <row r="114" spans="1:38" s="366" customFormat="1" outlineLevel="1">
      <c r="A114" s="102"/>
      <c r="B114" s="76" t="s">
        <v>294</v>
      </c>
      <c r="C114" s="361" t="s">
        <v>545</v>
      </c>
      <c r="D114" s="484"/>
      <c r="E114" s="1729"/>
      <c r="F114" s="1727" t="s">
        <v>862</v>
      </c>
      <c r="G114" s="1727"/>
      <c r="H114" s="1730" t="s">
        <v>171</v>
      </c>
      <c r="I114" s="1731">
        <v>1.2</v>
      </c>
      <c r="J114" s="666">
        <v>0</v>
      </c>
      <c r="K114" s="666">
        <v>0.5</v>
      </c>
      <c r="L114" s="666">
        <v>0.5</v>
      </c>
      <c r="M114" s="666">
        <v>0</v>
      </c>
      <c r="N114" s="1096">
        <f t="shared" si="84"/>
        <v>1</v>
      </c>
      <c r="O114" s="1121">
        <f t="shared" si="94"/>
        <v>0</v>
      </c>
      <c r="P114" s="1121">
        <f t="shared" si="95"/>
        <v>0.6</v>
      </c>
      <c r="Q114" s="1121">
        <f t="shared" si="85"/>
        <v>0.6</v>
      </c>
      <c r="R114" s="1121">
        <f t="shared" si="85"/>
        <v>0</v>
      </c>
      <c r="S114" s="145">
        <f t="shared" si="86"/>
        <v>1.2</v>
      </c>
      <c r="T114" s="618">
        <f>IFERROR(INDEX('Annex 2_Code'!I$8:I$33,MATCH('Annex 3_MAFF'!$AG114,'Annex 2_Code'!$G$8:$G$33,0)),"")</f>
        <v>1</v>
      </c>
      <c r="U114" s="618">
        <f>IFERROR(INDEX('Annex 2_Code'!J$8:J$33,MATCH('Annex 3_MAFF'!$AG114,'Annex 2_Code'!$G$8:$G$33,0)),"")</f>
        <v>0</v>
      </c>
      <c r="V114" s="618">
        <f>IFERROR(INDEX('Annex 2_Code'!K$8:K$33,MATCH('Annex 3_MAFF'!$AG114,'Annex 2_Code'!$G$8:$G$33,0)),"")</f>
        <v>0</v>
      </c>
      <c r="W114" s="618">
        <f>IFERROR(INDEX('Annex 2_Code'!L$8:L$33,MATCH('Annex 3_MAFF'!$AG114,'Annex 2_Code'!$G$8:$G$33,0)),"")</f>
        <v>0</v>
      </c>
      <c r="X114" s="618">
        <f>IFERROR(INDEX('Annex 2_Code'!M$8:M$33,MATCH('Annex 3_MAFF'!$AG114,'Annex 2_Code'!$G$8:$G$33,0)),"")</f>
        <v>0</v>
      </c>
      <c r="Y114" s="1536">
        <f t="shared" si="87"/>
        <v>1.2</v>
      </c>
      <c r="Z114" s="717">
        <f t="shared" si="88"/>
        <v>0</v>
      </c>
      <c r="AA114" s="717">
        <f t="shared" si="89"/>
        <v>0</v>
      </c>
      <c r="AB114" s="717">
        <f t="shared" si="90"/>
        <v>0</v>
      </c>
      <c r="AC114" s="718">
        <f t="shared" si="91"/>
        <v>0</v>
      </c>
      <c r="AD114" s="626">
        <f t="shared" si="92"/>
        <v>1.2</v>
      </c>
      <c r="AE114" s="627">
        <f t="shared" si="6"/>
        <v>0</v>
      </c>
      <c r="AF114" s="1069" t="s">
        <v>480</v>
      </c>
      <c r="AG114" s="1069" t="s">
        <v>370</v>
      </c>
      <c r="AH114" s="2212" t="str">
        <f>IFERROR(INDEX('Annex 2_Code'!$J$110:$J$122,MATCH('Annex 3_MAFF'!AF114,'Annex 2_Code'!$G$110:$G$122,0)),"")</f>
        <v>MAFF-GDA</v>
      </c>
      <c r="AI114" s="1070" t="str">
        <f t="shared" si="93"/>
        <v>MAFF</v>
      </c>
      <c r="AK114" s="1383"/>
      <c r="AL114" s="1383"/>
    </row>
    <row r="115" spans="1:38" s="366" customFormat="1" outlineLevel="1">
      <c r="A115" s="102"/>
      <c r="B115" s="76" t="s">
        <v>294</v>
      </c>
      <c r="C115" s="361" t="s">
        <v>545</v>
      </c>
      <c r="D115" s="484"/>
      <c r="E115" s="1729"/>
      <c r="F115" s="1727" t="s">
        <v>863</v>
      </c>
      <c r="G115" s="1727"/>
      <c r="H115" s="1730" t="s">
        <v>171</v>
      </c>
      <c r="I115" s="1731">
        <v>7.5</v>
      </c>
      <c r="J115" s="666">
        <v>0</v>
      </c>
      <c r="K115" s="666">
        <v>0.5</v>
      </c>
      <c r="L115" s="666">
        <v>0.5</v>
      </c>
      <c r="M115" s="666">
        <v>0</v>
      </c>
      <c r="N115" s="1096">
        <f t="shared" si="84"/>
        <v>1</v>
      </c>
      <c r="O115" s="1121">
        <f t="shared" si="94"/>
        <v>0</v>
      </c>
      <c r="P115" s="1121">
        <f t="shared" si="95"/>
        <v>3.75</v>
      </c>
      <c r="Q115" s="1121">
        <f t="shared" si="85"/>
        <v>3.75</v>
      </c>
      <c r="R115" s="1121">
        <f t="shared" si="85"/>
        <v>0</v>
      </c>
      <c r="S115" s="145">
        <f t="shared" si="86"/>
        <v>7.5</v>
      </c>
      <c r="T115" s="618">
        <f>IFERROR(INDEX('Annex 2_Code'!I$8:I$33,MATCH('Annex 3_MAFF'!$AG115,'Annex 2_Code'!$G$8:$G$33,0)),"")</f>
        <v>1</v>
      </c>
      <c r="U115" s="618">
        <f>IFERROR(INDEX('Annex 2_Code'!J$8:J$33,MATCH('Annex 3_MAFF'!$AG115,'Annex 2_Code'!$G$8:$G$33,0)),"")</f>
        <v>0</v>
      </c>
      <c r="V115" s="618">
        <f>IFERROR(INDEX('Annex 2_Code'!K$8:K$33,MATCH('Annex 3_MAFF'!$AG115,'Annex 2_Code'!$G$8:$G$33,0)),"")</f>
        <v>0</v>
      </c>
      <c r="W115" s="618">
        <f>IFERROR(INDEX('Annex 2_Code'!L$8:L$33,MATCH('Annex 3_MAFF'!$AG115,'Annex 2_Code'!$G$8:$G$33,0)),"")</f>
        <v>0</v>
      </c>
      <c r="X115" s="618">
        <f>IFERROR(INDEX('Annex 2_Code'!M$8:M$33,MATCH('Annex 3_MAFF'!$AG115,'Annex 2_Code'!$G$8:$G$33,0)),"")</f>
        <v>0</v>
      </c>
      <c r="Y115" s="1536">
        <f t="shared" si="87"/>
        <v>7.5</v>
      </c>
      <c r="Z115" s="717">
        <f t="shared" si="88"/>
        <v>0</v>
      </c>
      <c r="AA115" s="717">
        <f t="shared" si="89"/>
        <v>0</v>
      </c>
      <c r="AB115" s="717">
        <f t="shared" si="90"/>
        <v>0</v>
      </c>
      <c r="AC115" s="718">
        <f t="shared" si="91"/>
        <v>0</v>
      </c>
      <c r="AD115" s="626">
        <f t="shared" si="92"/>
        <v>7.5</v>
      </c>
      <c r="AE115" s="627">
        <f t="shared" si="6"/>
        <v>0</v>
      </c>
      <c r="AF115" s="1069" t="s">
        <v>480</v>
      </c>
      <c r="AG115" s="1069" t="s">
        <v>370</v>
      </c>
      <c r="AH115" s="2212" t="str">
        <f>IFERROR(INDEX('Annex 2_Code'!$J$110:$J$122,MATCH('Annex 3_MAFF'!AF115,'Annex 2_Code'!$G$110:$G$122,0)),"")</f>
        <v>MAFF-GDA</v>
      </c>
      <c r="AI115" s="1070" t="str">
        <f t="shared" si="93"/>
        <v>MAFF</v>
      </c>
      <c r="AK115" s="1383"/>
      <c r="AL115" s="1383"/>
    </row>
    <row r="116" spans="1:38" s="366" customFormat="1" outlineLevel="1">
      <c r="A116" s="102"/>
      <c r="B116" s="76" t="s">
        <v>294</v>
      </c>
      <c r="C116" s="361" t="s">
        <v>545</v>
      </c>
      <c r="D116" s="484"/>
      <c r="E116" s="1729"/>
      <c r="F116" s="1727" t="s">
        <v>864</v>
      </c>
      <c r="G116" s="1727"/>
      <c r="H116" s="1730" t="s">
        <v>171</v>
      </c>
      <c r="I116" s="1731">
        <v>2.2999999999999998</v>
      </c>
      <c r="J116" s="666">
        <v>0</v>
      </c>
      <c r="K116" s="666">
        <v>0.5</v>
      </c>
      <c r="L116" s="666">
        <v>0.5</v>
      </c>
      <c r="M116" s="666">
        <v>0</v>
      </c>
      <c r="N116" s="1096">
        <f t="shared" si="84"/>
        <v>1</v>
      </c>
      <c r="O116" s="1121">
        <f t="shared" si="94"/>
        <v>0</v>
      </c>
      <c r="P116" s="1121">
        <f t="shared" si="95"/>
        <v>1.1499999999999999</v>
      </c>
      <c r="Q116" s="1121">
        <f t="shared" si="85"/>
        <v>1.1499999999999999</v>
      </c>
      <c r="R116" s="1121">
        <f t="shared" si="85"/>
        <v>0</v>
      </c>
      <c r="S116" s="145">
        <f t="shared" si="86"/>
        <v>2.2999999999999998</v>
      </c>
      <c r="T116" s="618">
        <f>IFERROR(INDEX('Annex 2_Code'!I$8:I$33,MATCH('Annex 3_MAFF'!$AG116,'Annex 2_Code'!$G$8:$G$33,0)),"")</f>
        <v>1</v>
      </c>
      <c r="U116" s="618">
        <f>IFERROR(INDEX('Annex 2_Code'!J$8:J$33,MATCH('Annex 3_MAFF'!$AG116,'Annex 2_Code'!$G$8:$G$33,0)),"")</f>
        <v>0</v>
      </c>
      <c r="V116" s="618">
        <f>IFERROR(INDEX('Annex 2_Code'!K$8:K$33,MATCH('Annex 3_MAFF'!$AG116,'Annex 2_Code'!$G$8:$G$33,0)),"")</f>
        <v>0</v>
      </c>
      <c r="W116" s="618">
        <f>IFERROR(INDEX('Annex 2_Code'!L$8:L$33,MATCH('Annex 3_MAFF'!$AG116,'Annex 2_Code'!$G$8:$G$33,0)),"")</f>
        <v>0</v>
      </c>
      <c r="X116" s="618">
        <f>IFERROR(INDEX('Annex 2_Code'!M$8:M$33,MATCH('Annex 3_MAFF'!$AG116,'Annex 2_Code'!$G$8:$G$33,0)),"")</f>
        <v>0</v>
      </c>
      <c r="Y116" s="1536">
        <f t="shared" si="87"/>
        <v>2.2999999999999998</v>
      </c>
      <c r="Z116" s="717">
        <f t="shared" si="88"/>
        <v>0</v>
      </c>
      <c r="AA116" s="717">
        <f t="shared" si="89"/>
        <v>0</v>
      </c>
      <c r="AB116" s="717">
        <f t="shared" si="90"/>
        <v>0</v>
      </c>
      <c r="AC116" s="718">
        <f t="shared" si="91"/>
        <v>0</v>
      </c>
      <c r="AD116" s="626">
        <f t="shared" si="92"/>
        <v>2.2999999999999998</v>
      </c>
      <c r="AE116" s="627">
        <f t="shared" si="6"/>
        <v>0</v>
      </c>
      <c r="AF116" s="1069" t="s">
        <v>480</v>
      </c>
      <c r="AG116" s="1069" t="s">
        <v>370</v>
      </c>
      <c r="AH116" s="2212" t="str">
        <f>IFERROR(INDEX('Annex 2_Code'!$J$110:$J$122,MATCH('Annex 3_MAFF'!AF116,'Annex 2_Code'!$G$110:$G$122,0)),"")</f>
        <v>MAFF-GDA</v>
      </c>
      <c r="AI116" s="1070" t="str">
        <f t="shared" si="93"/>
        <v>MAFF</v>
      </c>
      <c r="AK116" s="1383"/>
      <c r="AL116" s="1383"/>
    </row>
    <row r="117" spans="1:38" s="366" customFormat="1" outlineLevel="1">
      <c r="A117" s="102"/>
      <c r="B117" s="76" t="s">
        <v>294</v>
      </c>
      <c r="C117" s="361" t="s">
        <v>545</v>
      </c>
      <c r="D117" s="484"/>
      <c r="E117" s="1729"/>
      <c r="F117" s="1727" t="s">
        <v>865</v>
      </c>
      <c r="G117" s="1727"/>
      <c r="H117" s="1730" t="s">
        <v>171</v>
      </c>
      <c r="I117" s="1731">
        <v>13</v>
      </c>
      <c r="J117" s="666">
        <v>0</v>
      </c>
      <c r="K117" s="666">
        <v>0.5</v>
      </c>
      <c r="L117" s="666">
        <v>0.5</v>
      </c>
      <c r="M117" s="666">
        <v>0</v>
      </c>
      <c r="N117" s="1096">
        <f t="shared" si="84"/>
        <v>1</v>
      </c>
      <c r="O117" s="1121">
        <f t="shared" si="94"/>
        <v>0</v>
      </c>
      <c r="P117" s="1121">
        <f t="shared" si="95"/>
        <v>6.5</v>
      </c>
      <c r="Q117" s="1121">
        <f t="shared" si="85"/>
        <v>6.5</v>
      </c>
      <c r="R117" s="1121">
        <f t="shared" si="85"/>
        <v>0</v>
      </c>
      <c r="S117" s="145">
        <f t="shared" si="86"/>
        <v>13</v>
      </c>
      <c r="T117" s="618">
        <f>IFERROR(INDEX('Annex 2_Code'!I$8:I$33,MATCH('Annex 3_MAFF'!$AG117,'Annex 2_Code'!$G$8:$G$33,0)),"")</f>
        <v>1</v>
      </c>
      <c r="U117" s="618">
        <f>IFERROR(INDEX('Annex 2_Code'!J$8:J$33,MATCH('Annex 3_MAFF'!$AG117,'Annex 2_Code'!$G$8:$G$33,0)),"")</f>
        <v>0</v>
      </c>
      <c r="V117" s="618">
        <f>IFERROR(INDEX('Annex 2_Code'!K$8:K$33,MATCH('Annex 3_MAFF'!$AG117,'Annex 2_Code'!$G$8:$G$33,0)),"")</f>
        <v>0</v>
      </c>
      <c r="W117" s="618">
        <f>IFERROR(INDEX('Annex 2_Code'!L$8:L$33,MATCH('Annex 3_MAFF'!$AG117,'Annex 2_Code'!$G$8:$G$33,0)),"")</f>
        <v>0</v>
      </c>
      <c r="X117" s="618">
        <f>IFERROR(INDEX('Annex 2_Code'!M$8:M$33,MATCH('Annex 3_MAFF'!$AG117,'Annex 2_Code'!$G$8:$G$33,0)),"")</f>
        <v>0</v>
      </c>
      <c r="Y117" s="1536">
        <f t="shared" si="87"/>
        <v>13</v>
      </c>
      <c r="Z117" s="717">
        <f t="shared" si="88"/>
        <v>0</v>
      </c>
      <c r="AA117" s="717">
        <f t="shared" si="89"/>
        <v>0</v>
      </c>
      <c r="AB117" s="717">
        <f t="shared" si="90"/>
        <v>0</v>
      </c>
      <c r="AC117" s="718">
        <f t="shared" si="91"/>
        <v>0</v>
      </c>
      <c r="AD117" s="626">
        <f t="shared" si="92"/>
        <v>13</v>
      </c>
      <c r="AE117" s="627">
        <f t="shared" si="6"/>
        <v>0</v>
      </c>
      <c r="AF117" s="1069" t="s">
        <v>480</v>
      </c>
      <c r="AG117" s="1069" t="s">
        <v>370</v>
      </c>
      <c r="AH117" s="2212" t="str">
        <f>IFERROR(INDEX('Annex 2_Code'!$J$110:$J$122,MATCH('Annex 3_MAFF'!AF117,'Annex 2_Code'!$G$110:$G$122,0)),"")</f>
        <v>MAFF-GDA</v>
      </c>
      <c r="AI117" s="1070" t="str">
        <f t="shared" si="93"/>
        <v>MAFF</v>
      </c>
      <c r="AK117" s="1383"/>
      <c r="AL117" s="1383"/>
    </row>
    <row r="118" spans="1:38" s="366" customFormat="1" outlineLevel="1">
      <c r="A118" s="102"/>
      <c r="B118" s="76" t="s">
        <v>294</v>
      </c>
      <c r="C118" s="361" t="s">
        <v>545</v>
      </c>
      <c r="D118" s="484"/>
      <c r="E118" s="1729"/>
      <c r="F118" s="1727" t="s">
        <v>866</v>
      </c>
      <c r="G118" s="1727"/>
      <c r="H118" s="1730" t="s">
        <v>171</v>
      </c>
      <c r="I118" s="1731">
        <v>25.5</v>
      </c>
      <c r="J118" s="666">
        <v>0</v>
      </c>
      <c r="K118" s="666">
        <v>0.5</v>
      </c>
      <c r="L118" s="666">
        <v>0.5</v>
      </c>
      <c r="M118" s="666">
        <v>0</v>
      </c>
      <c r="N118" s="1096">
        <f t="shared" si="84"/>
        <v>1</v>
      </c>
      <c r="O118" s="1121">
        <f t="shared" si="94"/>
        <v>0</v>
      </c>
      <c r="P118" s="1121">
        <f t="shared" si="95"/>
        <v>12.75</v>
      </c>
      <c r="Q118" s="1121">
        <f t="shared" si="85"/>
        <v>12.75</v>
      </c>
      <c r="R118" s="1121">
        <f t="shared" si="85"/>
        <v>0</v>
      </c>
      <c r="S118" s="145">
        <f t="shared" si="86"/>
        <v>25.5</v>
      </c>
      <c r="T118" s="618">
        <f>IFERROR(INDEX('Annex 2_Code'!I$8:I$33,MATCH('Annex 3_MAFF'!$AG118,'Annex 2_Code'!$G$8:$G$33,0)),"")</f>
        <v>1</v>
      </c>
      <c r="U118" s="618">
        <f>IFERROR(INDEX('Annex 2_Code'!J$8:J$33,MATCH('Annex 3_MAFF'!$AG118,'Annex 2_Code'!$G$8:$G$33,0)),"")</f>
        <v>0</v>
      </c>
      <c r="V118" s="618">
        <f>IFERROR(INDEX('Annex 2_Code'!K$8:K$33,MATCH('Annex 3_MAFF'!$AG118,'Annex 2_Code'!$G$8:$G$33,0)),"")</f>
        <v>0</v>
      </c>
      <c r="W118" s="618">
        <f>IFERROR(INDEX('Annex 2_Code'!L$8:L$33,MATCH('Annex 3_MAFF'!$AG118,'Annex 2_Code'!$G$8:$G$33,0)),"")</f>
        <v>0</v>
      </c>
      <c r="X118" s="618">
        <f>IFERROR(INDEX('Annex 2_Code'!M$8:M$33,MATCH('Annex 3_MAFF'!$AG118,'Annex 2_Code'!$G$8:$G$33,0)),"")</f>
        <v>0</v>
      </c>
      <c r="Y118" s="1536">
        <f t="shared" si="87"/>
        <v>25.5</v>
      </c>
      <c r="Z118" s="717">
        <f t="shared" si="88"/>
        <v>0</v>
      </c>
      <c r="AA118" s="717">
        <f t="shared" si="89"/>
        <v>0</v>
      </c>
      <c r="AB118" s="717">
        <f t="shared" si="90"/>
        <v>0</v>
      </c>
      <c r="AC118" s="718">
        <f t="shared" si="91"/>
        <v>0</v>
      </c>
      <c r="AD118" s="626">
        <f t="shared" si="92"/>
        <v>25.5</v>
      </c>
      <c r="AE118" s="627">
        <f t="shared" si="6"/>
        <v>0</v>
      </c>
      <c r="AF118" s="1069" t="s">
        <v>480</v>
      </c>
      <c r="AG118" s="1069" t="s">
        <v>370</v>
      </c>
      <c r="AH118" s="2212" t="str">
        <f>IFERROR(INDEX('Annex 2_Code'!$J$110:$J$122,MATCH('Annex 3_MAFF'!AF118,'Annex 2_Code'!$G$110:$G$122,0)),"")</f>
        <v>MAFF-GDA</v>
      </c>
      <c r="AI118" s="1070" t="str">
        <f t="shared" si="93"/>
        <v>MAFF</v>
      </c>
      <c r="AK118" s="1383"/>
      <c r="AL118" s="1383"/>
    </row>
    <row r="119" spans="1:38" s="366" customFormat="1" outlineLevel="1">
      <c r="A119" s="102"/>
      <c r="B119" s="76" t="s">
        <v>294</v>
      </c>
      <c r="C119" s="361" t="s">
        <v>545</v>
      </c>
      <c r="D119" s="484"/>
      <c r="E119" s="1729"/>
      <c r="F119" s="1727" t="s">
        <v>847</v>
      </c>
      <c r="G119" s="1727"/>
      <c r="H119" s="1730" t="s">
        <v>171</v>
      </c>
      <c r="I119" s="1731">
        <v>32</v>
      </c>
      <c r="J119" s="666">
        <v>0</v>
      </c>
      <c r="K119" s="666">
        <v>0.5</v>
      </c>
      <c r="L119" s="666">
        <v>0.5</v>
      </c>
      <c r="M119" s="666">
        <v>0</v>
      </c>
      <c r="N119" s="1096">
        <f t="shared" si="84"/>
        <v>1</v>
      </c>
      <c r="O119" s="1121">
        <f t="shared" si="94"/>
        <v>0</v>
      </c>
      <c r="P119" s="1121">
        <f t="shared" si="95"/>
        <v>16</v>
      </c>
      <c r="Q119" s="1121">
        <f t="shared" si="85"/>
        <v>16</v>
      </c>
      <c r="R119" s="1121">
        <f t="shared" si="85"/>
        <v>0</v>
      </c>
      <c r="S119" s="145">
        <f t="shared" si="86"/>
        <v>32</v>
      </c>
      <c r="T119" s="618">
        <f>IFERROR(INDEX('Annex 2_Code'!I$8:I$33,MATCH('Annex 3_MAFF'!$AG119,'Annex 2_Code'!$G$8:$G$33,0)),"")</f>
        <v>1</v>
      </c>
      <c r="U119" s="618">
        <f>IFERROR(INDEX('Annex 2_Code'!J$8:J$33,MATCH('Annex 3_MAFF'!$AG119,'Annex 2_Code'!$G$8:$G$33,0)),"")</f>
        <v>0</v>
      </c>
      <c r="V119" s="618">
        <f>IFERROR(INDEX('Annex 2_Code'!K$8:K$33,MATCH('Annex 3_MAFF'!$AG119,'Annex 2_Code'!$G$8:$G$33,0)),"")</f>
        <v>0</v>
      </c>
      <c r="W119" s="618">
        <f>IFERROR(INDEX('Annex 2_Code'!L$8:L$33,MATCH('Annex 3_MAFF'!$AG119,'Annex 2_Code'!$G$8:$G$33,0)),"")</f>
        <v>0</v>
      </c>
      <c r="X119" s="618">
        <f>IFERROR(INDEX('Annex 2_Code'!M$8:M$33,MATCH('Annex 3_MAFF'!$AG119,'Annex 2_Code'!$G$8:$G$33,0)),"")</f>
        <v>0</v>
      </c>
      <c r="Y119" s="1536">
        <f t="shared" si="87"/>
        <v>32</v>
      </c>
      <c r="Z119" s="717">
        <f t="shared" si="88"/>
        <v>0</v>
      </c>
      <c r="AA119" s="717">
        <f t="shared" si="89"/>
        <v>0</v>
      </c>
      <c r="AB119" s="717">
        <f t="shared" si="90"/>
        <v>0</v>
      </c>
      <c r="AC119" s="718">
        <f t="shared" si="91"/>
        <v>0</v>
      </c>
      <c r="AD119" s="626">
        <f t="shared" si="92"/>
        <v>32</v>
      </c>
      <c r="AE119" s="627">
        <f t="shared" si="6"/>
        <v>0</v>
      </c>
      <c r="AF119" s="1069" t="s">
        <v>480</v>
      </c>
      <c r="AG119" s="1069" t="s">
        <v>370</v>
      </c>
      <c r="AH119" s="2212" t="str">
        <f>IFERROR(INDEX('Annex 2_Code'!$J$110:$J$122,MATCH('Annex 3_MAFF'!AF119,'Annex 2_Code'!$G$110:$G$122,0)),"")</f>
        <v>MAFF-GDA</v>
      </c>
      <c r="AI119" s="1070" t="str">
        <f t="shared" si="93"/>
        <v>MAFF</v>
      </c>
      <c r="AK119" s="1383"/>
      <c r="AL119" s="1383"/>
    </row>
    <row r="120" spans="1:38" s="366" customFormat="1" outlineLevel="1">
      <c r="A120" s="102"/>
      <c r="B120" s="76" t="s">
        <v>294</v>
      </c>
      <c r="C120" s="361" t="s">
        <v>545</v>
      </c>
      <c r="D120" s="484"/>
      <c r="E120" s="1729"/>
      <c r="F120" s="1727" t="s">
        <v>867</v>
      </c>
      <c r="G120" s="1727"/>
      <c r="H120" s="1730" t="s">
        <v>171</v>
      </c>
      <c r="I120" s="1731">
        <v>1.9</v>
      </c>
      <c r="J120" s="666">
        <v>0</v>
      </c>
      <c r="K120" s="666">
        <v>0.5</v>
      </c>
      <c r="L120" s="666">
        <v>0.5</v>
      </c>
      <c r="M120" s="666">
        <v>0</v>
      </c>
      <c r="N120" s="1096">
        <f t="shared" si="84"/>
        <v>1</v>
      </c>
      <c r="O120" s="1121">
        <f t="shared" si="94"/>
        <v>0</v>
      </c>
      <c r="P120" s="1121">
        <f t="shared" si="95"/>
        <v>0.95</v>
      </c>
      <c r="Q120" s="1121">
        <f t="shared" si="85"/>
        <v>0.95</v>
      </c>
      <c r="R120" s="1121">
        <f t="shared" si="85"/>
        <v>0</v>
      </c>
      <c r="S120" s="145">
        <f t="shared" si="86"/>
        <v>1.9</v>
      </c>
      <c r="T120" s="618">
        <f>IFERROR(INDEX('Annex 2_Code'!I$8:I$33,MATCH('Annex 3_MAFF'!$AG120,'Annex 2_Code'!$G$8:$G$33,0)),"")</f>
        <v>1</v>
      </c>
      <c r="U120" s="618">
        <f>IFERROR(INDEX('Annex 2_Code'!J$8:J$33,MATCH('Annex 3_MAFF'!$AG120,'Annex 2_Code'!$G$8:$G$33,0)),"")</f>
        <v>0</v>
      </c>
      <c r="V120" s="618">
        <f>IFERROR(INDEX('Annex 2_Code'!K$8:K$33,MATCH('Annex 3_MAFF'!$AG120,'Annex 2_Code'!$G$8:$G$33,0)),"")</f>
        <v>0</v>
      </c>
      <c r="W120" s="618">
        <f>IFERROR(INDEX('Annex 2_Code'!L$8:L$33,MATCH('Annex 3_MAFF'!$AG120,'Annex 2_Code'!$G$8:$G$33,0)),"")</f>
        <v>0</v>
      </c>
      <c r="X120" s="618">
        <f>IFERROR(INDEX('Annex 2_Code'!M$8:M$33,MATCH('Annex 3_MAFF'!$AG120,'Annex 2_Code'!$G$8:$G$33,0)),"")</f>
        <v>0</v>
      </c>
      <c r="Y120" s="1536">
        <f t="shared" si="87"/>
        <v>1.9</v>
      </c>
      <c r="Z120" s="717">
        <f t="shared" si="88"/>
        <v>0</v>
      </c>
      <c r="AA120" s="717">
        <f t="shared" si="89"/>
        <v>0</v>
      </c>
      <c r="AB120" s="717">
        <f t="shared" si="90"/>
        <v>0</v>
      </c>
      <c r="AC120" s="718">
        <f t="shared" si="91"/>
        <v>0</v>
      </c>
      <c r="AD120" s="626">
        <f t="shared" si="92"/>
        <v>1.9</v>
      </c>
      <c r="AE120" s="627">
        <f t="shared" si="6"/>
        <v>0</v>
      </c>
      <c r="AF120" s="1069" t="s">
        <v>480</v>
      </c>
      <c r="AG120" s="1069" t="s">
        <v>370</v>
      </c>
      <c r="AH120" s="2212" t="str">
        <f>IFERROR(INDEX('Annex 2_Code'!$J$110:$J$122,MATCH('Annex 3_MAFF'!AF120,'Annex 2_Code'!$G$110:$G$122,0)),"")</f>
        <v>MAFF-GDA</v>
      </c>
      <c r="AI120" s="1070" t="str">
        <f t="shared" si="93"/>
        <v>MAFF</v>
      </c>
      <c r="AK120" s="1383"/>
      <c r="AL120" s="1383"/>
    </row>
    <row r="121" spans="1:38" s="366" customFormat="1" outlineLevel="1">
      <c r="A121" s="102"/>
      <c r="B121" s="76" t="s">
        <v>294</v>
      </c>
      <c r="C121" s="361" t="s">
        <v>545</v>
      </c>
      <c r="D121" s="484"/>
      <c r="E121" s="1729"/>
      <c r="F121" s="1727" t="s">
        <v>868</v>
      </c>
      <c r="G121" s="1727"/>
      <c r="H121" s="1730" t="s">
        <v>171</v>
      </c>
      <c r="I121" s="1731">
        <v>3.8</v>
      </c>
      <c r="J121" s="666">
        <v>0</v>
      </c>
      <c r="K121" s="666">
        <v>0.5</v>
      </c>
      <c r="L121" s="666">
        <v>0.5</v>
      </c>
      <c r="M121" s="666">
        <v>0</v>
      </c>
      <c r="N121" s="1096">
        <f t="shared" si="84"/>
        <v>1</v>
      </c>
      <c r="O121" s="1121">
        <f t="shared" si="94"/>
        <v>0</v>
      </c>
      <c r="P121" s="1121">
        <f t="shared" si="95"/>
        <v>1.9</v>
      </c>
      <c r="Q121" s="1121">
        <f t="shared" si="85"/>
        <v>1.9</v>
      </c>
      <c r="R121" s="1121">
        <f t="shared" si="85"/>
        <v>0</v>
      </c>
      <c r="S121" s="145">
        <f t="shared" si="86"/>
        <v>3.8</v>
      </c>
      <c r="T121" s="618">
        <f>IFERROR(INDEX('Annex 2_Code'!I$8:I$33,MATCH('Annex 3_MAFF'!$AG121,'Annex 2_Code'!$G$8:$G$33,0)),"")</f>
        <v>1</v>
      </c>
      <c r="U121" s="618">
        <f>IFERROR(INDEX('Annex 2_Code'!J$8:J$33,MATCH('Annex 3_MAFF'!$AG121,'Annex 2_Code'!$G$8:$G$33,0)),"")</f>
        <v>0</v>
      </c>
      <c r="V121" s="618">
        <f>IFERROR(INDEX('Annex 2_Code'!K$8:K$33,MATCH('Annex 3_MAFF'!$AG121,'Annex 2_Code'!$G$8:$G$33,0)),"")</f>
        <v>0</v>
      </c>
      <c r="W121" s="618">
        <f>IFERROR(INDEX('Annex 2_Code'!L$8:L$33,MATCH('Annex 3_MAFF'!$AG121,'Annex 2_Code'!$G$8:$G$33,0)),"")</f>
        <v>0</v>
      </c>
      <c r="X121" s="618">
        <f>IFERROR(INDEX('Annex 2_Code'!M$8:M$33,MATCH('Annex 3_MAFF'!$AG121,'Annex 2_Code'!$G$8:$G$33,0)),"")</f>
        <v>0</v>
      </c>
      <c r="Y121" s="1536">
        <f t="shared" si="87"/>
        <v>3.8</v>
      </c>
      <c r="Z121" s="717">
        <f t="shared" si="88"/>
        <v>0</v>
      </c>
      <c r="AA121" s="717">
        <f t="shared" si="89"/>
        <v>0</v>
      </c>
      <c r="AB121" s="717">
        <f t="shared" si="90"/>
        <v>0</v>
      </c>
      <c r="AC121" s="718">
        <f t="shared" si="91"/>
        <v>0</v>
      </c>
      <c r="AD121" s="626">
        <f t="shared" si="92"/>
        <v>3.8</v>
      </c>
      <c r="AE121" s="627">
        <f t="shared" si="6"/>
        <v>0</v>
      </c>
      <c r="AF121" s="1069" t="s">
        <v>480</v>
      </c>
      <c r="AG121" s="1069" t="s">
        <v>370</v>
      </c>
      <c r="AH121" s="2212" t="str">
        <f>IFERROR(INDEX('Annex 2_Code'!$J$110:$J$122,MATCH('Annex 3_MAFF'!AF121,'Annex 2_Code'!$G$110:$G$122,0)),"")</f>
        <v>MAFF-GDA</v>
      </c>
      <c r="AI121" s="1070" t="str">
        <f t="shared" si="93"/>
        <v>MAFF</v>
      </c>
      <c r="AK121" s="1383"/>
      <c r="AL121" s="1383"/>
    </row>
    <row r="122" spans="1:38" s="366" customFormat="1" outlineLevel="1">
      <c r="A122" s="102"/>
      <c r="B122" s="76" t="s">
        <v>294</v>
      </c>
      <c r="C122" s="361" t="s">
        <v>545</v>
      </c>
      <c r="D122" s="484"/>
      <c r="E122" s="1729"/>
      <c r="F122" s="1727" t="s">
        <v>843</v>
      </c>
      <c r="G122" s="1727"/>
      <c r="H122" s="1730" t="s">
        <v>171</v>
      </c>
      <c r="I122" s="1731">
        <v>2.8</v>
      </c>
      <c r="J122" s="666">
        <v>0</v>
      </c>
      <c r="K122" s="666">
        <v>0.5</v>
      </c>
      <c r="L122" s="666">
        <v>0.5</v>
      </c>
      <c r="M122" s="666">
        <v>0</v>
      </c>
      <c r="N122" s="1096">
        <f t="shared" si="84"/>
        <v>1</v>
      </c>
      <c r="O122" s="1121">
        <f t="shared" si="94"/>
        <v>0</v>
      </c>
      <c r="P122" s="1121">
        <f t="shared" si="95"/>
        <v>1.4</v>
      </c>
      <c r="Q122" s="1121">
        <f t="shared" si="85"/>
        <v>1.4</v>
      </c>
      <c r="R122" s="1121">
        <f t="shared" si="85"/>
        <v>0</v>
      </c>
      <c r="S122" s="145">
        <f t="shared" si="86"/>
        <v>2.8</v>
      </c>
      <c r="T122" s="618">
        <f>IFERROR(INDEX('Annex 2_Code'!I$8:I$33,MATCH('Annex 3_MAFF'!$AG122,'Annex 2_Code'!$G$8:$G$33,0)),"")</f>
        <v>1</v>
      </c>
      <c r="U122" s="618">
        <f>IFERROR(INDEX('Annex 2_Code'!J$8:J$33,MATCH('Annex 3_MAFF'!$AG122,'Annex 2_Code'!$G$8:$G$33,0)),"")</f>
        <v>0</v>
      </c>
      <c r="V122" s="618">
        <f>IFERROR(INDEX('Annex 2_Code'!K$8:K$33,MATCH('Annex 3_MAFF'!$AG122,'Annex 2_Code'!$G$8:$G$33,0)),"")</f>
        <v>0</v>
      </c>
      <c r="W122" s="618">
        <f>IFERROR(INDEX('Annex 2_Code'!L$8:L$33,MATCH('Annex 3_MAFF'!$AG122,'Annex 2_Code'!$G$8:$G$33,0)),"")</f>
        <v>0</v>
      </c>
      <c r="X122" s="618">
        <f>IFERROR(INDEX('Annex 2_Code'!M$8:M$33,MATCH('Annex 3_MAFF'!$AG122,'Annex 2_Code'!$G$8:$G$33,0)),"")</f>
        <v>0</v>
      </c>
      <c r="Y122" s="1536">
        <f t="shared" si="87"/>
        <v>2.8</v>
      </c>
      <c r="Z122" s="717">
        <f t="shared" si="88"/>
        <v>0</v>
      </c>
      <c r="AA122" s="717">
        <f t="shared" si="89"/>
        <v>0</v>
      </c>
      <c r="AB122" s="717">
        <f t="shared" si="90"/>
        <v>0</v>
      </c>
      <c r="AC122" s="718">
        <f t="shared" si="91"/>
        <v>0</v>
      </c>
      <c r="AD122" s="626">
        <f t="shared" si="92"/>
        <v>2.8</v>
      </c>
      <c r="AE122" s="627">
        <f t="shared" si="6"/>
        <v>0</v>
      </c>
      <c r="AF122" s="1069" t="s">
        <v>480</v>
      </c>
      <c r="AG122" s="1069" t="s">
        <v>370</v>
      </c>
      <c r="AH122" s="2212" t="str">
        <f>IFERROR(INDEX('Annex 2_Code'!$J$110:$J$122,MATCH('Annex 3_MAFF'!AF122,'Annex 2_Code'!$G$110:$G$122,0)),"")</f>
        <v>MAFF-GDA</v>
      </c>
      <c r="AI122" s="1070" t="str">
        <f t="shared" si="93"/>
        <v>MAFF</v>
      </c>
      <c r="AK122" s="1383"/>
      <c r="AL122" s="1383"/>
    </row>
    <row r="123" spans="1:38" s="366" customFormat="1" outlineLevel="1">
      <c r="A123" s="102"/>
      <c r="B123" s="76" t="s">
        <v>294</v>
      </c>
      <c r="C123" s="361" t="s">
        <v>545</v>
      </c>
      <c r="D123" s="484"/>
      <c r="E123" s="1729"/>
      <c r="F123" s="1727" t="s">
        <v>869</v>
      </c>
      <c r="G123" s="1727"/>
      <c r="H123" s="1730" t="s">
        <v>171</v>
      </c>
      <c r="I123" s="1731">
        <v>0.75</v>
      </c>
      <c r="J123" s="666">
        <v>0</v>
      </c>
      <c r="K123" s="666">
        <v>0.5</v>
      </c>
      <c r="L123" s="666">
        <v>0.5</v>
      </c>
      <c r="M123" s="666">
        <v>0</v>
      </c>
      <c r="N123" s="1096">
        <f t="shared" si="84"/>
        <v>1</v>
      </c>
      <c r="O123" s="1121">
        <f t="shared" si="94"/>
        <v>0</v>
      </c>
      <c r="P123" s="1121">
        <f t="shared" si="95"/>
        <v>0.375</v>
      </c>
      <c r="Q123" s="1121">
        <f t="shared" si="85"/>
        <v>0.375</v>
      </c>
      <c r="R123" s="1121">
        <f t="shared" si="85"/>
        <v>0</v>
      </c>
      <c r="S123" s="145">
        <f t="shared" si="86"/>
        <v>0.75</v>
      </c>
      <c r="T123" s="618">
        <f>IFERROR(INDEX('Annex 2_Code'!I$8:I$33,MATCH('Annex 3_MAFF'!$AG123,'Annex 2_Code'!$G$8:$G$33,0)),"")</f>
        <v>1</v>
      </c>
      <c r="U123" s="618">
        <f>IFERROR(INDEX('Annex 2_Code'!J$8:J$33,MATCH('Annex 3_MAFF'!$AG123,'Annex 2_Code'!$G$8:$G$33,0)),"")</f>
        <v>0</v>
      </c>
      <c r="V123" s="618">
        <f>IFERROR(INDEX('Annex 2_Code'!K$8:K$33,MATCH('Annex 3_MAFF'!$AG123,'Annex 2_Code'!$G$8:$G$33,0)),"")</f>
        <v>0</v>
      </c>
      <c r="W123" s="618">
        <f>IFERROR(INDEX('Annex 2_Code'!L$8:L$33,MATCH('Annex 3_MAFF'!$AG123,'Annex 2_Code'!$G$8:$G$33,0)),"")</f>
        <v>0</v>
      </c>
      <c r="X123" s="618">
        <f>IFERROR(INDEX('Annex 2_Code'!M$8:M$33,MATCH('Annex 3_MAFF'!$AG123,'Annex 2_Code'!$G$8:$G$33,0)),"")</f>
        <v>0</v>
      </c>
      <c r="Y123" s="1536">
        <f t="shared" si="87"/>
        <v>0.75</v>
      </c>
      <c r="Z123" s="717">
        <f t="shared" si="88"/>
        <v>0</v>
      </c>
      <c r="AA123" s="717">
        <f t="shared" si="89"/>
        <v>0</v>
      </c>
      <c r="AB123" s="717">
        <f t="shared" si="90"/>
        <v>0</v>
      </c>
      <c r="AC123" s="718">
        <f t="shared" si="91"/>
        <v>0</v>
      </c>
      <c r="AD123" s="626">
        <f t="shared" si="92"/>
        <v>0.75</v>
      </c>
      <c r="AE123" s="627">
        <f t="shared" si="6"/>
        <v>0</v>
      </c>
      <c r="AF123" s="1069" t="s">
        <v>480</v>
      </c>
      <c r="AG123" s="1069" t="s">
        <v>370</v>
      </c>
      <c r="AH123" s="2212" t="str">
        <f>IFERROR(INDEX('Annex 2_Code'!$J$110:$J$122,MATCH('Annex 3_MAFF'!AF123,'Annex 2_Code'!$G$110:$G$122,0)),"")</f>
        <v>MAFF-GDA</v>
      </c>
      <c r="AI123" s="1070" t="str">
        <f t="shared" si="93"/>
        <v>MAFF</v>
      </c>
      <c r="AK123" s="1383"/>
      <c r="AL123" s="1383"/>
    </row>
    <row r="124" spans="1:38" s="366" customFormat="1" outlineLevel="1">
      <c r="A124" s="102"/>
      <c r="B124" s="76" t="s">
        <v>294</v>
      </c>
      <c r="C124" s="361" t="s">
        <v>545</v>
      </c>
      <c r="D124" s="484"/>
      <c r="E124" s="1729"/>
      <c r="F124" s="1727" t="s">
        <v>855</v>
      </c>
      <c r="G124" s="1727"/>
      <c r="H124" s="1730" t="s">
        <v>171</v>
      </c>
      <c r="I124" s="1731">
        <v>3.5</v>
      </c>
      <c r="J124" s="666">
        <v>0</v>
      </c>
      <c r="K124" s="666">
        <v>0.5</v>
      </c>
      <c r="L124" s="666">
        <v>0.5</v>
      </c>
      <c r="M124" s="666">
        <v>0</v>
      </c>
      <c r="N124" s="1096">
        <f t="shared" si="84"/>
        <v>1</v>
      </c>
      <c r="O124" s="1121">
        <f t="shared" si="94"/>
        <v>0</v>
      </c>
      <c r="P124" s="1121">
        <f t="shared" si="95"/>
        <v>1.75</v>
      </c>
      <c r="Q124" s="1121">
        <f t="shared" si="85"/>
        <v>1.75</v>
      </c>
      <c r="R124" s="1121">
        <f t="shared" si="85"/>
        <v>0</v>
      </c>
      <c r="S124" s="145">
        <f t="shared" si="86"/>
        <v>3.5</v>
      </c>
      <c r="T124" s="618">
        <f>IFERROR(INDEX('Annex 2_Code'!I$8:I$33,MATCH('Annex 3_MAFF'!$AG124,'Annex 2_Code'!$G$8:$G$33,0)),"")</f>
        <v>1</v>
      </c>
      <c r="U124" s="618">
        <f>IFERROR(INDEX('Annex 2_Code'!J$8:J$33,MATCH('Annex 3_MAFF'!$AG124,'Annex 2_Code'!$G$8:$G$33,0)),"")</f>
        <v>0</v>
      </c>
      <c r="V124" s="618">
        <f>IFERROR(INDEX('Annex 2_Code'!K$8:K$33,MATCH('Annex 3_MAFF'!$AG124,'Annex 2_Code'!$G$8:$G$33,0)),"")</f>
        <v>0</v>
      </c>
      <c r="W124" s="618">
        <f>IFERROR(INDEX('Annex 2_Code'!L$8:L$33,MATCH('Annex 3_MAFF'!$AG124,'Annex 2_Code'!$G$8:$G$33,0)),"")</f>
        <v>0</v>
      </c>
      <c r="X124" s="618">
        <f>IFERROR(INDEX('Annex 2_Code'!M$8:M$33,MATCH('Annex 3_MAFF'!$AG124,'Annex 2_Code'!$G$8:$G$33,0)),"")</f>
        <v>0</v>
      </c>
      <c r="Y124" s="1536">
        <f t="shared" si="87"/>
        <v>3.5</v>
      </c>
      <c r="Z124" s="717">
        <f t="shared" si="88"/>
        <v>0</v>
      </c>
      <c r="AA124" s="717">
        <f t="shared" si="89"/>
        <v>0</v>
      </c>
      <c r="AB124" s="717">
        <f t="shared" si="90"/>
        <v>0</v>
      </c>
      <c r="AC124" s="718">
        <f t="shared" si="91"/>
        <v>0</v>
      </c>
      <c r="AD124" s="626">
        <f t="shared" si="92"/>
        <v>3.5</v>
      </c>
      <c r="AE124" s="627">
        <f t="shared" si="6"/>
        <v>0</v>
      </c>
      <c r="AF124" s="1069" t="s">
        <v>480</v>
      </c>
      <c r="AG124" s="1069" t="s">
        <v>370</v>
      </c>
      <c r="AH124" s="2212" t="str">
        <f>IFERROR(INDEX('Annex 2_Code'!$J$110:$J$122,MATCH('Annex 3_MAFF'!AF124,'Annex 2_Code'!$G$110:$G$122,0)),"")</f>
        <v>MAFF-GDA</v>
      </c>
      <c r="AI124" s="1070" t="str">
        <f t="shared" si="93"/>
        <v>MAFF</v>
      </c>
      <c r="AK124" s="1383"/>
      <c r="AL124" s="1383"/>
    </row>
    <row r="125" spans="1:38" s="366" customFormat="1" outlineLevel="1">
      <c r="A125" s="102"/>
      <c r="B125" s="374" t="s">
        <v>294</v>
      </c>
      <c r="C125" s="361" t="s">
        <v>545</v>
      </c>
      <c r="D125" s="484"/>
      <c r="E125" s="1729"/>
      <c r="F125" s="1727" t="s">
        <v>870</v>
      </c>
      <c r="G125" s="1727"/>
      <c r="H125" s="1730" t="s">
        <v>171</v>
      </c>
      <c r="I125" s="1731">
        <v>45</v>
      </c>
      <c r="J125" s="1745">
        <v>0</v>
      </c>
      <c r="K125" s="1745">
        <v>1</v>
      </c>
      <c r="L125" s="1745">
        <v>1</v>
      </c>
      <c r="M125" s="1745">
        <v>0</v>
      </c>
      <c r="N125" s="667">
        <f t="shared" si="84"/>
        <v>2</v>
      </c>
      <c r="O125" s="1121">
        <f t="shared" si="94"/>
        <v>0</v>
      </c>
      <c r="P125" s="1121">
        <f t="shared" si="95"/>
        <v>45</v>
      </c>
      <c r="Q125" s="1121">
        <f t="shared" si="85"/>
        <v>45</v>
      </c>
      <c r="R125" s="1121">
        <f t="shared" si="85"/>
        <v>0</v>
      </c>
      <c r="S125" s="145">
        <f t="shared" si="86"/>
        <v>90</v>
      </c>
      <c r="T125" s="618">
        <f>IFERROR(INDEX('Annex 2_Code'!I$8:I$33,MATCH('Annex 3_MAFF'!$AG125,'Annex 2_Code'!$G$8:$G$33,0)),"")</f>
        <v>1</v>
      </c>
      <c r="U125" s="618">
        <f>IFERROR(INDEX('Annex 2_Code'!J$8:J$33,MATCH('Annex 3_MAFF'!$AG125,'Annex 2_Code'!$G$8:$G$33,0)),"")</f>
        <v>0</v>
      </c>
      <c r="V125" s="618">
        <f>IFERROR(INDEX('Annex 2_Code'!K$8:K$33,MATCH('Annex 3_MAFF'!$AG125,'Annex 2_Code'!$G$8:$G$33,0)),"")</f>
        <v>0</v>
      </c>
      <c r="W125" s="618">
        <f>IFERROR(INDEX('Annex 2_Code'!L$8:L$33,MATCH('Annex 3_MAFF'!$AG125,'Annex 2_Code'!$G$8:$G$33,0)),"")</f>
        <v>0</v>
      </c>
      <c r="X125" s="618">
        <f>IFERROR(INDEX('Annex 2_Code'!M$8:M$33,MATCH('Annex 3_MAFF'!$AG125,'Annex 2_Code'!$G$8:$G$33,0)),"")</f>
        <v>0</v>
      </c>
      <c r="Y125" s="1536">
        <f t="shared" si="87"/>
        <v>90</v>
      </c>
      <c r="Z125" s="717">
        <f t="shared" si="88"/>
        <v>0</v>
      </c>
      <c r="AA125" s="717">
        <f t="shared" si="89"/>
        <v>0</v>
      </c>
      <c r="AB125" s="717">
        <f t="shared" si="90"/>
        <v>0</v>
      </c>
      <c r="AC125" s="718">
        <f t="shared" si="91"/>
        <v>0</v>
      </c>
      <c r="AD125" s="626">
        <f t="shared" si="92"/>
        <v>90</v>
      </c>
      <c r="AE125" s="627">
        <f t="shared" si="6"/>
        <v>0</v>
      </c>
      <c r="AF125" s="1069" t="s">
        <v>480</v>
      </c>
      <c r="AG125" s="1069" t="s">
        <v>370</v>
      </c>
      <c r="AH125" s="2212" t="str">
        <f>IFERROR(INDEX('Annex 2_Code'!$J$110:$J$122,MATCH('Annex 3_MAFF'!AF125,'Annex 2_Code'!$G$110:$G$122,0)),"")</f>
        <v>MAFF-GDA</v>
      </c>
      <c r="AI125" s="1070" t="str">
        <f t="shared" si="93"/>
        <v>MAFF</v>
      </c>
      <c r="AK125" s="1383"/>
      <c r="AL125" s="1383"/>
    </row>
    <row r="126" spans="1:38" s="366" customFormat="1" outlineLevel="1">
      <c r="A126" s="102"/>
      <c r="B126" s="76" t="s">
        <v>294</v>
      </c>
      <c r="C126" s="361" t="s">
        <v>545</v>
      </c>
      <c r="D126" s="484"/>
      <c r="E126" s="1729"/>
      <c r="F126" s="1727" t="s">
        <v>871</v>
      </c>
      <c r="G126" s="1727"/>
      <c r="H126" s="1730" t="s">
        <v>171</v>
      </c>
      <c r="I126" s="1731">
        <v>16</v>
      </c>
      <c r="J126" s="666">
        <v>0</v>
      </c>
      <c r="K126" s="666">
        <v>0.5</v>
      </c>
      <c r="L126" s="666">
        <v>0.5</v>
      </c>
      <c r="M126" s="666">
        <v>0</v>
      </c>
      <c r="N126" s="1096">
        <f t="shared" si="84"/>
        <v>1</v>
      </c>
      <c r="O126" s="1121">
        <f t="shared" si="94"/>
        <v>0</v>
      </c>
      <c r="P126" s="1121">
        <f t="shared" si="95"/>
        <v>8</v>
      </c>
      <c r="Q126" s="1121">
        <f t="shared" si="85"/>
        <v>8</v>
      </c>
      <c r="R126" s="1121">
        <f t="shared" si="85"/>
        <v>0</v>
      </c>
      <c r="S126" s="145">
        <f t="shared" si="86"/>
        <v>16</v>
      </c>
      <c r="T126" s="618">
        <f>IFERROR(INDEX('Annex 2_Code'!I$8:I$33,MATCH('Annex 3_MAFF'!$AG126,'Annex 2_Code'!$G$8:$G$33,0)),"")</f>
        <v>1</v>
      </c>
      <c r="U126" s="618">
        <f>IFERROR(INDEX('Annex 2_Code'!J$8:J$33,MATCH('Annex 3_MAFF'!$AG126,'Annex 2_Code'!$G$8:$G$33,0)),"")</f>
        <v>0</v>
      </c>
      <c r="V126" s="618">
        <f>IFERROR(INDEX('Annex 2_Code'!K$8:K$33,MATCH('Annex 3_MAFF'!$AG126,'Annex 2_Code'!$G$8:$G$33,0)),"")</f>
        <v>0</v>
      </c>
      <c r="W126" s="618">
        <f>IFERROR(INDEX('Annex 2_Code'!L$8:L$33,MATCH('Annex 3_MAFF'!$AG126,'Annex 2_Code'!$G$8:$G$33,0)),"")</f>
        <v>0</v>
      </c>
      <c r="X126" s="618">
        <f>IFERROR(INDEX('Annex 2_Code'!M$8:M$33,MATCH('Annex 3_MAFF'!$AG126,'Annex 2_Code'!$G$8:$G$33,0)),"")</f>
        <v>0</v>
      </c>
      <c r="Y126" s="1536">
        <f t="shared" si="87"/>
        <v>16</v>
      </c>
      <c r="Z126" s="717">
        <f t="shared" si="88"/>
        <v>0</v>
      </c>
      <c r="AA126" s="717">
        <f t="shared" si="89"/>
        <v>0</v>
      </c>
      <c r="AB126" s="717">
        <f t="shared" si="90"/>
        <v>0</v>
      </c>
      <c r="AC126" s="718">
        <f t="shared" si="91"/>
        <v>0</v>
      </c>
      <c r="AD126" s="626">
        <f t="shared" si="92"/>
        <v>16</v>
      </c>
      <c r="AE126" s="627">
        <f t="shared" si="6"/>
        <v>0</v>
      </c>
      <c r="AF126" s="1069" t="s">
        <v>480</v>
      </c>
      <c r="AG126" s="1069" t="s">
        <v>370</v>
      </c>
      <c r="AH126" s="2212" t="str">
        <f>IFERROR(INDEX('Annex 2_Code'!$J$110:$J$122,MATCH('Annex 3_MAFF'!AF126,'Annex 2_Code'!$G$110:$G$122,0)),"")</f>
        <v>MAFF-GDA</v>
      </c>
      <c r="AI126" s="1070" t="str">
        <f t="shared" si="93"/>
        <v>MAFF</v>
      </c>
      <c r="AK126" s="1383"/>
      <c r="AL126" s="1383"/>
    </row>
    <row r="127" spans="1:38" s="366" customFormat="1" outlineLevel="1">
      <c r="A127" s="102"/>
      <c r="B127" s="76" t="s">
        <v>294</v>
      </c>
      <c r="C127" s="361" t="s">
        <v>545</v>
      </c>
      <c r="D127" s="484"/>
      <c r="E127" s="1729"/>
      <c r="F127" s="1727" t="s">
        <v>872</v>
      </c>
      <c r="G127" s="1727"/>
      <c r="H127" s="1730" t="s">
        <v>171</v>
      </c>
      <c r="I127" s="1731">
        <v>2</v>
      </c>
      <c r="J127" s="666">
        <v>0</v>
      </c>
      <c r="K127" s="666">
        <v>0.5</v>
      </c>
      <c r="L127" s="666">
        <v>0.5</v>
      </c>
      <c r="M127" s="666">
        <v>0</v>
      </c>
      <c r="N127" s="1096">
        <f t="shared" si="84"/>
        <v>1</v>
      </c>
      <c r="O127" s="1121">
        <f t="shared" si="94"/>
        <v>0</v>
      </c>
      <c r="P127" s="1121">
        <f t="shared" si="95"/>
        <v>1</v>
      </c>
      <c r="Q127" s="1121">
        <f t="shared" si="85"/>
        <v>1</v>
      </c>
      <c r="R127" s="1121">
        <f t="shared" si="85"/>
        <v>0</v>
      </c>
      <c r="S127" s="145">
        <f t="shared" si="86"/>
        <v>2</v>
      </c>
      <c r="T127" s="618">
        <f>IFERROR(INDEX('Annex 2_Code'!I$8:I$33,MATCH('Annex 3_MAFF'!$AG127,'Annex 2_Code'!$G$8:$G$33,0)),"")</f>
        <v>1</v>
      </c>
      <c r="U127" s="618">
        <f>IFERROR(INDEX('Annex 2_Code'!J$8:J$33,MATCH('Annex 3_MAFF'!$AG127,'Annex 2_Code'!$G$8:$G$33,0)),"")</f>
        <v>0</v>
      </c>
      <c r="V127" s="618">
        <f>IFERROR(INDEX('Annex 2_Code'!K$8:K$33,MATCH('Annex 3_MAFF'!$AG127,'Annex 2_Code'!$G$8:$G$33,0)),"")</f>
        <v>0</v>
      </c>
      <c r="W127" s="618">
        <f>IFERROR(INDEX('Annex 2_Code'!L$8:L$33,MATCH('Annex 3_MAFF'!$AG127,'Annex 2_Code'!$G$8:$G$33,0)),"")</f>
        <v>0</v>
      </c>
      <c r="X127" s="618">
        <f>IFERROR(INDEX('Annex 2_Code'!M$8:M$33,MATCH('Annex 3_MAFF'!$AG127,'Annex 2_Code'!$G$8:$G$33,0)),"")</f>
        <v>0</v>
      </c>
      <c r="Y127" s="1536">
        <f t="shared" si="87"/>
        <v>2</v>
      </c>
      <c r="Z127" s="717">
        <f t="shared" si="88"/>
        <v>0</v>
      </c>
      <c r="AA127" s="717">
        <f t="shared" si="89"/>
        <v>0</v>
      </c>
      <c r="AB127" s="717">
        <f t="shared" si="90"/>
        <v>0</v>
      </c>
      <c r="AC127" s="718">
        <f t="shared" si="91"/>
        <v>0</v>
      </c>
      <c r="AD127" s="626">
        <f t="shared" si="92"/>
        <v>2</v>
      </c>
      <c r="AE127" s="627">
        <f t="shared" si="6"/>
        <v>0</v>
      </c>
      <c r="AF127" s="1069" t="s">
        <v>480</v>
      </c>
      <c r="AG127" s="1069" t="s">
        <v>370</v>
      </c>
      <c r="AH127" s="2212" t="str">
        <f>IFERROR(INDEX('Annex 2_Code'!$J$110:$J$122,MATCH('Annex 3_MAFF'!AF127,'Annex 2_Code'!$G$110:$G$122,0)),"")</f>
        <v>MAFF-GDA</v>
      </c>
      <c r="AI127" s="1070" t="str">
        <f t="shared" si="93"/>
        <v>MAFF</v>
      </c>
      <c r="AK127" s="1383"/>
      <c r="AL127" s="1383"/>
    </row>
    <row r="128" spans="1:38" s="366" customFormat="1" outlineLevel="1">
      <c r="A128" s="102"/>
      <c r="B128" s="76" t="s">
        <v>294</v>
      </c>
      <c r="C128" s="361" t="s">
        <v>545</v>
      </c>
      <c r="D128" s="484"/>
      <c r="E128" s="1729"/>
      <c r="F128" s="1727" t="s">
        <v>873</v>
      </c>
      <c r="G128" s="1727"/>
      <c r="H128" s="1730" t="s">
        <v>171</v>
      </c>
      <c r="I128" s="1731">
        <v>2</v>
      </c>
      <c r="J128" s="666">
        <v>0</v>
      </c>
      <c r="K128" s="666">
        <v>0.5</v>
      </c>
      <c r="L128" s="666">
        <v>0.5</v>
      </c>
      <c r="M128" s="666">
        <v>0</v>
      </c>
      <c r="N128" s="1096">
        <f t="shared" si="84"/>
        <v>1</v>
      </c>
      <c r="O128" s="1121">
        <f t="shared" si="94"/>
        <v>0</v>
      </c>
      <c r="P128" s="1121">
        <f t="shared" si="95"/>
        <v>1</v>
      </c>
      <c r="Q128" s="1121">
        <f t="shared" ref="Q128:Q132" si="96">($I128*L128)</f>
        <v>1</v>
      </c>
      <c r="R128" s="1121">
        <f t="shared" ref="R128:R132" si="97">($I128*M128)</f>
        <v>0</v>
      </c>
      <c r="S128" s="145">
        <f t="shared" si="86"/>
        <v>2</v>
      </c>
      <c r="T128" s="618">
        <f>IFERROR(INDEX('Annex 2_Code'!I$8:I$33,MATCH('Annex 3_MAFF'!$AG128,'Annex 2_Code'!$G$8:$G$33,0)),"")</f>
        <v>1</v>
      </c>
      <c r="U128" s="618">
        <f>IFERROR(INDEX('Annex 2_Code'!J$8:J$33,MATCH('Annex 3_MAFF'!$AG128,'Annex 2_Code'!$G$8:$G$33,0)),"")</f>
        <v>0</v>
      </c>
      <c r="V128" s="618">
        <f>IFERROR(INDEX('Annex 2_Code'!K$8:K$33,MATCH('Annex 3_MAFF'!$AG128,'Annex 2_Code'!$G$8:$G$33,0)),"")</f>
        <v>0</v>
      </c>
      <c r="W128" s="618">
        <f>IFERROR(INDEX('Annex 2_Code'!L$8:L$33,MATCH('Annex 3_MAFF'!$AG128,'Annex 2_Code'!$G$8:$G$33,0)),"")</f>
        <v>0</v>
      </c>
      <c r="X128" s="618">
        <f>IFERROR(INDEX('Annex 2_Code'!M$8:M$33,MATCH('Annex 3_MAFF'!$AG128,'Annex 2_Code'!$G$8:$G$33,0)),"")</f>
        <v>0</v>
      </c>
      <c r="Y128" s="1536">
        <f t="shared" si="87"/>
        <v>2</v>
      </c>
      <c r="Z128" s="717">
        <f t="shared" si="88"/>
        <v>0</v>
      </c>
      <c r="AA128" s="717">
        <f t="shared" si="89"/>
        <v>0</v>
      </c>
      <c r="AB128" s="717">
        <f t="shared" si="90"/>
        <v>0</v>
      </c>
      <c r="AC128" s="718">
        <f t="shared" si="91"/>
        <v>0</v>
      </c>
      <c r="AD128" s="626">
        <f t="shared" si="92"/>
        <v>2</v>
      </c>
      <c r="AE128" s="627">
        <f t="shared" si="6"/>
        <v>0</v>
      </c>
      <c r="AF128" s="1069" t="s">
        <v>480</v>
      </c>
      <c r="AG128" s="1069" t="s">
        <v>370</v>
      </c>
      <c r="AH128" s="2212" t="str">
        <f>IFERROR(INDEX('Annex 2_Code'!$J$110:$J$122,MATCH('Annex 3_MAFF'!AF128,'Annex 2_Code'!$G$110:$G$122,0)),"")</f>
        <v>MAFF-GDA</v>
      </c>
      <c r="AI128" s="1070" t="str">
        <f t="shared" si="93"/>
        <v>MAFF</v>
      </c>
      <c r="AK128" s="1383"/>
      <c r="AL128" s="1383"/>
    </row>
    <row r="129" spans="1:38" s="366" customFormat="1" outlineLevel="1">
      <c r="A129" s="102"/>
      <c r="B129" s="76" t="s">
        <v>294</v>
      </c>
      <c r="C129" s="361" t="s">
        <v>545</v>
      </c>
      <c r="D129" s="484"/>
      <c r="E129" s="1729"/>
      <c r="F129" s="1727" t="s">
        <v>874</v>
      </c>
      <c r="G129" s="1727"/>
      <c r="H129" s="1730" t="s">
        <v>171</v>
      </c>
      <c r="I129" s="1731">
        <v>2.5</v>
      </c>
      <c r="J129" s="666">
        <v>0</v>
      </c>
      <c r="K129" s="666">
        <v>0.5</v>
      </c>
      <c r="L129" s="666">
        <v>0.5</v>
      </c>
      <c r="M129" s="666">
        <v>0</v>
      </c>
      <c r="N129" s="1096">
        <f t="shared" si="84"/>
        <v>1</v>
      </c>
      <c r="O129" s="1121">
        <f t="shared" si="94"/>
        <v>0</v>
      </c>
      <c r="P129" s="1121">
        <f t="shared" si="95"/>
        <v>1.25</v>
      </c>
      <c r="Q129" s="1121">
        <f t="shared" si="96"/>
        <v>1.25</v>
      </c>
      <c r="R129" s="1121">
        <f t="shared" si="97"/>
        <v>0</v>
      </c>
      <c r="S129" s="145">
        <f t="shared" si="86"/>
        <v>2.5</v>
      </c>
      <c r="T129" s="618">
        <f>IFERROR(INDEX('Annex 2_Code'!I$8:I$33,MATCH('Annex 3_MAFF'!$AG129,'Annex 2_Code'!$G$8:$G$33,0)),"")</f>
        <v>1</v>
      </c>
      <c r="U129" s="618">
        <f>IFERROR(INDEX('Annex 2_Code'!J$8:J$33,MATCH('Annex 3_MAFF'!$AG129,'Annex 2_Code'!$G$8:$G$33,0)),"")</f>
        <v>0</v>
      </c>
      <c r="V129" s="618">
        <f>IFERROR(INDEX('Annex 2_Code'!K$8:K$33,MATCH('Annex 3_MAFF'!$AG129,'Annex 2_Code'!$G$8:$G$33,0)),"")</f>
        <v>0</v>
      </c>
      <c r="W129" s="618">
        <f>IFERROR(INDEX('Annex 2_Code'!L$8:L$33,MATCH('Annex 3_MAFF'!$AG129,'Annex 2_Code'!$G$8:$G$33,0)),"")</f>
        <v>0</v>
      </c>
      <c r="X129" s="618">
        <f>IFERROR(INDEX('Annex 2_Code'!M$8:M$33,MATCH('Annex 3_MAFF'!$AG129,'Annex 2_Code'!$G$8:$G$33,0)),"")</f>
        <v>0</v>
      </c>
      <c r="Y129" s="1536">
        <f t="shared" si="87"/>
        <v>2.5</v>
      </c>
      <c r="Z129" s="717">
        <f t="shared" si="88"/>
        <v>0</v>
      </c>
      <c r="AA129" s="717">
        <f t="shared" si="89"/>
        <v>0</v>
      </c>
      <c r="AB129" s="717">
        <f t="shared" si="90"/>
        <v>0</v>
      </c>
      <c r="AC129" s="718">
        <f t="shared" si="91"/>
        <v>0</v>
      </c>
      <c r="AD129" s="626">
        <f t="shared" si="92"/>
        <v>2.5</v>
      </c>
      <c r="AE129" s="627">
        <f t="shared" si="6"/>
        <v>0</v>
      </c>
      <c r="AF129" s="1069" t="s">
        <v>480</v>
      </c>
      <c r="AG129" s="1069" t="s">
        <v>370</v>
      </c>
      <c r="AH129" s="2212" t="str">
        <f>IFERROR(INDEX('Annex 2_Code'!$J$110:$J$122,MATCH('Annex 3_MAFF'!AF129,'Annex 2_Code'!$G$110:$G$122,0)),"")</f>
        <v>MAFF-GDA</v>
      </c>
      <c r="AI129" s="1070" t="str">
        <f t="shared" si="93"/>
        <v>MAFF</v>
      </c>
      <c r="AK129" s="1383"/>
      <c r="AL129" s="1383"/>
    </row>
    <row r="130" spans="1:38" s="366" customFormat="1" outlineLevel="1">
      <c r="A130" s="102"/>
      <c r="B130" s="374" t="s">
        <v>294</v>
      </c>
      <c r="C130" s="361" t="s">
        <v>545</v>
      </c>
      <c r="D130" s="484"/>
      <c r="E130" s="1729"/>
      <c r="F130" s="1727" t="s">
        <v>875</v>
      </c>
      <c r="G130" s="1727"/>
      <c r="H130" s="1730" t="s">
        <v>171</v>
      </c>
      <c r="I130" s="1731">
        <v>1.2</v>
      </c>
      <c r="J130" s="1745">
        <v>0</v>
      </c>
      <c r="K130" s="1745">
        <v>1</v>
      </c>
      <c r="L130" s="1745">
        <v>1</v>
      </c>
      <c r="M130" s="1745">
        <v>0</v>
      </c>
      <c r="N130" s="667">
        <f t="shared" si="84"/>
        <v>2</v>
      </c>
      <c r="O130" s="1121">
        <f t="shared" si="94"/>
        <v>0</v>
      </c>
      <c r="P130" s="1121">
        <f t="shared" si="95"/>
        <v>1.2</v>
      </c>
      <c r="Q130" s="1121">
        <f t="shared" si="96"/>
        <v>1.2</v>
      </c>
      <c r="R130" s="1121">
        <f t="shared" si="97"/>
        <v>0</v>
      </c>
      <c r="S130" s="145">
        <f>SUM(O130:R130)</f>
        <v>2.4</v>
      </c>
      <c r="T130" s="618">
        <f>IFERROR(INDEX('Annex 2_Code'!I$8:I$33,MATCH('Annex 3_MAFF'!$AG130,'Annex 2_Code'!$G$8:$G$33,0)),"")</f>
        <v>1</v>
      </c>
      <c r="U130" s="618">
        <f>IFERROR(INDEX('Annex 2_Code'!J$8:J$33,MATCH('Annex 3_MAFF'!$AG130,'Annex 2_Code'!$G$8:$G$33,0)),"")</f>
        <v>0</v>
      </c>
      <c r="V130" s="618">
        <f>IFERROR(INDEX('Annex 2_Code'!K$8:K$33,MATCH('Annex 3_MAFF'!$AG130,'Annex 2_Code'!$G$8:$G$33,0)),"")</f>
        <v>0</v>
      </c>
      <c r="W130" s="618">
        <f>IFERROR(INDEX('Annex 2_Code'!L$8:L$33,MATCH('Annex 3_MAFF'!$AG130,'Annex 2_Code'!$G$8:$G$33,0)),"")</f>
        <v>0</v>
      </c>
      <c r="X130" s="618">
        <f>IFERROR(INDEX('Annex 2_Code'!M$8:M$33,MATCH('Annex 3_MAFF'!$AG130,'Annex 2_Code'!$G$8:$G$33,0)),"")</f>
        <v>0</v>
      </c>
      <c r="Y130" s="1536">
        <f t="shared" si="87"/>
        <v>2.4</v>
      </c>
      <c r="Z130" s="717">
        <f t="shared" si="88"/>
        <v>0</v>
      </c>
      <c r="AA130" s="717">
        <f t="shared" si="89"/>
        <v>0</v>
      </c>
      <c r="AB130" s="717">
        <f t="shared" si="90"/>
        <v>0</v>
      </c>
      <c r="AC130" s="718">
        <f t="shared" si="91"/>
        <v>0</v>
      </c>
      <c r="AD130" s="626">
        <f t="shared" si="92"/>
        <v>2.4</v>
      </c>
      <c r="AE130" s="627">
        <f t="shared" si="6"/>
        <v>0</v>
      </c>
      <c r="AF130" s="1069" t="s">
        <v>480</v>
      </c>
      <c r="AG130" s="1069" t="s">
        <v>370</v>
      </c>
      <c r="AH130" s="2212" t="str">
        <f>IFERROR(INDEX('Annex 2_Code'!$J$110:$J$122,MATCH('Annex 3_MAFF'!AF130,'Annex 2_Code'!$G$110:$G$122,0)),"")</f>
        <v>MAFF-GDA</v>
      </c>
      <c r="AI130" s="1070" t="str">
        <f t="shared" si="93"/>
        <v>MAFF</v>
      </c>
      <c r="AK130" s="1383"/>
      <c r="AL130" s="1383"/>
    </row>
    <row r="131" spans="1:38" s="366" customFormat="1" outlineLevel="1">
      <c r="A131" s="102"/>
      <c r="B131" s="374" t="s">
        <v>294</v>
      </c>
      <c r="C131" s="361" t="s">
        <v>545</v>
      </c>
      <c r="D131" s="484"/>
      <c r="E131" s="1729"/>
      <c r="F131" s="1727" t="s">
        <v>859</v>
      </c>
      <c r="G131" s="1727"/>
      <c r="H131" s="1730" t="s">
        <v>171</v>
      </c>
      <c r="I131" s="1731">
        <v>2.8</v>
      </c>
      <c r="J131" s="1745">
        <v>0</v>
      </c>
      <c r="K131" s="1745">
        <v>1</v>
      </c>
      <c r="L131" s="1745">
        <v>1</v>
      </c>
      <c r="M131" s="1745">
        <v>0</v>
      </c>
      <c r="N131" s="667">
        <f t="shared" si="84"/>
        <v>2</v>
      </c>
      <c r="O131" s="1121">
        <f t="shared" si="94"/>
        <v>0</v>
      </c>
      <c r="P131" s="1121">
        <f t="shared" si="95"/>
        <v>2.8</v>
      </c>
      <c r="Q131" s="1121">
        <f t="shared" si="96"/>
        <v>2.8</v>
      </c>
      <c r="R131" s="1121">
        <f t="shared" si="97"/>
        <v>0</v>
      </c>
      <c r="S131" s="145">
        <f t="shared" si="86"/>
        <v>5.6</v>
      </c>
      <c r="T131" s="618">
        <f>IFERROR(INDEX('Annex 2_Code'!I$8:I$33,MATCH('Annex 3_MAFF'!$AG131,'Annex 2_Code'!$G$8:$G$33,0)),"")</f>
        <v>1</v>
      </c>
      <c r="U131" s="618">
        <f>IFERROR(INDEX('Annex 2_Code'!J$8:J$33,MATCH('Annex 3_MAFF'!$AG131,'Annex 2_Code'!$G$8:$G$33,0)),"")</f>
        <v>0</v>
      </c>
      <c r="V131" s="618">
        <f>IFERROR(INDEX('Annex 2_Code'!K$8:K$33,MATCH('Annex 3_MAFF'!$AG131,'Annex 2_Code'!$G$8:$G$33,0)),"")</f>
        <v>0</v>
      </c>
      <c r="W131" s="618">
        <f>IFERROR(INDEX('Annex 2_Code'!L$8:L$33,MATCH('Annex 3_MAFF'!$AG131,'Annex 2_Code'!$G$8:$G$33,0)),"")</f>
        <v>0</v>
      </c>
      <c r="X131" s="618">
        <f>IFERROR(INDEX('Annex 2_Code'!M$8:M$33,MATCH('Annex 3_MAFF'!$AG131,'Annex 2_Code'!$G$8:$G$33,0)),"")</f>
        <v>0</v>
      </c>
      <c r="Y131" s="1536">
        <f t="shared" si="87"/>
        <v>5.6</v>
      </c>
      <c r="Z131" s="717">
        <f t="shared" si="88"/>
        <v>0</v>
      </c>
      <c r="AA131" s="717">
        <f t="shared" si="89"/>
        <v>0</v>
      </c>
      <c r="AB131" s="717">
        <f t="shared" si="90"/>
        <v>0</v>
      </c>
      <c r="AC131" s="718">
        <f t="shared" si="91"/>
        <v>0</v>
      </c>
      <c r="AD131" s="626">
        <f t="shared" si="92"/>
        <v>5.6</v>
      </c>
      <c r="AE131" s="627">
        <f t="shared" si="6"/>
        <v>0</v>
      </c>
      <c r="AF131" s="1069" t="s">
        <v>480</v>
      </c>
      <c r="AG131" s="1069" t="s">
        <v>370</v>
      </c>
      <c r="AH131" s="2212" t="str">
        <f>IFERROR(INDEX('Annex 2_Code'!$J$110:$J$122,MATCH('Annex 3_MAFF'!AF131,'Annex 2_Code'!$G$110:$G$122,0)),"")</f>
        <v>MAFF-GDA</v>
      </c>
      <c r="AI131" s="1070" t="str">
        <f t="shared" si="93"/>
        <v>MAFF</v>
      </c>
      <c r="AK131" s="1383"/>
      <c r="AL131" s="1383"/>
    </row>
    <row r="132" spans="1:38" s="366" customFormat="1" outlineLevel="1">
      <c r="A132" s="102"/>
      <c r="B132" s="76" t="s">
        <v>294</v>
      </c>
      <c r="C132" s="361" t="s">
        <v>545</v>
      </c>
      <c r="D132" s="484"/>
      <c r="E132" s="1729"/>
      <c r="F132" s="1727" t="s">
        <v>746</v>
      </c>
      <c r="G132" s="1727"/>
      <c r="H132" s="1730" t="s">
        <v>171</v>
      </c>
      <c r="I132" s="1731">
        <v>20</v>
      </c>
      <c r="J132" s="666">
        <v>0</v>
      </c>
      <c r="K132" s="666">
        <v>0.5</v>
      </c>
      <c r="L132" s="666">
        <v>0.5</v>
      </c>
      <c r="M132" s="666">
        <v>0</v>
      </c>
      <c r="N132" s="1096">
        <f t="shared" si="84"/>
        <v>1</v>
      </c>
      <c r="O132" s="1121">
        <f t="shared" si="94"/>
        <v>0</v>
      </c>
      <c r="P132" s="1121">
        <f t="shared" si="95"/>
        <v>10</v>
      </c>
      <c r="Q132" s="1121">
        <f t="shared" si="96"/>
        <v>10</v>
      </c>
      <c r="R132" s="1121">
        <f t="shared" si="97"/>
        <v>0</v>
      </c>
      <c r="S132" s="145">
        <f>SUM(O132:R132)</f>
        <v>20</v>
      </c>
      <c r="T132" s="618">
        <f>IFERROR(INDEX('Annex 2_Code'!I$8:I$33,MATCH('Annex 3_MAFF'!$AG132,'Annex 2_Code'!$G$8:$G$33,0)),"")</f>
        <v>1</v>
      </c>
      <c r="U132" s="618">
        <f>IFERROR(INDEX('Annex 2_Code'!J$8:J$33,MATCH('Annex 3_MAFF'!$AG132,'Annex 2_Code'!$G$8:$G$33,0)),"")</f>
        <v>0</v>
      </c>
      <c r="V132" s="618">
        <f>IFERROR(INDEX('Annex 2_Code'!K$8:K$33,MATCH('Annex 3_MAFF'!$AG132,'Annex 2_Code'!$G$8:$G$33,0)),"")</f>
        <v>0</v>
      </c>
      <c r="W132" s="618">
        <f>IFERROR(INDEX('Annex 2_Code'!L$8:L$33,MATCH('Annex 3_MAFF'!$AG132,'Annex 2_Code'!$G$8:$G$33,0)),"")</f>
        <v>0</v>
      </c>
      <c r="X132" s="618">
        <f>IFERROR(INDEX('Annex 2_Code'!M$8:M$33,MATCH('Annex 3_MAFF'!$AG132,'Annex 2_Code'!$G$8:$G$33,0)),"")</f>
        <v>0</v>
      </c>
      <c r="Y132" s="1536">
        <f t="shared" si="87"/>
        <v>20</v>
      </c>
      <c r="Z132" s="717">
        <f t="shared" si="88"/>
        <v>0</v>
      </c>
      <c r="AA132" s="717">
        <f t="shared" si="89"/>
        <v>0</v>
      </c>
      <c r="AB132" s="717">
        <f t="shared" si="90"/>
        <v>0</v>
      </c>
      <c r="AC132" s="718">
        <f t="shared" si="91"/>
        <v>0</v>
      </c>
      <c r="AD132" s="626">
        <f t="shared" si="92"/>
        <v>20</v>
      </c>
      <c r="AE132" s="627">
        <f t="shared" si="6"/>
        <v>0</v>
      </c>
      <c r="AF132" s="1069" t="s">
        <v>480</v>
      </c>
      <c r="AG132" s="1069" t="s">
        <v>370</v>
      </c>
      <c r="AH132" s="2212" t="str">
        <f>IFERROR(INDEX('Annex 2_Code'!$J$110:$J$122,MATCH('Annex 3_MAFF'!AF132,'Annex 2_Code'!$G$110:$G$122,0)),"")</f>
        <v>MAFF-GDA</v>
      </c>
      <c r="AI132" s="1070" t="str">
        <f t="shared" si="93"/>
        <v>MAFF</v>
      </c>
      <c r="AK132" s="1383"/>
      <c r="AL132" s="1383"/>
    </row>
    <row r="133" spans="1:38" s="366" customFormat="1" outlineLevel="1">
      <c r="A133" s="102"/>
      <c r="B133" s="76" t="s">
        <v>294</v>
      </c>
      <c r="C133" s="361" t="s">
        <v>545</v>
      </c>
      <c r="D133" s="484"/>
      <c r="E133" s="1729"/>
      <c r="F133" s="1727" t="s">
        <v>747</v>
      </c>
      <c r="G133" s="1727"/>
      <c r="H133" s="1730" t="s">
        <v>172</v>
      </c>
      <c r="I133" s="1942" t="s">
        <v>173</v>
      </c>
      <c r="J133" s="666"/>
      <c r="K133" s="666"/>
      <c r="L133" s="666"/>
      <c r="M133" s="666"/>
      <c r="N133" s="1096"/>
      <c r="O133" s="1733"/>
      <c r="P133" s="486">
        <v>0</v>
      </c>
      <c r="Q133" s="486">
        <v>0</v>
      </c>
      <c r="R133" s="1734">
        <v>0</v>
      </c>
      <c r="S133" s="2175">
        <v>0</v>
      </c>
      <c r="T133" s="618">
        <f>IFERROR(INDEX('Annex 2_Code'!I$8:I$33,MATCH('Annex 3_MAFF'!$AG133,'Annex 2_Code'!$G$8:$G$33,0)),"")</f>
        <v>1</v>
      </c>
      <c r="U133" s="618">
        <f>IFERROR(INDEX('Annex 2_Code'!J$8:J$33,MATCH('Annex 3_MAFF'!$AG133,'Annex 2_Code'!$G$8:$G$33,0)),"")</f>
        <v>0</v>
      </c>
      <c r="V133" s="618">
        <f>IFERROR(INDEX('Annex 2_Code'!K$8:K$33,MATCH('Annex 3_MAFF'!$AG133,'Annex 2_Code'!$G$8:$G$33,0)),"")</f>
        <v>0</v>
      </c>
      <c r="W133" s="618">
        <f>IFERROR(INDEX('Annex 2_Code'!L$8:L$33,MATCH('Annex 3_MAFF'!$AG133,'Annex 2_Code'!$G$8:$G$33,0)),"")</f>
        <v>0</v>
      </c>
      <c r="X133" s="618">
        <f>IFERROR(INDEX('Annex 2_Code'!M$8:M$33,MATCH('Annex 3_MAFF'!$AG133,'Annex 2_Code'!$G$8:$G$33,0)),"")</f>
        <v>0</v>
      </c>
      <c r="Y133" s="1536">
        <f t="shared" si="87"/>
        <v>0</v>
      </c>
      <c r="Z133" s="717">
        <f t="shared" si="88"/>
        <v>0</v>
      </c>
      <c r="AA133" s="717">
        <f t="shared" si="89"/>
        <v>0</v>
      </c>
      <c r="AB133" s="717">
        <f t="shared" si="90"/>
        <v>0</v>
      </c>
      <c r="AC133" s="718">
        <f t="shared" si="91"/>
        <v>0</v>
      </c>
      <c r="AD133" s="626">
        <f t="shared" si="92"/>
        <v>0</v>
      </c>
      <c r="AE133" s="627">
        <f t="shared" si="6"/>
        <v>0</v>
      </c>
      <c r="AF133" s="1069" t="s">
        <v>480</v>
      </c>
      <c r="AG133" s="1069" t="s">
        <v>370</v>
      </c>
      <c r="AH133" s="2212" t="str">
        <f>IFERROR(INDEX('Annex 2_Code'!$J$110:$J$122,MATCH('Annex 3_MAFF'!AF133,'Annex 2_Code'!$G$110:$G$122,0)),"")</f>
        <v>MAFF-GDA</v>
      </c>
      <c r="AI133" s="1070" t="str">
        <f t="shared" si="93"/>
        <v>MAFF</v>
      </c>
      <c r="AK133" s="1383"/>
      <c r="AL133" s="1383"/>
    </row>
    <row r="134" spans="1:38" s="366" customFormat="1" outlineLevel="1">
      <c r="A134" s="102"/>
      <c r="B134" s="1921" t="s">
        <v>294</v>
      </c>
      <c r="C134" s="1922" t="s">
        <v>545</v>
      </c>
      <c r="D134" s="484"/>
      <c r="E134" s="1729"/>
      <c r="F134" s="1927" t="s">
        <v>1138</v>
      </c>
      <c r="G134" s="1727"/>
      <c r="H134" s="565" t="s">
        <v>172</v>
      </c>
      <c r="I134" s="1943" t="s">
        <v>173</v>
      </c>
      <c r="J134" s="665"/>
      <c r="K134" s="666"/>
      <c r="L134" s="666"/>
      <c r="M134" s="666"/>
      <c r="N134" s="1096"/>
      <c r="O134" s="1734"/>
      <c r="P134" s="486">
        <v>0</v>
      </c>
      <c r="Q134" s="486">
        <v>0</v>
      </c>
      <c r="R134" s="1734">
        <v>0</v>
      </c>
      <c r="S134" s="2175">
        <v>0</v>
      </c>
      <c r="T134" s="618">
        <f>IFERROR(INDEX('Annex 2_Code'!I$8:I$33,MATCH('Annex 3_MAFF'!$AG134,'Annex 2_Code'!$G$8:$G$33,0)),"")</f>
        <v>1</v>
      </c>
      <c r="U134" s="618">
        <f>IFERROR(INDEX('Annex 2_Code'!J$8:J$33,MATCH('Annex 3_MAFF'!$AG134,'Annex 2_Code'!$G$8:$G$33,0)),"")</f>
        <v>0</v>
      </c>
      <c r="V134" s="618">
        <f>IFERROR(INDEX('Annex 2_Code'!K$8:K$33,MATCH('Annex 3_MAFF'!$AG134,'Annex 2_Code'!$G$8:$G$33,0)),"")</f>
        <v>0</v>
      </c>
      <c r="W134" s="618">
        <f>IFERROR(INDEX('Annex 2_Code'!L$8:L$33,MATCH('Annex 3_MAFF'!$AG134,'Annex 2_Code'!$G$8:$G$33,0)),"")</f>
        <v>0</v>
      </c>
      <c r="X134" s="618">
        <f>IFERROR(INDEX('Annex 2_Code'!M$8:M$33,MATCH('Annex 3_MAFF'!$AG134,'Annex 2_Code'!$G$8:$G$33,0)),"")</f>
        <v>0</v>
      </c>
      <c r="Y134" s="1536">
        <f t="shared" si="87"/>
        <v>0</v>
      </c>
      <c r="Z134" s="717">
        <f t="shared" si="88"/>
        <v>0</v>
      </c>
      <c r="AA134" s="717">
        <f t="shared" si="89"/>
        <v>0</v>
      </c>
      <c r="AB134" s="717">
        <f t="shared" si="90"/>
        <v>0</v>
      </c>
      <c r="AC134" s="718">
        <f t="shared" si="91"/>
        <v>0</v>
      </c>
      <c r="AD134" s="626">
        <f t="shared" si="92"/>
        <v>0</v>
      </c>
      <c r="AE134" s="627">
        <f t="shared" si="6"/>
        <v>0</v>
      </c>
      <c r="AF134" s="1069" t="s">
        <v>480</v>
      </c>
      <c r="AG134" s="1069" t="s">
        <v>370</v>
      </c>
      <c r="AH134" s="2212" t="str">
        <f>IFERROR(INDEX('Annex 2_Code'!$J$110:$J$122,MATCH('Annex 3_MAFF'!AF134,'Annex 2_Code'!$G$110:$G$122,0)),"")</f>
        <v>MAFF-GDA</v>
      </c>
      <c r="AI134" s="1070" t="str">
        <f t="shared" si="93"/>
        <v>MAFF</v>
      </c>
      <c r="AK134" s="1383"/>
      <c r="AL134" s="1383"/>
    </row>
    <row r="135" spans="1:38" s="366" customFormat="1" outlineLevel="1">
      <c r="A135" s="102"/>
      <c r="B135" s="76" t="s">
        <v>294</v>
      </c>
      <c r="C135" s="361" t="s">
        <v>545</v>
      </c>
      <c r="D135" s="484"/>
      <c r="E135" s="1729"/>
      <c r="F135" s="1920"/>
      <c r="G135" s="2291" t="s">
        <v>1196</v>
      </c>
      <c r="H135" s="565" t="s">
        <v>1197</v>
      </c>
      <c r="I135" s="1943">
        <v>0.2</v>
      </c>
      <c r="J135" s="1744">
        <v>0</v>
      </c>
      <c r="K135" s="1745">
        <v>20</v>
      </c>
      <c r="L135" s="1745">
        <v>30</v>
      </c>
      <c r="M135" s="1745">
        <v>20</v>
      </c>
      <c r="N135" s="1096">
        <f t="shared" ref="N135:N137" si="98">SUM(J135:M135)</f>
        <v>70</v>
      </c>
      <c r="O135" s="1121">
        <f t="shared" ref="O135:O137" si="99">($I135*J135)</f>
        <v>0</v>
      </c>
      <c r="P135" s="1121">
        <f t="shared" ref="P135:P137" si="100">($I135*K135)</f>
        <v>4</v>
      </c>
      <c r="Q135" s="1121">
        <f t="shared" ref="Q135:Q137" si="101">($I135*L135)</f>
        <v>6</v>
      </c>
      <c r="R135" s="1121">
        <f t="shared" ref="R135:R137" si="102">($I135*M135)</f>
        <v>4</v>
      </c>
      <c r="S135" s="1737">
        <f t="shared" ref="S135:S137" si="103">SUM(O135:R135)</f>
        <v>14</v>
      </c>
      <c r="T135" s="618">
        <f>IFERROR(INDEX('Annex 2_Code'!I$8:I$33,MATCH('Annex 3_MAFF'!$AG135,'Annex 2_Code'!$G$8:$G$33,0)),"")</f>
        <v>1</v>
      </c>
      <c r="U135" s="618">
        <f>IFERROR(INDEX('Annex 2_Code'!J$8:J$33,MATCH('Annex 3_MAFF'!$AG135,'Annex 2_Code'!$G$8:$G$33,0)),"")</f>
        <v>0</v>
      </c>
      <c r="V135" s="618">
        <f>IFERROR(INDEX('Annex 2_Code'!K$8:K$33,MATCH('Annex 3_MAFF'!$AG135,'Annex 2_Code'!$G$8:$G$33,0)),"")</f>
        <v>0</v>
      </c>
      <c r="W135" s="618">
        <f>IFERROR(INDEX('Annex 2_Code'!L$8:L$33,MATCH('Annex 3_MAFF'!$AG135,'Annex 2_Code'!$G$8:$G$33,0)),"")</f>
        <v>0</v>
      </c>
      <c r="X135" s="618">
        <f>IFERROR(INDEX('Annex 2_Code'!M$8:M$33,MATCH('Annex 3_MAFF'!$AG135,'Annex 2_Code'!$G$8:$G$33,0)),"")</f>
        <v>0</v>
      </c>
      <c r="Y135" s="1536">
        <f t="shared" ref="Y135:Y137" si="104">IFERROR($S135*T135,"")</f>
        <v>14</v>
      </c>
      <c r="Z135" s="717">
        <f t="shared" ref="Z135:Z137" si="105">IFERROR($S135*U135,"")</f>
        <v>0</v>
      </c>
      <c r="AA135" s="717">
        <f t="shared" si="9"/>
        <v>0</v>
      </c>
      <c r="AB135" s="717">
        <f t="shared" ref="AB135:AB137" si="106">IFERROR($S135*W135,"")</f>
        <v>0</v>
      </c>
      <c r="AC135" s="718">
        <f t="shared" ref="AC135:AC137" si="107">IFERROR($S135*X135,"")</f>
        <v>0</v>
      </c>
      <c r="AD135" s="626">
        <f t="shared" ref="AD135:AD137" si="108">SUM(Y135:AC135)</f>
        <v>14</v>
      </c>
      <c r="AE135" s="627">
        <f t="shared" si="6"/>
        <v>0</v>
      </c>
      <c r="AF135" s="1069" t="s">
        <v>480</v>
      </c>
      <c r="AG135" s="1069" t="s">
        <v>370</v>
      </c>
      <c r="AH135" s="2212" t="str">
        <f>IFERROR(INDEX('Annex 2_Code'!$J$110:$J$122,MATCH('Annex 3_MAFF'!AF135,'Annex 2_Code'!$G$110:$G$122,0)),"")</f>
        <v>MAFF-GDA</v>
      </c>
      <c r="AI135" s="1070" t="str">
        <f t="shared" ref="AI135:AI137" si="109">IF(ISNUMBER(FIND("-",AH135,1))=FALSE,LEFT(AH135,LEN(AH135)),LEFT(AH135,(FIND("-",AH135,1))-1))</f>
        <v>MAFF</v>
      </c>
      <c r="AK135" s="1383"/>
      <c r="AL135" s="1383"/>
    </row>
    <row r="136" spans="1:38" s="366" customFormat="1" outlineLevel="1">
      <c r="A136" s="102"/>
      <c r="B136" s="76" t="s">
        <v>294</v>
      </c>
      <c r="C136" s="361" t="s">
        <v>545</v>
      </c>
      <c r="D136" s="484"/>
      <c r="E136" s="1729"/>
      <c r="F136" s="1920"/>
      <c r="G136" s="2291" t="s">
        <v>1198</v>
      </c>
      <c r="H136" s="565" t="s">
        <v>1197</v>
      </c>
      <c r="I136" s="1943">
        <v>0.3</v>
      </c>
      <c r="J136" s="1744">
        <v>0</v>
      </c>
      <c r="K136" s="1745">
        <v>15</v>
      </c>
      <c r="L136" s="1745">
        <v>15</v>
      </c>
      <c r="M136" s="1745">
        <v>15</v>
      </c>
      <c r="N136" s="1096">
        <f t="shared" si="98"/>
        <v>45</v>
      </c>
      <c r="O136" s="1121">
        <f t="shared" si="99"/>
        <v>0</v>
      </c>
      <c r="P136" s="1121">
        <f t="shared" si="100"/>
        <v>4.5</v>
      </c>
      <c r="Q136" s="1121">
        <f t="shared" si="101"/>
        <v>4.5</v>
      </c>
      <c r="R136" s="1121">
        <f t="shared" si="102"/>
        <v>4.5</v>
      </c>
      <c r="S136" s="1737">
        <f t="shared" si="103"/>
        <v>13.5</v>
      </c>
      <c r="T136" s="618">
        <f>IFERROR(INDEX('Annex 2_Code'!I$8:I$33,MATCH('Annex 3_MAFF'!$AG136,'Annex 2_Code'!$G$8:$G$33,0)),"")</f>
        <v>1</v>
      </c>
      <c r="U136" s="618">
        <f>IFERROR(INDEX('Annex 2_Code'!J$8:J$33,MATCH('Annex 3_MAFF'!$AG136,'Annex 2_Code'!$G$8:$G$33,0)),"")</f>
        <v>0</v>
      </c>
      <c r="V136" s="618">
        <f>IFERROR(INDEX('Annex 2_Code'!K$8:K$33,MATCH('Annex 3_MAFF'!$AG136,'Annex 2_Code'!$G$8:$G$33,0)),"")</f>
        <v>0</v>
      </c>
      <c r="W136" s="618">
        <f>IFERROR(INDEX('Annex 2_Code'!L$8:L$33,MATCH('Annex 3_MAFF'!$AG136,'Annex 2_Code'!$G$8:$G$33,0)),"")</f>
        <v>0</v>
      </c>
      <c r="X136" s="618">
        <f>IFERROR(INDEX('Annex 2_Code'!M$8:M$33,MATCH('Annex 3_MAFF'!$AG136,'Annex 2_Code'!$G$8:$G$33,0)),"")</f>
        <v>0</v>
      </c>
      <c r="Y136" s="1536">
        <f t="shared" si="104"/>
        <v>13.5</v>
      </c>
      <c r="Z136" s="717">
        <f t="shared" si="105"/>
        <v>0</v>
      </c>
      <c r="AA136" s="717">
        <f t="shared" si="9"/>
        <v>0</v>
      </c>
      <c r="AB136" s="717">
        <f t="shared" si="106"/>
        <v>0</v>
      </c>
      <c r="AC136" s="718">
        <f t="shared" si="107"/>
        <v>0</v>
      </c>
      <c r="AD136" s="626">
        <f t="shared" si="108"/>
        <v>13.5</v>
      </c>
      <c r="AE136" s="627">
        <f t="shared" si="6"/>
        <v>0</v>
      </c>
      <c r="AF136" s="1069" t="s">
        <v>480</v>
      </c>
      <c r="AG136" s="1069" t="s">
        <v>370</v>
      </c>
      <c r="AH136" s="2212" t="str">
        <f>IFERROR(INDEX('Annex 2_Code'!$J$110:$J$122,MATCH('Annex 3_MAFF'!AF136,'Annex 2_Code'!$G$110:$G$122,0)),"")</f>
        <v>MAFF-GDA</v>
      </c>
      <c r="AI136" s="1070" t="str">
        <f t="shared" si="109"/>
        <v>MAFF</v>
      </c>
      <c r="AK136" s="1383"/>
      <c r="AL136" s="1383"/>
    </row>
    <row r="137" spans="1:38" s="366" customFormat="1" outlineLevel="1">
      <c r="A137" s="102"/>
      <c r="B137" s="76" t="s">
        <v>294</v>
      </c>
      <c r="C137" s="361" t="s">
        <v>545</v>
      </c>
      <c r="D137" s="484"/>
      <c r="E137" s="1729"/>
      <c r="F137" s="1920"/>
      <c r="G137" s="2291" t="s">
        <v>1199</v>
      </c>
      <c r="H137" s="565" t="s">
        <v>1197</v>
      </c>
      <c r="I137" s="1943">
        <v>0.1</v>
      </c>
      <c r="J137" s="1744">
        <v>0</v>
      </c>
      <c r="K137" s="1745">
        <v>5</v>
      </c>
      <c r="L137" s="1745">
        <v>0</v>
      </c>
      <c r="M137" s="1745">
        <v>5</v>
      </c>
      <c r="N137" s="1096">
        <f t="shared" si="98"/>
        <v>10</v>
      </c>
      <c r="O137" s="1121">
        <f t="shared" si="99"/>
        <v>0</v>
      </c>
      <c r="P137" s="1121">
        <f t="shared" si="100"/>
        <v>0.5</v>
      </c>
      <c r="Q137" s="1121">
        <f t="shared" si="101"/>
        <v>0</v>
      </c>
      <c r="R137" s="1121">
        <f t="shared" si="102"/>
        <v>0.5</v>
      </c>
      <c r="S137" s="1737">
        <f t="shared" si="103"/>
        <v>1</v>
      </c>
      <c r="T137" s="618">
        <f>IFERROR(INDEX('Annex 2_Code'!I$8:I$33,MATCH('Annex 3_MAFF'!$AG137,'Annex 2_Code'!$G$8:$G$33,0)),"")</f>
        <v>1</v>
      </c>
      <c r="U137" s="618">
        <f>IFERROR(INDEX('Annex 2_Code'!J$8:J$33,MATCH('Annex 3_MAFF'!$AG137,'Annex 2_Code'!$G$8:$G$33,0)),"")</f>
        <v>0</v>
      </c>
      <c r="V137" s="618">
        <f>IFERROR(INDEX('Annex 2_Code'!K$8:K$33,MATCH('Annex 3_MAFF'!$AG137,'Annex 2_Code'!$G$8:$G$33,0)),"")</f>
        <v>0</v>
      </c>
      <c r="W137" s="618">
        <f>IFERROR(INDEX('Annex 2_Code'!L$8:L$33,MATCH('Annex 3_MAFF'!$AG137,'Annex 2_Code'!$G$8:$G$33,0)),"")</f>
        <v>0</v>
      </c>
      <c r="X137" s="618">
        <f>IFERROR(INDEX('Annex 2_Code'!M$8:M$33,MATCH('Annex 3_MAFF'!$AG137,'Annex 2_Code'!$G$8:$G$33,0)),"")</f>
        <v>0</v>
      </c>
      <c r="Y137" s="1536">
        <f t="shared" si="104"/>
        <v>1</v>
      </c>
      <c r="Z137" s="717">
        <f t="shared" si="105"/>
        <v>0</v>
      </c>
      <c r="AA137" s="717">
        <f t="shared" si="9"/>
        <v>0</v>
      </c>
      <c r="AB137" s="717">
        <f t="shared" si="106"/>
        <v>0</v>
      </c>
      <c r="AC137" s="718">
        <f t="shared" si="107"/>
        <v>0</v>
      </c>
      <c r="AD137" s="626">
        <f t="shared" si="108"/>
        <v>1</v>
      </c>
      <c r="AE137" s="627">
        <f t="shared" si="6"/>
        <v>0</v>
      </c>
      <c r="AF137" s="1069" t="s">
        <v>480</v>
      </c>
      <c r="AG137" s="1069" t="s">
        <v>370</v>
      </c>
      <c r="AH137" s="2212" t="str">
        <f>IFERROR(INDEX('Annex 2_Code'!$J$110:$J$122,MATCH('Annex 3_MAFF'!AF137,'Annex 2_Code'!$G$110:$G$122,0)),"")</f>
        <v>MAFF-GDA</v>
      </c>
      <c r="AI137" s="1070" t="str">
        <f t="shared" si="109"/>
        <v>MAFF</v>
      </c>
      <c r="AK137" s="1383"/>
      <c r="AL137" s="1383"/>
    </row>
    <row r="138" spans="1:38" s="366" customFormat="1" outlineLevel="1">
      <c r="A138" s="102"/>
      <c r="B138" s="76" t="s">
        <v>173</v>
      </c>
      <c r="C138" s="77"/>
      <c r="D138" s="1464"/>
      <c r="E138" s="1440" t="s">
        <v>41</v>
      </c>
      <c r="F138" s="1444"/>
      <c r="G138" s="1428"/>
      <c r="H138" s="1530"/>
      <c r="I138" s="1531"/>
      <c r="J138" s="1456"/>
      <c r="K138" s="1457"/>
      <c r="L138" s="1457"/>
      <c r="M138" s="1457"/>
      <c r="N138" s="1466"/>
      <c r="O138" s="1492">
        <f>SUM(O112:O137)</f>
        <v>0</v>
      </c>
      <c r="P138" s="1493">
        <f>SUM(P112:P137)</f>
        <v>139.27500000000001</v>
      </c>
      <c r="Q138" s="1493">
        <f>SUM(Q112:Q137)</f>
        <v>140.77500000000001</v>
      </c>
      <c r="R138" s="1493">
        <f>SUM(R112:R137)</f>
        <v>9</v>
      </c>
      <c r="S138" s="1494">
        <f>SUM(S112:S137)</f>
        <v>289.05</v>
      </c>
      <c r="T138" s="618" t="str">
        <f>IFERROR(INDEX('[4]Annex 2'!I$8:I$33,MATCH('[4]Annex 3'!$AF74,'[4]Annex 2'!$G$8:$G$33,0)),"")</f>
        <v/>
      </c>
      <c r="U138" s="618" t="str">
        <f>IFERROR(INDEX('[4]Annex 2'!J$8:J$33,MATCH('[4]Annex 3'!$AF74,'[4]Annex 2'!$G$8:$G$33,0)),"")</f>
        <v/>
      </c>
      <c r="V138" s="618" t="str">
        <f>IFERROR(INDEX('[4]Annex 2'!K$8:K$33,MATCH('[4]Annex 3'!$AF74,'[4]Annex 2'!$G$8:$G$33,0)),"")</f>
        <v/>
      </c>
      <c r="W138" s="618" t="str">
        <f>IFERROR(INDEX('[4]Annex 2'!L$8:L$33,MATCH('[4]Annex 3'!$AF74,'[4]Annex 2'!$G$8:$G$33,0)),"")</f>
        <v/>
      </c>
      <c r="X138" s="618" t="str">
        <f>IFERROR(INDEX('[4]Annex 2'!M$8:M$33,MATCH('[4]Annex 3'!$AF74,'[4]Annex 2'!$G$8:$G$33,0)),"")</f>
        <v/>
      </c>
      <c r="Y138" s="1536" t="str">
        <f t="shared" ref="Y138:AC138" si="110">IFERROR($S138*T138,"")</f>
        <v/>
      </c>
      <c r="Z138" s="717" t="str">
        <f t="shared" si="110"/>
        <v/>
      </c>
      <c r="AA138" s="717" t="str">
        <f t="shared" si="9"/>
        <v/>
      </c>
      <c r="AB138" s="717" t="str">
        <f t="shared" si="110"/>
        <v/>
      </c>
      <c r="AC138" s="718" t="str">
        <f t="shared" si="110"/>
        <v/>
      </c>
      <c r="AD138" s="626">
        <f t="shared" si="5"/>
        <v>0</v>
      </c>
      <c r="AE138" s="627">
        <f t="shared" si="6"/>
        <v>-289.05</v>
      </c>
      <c r="AF138" s="1080"/>
      <c r="AG138" s="1080"/>
      <c r="AH138" s="1069"/>
      <c r="AI138" s="1070"/>
      <c r="AK138" s="1383"/>
      <c r="AL138" s="1383"/>
    </row>
    <row r="139" spans="1:38" s="366" customFormat="1" outlineLevel="1">
      <c r="A139" s="102"/>
      <c r="B139" s="76" t="s">
        <v>173</v>
      </c>
      <c r="C139" s="77"/>
      <c r="D139" s="78"/>
      <c r="E139" s="97"/>
      <c r="F139" s="364"/>
      <c r="G139" s="722"/>
      <c r="H139" s="565"/>
      <c r="I139" s="566"/>
      <c r="J139" s="665"/>
      <c r="K139" s="666"/>
      <c r="L139" s="666"/>
      <c r="M139" s="666"/>
      <c r="N139" s="667"/>
      <c r="O139" s="688"/>
      <c r="P139" s="689"/>
      <c r="Q139" s="689"/>
      <c r="R139" s="689"/>
      <c r="S139" s="1188"/>
      <c r="T139" s="618"/>
      <c r="U139" s="618"/>
      <c r="V139" s="618"/>
      <c r="W139" s="618"/>
      <c r="X139" s="618"/>
      <c r="Y139" s="1536"/>
      <c r="Z139" s="717"/>
      <c r="AA139" s="717"/>
      <c r="AB139" s="717"/>
      <c r="AC139" s="718"/>
      <c r="AD139" s="626">
        <f t="shared" si="5"/>
        <v>0</v>
      </c>
      <c r="AE139" s="627">
        <f t="shared" si="6"/>
        <v>0</v>
      </c>
      <c r="AF139" s="570"/>
      <c r="AG139" s="570"/>
      <c r="AH139" s="568"/>
      <c r="AI139" s="882"/>
      <c r="AK139" s="1383"/>
      <c r="AL139" s="1383"/>
    </row>
    <row r="140" spans="1:38" s="366" customFormat="1" outlineLevel="1">
      <c r="A140" s="102"/>
      <c r="B140" s="76" t="s">
        <v>173</v>
      </c>
      <c r="C140" s="77"/>
      <c r="D140" s="78"/>
      <c r="E140" s="97" t="s">
        <v>807</v>
      </c>
      <c r="F140" s="364"/>
      <c r="G140" s="722"/>
      <c r="H140" s="565"/>
      <c r="I140" s="566"/>
      <c r="J140" s="665"/>
      <c r="K140" s="666"/>
      <c r="L140" s="666"/>
      <c r="M140" s="666"/>
      <c r="N140" s="667"/>
      <c r="O140" s="688"/>
      <c r="P140" s="689"/>
      <c r="Q140" s="689"/>
      <c r="R140" s="689"/>
      <c r="S140" s="145"/>
      <c r="T140" s="618"/>
      <c r="U140" s="618"/>
      <c r="V140" s="618"/>
      <c r="W140" s="618"/>
      <c r="X140" s="618"/>
      <c r="Y140" s="1536"/>
      <c r="Z140" s="717"/>
      <c r="AA140" s="717">
        <f t="shared" si="9"/>
        <v>0</v>
      </c>
      <c r="AB140" s="717"/>
      <c r="AC140" s="718"/>
      <c r="AD140" s="626">
        <f t="shared" si="5"/>
        <v>0</v>
      </c>
      <c r="AE140" s="627">
        <f t="shared" si="6"/>
        <v>0</v>
      </c>
      <c r="AF140" s="570"/>
      <c r="AG140" s="570"/>
      <c r="AH140" s="568"/>
      <c r="AI140" s="882"/>
      <c r="AK140" s="1383"/>
      <c r="AL140" s="1383"/>
    </row>
    <row r="141" spans="1:38" s="366" customFormat="1" outlineLevel="1">
      <c r="A141" s="102"/>
      <c r="B141" s="374" t="s">
        <v>57</v>
      </c>
      <c r="C141" s="361" t="s">
        <v>57</v>
      </c>
      <c r="D141" s="78"/>
      <c r="E141" s="97" t="s">
        <v>796</v>
      </c>
      <c r="F141" s="364"/>
      <c r="G141" s="722" t="s">
        <v>267</v>
      </c>
      <c r="H141" s="538" t="s">
        <v>172</v>
      </c>
      <c r="I141" s="1944">
        <v>0</v>
      </c>
      <c r="J141" s="665">
        <v>0</v>
      </c>
      <c r="K141" s="666">
        <v>0.5</v>
      </c>
      <c r="L141" s="666">
        <v>0.5</v>
      </c>
      <c r="M141" s="666"/>
      <c r="N141" s="667">
        <f>SUM(J141:M141)</f>
        <v>1</v>
      </c>
      <c r="O141" s="1023">
        <f>($I141*J141)</f>
        <v>0</v>
      </c>
      <c r="P141" s="1067">
        <f>($I141*K141)</f>
        <v>0</v>
      </c>
      <c r="Q141" s="1067">
        <f t="shared" ref="Q141:R141" si="111">($I141*L141)</f>
        <v>0</v>
      </c>
      <c r="R141" s="1067">
        <f t="shared" si="111"/>
        <v>0</v>
      </c>
      <c r="S141" s="145">
        <f>SUM(O141:R141)</f>
        <v>0</v>
      </c>
      <c r="T141" s="618">
        <f>IFERROR(INDEX('Annex 2_Code'!I$8:I$33,MATCH('Annex 3_MAFF'!$AG141,'Annex 2_Code'!$G$8:$G$33,0)),"")</f>
        <v>1</v>
      </c>
      <c r="U141" s="618">
        <f>IFERROR(INDEX('Annex 2_Code'!J$8:J$33,MATCH('Annex 3_MAFF'!$AG141,'Annex 2_Code'!$G$8:$G$33,0)),"")</f>
        <v>0</v>
      </c>
      <c r="V141" s="618">
        <f>IFERROR(INDEX('Annex 2_Code'!K$8:K$33,MATCH('Annex 3_MAFF'!$AG141,'Annex 2_Code'!$G$8:$G$33,0)),"")</f>
        <v>0</v>
      </c>
      <c r="W141" s="618">
        <f>IFERROR(INDEX('Annex 2_Code'!L$8:L$33,MATCH('Annex 3_MAFF'!$AG141,'Annex 2_Code'!$G$8:$G$33,0)),"")</f>
        <v>0</v>
      </c>
      <c r="X141" s="618">
        <f>IFERROR(INDEX('Annex 2_Code'!M$8:M$33,MATCH('Annex 3_MAFF'!$AG141,'Annex 2_Code'!$G$8:$G$33,0)),"")</f>
        <v>0</v>
      </c>
      <c r="Y141" s="1536">
        <f>IFERROR($S141*T141,"")</f>
        <v>0</v>
      </c>
      <c r="Z141" s="717">
        <f t="shared" si="10"/>
        <v>0</v>
      </c>
      <c r="AA141" s="717">
        <f t="shared" si="9"/>
        <v>0</v>
      </c>
      <c r="AB141" s="717">
        <f t="shared" si="11"/>
        <v>0</v>
      </c>
      <c r="AC141" s="718">
        <f t="shared" si="12"/>
        <v>0</v>
      </c>
      <c r="AD141" s="626">
        <f t="shared" si="5"/>
        <v>0</v>
      </c>
      <c r="AE141" s="627">
        <f t="shared" si="6"/>
        <v>0</v>
      </c>
      <c r="AF141" s="568" t="s">
        <v>480</v>
      </c>
      <c r="AG141" s="568" t="s">
        <v>370</v>
      </c>
      <c r="AH141" s="568" t="str">
        <f>IFERROR(INDEX('Annex 2_Code'!$J$110:$J$122,MATCH('Annex 3_MAFF'!AF141,'Annex 2_Code'!$G$110:$G$122,0)),"")</f>
        <v>MAFF-GDA</v>
      </c>
      <c r="AI141" s="882" t="str">
        <f t="shared" si="27"/>
        <v>MAFF</v>
      </c>
      <c r="AK141" s="1383"/>
      <c r="AL141" s="1383"/>
    </row>
    <row r="142" spans="1:38" s="366" customFormat="1" outlineLevel="1">
      <c r="A142" s="102"/>
      <c r="B142" s="374" t="s">
        <v>57</v>
      </c>
      <c r="C142" s="361" t="s">
        <v>57</v>
      </c>
      <c r="D142" s="78"/>
      <c r="E142" s="97"/>
      <c r="F142" s="2292"/>
      <c r="G142" s="2293" t="s">
        <v>1200</v>
      </c>
      <c r="H142" s="2275" t="s">
        <v>803</v>
      </c>
      <c r="I142" s="2276">
        <v>6</v>
      </c>
      <c r="J142" s="1744">
        <v>0</v>
      </c>
      <c r="K142" s="1745">
        <v>0.5</v>
      </c>
      <c r="L142" s="1745">
        <v>0.5</v>
      </c>
      <c r="M142" s="1745">
        <v>0</v>
      </c>
      <c r="N142" s="667">
        <f>SUM(J142:M142)</f>
        <v>1</v>
      </c>
      <c r="O142" s="1023">
        <f t="shared" ref="O142:O144" si="112">($I142*J142)</f>
        <v>0</v>
      </c>
      <c r="P142" s="1067">
        <f t="shared" ref="P142:P144" si="113">($I142*K142)</f>
        <v>3</v>
      </c>
      <c r="Q142" s="1067">
        <f t="shared" ref="Q142:Q144" si="114">($I142*L142)</f>
        <v>3</v>
      </c>
      <c r="R142" s="1067">
        <f t="shared" ref="R142:R144" si="115">($I142*M142)</f>
        <v>0</v>
      </c>
      <c r="S142" s="1737">
        <f t="shared" ref="S142:S144" si="116">SUM(O142:R142)</f>
        <v>6</v>
      </c>
      <c r="T142" s="618">
        <f>IFERROR(INDEX('Annex 2_Code'!I$8:I$33,MATCH('Annex 3_MAFF'!$AG142,'Annex 2_Code'!$G$8:$G$33,0)),"")</f>
        <v>1</v>
      </c>
      <c r="U142" s="618">
        <f>IFERROR(INDEX('Annex 2_Code'!J$8:J$33,MATCH('Annex 3_MAFF'!$AG142,'Annex 2_Code'!$G$8:$G$33,0)),"")</f>
        <v>0</v>
      </c>
      <c r="V142" s="618">
        <f>IFERROR(INDEX('Annex 2_Code'!K$8:K$33,MATCH('Annex 3_MAFF'!$AG142,'Annex 2_Code'!$G$8:$G$33,0)),"")</f>
        <v>0</v>
      </c>
      <c r="W142" s="618">
        <f>IFERROR(INDEX('Annex 2_Code'!L$8:L$33,MATCH('Annex 3_MAFF'!$AG142,'Annex 2_Code'!$G$8:$G$33,0)),"")</f>
        <v>0</v>
      </c>
      <c r="X142" s="618">
        <f>IFERROR(INDEX('Annex 2_Code'!M$8:M$33,MATCH('Annex 3_MAFF'!$AG142,'Annex 2_Code'!$G$8:$G$33,0)),"")</f>
        <v>0</v>
      </c>
      <c r="Y142" s="1536">
        <f t="shared" ref="Y142:Y144" si="117">IFERROR($S142*T142,"")</f>
        <v>6</v>
      </c>
      <c r="Z142" s="717">
        <f t="shared" ref="Z142:Z144" si="118">IFERROR($S142*U142,"")</f>
        <v>0</v>
      </c>
      <c r="AA142" s="717">
        <f t="shared" ref="AA142:AA144" si="119">IFERROR($S142*V142,"")</f>
        <v>0</v>
      </c>
      <c r="AB142" s="717">
        <f t="shared" ref="AB142:AB144" si="120">IFERROR($S142*W142,"")</f>
        <v>0</v>
      </c>
      <c r="AC142" s="718">
        <f t="shared" ref="AC142:AC144" si="121">IFERROR($S142*X142,"")</f>
        <v>0</v>
      </c>
      <c r="AD142" s="626">
        <f t="shared" ref="AD142:AD144" si="122">SUM(Y142:AC142)</f>
        <v>6</v>
      </c>
      <c r="AE142" s="627">
        <f t="shared" ref="AE142:AE144" si="123">AD142-S142</f>
        <v>0</v>
      </c>
      <c r="AF142" s="2212" t="s">
        <v>480</v>
      </c>
      <c r="AG142" s="2212" t="s">
        <v>370</v>
      </c>
      <c r="AH142" s="2212" t="str">
        <f>IFERROR(INDEX('Annex 2_Code'!$J$110:$J$122,MATCH('Annex 3_MAFF'!AF142,'Annex 2_Code'!$G$110:$G$122,0)),"")</f>
        <v>MAFF-GDA</v>
      </c>
      <c r="AI142" s="882" t="str">
        <f t="shared" ref="AI142:AI144" si="124">IF(ISNUMBER(FIND("-",AH142,1))=FALSE,LEFT(AH142,LEN(AH142)),LEFT(AH142,(FIND("-",AH142,1))-1))</f>
        <v>MAFF</v>
      </c>
      <c r="AK142" s="1383"/>
      <c r="AL142" s="1383"/>
    </row>
    <row r="143" spans="1:38" s="366" customFormat="1" outlineLevel="1">
      <c r="A143" s="102"/>
      <c r="B143" s="374" t="s">
        <v>57</v>
      </c>
      <c r="C143" s="361" t="s">
        <v>57</v>
      </c>
      <c r="D143" s="78"/>
      <c r="E143" s="97"/>
      <c r="F143" s="2292"/>
      <c r="G143" s="2293" t="s">
        <v>1201</v>
      </c>
      <c r="H143" s="2275" t="s">
        <v>803</v>
      </c>
      <c r="I143" s="2276">
        <v>2</v>
      </c>
      <c r="J143" s="1744">
        <v>0</v>
      </c>
      <c r="K143" s="1745">
        <v>0.5</v>
      </c>
      <c r="L143" s="1745">
        <v>0.5</v>
      </c>
      <c r="M143" s="1745">
        <v>0</v>
      </c>
      <c r="N143" s="667">
        <f>SUM(J143:M143)</f>
        <v>1</v>
      </c>
      <c r="O143" s="1023">
        <f t="shared" si="112"/>
        <v>0</v>
      </c>
      <c r="P143" s="1067">
        <f t="shared" si="113"/>
        <v>1</v>
      </c>
      <c r="Q143" s="1067">
        <f t="shared" si="114"/>
        <v>1</v>
      </c>
      <c r="R143" s="1067">
        <f t="shared" si="115"/>
        <v>0</v>
      </c>
      <c r="S143" s="1737">
        <f t="shared" si="116"/>
        <v>2</v>
      </c>
      <c r="T143" s="618">
        <f>IFERROR(INDEX('Annex 2_Code'!I$8:I$33,MATCH('Annex 3_MAFF'!$AG143,'Annex 2_Code'!$G$8:$G$33,0)),"")</f>
        <v>1</v>
      </c>
      <c r="U143" s="618">
        <f>IFERROR(INDEX('Annex 2_Code'!J$8:J$33,MATCH('Annex 3_MAFF'!$AG143,'Annex 2_Code'!$G$8:$G$33,0)),"")</f>
        <v>0</v>
      </c>
      <c r="V143" s="618">
        <f>IFERROR(INDEX('Annex 2_Code'!K$8:K$33,MATCH('Annex 3_MAFF'!$AG143,'Annex 2_Code'!$G$8:$G$33,0)),"")</f>
        <v>0</v>
      </c>
      <c r="W143" s="618">
        <f>IFERROR(INDEX('Annex 2_Code'!L$8:L$33,MATCH('Annex 3_MAFF'!$AG143,'Annex 2_Code'!$G$8:$G$33,0)),"")</f>
        <v>0</v>
      </c>
      <c r="X143" s="618">
        <f>IFERROR(INDEX('Annex 2_Code'!M$8:M$33,MATCH('Annex 3_MAFF'!$AG143,'Annex 2_Code'!$G$8:$G$33,0)),"")</f>
        <v>0</v>
      </c>
      <c r="Y143" s="1536">
        <f t="shared" si="117"/>
        <v>2</v>
      </c>
      <c r="Z143" s="717">
        <f t="shared" si="118"/>
        <v>0</v>
      </c>
      <c r="AA143" s="717">
        <f t="shared" si="119"/>
        <v>0</v>
      </c>
      <c r="AB143" s="717">
        <f t="shared" si="120"/>
        <v>0</v>
      </c>
      <c r="AC143" s="718">
        <f t="shared" si="121"/>
        <v>0</v>
      </c>
      <c r="AD143" s="626">
        <f t="shared" si="122"/>
        <v>2</v>
      </c>
      <c r="AE143" s="627">
        <f t="shared" si="123"/>
        <v>0</v>
      </c>
      <c r="AF143" s="2212" t="s">
        <v>480</v>
      </c>
      <c r="AG143" s="2212" t="s">
        <v>370</v>
      </c>
      <c r="AH143" s="2212" t="str">
        <f>IFERROR(INDEX('Annex 2_Code'!$J$110:$J$122,MATCH('Annex 3_MAFF'!AF143,'Annex 2_Code'!$G$110:$G$122,0)),"")</f>
        <v>MAFF-GDA</v>
      </c>
      <c r="AI143" s="882" t="str">
        <f t="shared" si="124"/>
        <v>MAFF</v>
      </c>
      <c r="AK143" s="1383"/>
      <c r="AL143" s="1383"/>
    </row>
    <row r="144" spans="1:38" s="366" customFormat="1" outlineLevel="1">
      <c r="A144" s="102"/>
      <c r="B144" s="374" t="s">
        <v>57</v>
      </c>
      <c r="C144" s="361" t="s">
        <v>57</v>
      </c>
      <c r="D144" s="78"/>
      <c r="E144" s="97"/>
      <c r="F144" s="2292"/>
      <c r="G144" s="2293" t="s">
        <v>1202</v>
      </c>
      <c r="H144" s="2275" t="s">
        <v>803</v>
      </c>
      <c r="I144" s="1944">
        <v>1</v>
      </c>
      <c r="J144" s="1744"/>
      <c r="K144" s="1745">
        <v>0.5</v>
      </c>
      <c r="L144" s="1745">
        <v>0.5</v>
      </c>
      <c r="M144" s="1745">
        <v>0</v>
      </c>
      <c r="N144" s="667">
        <f>SUM(J144:M144)</f>
        <v>1</v>
      </c>
      <c r="O144" s="1023">
        <f t="shared" si="112"/>
        <v>0</v>
      </c>
      <c r="P144" s="1067">
        <f t="shared" si="113"/>
        <v>0.5</v>
      </c>
      <c r="Q144" s="1067">
        <f t="shared" si="114"/>
        <v>0.5</v>
      </c>
      <c r="R144" s="1067">
        <f t="shared" si="115"/>
        <v>0</v>
      </c>
      <c r="S144" s="1737">
        <f t="shared" si="116"/>
        <v>1</v>
      </c>
      <c r="T144" s="618">
        <f>IFERROR(INDEX('Annex 2_Code'!I$8:I$33,MATCH('Annex 3_MAFF'!$AG144,'Annex 2_Code'!$G$8:$G$33,0)),"")</f>
        <v>1</v>
      </c>
      <c r="U144" s="618">
        <f>IFERROR(INDEX('Annex 2_Code'!J$8:J$33,MATCH('Annex 3_MAFF'!$AG144,'Annex 2_Code'!$G$8:$G$33,0)),"")</f>
        <v>0</v>
      </c>
      <c r="V144" s="618">
        <f>IFERROR(INDEX('Annex 2_Code'!K$8:K$33,MATCH('Annex 3_MAFF'!$AG144,'Annex 2_Code'!$G$8:$G$33,0)),"")</f>
        <v>0</v>
      </c>
      <c r="W144" s="618">
        <f>IFERROR(INDEX('Annex 2_Code'!L$8:L$33,MATCH('Annex 3_MAFF'!$AG144,'Annex 2_Code'!$G$8:$G$33,0)),"")</f>
        <v>0</v>
      </c>
      <c r="X144" s="618">
        <f>IFERROR(INDEX('Annex 2_Code'!M$8:M$33,MATCH('Annex 3_MAFF'!$AG144,'Annex 2_Code'!$G$8:$G$33,0)),"")</f>
        <v>0</v>
      </c>
      <c r="Y144" s="1536">
        <f t="shared" si="117"/>
        <v>1</v>
      </c>
      <c r="Z144" s="717">
        <f t="shared" si="118"/>
        <v>0</v>
      </c>
      <c r="AA144" s="717">
        <f t="shared" si="119"/>
        <v>0</v>
      </c>
      <c r="AB144" s="717">
        <f t="shared" si="120"/>
        <v>0</v>
      </c>
      <c r="AC144" s="718">
        <f t="shared" si="121"/>
        <v>0</v>
      </c>
      <c r="AD144" s="626">
        <f t="shared" si="122"/>
        <v>1</v>
      </c>
      <c r="AE144" s="627">
        <f t="shared" si="123"/>
        <v>0</v>
      </c>
      <c r="AF144" s="2212" t="s">
        <v>480</v>
      </c>
      <c r="AG144" s="2212" t="s">
        <v>370</v>
      </c>
      <c r="AH144" s="2212" t="str">
        <f>IFERROR(INDEX('Annex 2_Code'!$J$110:$J$122,MATCH('Annex 3_MAFF'!AF144,'Annex 2_Code'!$G$110:$G$122,0)),"")</f>
        <v>MAFF-GDA</v>
      </c>
      <c r="AI144" s="882" t="str">
        <f t="shared" si="124"/>
        <v>MAFF</v>
      </c>
      <c r="AK144" s="1383"/>
      <c r="AL144" s="1383"/>
    </row>
    <row r="145" spans="1:38" s="366" customFormat="1" outlineLevel="1">
      <c r="A145" s="102"/>
      <c r="B145" s="93" t="s">
        <v>173</v>
      </c>
      <c r="C145" s="89"/>
      <c r="D145" s="1471"/>
      <c r="E145" s="1440" t="s">
        <v>41</v>
      </c>
      <c r="F145" s="1441"/>
      <c r="G145" s="1472"/>
      <c r="H145" s="1475"/>
      <c r="I145" s="1467"/>
      <c r="J145" s="1468"/>
      <c r="K145" s="1469"/>
      <c r="L145" s="1469"/>
      <c r="M145" s="1469"/>
      <c r="N145" s="1470"/>
      <c r="O145" s="1529">
        <f>SUM(O141:O144)</f>
        <v>0</v>
      </c>
      <c r="P145" s="1525">
        <f>SUM(P141:P144)</f>
        <v>4.5</v>
      </c>
      <c r="Q145" s="1525">
        <f t="shared" ref="Q145:R145" si="125">SUM(Q141:Q144)</f>
        <v>4.5</v>
      </c>
      <c r="R145" s="1525">
        <f t="shared" si="125"/>
        <v>0</v>
      </c>
      <c r="S145" s="1450">
        <f>SUM(S141:S144)</f>
        <v>9</v>
      </c>
      <c r="T145" s="1061"/>
      <c r="U145" s="1061"/>
      <c r="V145" s="1061"/>
      <c r="W145" s="1061"/>
      <c r="X145" s="1061"/>
      <c r="Y145" s="1537"/>
      <c r="Z145" s="1063"/>
      <c r="AA145" s="717"/>
      <c r="AB145" s="1063"/>
      <c r="AC145" s="1064"/>
      <c r="AD145" s="1610"/>
      <c r="AE145" s="653"/>
      <c r="AF145" s="570"/>
      <c r="AG145" s="570"/>
      <c r="AH145" s="570"/>
      <c r="AI145" s="1065"/>
      <c r="AK145" s="1383"/>
      <c r="AL145" s="1383"/>
    </row>
    <row r="146" spans="1:38" s="366" customFormat="1" outlineLevel="1">
      <c r="A146" s="102"/>
      <c r="B146" s="93" t="s">
        <v>173</v>
      </c>
      <c r="C146" s="89"/>
      <c r="D146" s="110"/>
      <c r="E146" s="122"/>
      <c r="F146" s="364"/>
      <c r="G146" s="1059"/>
      <c r="H146" s="1060"/>
      <c r="I146" s="1044"/>
      <c r="J146" s="671"/>
      <c r="K146" s="672"/>
      <c r="L146" s="672"/>
      <c r="M146" s="672"/>
      <c r="N146" s="673"/>
      <c r="O146" s="1156"/>
      <c r="P146" s="1153"/>
      <c r="Q146" s="1153"/>
      <c r="R146" s="1155"/>
      <c r="S146" s="115"/>
      <c r="T146" s="1061"/>
      <c r="U146" s="1061"/>
      <c r="V146" s="1061"/>
      <c r="W146" s="1061"/>
      <c r="X146" s="1061"/>
      <c r="Y146" s="1537"/>
      <c r="Z146" s="1063"/>
      <c r="AA146" s="717"/>
      <c r="AB146" s="1063"/>
      <c r="AC146" s="1064"/>
      <c r="AD146" s="1610"/>
      <c r="AE146" s="653"/>
      <c r="AF146" s="570"/>
      <c r="AG146" s="570"/>
      <c r="AH146" s="570"/>
      <c r="AI146" s="1065"/>
      <c r="AK146" s="1383"/>
      <c r="AL146" s="1383"/>
    </row>
    <row r="147" spans="1:38" s="366" customFormat="1" outlineLevel="1">
      <c r="A147" s="102"/>
      <c r="B147" s="374" t="s">
        <v>57</v>
      </c>
      <c r="C147" s="361" t="s">
        <v>57</v>
      </c>
      <c r="D147" s="78"/>
      <c r="E147" s="97" t="s">
        <v>797</v>
      </c>
      <c r="F147" s="364" t="s">
        <v>14</v>
      </c>
      <c r="G147" s="722" t="s">
        <v>731</v>
      </c>
      <c r="H147" s="538"/>
      <c r="I147" s="584"/>
      <c r="J147" s="665"/>
      <c r="K147" s="666"/>
      <c r="L147" s="666"/>
      <c r="M147" s="666"/>
      <c r="N147" s="667"/>
      <c r="O147" s="1066"/>
      <c r="P147" s="1067"/>
      <c r="Q147" s="693"/>
      <c r="R147" s="619"/>
      <c r="S147" s="145"/>
      <c r="T147" s="618" t="str">
        <f>IFERROR(INDEX('Annex 2_Code'!I$8:I$33,MATCH('Annex 3_MAFF'!$AG147,'Annex 2_Code'!$G$8:$G$33,0)),"")</f>
        <v/>
      </c>
      <c r="U147" s="618" t="str">
        <f>IFERROR(INDEX('Annex 2_Code'!J$8:J$33,MATCH('Annex 3_MAFF'!$AG147,'Annex 2_Code'!$G$8:$G$33,0)),"")</f>
        <v/>
      </c>
      <c r="V147" s="618" t="str">
        <f>IFERROR(INDEX('Annex 2_Code'!K$8:K$33,MATCH('Annex 3_MAFF'!$AG147,'Annex 2_Code'!$G$8:$G$33,0)),"")</f>
        <v/>
      </c>
      <c r="W147" s="618" t="str">
        <f>IFERROR(INDEX('Annex 2_Code'!L$8:L$33,MATCH('Annex 3_MAFF'!$AG147,'Annex 2_Code'!$G$8:$G$33,0)),"")</f>
        <v/>
      </c>
      <c r="X147" s="618" t="str">
        <f>IFERROR(INDEX('Annex 2_Code'!M$8:M$33,MATCH('Annex 3_MAFF'!$AG147,'Annex 2_Code'!$G$8:$G$33,0)),"")</f>
        <v/>
      </c>
      <c r="Y147" s="1536" t="str">
        <f t="shared" ref="Y147:Y162" si="126">IFERROR($S147*T147,"")</f>
        <v/>
      </c>
      <c r="Z147" s="717" t="str">
        <f t="shared" ref="Z147:Z159" si="127">IFERROR($S147*U147,"")</f>
        <v/>
      </c>
      <c r="AA147" s="717" t="str">
        <f t="shared" si="9"/>
        <v/>
      </c>
      <c r="AB147" s="717" t="str">
        <f t="shared" ref="AB147:AB159" si="128">IFERROR($S147*W147,"")</f>
        <v/>
      </c>
      <c r="AC147" s="718" t="str">
        <f t="shared" ref="AC147:AC159" si="129">IFERROR($S147*X147,"")</f>
        <v/>
      </c>
      <c r="AD147" s="626">
        <f t="shared" ref="AD147:AD211" si="130">SUM(Y147:AC147)</f>
        <v>0</v>
      </c>
      <c r="AE147" s="627">
        <f t="shared" ref="AE147:AE211" si="131">AD147-S147</f>
        <v>0</v>
      </c>
      <c r="AF147" s="568"/>
      <c r="AG147" s="568"/>
      <c r="AH147" s="568"/>
      <c r="AI147" s="882"/>
      <c r="AK147" s="1383"/>
      <c r="AL147" s="1383"/>
    </row>
    <row r="148" spans="1:38" s="366" customFormat="1" outlineLevel="1">
      <c r="A148" s="102"/>
      <c r="B148" s="374" t="s">
        <v>57</v>
      </c>
      <c r="C148" s="361" t="s">
        <v>57</v>
      </c>
      <c r="D148" s="78"/>
      <c r="E148" s="97"/>
      <c r="F148" s="364"/>
      <c r="G148" s="722" t="s">
        <v>1133</v>
      </c>
      <c r="H148" s="538" t="s">
        <v>803</v>
      </c>
      <c r="I148" s="584">
        <v>7.0000000000000007E-2</v>
      </c>
      <c r="J148" s="665">
        <v>0</v>
      </c>
      <c r="K148" s="1929">
        <f>3*30</f>
        <v>90</v>
      </c>
      <c r="L148" s="666">
        <v>0</v>
      </c>
      <c r="M148" s="666">
        <v>0</v>
      </c>
      <c r="N148" s="1117">
        <f>SUM(J148:M148)</f>
        <v>90</v>
      </c>
      <c r="O148" s="1118">
        <f>($I148*J148)</f>
        <v>0</v>
      </c>
      <c r="P148" s="1118">
        <f>($I148*K148)</f>
        <v>6.3000000000000007</v>
      </c>
      <c r="Q148" s="1118">
        <f t="shared" ref="Q148:R150" si="132">($I148*L148)</f>
        <v>0</v>
      </c>
      <c r="R148" s="1118">
        <f t="shared" si="132"/>
        <v>0</v>
      </c>
      <c r="S148" s="145">
        <f>SUM(O148:R148)</f>
        <v>6.3000000000000007</v>
      </c>
      <c r="T148" s="618">
        <f>IFERROR(INDEX('Annex 2_Code'!I$8:I$33,MATCH('Annex 3_MAFF'!$AG148,'Annex 2_Code'!$G$8:$G$33,0)),"")</f>
        <v>1</v>
      </c>
      <c r="U148" s="618">
        <f>IFERROR(INDEX('Annex 2_Code'!J$8:J$33,MATCH('Annex 3_MAFF'!$AG148,'Annex 2_Code'!$G$8:$G$33,0)),"")</f>
        <v>0</v>
      </c>
      <c r="V148" s="618">
        <f>IFERROR(INDEX('Annex 2_Code'!K$8:K$33,MATCH('Annex 3_MAFF'!$AG148,'Annex 2_Code'!$G$8:$G$33,0)),"")</f>
        <v>0</v>
      </c>
      <c r="W148" s="618">
        <f>IFERROR(INDEX('Annex 2_Code'!L$8:L$33,MATCH('Annex 3_MAFF'!$AG148,'Annex 2_Code'!$G$8:$G$33,0)),"")</f>
        <v>0</v>
      </c>
      <c r="X148" s="618">
        <f>IFERROR(INDEX('Annex 2_Code'!M$8:M$33,MATCH('Annex 3_MAFF'!$AG148,'Annex 2_Code'!$G$8:$G$33,0)),"")</f>
        <v>0</v>
      </c>
      <c r="Y148" s="1536">
        <f t="shared" ref="Y148:Y150" si="133">IFERROR($S148*T148,"")</f>
        <v>6.3000000000000007</v>
      </c>
      <c r="Z148" s="717">
        <f t="shared" ref="Z148:Z150" si="134">IFERROR($S148*U148,"")</f>
        <v>0</v>
      </c>
      <c r="AA148" s="717">
        <f t="shared" si="9"/>
        <v>0</v>
      </c>
      <c r="AB148" s="717">
        <f t="shared" ref="AB148:AB150" si="135">IFERROR($S148*W148,"")</f>
        <v>0</v>
      </c>
      <c r="AC148" s="718">
        <f t="shared" ref="AC148:AC150" si="136">IFERROR($S148*X148,"")</f>
        <v>0</v>
      </c>
      <c r="AD148" s="626">
        <f t="shared" ref="AD148:AD150" si="137">SUM(Y148:AC148)</f>
        <v>6.3000000000000007</v>
      </c>
      <c r="AE148" s="627">
        <f t="shared" ref="AE148:AE150" si="138">AD148-S148</f>
        <v>0</v>
      </c>
      <c r="AF148" s="568" t="s">
        <v>480</v>
      </c>
      <c r="AG148" s="568" t="s">
        <v>370</v>
      </c>
      <c r="AH148" s="568" t="str">
        <f>IFERROR(INDEX('Annex 2_Code'!$J$110:$J$122,MATCH('Annex 3_MAFF'!AF148,'Annex 2_Code'!$G$110:$G$122,0)),"")</f>
        <v>MAFF-GDA</v>
      </c>
      <c r="AI148" s="882" t="str">
        <f t="shared" si="27"/>
        <v>MAFF</v>
      </c>
      <c r="AK148" s="1383"/>
      <c r="AL148" s="1383"/>
    </row>
    <row r="149" spans="1:38" s="366" customFormat="1" outlineLevel="1">
      <c r="A149" s="102"/>
      <c r="B149" s="374" t="s">
        <v>57</v>
      </c>
      <c r="C149" s="361" t="s">
        <v>57</v>
      </c>
      <c r="D149" s="484"/>
      <c r="E149" s="485"/>
      <c r="F149" s="364"/>
      <c r="G149" s="1748" t="s">
        <v>801</v>
      </c>
      <c r="H149" s="1739" t="s">
        <v>603</v>
      </c>
      <c r="I149" s="584">
        <v>5</v>
      </c>
      <c r="J149" s="1744">
        <v>0</v>
      </c>
      <c r="K149" s="1745">
        <v>3</v>
      </c>
      <c r="L149" s="1745">
        <v>0</v>
      </c>
      <c r="M149" s="1745">
        <v>0</v>
      </c>
      <c r="N149" s="1117">
        <f>SUM(J149:M149)</f>
        <v>3</v>
      </c>
      <c r="O149" s="1118">
        <f t="shared" ref="O149:O150" si="139">($I149*J149)</f>
        <v>0</v>
      </c>
      <c r="P149" s="1118">
        <f>($I149*K149)</f>
        <v>15</v>
      </c>
      <c r="Q149" s="1118">
        <f t="shared" si="132"/>
        <v>0</v>
      </c>
      <c r="R149" s="1118">
        <f t="shared" si="132"/>
        <v>0</v>
      </c>
      <c r="S149" s="1737">
        <f>SUM(O149:R149)</f>
        <v>15</v>
      </c>
      <c r="T149" s="618">
        <f>IFERROR(INDEX('Annex 2_Code'!I$8:I$33,MATCH('Annex 3_MAFF'!$AG149,'Annex 2_Code'!$G$8:$G$33,0)),"")</f>
        <v>1</v>
      </c>
      <c r="U149" s="618">
        <f>IFERROR(INDEX('Annex 2_Code'!J$8:J$33,MATCH('Annex 3_MAFF'!$AG149,'Annex 2_Code'!$G$8:$G$33,0)),"")</f>
        <v>0</v>
      </c>
      <c r="V149" s="618">
        <f>IFERROR(INDEX('Annex 2_Code'!K$8:K$33,MATCH('Annex 3_MAFF'!$AG149,'Annex 2_Code'!$G$8:$G$33,0)),"")</f>
        <v>0</v>
      </c>
      <c r="W149" s="618">
        <f>IFERROR(INDEX('Annex 2_Code'!L$8:L$33,MATCH('Annex 3_MAFF'!$AG149,'Annex 2_Code'!$G$8:$G$33,0)),"")</f>
        <v>0</v>
      </c>
      <c r="X149" s="618">
        <f>IFERROR(INDEX('Annex 2_Code'!M$8:M$33,MATCH('Annex 3_MAFF'!$AG149,'Annex 2_Code'!$G$8:$G$33,0)),"")</f>
        <v>0</v>
      </c>
      <c r="Y149" s="1536">
        <f t="shared" si="133"/>
        <v>15</v>
      </c>
      <c r="Z149" s="717">
        <f t="shared" si="134"/>
        <v>0</v>
      </c>
      <c r="AA149" s="717">
        <f t="shared" si="9"/>
        <v>0</v>
      </c>
      <c r="AB149" s="717">
        <f t="shared" si="135"/>
        <v>0</v>
      </c>
      <c r="AC149" s="718">
        <f t="shared" si="136"/>
        <v>0</v>
      </c>
      <c r="AD149" s="626">
        <f t="shared" si="137"/>
        <v>15</v>
      </c>
      <c r="AE149" s="627">
        <f t="shared" si="138"/>
        <v>0</v>
      </c>
      <c r="AF149" s="568" t="s">
        <v>480</v>
      </c>
      <c r="AG149" s="568" t="s">
        <v>370</v>
      </c>
      <c r="AH149" s="568" t="str">
        <f>IFERROR(INDEX('Annex 2_Code'!$J$110:$J$122,MATCH('Annex 3_MAFF'!AF149,'Annex 2_Code'!$G$110:$G$122,0)),"")</f>
        <v>MAFF-GDA</v>
      </c>
      <c r="AI149" s="882" t="str">
        <f t="shared" si="27"/>
        <v>MAFF</v>
      </c>
      <c r="AK149" s="1383"/>
      <c r="AL149" s="1383"/>
    </row>
    <row r="150" spans="1:38" s="366" customFormat="1" outlineLevel="1">
      <c r="A150" s="102"/>
      <c r="B150" s="374" t="s">
        <v>57</v>
      </c>
      <c r="C150" s="361" t="s">
        <v>57</v>
      </c>
      <c r="D150" s="78"/>
      <c r="E150" s="97"/>
      <c r="F150" s="364"/>
      <c r="G150" s="722" t="s">
        <v>802</v>
      </c>
      <c r="H150" s="538" t="s">
        <v>603</v>
      </c>
      <c r="I150" s="584">
        <v>0.6</v>
      </c>
      <c r="J150" s="665">
        <v>0</v>
      </c>
      <c r="K150" s="666">
        <v>3</v>
      </c>
      <c r="L150" s="666">
        <v>0</v>
      </c>
      <c r="M150" s="666">
        <v>0</v>
      </c>
      <c r="N150" s="1117">
        <f>SUM(J150:M150)</f>
        <v>3</v>
      </c>
      <c r="O150" s="1118">
        <f t="shared" si="139"/>
        <v>0</v>
      </c>
      <c r="P150" s="1118">
        <f>($I150*K150)</f>
        <v>1.7999999999999998</v>
      </c>
      <c r="Q150" s="1118">
        <f t="shared" si="132"/>
        <v>0</v>
      </c>
      <c r="R150" s="1118">
        <f t="shared" si="132"/>
        <v>0</v>
      </c>
      <c r="S150" s="145">
        <f>SUM(O150:R150)</f>
        <v>1.7999999999999998</v>
      </c>
      <c r="T150" s="618">
        <f>IFERROR(INDEX('Annex 2_Code'!I$8:I$33,MATCH('Annex 3_MAFF'!$AG150,'Annex 2_Code'!$G$8:$G$33,0)),"")</f>
        <v>1</v>
      </c>
      <c r="U150" s="618">
        <f>IFERROR(INDEX('Annex 2_Code'!J$8:J$33,MATCH('Annex 3_MAFF'!$AG150,'Annex 2_Code'!$G$8:$G$33,0)),"")</f>
        <v>0</v>
      </c>
      <c r="V150" s="618">
        <f>IFERROR(INDEX('Annex 2_Code'!K$8:K$33,MATCH('Annex 3_MAFF'!$AG150,'Annex 2_Code'!$G$8:$G$33,0)),"")</f>
        <v>0</v>
      </c>
      <c r="W150" s="618">
        <f>IFERROR(INDEX('Annex 2_Code'!L$8:L$33,MATCH('Annex 3_MAFF'!$AG150,'Annex 2_Code'!$G$8:$G$33,0)),"")</f>
        <v>0</v>
      </c>
      <c r="X150" s="618">
        <f>IFERROR(INDEX('Annex 2_Code'!M$8:M$33,MATCH('Annex 3_MAFF'!$AG150,'Annex 2_Code'!$G$8:$G$33,0)),"")</f>
        <v>0</v>
      </c>
      <c r="Y150" s="1536">
        <f t="shared" si="133"/>
        <v>1.7999999999999998</v>
      </c>
      <c r="Z150" s="717">
        <f t="shared" si="134"/>
        <v>0</v>
      </c>
      <c r="AA150" s="717">
        <f t="shared" si="9"/>
        <v>0</v>
      </c>
      <c r="AB150" s="717">
        <f t="shared" si="135"/>
        <v>0</v>
      </c>
      <c r="AC150" s="718">
        <f t="shared" si="136"/>
        <v>0</v>
      </c>
      <c r="AD150" s="626">
        <f t="shared" si="137"/>
        <v>1.7999999999999998</v>
      </c>
      <c r="AE150" s="627">
        <f t="shared" si="138"/>
        <v>0</v>
      </c>
      <c r="AF150" s="568" t="s">
        <v>480</v>
      </c>
      <c r="AG150" s="568" t="s">
        <v>370</v>
      </c>
      <c r="AH150" s="568" t="str">
        <f>IFERROR(INDEX('Annex 2_Code'!$J$110:$J$122,MATCH('Annex 3_MAFF'!AF150,'Annex 2_Code'!$G$110:$G$122,0)),"")</f>
        <v>MAFF-GDA</v>
      </c>
      <c r="AI150" s="882" t="str">
        <f t="shared" si="27"/>
        <v>MAFF</v>
      </c>
      <c r="AK150" s="1383"/>
      <c r="AL150" s="1383"/>
    </row>
    <row r="151" spans="1:38" s="366" customFormat="1" outlineLevel="1">
      <c r="A151" s="102"/>
      <c r="B151" s="374" t="s">
        <v>173</v>
      </c>
      <c r="C151" s="361"/>
      <c r="D151" s="1471"/>
      <c r="E151" s="1440" t="s">
        <v>41</v>
      </c>
      <c r="F151" s="1441"/>
      <c r="G151" s="1472"/>
      <c r="H151" s="1475"/>
      <c r="I151" s="1467"/>
      <c r="J151" s="1468">
        <v>0</v>
      </c>
      <c r="K151" s="1469">
        <f t="shared" ref="K151:R151" si="140">SUM(K148:K150)</f>
        <v>96</v>
      </c>
      <c r="L151" s="1469">
        <f t="shared" si="140"/>
        <v>0</v>
      </c>
      <c r="M151" s="1469">
        <f t="shared" si="140"/>
        <v>0</v>
      </c>
      <c r="N151" s="1470">
        <f t="shared" si="140"/>
        <v>96</v>
      </c>
      <c r="O151" s="1528">
        <f t="shared" si="140"/>
        <v>0</v>
      </c>
      <c r="P151" s="1525">
        <f t="shared" si="140"/>
        <v>23.1</v>
      </c>
      <c r="Q151" s="1526">
        <f t="shared" si="140"/>
        <v>0</v>
      </c>
      <c r="R151" s="1527">
        <f t="shared" si="140"/>
        <v>0</v>
      </c>
      <c r="S151" s="1450">
        <f>SUM(S148:S150)</f>
        <v>23.1</v>
      </c>
      <c r="T151" s="1061"/>
      <c r="U151" s="1061"/>
      <c r="V151" s="1061"/>
      <c r="W151" s="1061"/>
      <c r="X151" s="1061"/>
      <c r="Y151" s="1537"/>
      <c r="Z151" s="1063"/>
      <c r="AA151" s="717"/>
      <c r="AB151" s="1063"/>
      <c r="AC151" s="1064"/>
      <c r="AD151" s="1610"/>
      <c r="AE151" s="653"/>
      <c r="AF151" s="570"/>
      <c r="AG151" s="570"/>
      <c r="AH151" s="570"/>
      <c r="AI151" s="1065"/>
      <c r="AK151" s="1383"/>
      <c r="AL151" s="1383"/>
    </row>
    <row r="152" spans="1:38" s="1176" customFormat="1" outlineLevel="1">
      <c r="A152" s="102"/>
      <c r="B152" s="374" t="s">
        <v>173</v>
      </c>
      <c r="C152" s="361"/>
      <c r="D152" s="1157"/>
      <c r="E152" s="118"/>
      <c r="F152" s="1158"/>
      <c r="G152" s="1159"/>
      <c r="H152" s="1160"/>
      <c r="I152" s="1161"/>
      <c r="J152" s="1162"/>
      <c r="K152" s="1163"/>
      <c r="L152" s="1163"/>
      <c r="M152" s="1163"/>
      <c r="N152" s="1164"/>
      <c r="O152" s="1165"/>
      <c r="P152" s="1166"/>
      <c r="Q152" s="1167"/>
      <c r="R152" s="1168"/>
      <c r="S152" s="1169"/>
      <c r="T152" s="1170"/>
      <c r="U152" s="1170"/>
      <c r="V152" s="1170"/>
      <c r="W152" s="1170"/>
      <c r="X152" s="1170"/>
      <c r="Y152" s="1537"/>
      <c r="Z152" s="1171"/>
      <c r="AA152" s="717"/>
      <c r="AB152" s="1171"/>
      <c r="AC152" s="1172"/>
      <c r="AD152" s="1611"/>
      <c r="AE152" s="1173"/>
      <c r="AF152" s="1174"/>
      <c r="AG152" s="1174"/>
      <c r="AH152" s="1174"/>
      <c r="AI152" s="1175"/>
      <c r="AK152" s="1388"/>
      <c r="AL152" s="1388"/>
    </row>
    <row r="153" spans="1:38" s="366" customFormat="1" outlineLevel="1">
      <c r="A153" s="102"/>
      <c r="B153" s="374" t="s">
        <v>57</v>
      </c>
      <c r="C153" s="361" t="s">
        <v>57</v>
      </c>
      <c r="D153" s="78"/>
      <c r="E153" s="97" t="s">
        <v>798</v>
      </c>
      <c r="F153" s="364"/>
      <c r="G153" s="722" t="s">
        <v>732</v>
      </c>
      <c r="H153" s="538"/>
      <c r="I153" s="584"/>
      <c r="J153" s="665"/>
      <c r="K153" s="666"/>
      <c r="L153" s="666"/>
      <c r="M153" s="666"/>
      <c r="N153" s="667"/>
      <c r="O153" s="1066"/>
      <c r="P153" s="1067"/>
      <c r="Q153" s="693"/>
      <c r="R153" s="619"/>
      <c r="S153" s="145"/>
      <c r="T153" s="618" t="str">
        <f>IFERROR(INDEX('Annex 2_Code'!I$8:I$33,MATCH('Annex 3_MAFF'!$AG153,'Annex 2_Code'!$G$8:$G$33,0)),"")</f>
        <v/>
      </c>
      <c r="U153" s="618" t="str">
        <f>IFERROR(INDEX('Annex 2_Code'!J$8:J$33,MATCH('Annex 3_MAFF'!$AG153,'Annex 2_Code'!$G$8:$G$33,0)),"")</f>
        <v/>
      </c>
      <c r="V153" s="618" t="str">
        <f>IFERROR(INDEX('Annex 2_Code'!K$8:K$33,MATCH('Annex 3_MAFF'!$AG153,'Annex 2_Code'!$G$8:$G$33,0)),"")</f>
        <v/>
      </c>
      <c r="W153" s="618" t="str">
        <f>IFERROR(INDEX('Annex 2_Code'!L$8:L$33,MATCH('Annex 3_MAFF'!$AG153,'Annex 2_Code'!$G$8:$G$33,0)),"")</f>
        <v/>
      </c>
      <c r="X153" s="618" t="str">
        <f>IFERROR(INDEX('Annex 2_Code'!M$8:M$33,MATCH('Annex 3_MAFF'!$AG153,'Annex 2_Code'!$G$8:$G$33,0)),"")</f>
        <v/>
      </c>
      <c r="Y153" s="1536" t="str">
        <f t="shared" si="126"/>
        <v/>
      </c>
      <c r="Z153" s="717" t="str">
        <f t="shared" si="127"/>
        <v/>
      </c>
      <c r="AA153" s="717" t="str">
        <f t="shared" si="9"/>
        <v/>
      </c>
      <c r="AB153" s="717" t="str">
        <f t="shared" si="128"/>
        <v/>
      </c>
      <c r="AC153" s="718" t="str">
        <f t="shared" si="129"/>
        <v/>
      </c>
      <c r="AD153" s="626">
        <f t="shared" si="130"/>
        <v>0</v>
      </c>
      <c r="AE153" s="627">
        <f t="shared" si="131"/>
        <v>0</v>
      </c>
      <c r="AF153" s="568"/>
      <c r="AG153" s="568"/>
      <c r="AH153" s="568"/>
      <c r="AI153" s="882"/>
      <c r="AK153" s="1383"/>
      <c r="AL153" s="1383"/>
    </row>
    <row r="154" spans="1:38" s="366" customFormat="1" outlineLevel="1">
      <c r="A154" s="102"/>
      <c r="B154" s="374" t="s">
        <v>57</v>
      </c>
      <c r="C154" s="361" t="s">
        <v>57</v>
      </c>
      <c r="D154" s="78"/>
      <c r="E154" s="97"/>
      <c r="F154" s="364"/>
      <c r="G154" s="722" t="s">
        <v>800</v>
      </c>
      <c r="H154" s="538" t="s">
        <v>804</v>
      </c>
      <c r="I154" s="584">
        <v>7.0000000000000007E-2</v>
      </c>
      <c r="J154" s="665">
        <v>0</v>
      </c>
      <c r="K154" s="1929">
        <f>3*30</f>
        <v>90</v>
      </c>
      <c r="L154" s="666">
        <v>0</v>
      </c>
      <c r="M154" s="666">
        <v>0</v>
      </c>
      <c r="N154" s="667">
        <f>SUM(J154:M154)</f>
        <v>90</v>
      </c>
      <c r="O154" s="1066">
        <f>($I154*J154*30)</f>
        <v>0</v>
      </c>
      <c r="P154" s="1067">
        <f>($I154*K154)</f>
        <v>6.3000000000000007</v>
      </c>
      <c r="Q154" s="1067">
        <f t="shared" ref="Q154:R156" si="141">($I154*L154)</f>
        <v>0</v>
      </c>
      <c r="R154" s="1067">
        <f t="shared" si="141"/>
        <v>0</v>
      </c>
      <c r="S154" s="145">
        <f>SUM(O154:R154)</f>
        <v>6.3000000000000007</v>
      </c>
      <c r="T154" s="618">
        <f>IFERROR(INDEX('Annex 2_Code'!I$8:I$33,MATCH('Annex 3_MAFF'!$AG154,'Annex 2_Code'!$G$8:$G$33,0)),"")</f>
        <v>1</v>
      </c>
      <c r="U154" s="618">
        <f>IFERROR(INDEX('Annex 2_Code'!J$8:J$33,MATCH('Annex 3_MAFF'!$AG154,'Annex 2_Code'!$G$8:$G$33,0)),"")</f>
        <v>0</v>
      </c>
      <c r="V154" s="618">
        <f>IFERROR(INDEX('Annex 2_Code'!K$8:K$33,MATCH('Annex 3_MAFF'!$AG154,'Annex 2_Code'!$G$8:$G$33,0)),"")</f>
        <v>0</v>
      </c>
      <c r="W154" s="618">
        <f>IFERROR(INDEX('Annex 2_Code'!L$8:L$33,MATCH('Annex 3_MAFF'!$AG154,'Annex 2_Code'!$G$8:$G$33,0)),"")</f>
        <v>0</v>
      </c>
      <c r="X154" s="618">
        <f>IFERROR(INDEX('Annex 2_Code'!M$8:M$33,MATCH('Annex 3_MAFF'!$AG154,'Annex 2_Code'!$G$8:$G$33,0)),"")</f>
        <v>0</v>
      </c>
      <c r="Y154" s="1536">
        <f t="shared" ref="Y154:Y156" si="142">IFERROR($S154*T154,"")</f>
        <v>6.3000000000000007</v>
      </c>
      <c r="Z154" s="717">
        <f t="shared" ref="Z154:Z156" si="143">IFERROR($S154*U154,"")</f>
        <v>0</v>
      </c>
      <c r="AA154" s="717">
        <f t="shared" si="9"/>
        <v>0</v>
      </c>
      <c r="AB154" s="717">
        <f t="shared" ref="AB154:AB156" si="144">IFERROR($S154*W154,"")</f>
        <v>0</v>
      </c>
      <c r="AC154" s="718">
        <f t="shared" ref="AC154:AC156" si="145">IFERROR($S154*X154,"")</f>
        <v>0</v>
      </c>
      <c r="AD154" s="626">
        <f t="shared" ref="AD154:AD156" si="146">SUM(Y154:AC154)</f>
        <v>6.3000000000000007</v>
      </c>
      <c r="AE154" s="627">
        <f t="shared" ref="AE154:AE156" si="147">AD154-S154</f>
        <v>0</v>
      </c>
      <c r="AF154" s="568" t="s">
        <v>480</v>
      </c>
      <c r="AG154" s="568" t="s">
        <v>370</v>
      </c>
      <c r="AH154" s="568" t="str">
        <f>IFERROR(INDEX('Annex 2_Code'!$J$110:$J$122,MATCH('Annex 3_MAFF'!AF154,'Annex 2_Code'!$G$110:$G$122,0)),"")</f>
        <v>MAFF-GDA</v>
      </c>
      <c r="AI154" s="882" t="str">
        <f t="shared" si="27"/>
        <v>MAFF</v>
      </c>
      <c r="AK154" s="1383"/>
      <c r="AL154" s="1383"/>
    </row>
    <row r="155" spans="1:38" s="366" customFormat="1" outlineLevel="1">
      <c r="A155" s="102"/>
      <c r="B155" s="374" t="s">
        <v>57</v>
      </c>
      <c r="C155" s="361" t="s">
        <v>57</v>
      </c>
      <c r="D155" s="484"/>
      <c r="E155" s="485"/>
      <c r="F155" s="364"/>
      <c r="G155" s="1748" t="s">
        <v>801</v>
      </c>
      <c r="H155" s="1739" t="s">
        <v>603</v>
      </c>
      <c r="I155" s="584">
        <v>5</v>
      </c>
      <c r="J155" s="1744">
        <v>0</v>
      </c>
      <c r="K155" s="1745">
        <v>3</v>
      </c>
      <c r="L155" s="1745">
        <v>0</v>
      </c>
      <c r="M155" s="1745">
        <v>0</v>
      </c>
      <c r="N155" s="667">
        <f>SUM(J155:M155)</f>
        <v>3</v>
      </c>
      <c r="O155" s="1066">
        <f t="shared" ref="O155:O156" si="148">($I155*J155*30)</f>
        <v>0</v>
      </c>
      <c r="P155" s="1067">
        <f t="shared" ref="P155:P156" si="149">($I155*K155)</f>
        <v>15</v>
      </c>
      <c r="Q155" s="1067">
        <f t="shared" si="141"/>
        <v>0</v>
      </c>
      <c r="R155" s="1067">
        <f t="shared" si="141"/>
        <v>0</v>
      </c>
      <c r="S155" s="1737">
        <f t="shared" ref="S155:S156" si="150">SUM(O155:R155)</f>
        <v>15</v>
      </c>
      <c r="T155" s="618">
        <f>IFERROR(INDEX('Annex 2_Code'!I$8:I$33,MATCH('Annex 3_MAFF'!$AG155,'Annex 2_Code'!$G$8:$G$33,0)),"")</f>
        <v>1</v>
      </c>
      <c r="U155" s="618">
        <f>IFERROR(INDEX('Annex 2_Code'!J$8:J$33,MATCH('Annex 3_MAFF'!$AG155,'Annex 2_Code'!$G$8:$G$33,0)),"")</f>
        <v>0</v>
      </c>
      <c r="V155" s="618">
        <f>IFERROR(INDEX('Annex 2_Code'!K$8:K$33,MATCH('Annex 3_MAFF'!$AG155,'Annex 2_Code'!$G$8:$G$33,0)),"")</f>
        <v>0</v>
      </c>
      <c r="W155" s="618">
        <f>IFERROR(INDEX('Annex 2_Code'!L$8:L$33,MATCH('Annex 3_MAFF'!$AG155,'Annex 2_Code'!$G$8:$G$33,0)),"")</f>
        <v>0</v>
      </c>
      <c r="X155" s="618">
        <f>IFERROR(INDEX('Annex 2_Code'!M$8:M$33,MATCH('Annex 3_MAFF'!$AG155,'Annex 2_Code'!$G$8:$G$33,0)),"")</f>
        <v>0</v>
      </c>
      <c r="Y155" s="1536">
        <f t="shared" si="142"/>
        <v>15</v>
      </c>
      <c r="Z155" s="717">
        <f t="shared" si="143"/>
        <v>0</v>
      </c>
      <c r="AA155" s="717">
        <f t="shared" si="9"/>
        <v>0</v>
      </c>
      <c r="AB155" s="717">
        <f t="shared" si="144"/>
        <v>0</v>
      </c>
      <c r="AC155" s="718">
        <f t="shared" si="145"/>
        <v>0</v>
      </c>
      <c r="AD155" s="626">
        <f t="shared" si="146"/>
        <v>15</v>
      </c>
      <c r="AE155" s="627">
        <f t="shared" si="147"/>
        <v>0</v>
      </c>
      <c r="AF155" s="568" t="s">
        <v>480</v>
      </c>
      <c r="AG155" s="568" t="s">
        <v>370</v>
      </c>
      <c r="AH155" s="568" t="str">
        <f>IFERROR(INDEX('Annex 2_Code'!$J$110:$J$122,MATCH('Annex 3_MAFF'!AF155,'Annex 2_Code'!$G$110:$G$122,0)),"")</f>
        <v>MAFF-GDA</v>
      </c>
      <c r="AI155" s="882" t="str">
        <f t="shared" si="27"/>
        <v>MAFF</v>
      </c>
      <c r="AK155" s="1383"/>
      <c r="AL155" s="1383"/>
    </row>
    <row r="156" spans="1:38" s="366" customFormat="1" outlineLevel="1">
      <c r="A156" s="102"/>
      <c r="B156" s="374" t="s">
        <v>57</v>
      </c>
      <c r="C156" s="361" t="s">
        <v>57</v>
      </c>
      <c r="D156" s="78"/>
      <c r="E156" s="97"/>
      <c r="F156" s="364"/>
      <c r="G156" s="722" t="s">
        <v>805</v>
      </c>
      <c r="H156" s="538" t="s">
        <v>603</v>
      </c>
      <c r="I156" s="584">
        <v>0.6</v>
      </c>
      <c r="J156" s="665">
        <v>0</v>
      </c>
      <c r="K156" s="666">
        <v>3</v>
      </c>
      <c r="L156" s="666">
        <v>0</v>
      </c>
      <c r="M156" s="666">
        <v>0</v>
      </c>
      <c r="N156" s="667">
        <f>SUM(J156:M156)</f>
        <v>3</v>
      </c>
      <c r="O156" s="1066">
        <f t="shared" si="148"/>
        <v>0</v>
      </c>
      <c r="P156" s="1067">
        <f t="shared" si="149"/>
        <v>1.7999999999999998</v>
      </c>
      <c r="Q156" s="1067">
        <f t="shared" si="141"/>
        <v>0</v>
      </c>
      <c r="R156" s="1067">
        <f t="shared" si="141"/>
        <v>0</v>
      </c>
      <c r="S156" s="145">
        <f t="shared" si="150"/>
        <v>1.7999999999999998</v>
      </c>
      <c r="T156" s="618">
        <f>IFERROR(INDEX('Annex 2_Code'!I$8:I$33,MATCH('Annex 3_MAFF'!$AG156,'Annex 2_Code'!$G$8:$G$33,0)),"")</f>
        <v>1</v>
      </c>
      <c r="U156" s="618">
        <f>IFERROR(INDEX('Annex 2_Code'!J$8:J$33,MATCH('Annex 3_MAFF'!$AG156,'Annex 2_Code'!$G$8:$G$33,0)),"")</f>
        <v>0</v>
      </c>
      <c r="V156" s="618">
        <f>IFERROR(INDEX('Annex 2_Code'!K$8:K$33,MATCH('Annex 3_MAFF'!$AG156,'Annex 2_Code'!$G$8:$G$33,0)),"")</f>
        <v>0</v>
      </c>
      <c r="W156" s="618">
        <f>IFERROR(INDEX('Annex 2_Code'!L$8:L$33,MATCH('Annex 3_MAFF'!$AG156,'Annex 2_Code'!$G$8:$G$33,0)),"")</f>
        <v>0</v>
      </c>
      <c r="X156" s="618">
        <f>IFERROR(INDEX('Annex 2_Code'!M$8:M$33,MATCH('Annex 3_MAFF'!$AG156,'Annex 2_Code'!$G$8:$G$33,0)),"")</f>
        <v>0</v>
      </c>
      <c r="Y156" s="1536">
        <f t="shared" si="142"/>
        <v>1.7999999999999998</v>
      </c>
      <c r="Z156" s="717">
        <f t="shared" si="143"/>
        <v>0</v>
      </c>
      <c r="AA156" s="717">
        <f t="shared" si="9"/>
        <v>0</v>
      </c>
      <c r="AB156" s="717">
        <f t="shared" si="144"/>
        <v>0</v>
      </c>
      <c r="AC156" s="718">
        <f t="shared" si="145"/>
        <v>0</v>
      </c>
      <c r="AD156" s="626">
        <f t="shared" si="146"/>
        <v>1.7999999999999998</v>
      </c>
      <c r="AE156" s="627">
        <f t="shared" si="147"/>
        <v>0</v>
      </c>
      <c r="AF156" s="568" t="s">
        <v>480</v>
      </c>
      <c r="AG156" s="568" t="s">
        <v>370</v>
      </c>
      <c r="AH156" s="568" t="str">
        <f>IFERROR(INDEX('Annex 2_Code'!$J$110:$J$122,MATCH('Annex 3_MAFF'!AF156,'Annex 2_Code'!$G$110:$G$122,0)),"")</f>
        <v>MAFF-GDA</v>
      </c>
      <c r="AI156" s="882" t="str">
        <f t="shared" si="27"/>
        <v>MAFF</v>
      </c>
      <c r="AK156" s="1383"/>
      <c r="AL156" s="1383"/>
    </row>
    <row r="157" spans="1:38" s="366" customFormat="1" outlineLevel="1">
      <c r="A157" s="102"/>
      <c r="B157" s="1057" t="s">
        <v>173</v>
      </c>
      <c r="C157" s="1058"/>
      <c r="D157" s="1471"/>
      <c r="E157" s="1440" t="s">
        <v>41</v>
      </c>
      <c r="F157" s="1441"/>
      <c r="G157" s="1472"/>
      <c r="H157" s="1475"/>
      <c r="I157" s="1467"/>
      <c r="J157" s="1468">
        <f t="shared" ref="J157:R157" si="151">SUM(J154:J156)</f>
        <v>0</v>
      </c>
      <c r="K157" s="1469">
        <f t="shared" si="151"/>
        <v>96</v>
      </c>
      <c r="L157" s="1469">
        <f t="shared" si="151"/>
        <v>0</v>
      </c>
      <c r="M157" s="1469">
        <f t="shared" si="151"/>
        <v>0</v>
      </c>
      <c r="N157" s="1470">
        <f t="shared" si="151"/>
        <v>96</v>
      </c>
      <c r="O157" s="1528">
        <f t="shared" si="151"/>
        <v>0</v>
      </c>
      <c r="P157" s="1525">
        <f>SUM(P154:P156)</f>
        <v>23.1</v>
      </c>
      <c r="Q157" s="1526">
        <f t="shared" si="151"/>
        <v>0</v>
      </c>
      <c r="R157" s="1527">
        <f t="shared" si="151"/>
        <v>0</v>
      </c>
      <c r="S157" s="1450">
        <f>SUM(S154:S156)</f>
        <v>23.1</v>
      </c>
      <c r="T157" s="1061"/>
      <c r="U157" s="1061"/>
      <c r="V157" s="1061"/>
      <c r="W157" s="1061"/>
      <c r="X157" s="1061"/>
      <c r="Y157" s="1537"/>
      <c r="Z157" s="1063"/>
      <c r="AA157" s="717"/>
      <c r="AB157" s="1063"/>
      <c r="AC157" s="1064"/>
      <c r="AD157" s="1610"/>
      <c r="AE157" s="653"/>
      <c r="AF157" s="570"/>
      <c r="AG157" s="570"/>
      <c r="AH157" s="570"/>
      <c r="AI157" s="1065"/>
      <c r="AK157" s="1383"/>
      <c r="AL157" s="1383"/>
    </row>
    <row r="158" spans="1:38" s="366" customFormat="1" outlineLevel="1">
      <c r="A158" s="102"/>
      <c r="B158" s="1057" t="s">
        <v>173</v>
      </c>
      <c r="C158" s="1058"/>
      <c r="D158" s="110"/>
      <c r="E158" s="122"/>
      <c r="F158" s="364"/>
      <c r="G158" s="1059"/>
      <c r="H158" s="1060"/>
      <c r="I158" s="1044"/>
      <c r="J158" s="671"/>
      <c r="K158" s="672"/>
      <c r="L158" s="672"/>
      <c r="M158" s="672"/>
      <c r="N158" s="673"/>
      <c r="O158" s="1152"/>
      <c r="P158" s="1153"/>
      <c r="Q158" s="1154"/>
      <c r="R158" s="1155"/>
      <c r="S158" s="115"/>
      <c r="T158" s="1061"/>
      <c r="U158" s="1061"/>
      <c r="V158" s="1061"/>
      <c r="W158" s="1061"/>
      <c r="X158" s="1061"/>
      <c r="Y158" s="1537"/>
      <c r="Z158" s="1063"/>
      <c r="AA158" s="717"/>
      <c r="AB158" s="1063"/>
      <c r="AC158" s="1064"/>
      <c r="AD158" s="1610"/>
      <c r="AE158" s="653"/>
      <c r="AF158" s="570"/>
      <c r="AG158" s="570"/>
      <c r="AH158" s="570"/>
      <c r="AI158" s="1065"/>
      <c r="AK158" s="1383"/>
      <c r="AL158" s="1383"/>
    </row>
    <row r="159" spans="1:38" s="366" customFormat="1" outlineLevel="1">
      <c r="A159" s="102"/>
      <c r="B159" s="374" t="s">
        <v>57</v>
      </c>
      <c r="C159" s="361" t="s">
        <v>57</v>
      </c>
      <c r="D159" s="78"/>
      <c r="E159" s="97" t="s">
        <v>799</v>
      </c>
      <c r="F159" s="364"/>
      <c r="G159" s="722" t="s">
        <v>733</v>
      </c>
      <c r="H159" s="538"/>
      <c r="I159" s="584"/>
      <c r="J159" s="665"/>
      <c r="K159" s="666"/>
      <c r="L159" s="666"/>
      <c r="M159" s="666"/>
      <c r="N159" s="667"/>
      <c r="O159" s="1066"/>
      <c r="P159" s="1067"/>
      <c r="Q159" s="693"/>
      <c r="R159" s="619"/>
      <c r="S159" s="145"/>
      <c r="T159" s="618" t="str">
        <f>IFERROR(INDEX('Annex 2_Code'!I$8:I$33,MATCH('Annex 3_MAFF'!$AG159,'Annex 2_Code'!$G$8:$G$33,0)),"")</f>
        <v/>
      </c>
      <c r="U159" s="618" t="str">
        <f>IFERROR(INDEX('Annex 2_Code'!J$8:J$33,MATCH('Annex 3_MAFF'!$AG159,'Annex 2_Code'!$G$8:$G$33,0)),"")</f>
        <v/>
      </c>
      <c r="V159" s="618" t="str">
        <f>IFERROR(INDEX('Annex 2_Code'!K$8:K$33,MATCH('Annex 3_MAFF'!$AG159,'Annex 2_Code'!$G$8:$G$33,0)),"")</f>
        <v/>
      </c>
      <c r="W159" s="618" t="str">
        <f>IFERROR(INDEX('Annex 2_Code'!L$8:L$33,MATCH('Annex 3_MAFF'!$AG159,'Annex 2_Code'!$G$8:$G$33,0)),"")</f>
        <v/>
      </c>
      <c r="X159" s="618" t="str">
        <f>IFERROR(INDEX('Annex 2_Code'!M$8:M$33,MATCH('Annex 3_MAFF'!$AG159,'Annex 2_Code'!$G$8:$G$33,0)),"")</f>
        <v/>
      </c>
      <c r="Y159" s="1536" t="str">
        <f t="shared" si="126"/>
        <v/>
      </c>
      <c r="Z159" s="717" t="str">
        <f t="shared" si="127"/>
        <v/>
      </c>
      <c r="AA159" s="717" t="str">
        <f t="shared" si="9"/>
        <v/>
      </c>
      <c r="AB159" s="717" t="str">
        <f t="shared" si="128"/>
        <v/>
      </c>
      <c r="AC159" s="718" t="str">
        <f t="shared" si="129"/>
        <v/>
      </c>
      <c r="AD159" s="626">
        <f t="shared" si="130"/>
        <v>0</v>
      </c>
      <c r="AE159" s="627">
        <f t="shared" si="131"/>
        <v>0</v>
      </c>
      <c r="AF159" s="568"/>
      <c r="AG159" s="568"/>
      <c r="AH159" s="568"/>
      <c r="AI159" s="882"/>
      <c r="AK159" s="1383"/>
      <c r="AL159" s="1383"/>
    </row>
    <row r="160" spans="1:38" s="1176" customFormat="1" outlineLevel="1">
      <c r="A160" s="102"/>
      <c r="B160" s="374" t="s">
        <v>57</v>
      </c>
      <c r="C160" s="361" t="s">
        <v>57</v>
      </c>
      <c r="D160" s="1095"/>
      <c r="E160" s="102"/>
      <c r="F160" s="1158"/>
      <c r="G160" s="731" t="s">
        <v>1168</v>
      </c>
      <c r="H160" s="1090" t="s">
        <v>804</v>
      </c>
      <c r="I160" s="1177">
        <v>7.0000000000000007E-2</v>
      </c>
      <c r="J160" s="1093">
        <v>0</v>
      </c>
      <c r="K160" s="2059">
        <f>3*30</f>
        <v>90</v>
      </c>
      <c r="L160" s="1178">
        <v>0</v>
      </c>
      <c r="M160" s="1178">
        <v>0</v>
      </c>
      <c r="N160" s="1202">
        <f>SUM(J160:M160)</f>
        <v>90</v>
      </c>
      <c r="O160" s="1179">
        <f>($I160*J160)</f>
        <v>0</v>
      </c>
      <c r="P160" s="1179">
        <f>($I160*K160)</f>
        <v>6.3000000000000007</v>
      </c>
      <c r="Q160" s="1179">
        <f t="shared" ref="Q160:R162" si="152">($I160*L160)</f>
        <v>0</v>
      </c>
      <c r="R160" s="1179">
        <f t="shared" si="152"/>
        <v>0</v>
      </c>
      <c r="S160" s="1180">
        <f>SUM(O160:R160)</f>
        <v>6.3000000000000007</v>
      </c>
      <c r="T160" s="618">
        <f>IFERROR(INDEX('Annex 2_Code'!I$8:I$33,MATCH('Annex 3_MAFF'!$AG160,'Annex 2_Code'!$G$8:$G$33,0)),"")</f>
        <v>1</v>
      </c>
      <c r="U160" s="618">
        <f>IFERROR(INDEX('Annex 2_Code'!J$8:J$33,MATCH('Annex 3_MAFF'!$AG160,'Annex 2_Code'!$G$8:$G$33,0)),"")</f>
        <v>0</v>
      </c>
      <c r="V160" s="618">
        <f>IFERROR(INDEX('Annex 2_Code'!K$8:K$33,MATCH('Annex 3_MAFF'!$AG160,'Annex 2_Code'!$G$8:$G$33,0)),"")</f>
        <v>0</v>
      </c>
      <c r="W160" s="618">
        <f>IFERROR(INDEX('Annex 2_Code'!L$8:L$33,MATCH('Annex 3_MAFF'!$AG160,'Annex 2_Code'!$G$8:$G$33,0)),"")</f>
        <v>0</v>
      </c>
      <c r="X160" s="618">
        <f>IFERROR(INDEX('Annex 2_Code'!M$8:M$33,MATCH('Annex 3_MAFF'!$AG160,'Annex 2_Code'!$G$8:$G$33,0)),"")</f>
        <v>0</v>
      </c>
      <c r="Y160" s="1536">
        <f t="shared" si="126"/>
        <v>6.3000000000000007</v>
      </c>
      <c r="Z160" s="717">
        <f t="shared" ref="Z160:Z162" si="153">IFERROR($S160*U160,"")</f>
        <v>0</v>
      </c>
      <c r="AA160" s="717">
        <f t="shared" si="9"/>
        <v>0</v>
      </c>
      <c r="AB160" s="717">
        <f t="shared" ref="AB160:AB162" si="154">IFERROR($S160*W160,"")</f>
        <v>0</v>
      </c>
      <c r="AC160" s="718">
        <f t="shared" ref="AC160:AC162" si="155">IFERROR($S160*X160,"")</f>
        <v>0</v>
      </c>
      <c r="AD160" s="626">
        <f t="shared" ref="AD160:AD162" si="156">SUM(Y160:AC160)</f>
        <v>6.3000000000000007</v>
      </c>
      <c r="AE160" s="627">
        <f t="shared" ref="AE160:AE162" si="157">AD160-S160</f>
        <v>0</v>
      </c>
      <c r="AF160" s="568" t="s">
        <v>480</v>
      </c>
      <c r="AG160" s="568" t="s">
        <v>370</v>
      </c>
      <c r="AH160" s="568" t="str">
        <f>IFERROR(INDEX('Annex 2_Code'!$J$110:$J$122,MATCH('Annex 3_MAFF'!AF160,'Annex 2_Code'!$G$110:$G$122,0)),"")</f>
        <v>MAFF-GDA</v>
      </c>
      <c r="AI160" s="882" t="str">
        <f t="shared" si="27"/>
        <v>MAFF</v>
      </c>
      <c r="AK160" s="1388"/>
      <c r="AL160" s="1388"/>
    </row>
    <row r="161" spans="1:38" s="1176" customFormat="1" outlineLevel="1">
      <c r="A161" s="102"/>
      <c r="B161" s="374" t="s">
        <v>57</v>
      </c>
      <c r="C161" s="361" t="s">
        <v>57</v>
      </c>
      <c r="D161" s="484"/>
      <c r="E161" s="485"/>
      <c r="F161" s="364"/>
      <c r="G161" s="1748" t="s">
        <v>801</v>
      </c>
      <c r="H161" s="1739" t="s">
        <v>603</v>
      </c>
      <c r="I161" s="584">
        <v>5</v>
      </c>
      <c r="J161" s="1744">
        <v>0</v>
      </c>
      <c r="K161" s="1178">
        <v>3</v>
      </c>
      <c r="L161" s="1745">
        <v>0</v>
      </c>
      <c r="M161" s="1745">
        <v>0</v>
      </c>
      <c r="N161" s="667">
        <f t="shared" ref="N161:N162" si="158">SUM(J161:M161)</f>
        <v>3</v>
      </c>
      <c r="O161" s="1179">
        <f t="shared" ref="O161:O162" si="159">($I161*J161)</f>
        <v>0</v>
      </c>
      <c r="P161" s="1179">
        <f>($I161*K161)</f>
        <v>15</v>
      </c>
      <c r="Q161" s="1179">
        <f t="shared" si="152"/>
        <v>0</v>
      </c>
      <c r="R161" s="1179">
        <f t="shared" si="152"/>
        <v>0</v>
      </c>
      <c r="S161" s="1737">
        <f t="shared" ref="S161:S162" si="160">SUM(O161:R161)</f>
        <v>15</v>
      </c>
      <c r="T161" s="618">
        <f>IFERROR(INDEX('Annex 2_Code'!I$8:I$33,MATCH('Annex 3_MAFF'!$AG161,'Annex 2_Code'!$G$8:$G$33,0)),"")</f>
        <v>1</v>
      </c>
      <c r="U161" s="618">
        <f>IFERROR(INDEX('Annex 2_Code'!J$8:J$33,MATCH('Annex 3_MAFF'!$AG161,'Annex 2_Code'!$G$8:$G$33,0)),"")</f>
        <v>0</v>
      </c>
      <c r="V161" s="618">
        <f>IFERROR(INDEX('Annex 2_Code'!K$8:K$33,MATCH('Annex 3_MAFF'!$AG161,'Annex 2_Code'!$G$8:$G$33,0)),"")</f>
        <v>0</v>
      </c>
      <c r="W161" s="618">
        <f>IFERROR(INDEX('Annex 2_Code'!L$8:L$33,MATCH('Annex 3_MAFF'!$AG161,'Annex 2_Code'!$G$8:$G$33,0)),"")</f>
        <v>0</v>
      </c>
      <c r="X161" s="618">
        <f>IFERROR(INDEX('Annex 2_Code'!M$8:M$33,MATCH('Annex 3_MAFF'!$AG161,'Annex 2_Code'!$G$8:$G$33,0)),"")</f>
        <v>0</v>
      </c>
      <c r="Y161" s="1536">
        <f t="shared" si="126"/>
        <v>15</v>
      </c>
      <c r="Z161" s="717">
        <f t="shared" si="153"/>
        <v>0</v>
      </c>
      <c r="AA161" s="717">
        <f t="shared" si="9"/>
        <v>0</v>
      </c>
      <c r="AB161" s="717">
        <f t="shared" si="154"/>
        <v>0</v>
      </c>
      <c r="AC161" s="718">
        <f t="shared" si="155"/>
        <v>0</v>
      </c>
      <c r="AD161" s="626">
        <f t="shared" si="156"/>
        <v>15</v>
      </c>
      <c r="AE161" s="627">
        <f t="shared" si="157"/>
        <v>0</v>
      </c>
      <c r="AF161" s="568" t="s">
        <v>480</v>
      </c>
      <c r="AG161" s="568" t="s">
        <v>370</v>
      </c>
      <c r="AH161" s="568" t="str">
        <f>IFERROR(INDEX('Annex 2_Code'!$J$110:$J$122,MATCH('Annex 3_MAFF'!AF161,'Annex 2_Code'!$G$110:$G$122,0)),"")</f>
        <v>MAFF-GDA</v>
      </c>
      <c r="AI161" s="882" t="str">
        <f t="shared" si="27"/>
        <v>MAFF</v>
      </c>
      <c r="AK161" s="1388"/>
      <c r="AL161" s="1388"/>
    </row>
    <row r="162" spans="1:38" s="1176" customFormat="1" outlineLevel="1">
      <c r="A162" s="102"/>
      <c r="B162" s="374" t="s">
        <v>57</v>
      </c>
      <c r="C162" s="361" t="s">
        <v>57</v>
      </c>
      <c r="D162" s="484"/>
      <c r="E162" s="102"/>
      <c r="F162" s="1158"/>
      <c r="G162" s="731" t="s">
        <v>802</v>
      </c>
      <c r="H162" s="1090" t="s">
        <v>603</v>
      </c>
      <c r="I162" s="1177">
        <v>0.6</v>
      </c>
      <c r="J162" s="1093">
        <v>0</v>
      </c>
      <c r="K162" s="1178">
        <v>3</v>
      </c>
      <c r="L162" s="1178">
        <v>0</v>
      </c>
      <c r="M162" s="1178">
        <v>0</v>
      </c>
      <c r="N162" s="1202">
        <f t="shared" si="158"/>
        <v>3</v>
      </c>
      <c r="O162" s="1179">
        <f t="shared" si="159"/>
        <v>0</v>
      </c>
      <c r="P162" s="1179">
        <f t="shared" ref="P162" si="161">($I162*K162)</f>
        <v>1.7999999999999998</v>
      </c>
      <c r="Q162" s="1179">
        <f t="shared" si="152"/>
        <v>0</v>
      </c>
      <c r="R162" s="1179">
        <f t="shared" si="152"/>
        <v>0</v>
      </c>
      <c r="S162" s="1180">
        <f t="shared" si="160"/>
        <v>1.7999999999999998</v>
      </c>
      <c r="T162" s="618">
        <f>IFERROR(INDEX('Annex 2_Code'!I$8:I$33,MATCH('Annex 3_MAFF'!$AG162,'Annex 2_Code'!$G$8:$G$33,0)),"")</f>
        <v>1</v>
      </c>
      <c r="U162" s="618">
        <f>IFERROR(INDEX('Annex 2_Code'!J$8:J$33,MATCH('Annex 3_MAFF'!$AG162,'Annex 2_Code'!$G$8:$G$33,0)),"")</f>
        <v>0</v>
      </c>
      <c r="V162" s="618">
        <f>IFERROR(INDEX('Annex 2_Code'!K$8:K$33,MATCH('Annex 3_MAFF'!$AG162,'Annex 2_Code'!$G$8:$G$33,0)),"")</f>
        <v>0</v>
      </c>
      <c r="W162" s="618">
        <f>IFERROR(INDEX('Annex 2_Code'!L$8:L$33,MATCH('Annex 3_MAFF'!$AG162,'Annex 2_Code'!$G$8:$G$33,0)),"")</f>
        <v>0</v>
      </c>
      <c r="X162" s="618">
        <f>IFERROR(INDEX('Annex 2_Code'!M$8:M$33,MATCH('Annex 3_MAFF'!$AG162,'Annex 2_Code'!$G$8:$G$33,0)),"")</f>
        <v>0</v>
      </c>
      <c r="Y162" s="1536">
        <f t="shared" si="126"/>
        <v>1.7999999999999998</v>
      </c>
      <c r="Z162" s="717">
        <f t="shared" si="153"/>
        <v>0</v>
      </c>
      <c r="AA162" s="717">
        <f t="shared" si="9"/>
        <v>0</v>
      </c>
      <c r="AB162" s="717">
        <f t="shared" si="154"/>
        <v>0</v>
      </c>
      <c r="AC162" s="718">
        <f t="shared" si="155"/>
        <v>0</v>
      </c>
      <c r="AD162" s="626">
        <f t="shared" si="156"/>
        <v>1.7999999999999998</v>
      </c>
      <c r="AE162" s="627">
        <f t="shared" si="157"/>
        <v>0</v>
      </c>
      <c r="AF162" s="568" t="s">
        <v>480</v>
      </c>
      <c r="AG162" s="568" t="s">
        <v>370</v>
      </c>
      <c r="AH162" s="568" t="str">
        <f>IFERROR(INDEX('Annex 2_Code'!$J$110:$J$122,MATCH('Annex 3_MAFF'!AF162,'Annex 2_Code'!$G$110:$G$122,0)),"")</f>
        <v>MAFF-GDA</v>
      </c>
      <c r="AI162" s="882" t="str">
        <f t="shared" si="27"/>
        <v>MAFF</v>
      </c>
      <c r="AK162" s="1388"/>
      <c r="AL162" s="1388"/>
    </row>
    <row r="163" spans="1:38" s="1176" customFormat="1" outlineLevel="1">
      <c r="A163" s="102"/>
      <c r="B163" s="1057" t="s">
        <v>173</v>
      </c>
      <c r="C163" s="1058"/>
      <c r="D163" s="1516"/>
      <c r="E163" s="1462"/>
      <c r="F163" s="1517"/>
      <c r="G163" s="1518" t="s">
        <v>41</v>
      </c>
      <c r="H163" s="1519"/>
      <c r="I163" s="1520"/>
      <c r="J163" s="1521">
        <f t="shared" ref="J163:R163" si="162">SUM(J160:J162)</f>
        <v>0</v>
      </c>
      <c r="K163" s="1522">
        <f t="shared" si="162"/>
        <v>96</v>
      </c>
      <c r="L163" s="1522">
        <f t="shared" si="162"/>
        <v>0</v>
      </c>
      <c r="M163" s="1522">
        <f t="shared" si="162"/>
        <v>0</v>
      </c>
      <c r="N163" s="1523">
        <f t="shared" si="162"/>
        <v>96</v>
      </c>
      <c r="O163" s="1524">
        <f>SUM(O160:O162)</f>
        <v>0</v>
      </c>
      <c r="P163" s="1525">
        <f>SUM(P160:P162)</f>
        <v>23.1</v>
      </c>
      <c r="Q163" s="1526">
        <f t="shared" si="162"/>
        <v>0</v>
      </c>
      <c r="R163" s="1527">
        <f t="shared" si="162"/>
        <v>0</v>
      </c>
      <c r="S163" s="1450">
        <f>SUM(S160:S162)</f>
        <v>23.1</v>
      </c>
      <c r="T163" s="1170"/>
      <c r="U163" s="1170"/>
      <c r="V163" s="1170"/>
      <c r="W163" s="1170"/>
      <c r="X163" s="1170"/>
      <c r="Y163" s="1537"/>
      <c r="Z163" s="1171"/>
      <c r="AA163" s="717"/>
      <c r="AB163" s="1171"/>
      <c r="AC163" s="1172"/>
      <c r="AD163" s="1611"/>
      <c r="AE163" s="1173"/>
      <c r="AF163" s="1174"/>
      <c r="AG163" s="1174"/>
      <c r="AH163" s="1174"/>
      <c r="AI163" s="1175"/>
      <c r="AK163" s="1388"/>
      <c r="AL163" s="1388"/>
    </row>
    <row r="164" spans="1:38" s="366" customFormat="1">
      <c r="A164" s="102"/>
      <c r="B164" s="77" t="s">
        <v>173</v>
      </c>
      <c r="C164" s="77"/>
      <c r="D164" s="1459" t="s">
        <v>670</v>
      </c>
      <c r="E164" s="1506"/>
      <c r="F164" s="1507"/>
      <c r="G164" s="1508"/>
      <c r="H164" s="1999"/>
      <c r="I164" s="2000"/>
      <c r="J164" s="2001"/>
      <c r="K164" s="2002"/>
      <c r="L164" s="2002"/>
      <c r="M164" s="2002"/>
      <c r="N164" s="2003"/>
      <c r="O164" s="1983">
        <f>SUM(O163,O157,O151,O145,O138,O109,O80)</f>
        <v>1.2</v>
      </c>
      <c r="P164" s="1983">
        <f>SUM(P163,P157,P151,P145,P138,P109,P80)</f>
        <v>557.82499999999993</v>
      </c>
      <c r="Q164" s="1983">
        <f t="shared" ref="Q164" si="163">SUM(Q163,Q157,Q151,Q145,Q138,Q109,Q80)</f>
        <v>490.07500000000005</v>
      </c>
      <c r="R164" s="1983">
        <f>SUM(R163,R157,R151,R145,R138,R109,R80)</f>
        <v>26.95</v>
      </c>
      <c r="S164" s="1984">
        <f>SUM(S163,S157,S151,S145,S138,S109,S80)</f>
        <v>1076.05</v>
      </c>
      <c r="T164" s="2004" t="str">
        <f>IFERROR(INDEX('Annex 2_Code'!I$8:I$33,MATCH('Annex 3_MAFF'!$AG164,'Annex 2_Code'!$G$8:$G$33,0)),"")</f>
        <v/>
      </c>
      <c r="U164" s="2004" t="str">
        <f>IFERROR(INDEX('Annex 2_Code'!J$8:J$33,MATCH('Annex 3_MAFF'!$AG164,'Annex 2_Code'!$G$8:$G$33,0)),"")</f>
        <v/>
      </c>
      <c r="V164" s="2004" t="str">
        <f>IFERROR(INDEX('Annex 2_Code'!K$8:K$33,MATCH('Annex 3_MAFF'!$AG164,'Annex 2_Code'!$G$8:$G$33,0)),"")</f>
        <v/>
      </c>
      <c r="W164" s="2004" t="str">
        <f>IFERROR(INDEX('Annex 2_Code'!L$8:L$33,MATCH('Annex 3_MAFF'!$AG164,'Annex 2_Code'!$G$8:$G$33,0)),"")</f>
        <v/>
      </c>
      <c r="X164" s="2004" t="str">
        <f>IFERROR(INDEX('Annex 2_Code'!M$8:M$33,MATCH('Annex 3_MAFF'!$AG164,'Annex 2_Code'!$G$8:$G$33,0)),"")</f>
        <v/>
      </c>
      <c r="Y164" s="2005"/>
      <c r="Z164" s="2006" t="str">
        <f t="shared" si="10"/>
        <v/>
      </c>
      <c r="AA164" s="2134" t="str">
        <f t="shared" si="9"/>
        <v/>
      </c>
      <c r="AB164" s="2006" t="str">
        <f t="shared" si="11"/>
        <v/>
      </c>
      <c r="AC164" s="2007" t="str">
        <f t="shared" si="12"/>
        <v/>
      </c>
      <c r="AD164" s="2008">
        <f t="shared" si="130"/>
        <v>0</v>
      </c>
      <c r="AE164" s="2009">
        <f>AD164-S164</f>
        <v>-1076.05</v>
      </c>
      <c r="AF164" s="2010"/>
      <c r="AG164" s="2010"/>
      <c r="AH164" s="2011" t="str">
        <f>IFERROR(INDEX('Annex 2_Code'!$J$110:$J$122,MATCH('Annex 3_MAFF'!AF164,'Annex 2_Code'!$G$110:$G$122,0)),"")</f>
        <v/>
      </c>
      <c r="AI164" s="2012" t="str">
        <f t="shared" si="27"/>
        <v/>
      </c>
      <c r="AK164" s="1383"/>
      <c r="AL164" s="1383"/>
    </row>
    <row r="165" spans="1:38" s="366" customFormat="1">
      <c r="A165" s="102"/>
      <c r="B165" s="76" t="s">
        <v>173</v>
      </c>
      <c r="C165" s="77"/>
      <c r="D165" s="106" t="s">
        <v>61</v>
      </c>
      <c r="E165" s="290"/>
      <c r="F165" s="74"/>
      <c r="G165" s="728"/>
      <c r="H165" s="565"/>
      <c r="I165" s="566"/>
      <c r="J165" s="665"/>
      <c r="K165" s="666"/>
      <c r="L165" s="666"/>
      <c r="M165" s="666"/>
      <c r="N165" s="667"/>
      <c r="O165" s="688"/>
      <c r="P165" s="689"/>
      <c r="Q165" s="689"/>
      <c r="R165" s="689"/>
      <c r="S165" s="365"/>
      <c r="T165" s="618" t="str">
        <f>IFERROR(INDEX('Annex 2_Code'!I$8:I$33,MATCH('Annex 3_MAFF'!$AG165,'Annex 2_Code'!$G$8:$G$33,0)),"")</f>
        <v/>
      </c>
      <c r="U165" s="618" t="str">
        <f>IFERROR(INDEX('Annex 2_Code'!J$8:J$33,MATCH('Annex 3_MAFF'!$AG165,'Annex 2_Code'!$G$8:$G$33,0)),"")</f>
        <v/>
      </c>
      <c r="V165" s="618" t="str">
        <f>IFERROR(INDEX('Annex 2_Code'!K$8:K$33,MATCH('Annex 3_MAFF'!$AG165,'Annex 2_Code'!$G$8:$G$33,0)),"")</f>
        <v/>
      </c>
      <c r="W165" s="618" t="str">
        <f>IFERROR(INDEX('Annex 2_Code'!L$8:L$33,MATCH('Annex 3_MAFF'!$AG165,'Annex 2_Code'!$G$8:$G$33,0)),"")</f>
        <v/>
      </c>
      <c r="X165" s="618" t="str">
        <f>IFERROR(INDEX('Annex 2_Code'!M$8:M$33,MATCH('Annex 3_MAFF'!$AG165,'Annex 2_Code'!$G$8:$G$33,0)),"")</f>
        <v/>
      </c>
      <c r="Y165" s="716" t="str">
        <f t="shared" si="9"/>
        <v/>
      </c>
      <c r="Z165" s="717" t="str">
        <f t="shared" si="10"/>
        <v/>
      </c>
      <c r="AA165" s="717" t="str">
        <f t="shared" si="9"/>
        <v/>
      </c>
      <c r="AB165" s="717" t="str">
        <f t="shared" si="11"/>
        <v/>
      </c>
      <c r="AC165" s="718" t="str">
        <f t="shared" si="12"/>
        <v/>
      </c>
      <c r="AD165" s="626">
        <f t="shared" si="130"/>
        <v>0</v>
      </c>
      <c r="AE165" s="655">
        <f>SUM(AD71:AD163)</f>
        <v>1076.0499999999995</v>
      </c>
      <c r="AF165" s="570"/>
      <c r="AG165" s="570"/>
      <c r="AH165" s="568" t="str">
        <f>IFERROR(INDEX('Annex 2_Code'!$J$110:$J$122,MATCH('Annex 3_MAFF'!AF165,'Annex 2_Code'!$G$110:$G$122,0)),"")</f>
        <v/>
      </c>
      <c r="AI165" s="882" t="str">
        <f t="shared" si="27"/>
        <v/>
      </c>
      <c r="AK165" s="1383"/>
      <c r="AL165" s="1383"/>
    </row>
    <row r="166" spans="1:38" s="366" customFormat="1" ht="14.25">
      <c r="A166" s="102"/>
      <c r="B166" s="76" t="s">
        <v>173</v>
      </c>
      <c r="C166" s="77"/>
      <c r="D166" s="1150" t="s">
        <v>772</v>
      </c>
      <c r="E166" s="290"/>
      <c r="F166" s="74"/>
      <c r="G166" s="728"/>
      <c r="H166" s="565"/>
      <c r="I166" s="566"/>
      <c r="J166" s="665"/>
      <c r="K166" s="666"/>
      <c r="L166" s="666"/>
      <c r="M166" s="666"/>
      <c r="N166" s="667"/>
      <c r="O166" s="688"/>
      <c r="P166" s="689"/>
      <c r="Q166" s="689"/>
      <c r="R166" s="689"/>
      <c r="S166" s="564"/>
      <c r="T166" s="618"/>
      <c r="U166" s="618"/>
      <c r="V166" s="618"/>
      <c r="W166" s="618"/>
      <c r="X166" s="618"/>
      <c r="Y166" s="716"/>
      <c r="Z166" s="717"/>
      <c r="AA166" s="717">
        <f t="shared" si="9"/>
        <v>0</v>
      </c>
      <c r="AB166" s="717"/>
      <c r="AC166" s="718"/>
      <c r="AD166" s="626">
        <f t="shared" si="130"/>
        <v>0</v>
      </c>
      <c r="AE166" s="627">
        <f t="shared" si="131"/>
        <v>0</v>
      </c>
      <c r="AF166" s="570"/>
      <c r="AG166" s="570"/>
      <c r="AH166" s="568"/>
      <c r="AI166" s="882"/>
      <c r="AK166" s="1383"/>
      <c r="AL166" s="1383"/>
    </row>
    <row r="167" spans="1:38" s="366" customFormat="1" outlineLevel="1">
      <c r="A167" s="102"/>
      <c r="B167" s="76" t="s">
        <v>173</v>
      </c>
      <c r="C167" s="77"/>
      <c r="D167" s="362"/>
      <c r="E167" s="97" t="s">
        <v>62</v>
      </c>
      <c r="F167" s="364"/>
      <c r="G167" s="721"/>
      <c r="H167" s="565"/>
      <c r="I167" s="566"/>
      <c r="J167" s="665"/>
      <c r="K167" s="666"/>
      <c r="L167" s="666"/>
      <c r="M167" s="666"/>
      <c r="N167" s="667"/>
      <c r="O167" s="688"/>
      <c r="P167" s="689"/>
      <c r="Q167" s="689"/>
      <c r="R167" s="689"/>
      <c r="S167" s="620"/>
      <c r="T167" s="618" t="str">
        <f>IFERROR(INDEX('Annex 2_Code'!I$8:I$33,MATCH('Annex 3_MAFF'!$AG167,'Annex 2_Code'!$G$8:$G$33,0)),"")</f>
        <v/>
      </c>
      <c r="U167" s="618" t="str">
        <f>IFERROR(INDEX('Annex 2_Code'!J$8:J$33,MATCH('Annex 3_MAFF'!$AG167,'Annex 2_Code'!$G$8:$G$33,0)),"")</f>
        <v/>
      </c>
      <c r="V167" s="618" t="str">
        <f>IFERROR(INDEX('Annex 2_Code'!K$8:K$33,MATCH('Annex 3_MAFF'!$AG167,'Annex 2_Code'!$G$8:$G$33,0)),"")</f>
        <v/>
      </c>
      <c r="W167" s="618" t="str">
        <f>IFERROR(INDEX('Annex 2_Code'!L$8:L$33,MATCH('Annex 3_MAFF'!$AG167,'Annex 2_Code'!$G$8:$G$33,0)),"")</f>
        <v/>
      </c>
      <c r="X167" s="618" t="str">
        <f>IFERROR(INDEX('Annex 2_Code'!M$8:M$33,MATCH('Annex 3_MAFF'!$AG167,'Annex 2_Code'!$G$8:$G$33,0)),"")</f>
        <v/>
      </c>
      <c r="Y167" s="716" t="str">
        <f t="shared" si="9"/>
        <v/>
      </c>
      <c r="Z167" s="717" t="str">
        <f t="shared" si="10"/>
        <v/>
      </c>
      <c r="AA167" s="717" t="str">
        <f t="shared" si="9"/>
        <v/>
      </c>
      <c r="AB167" s="717" t="str">
        <f t="shared" si="11"/>
        <v/>
      </c>
      <c r="AC167" s="718" t="str">
        <f t="shared" si="12"/>
        <v/>
      </c>
      <c r="AD167" s="626">
        <f t="shared" si="130"/>
        <v>0</v>
      </c>
      <c r="AE167" s="627">
        <f t="shared" si="131"/>
        <v>0</v>
      </c>
      <c r="AF167" s="570"/>
      <c r="AG167" s="570"/>
      <c r="AH167" s="568" t="str">
        <f>IFERROR(INDEX('Annex 2_Code'!$J$110:$J$122,MATCH('Annex 3_MAFF'!AF167,'Annex 2_Code'!$G$110:$G$122,0)),"")</f>
        <v/>
      </c>
      <c r="AI167" s="882" t="str">
        <f t="shared" si="27"/>
        <v/>
      </c>
      <c r="AK167" s="1383"/>
      <c r="AL167" s="1383"/>
    </row>
    <row r="168" spans="1:38" s="366" customFormat="1" outlineLevel="1">
      <c r="A168" s="102"/>
      <c r="B168" s="1921" t="s">
        <v>24</v>
      </c>
      <c r="C168" s="1923" t="s">
        <v>297</v>
      </c>
      <c r="D168" s="362"/>
      <c r="E168" s="82"/>
      <c r="F168" s="543" t="s">
        <v>260</v>
      </c>
      <c r="G168" s="721"/>
      <c r="H168" s="538" t="s">
        <v>171</v>
      </c>
      <c r="I168" s="584">
        <v>0.65</v>
      </c>
      <c r="J168" s="665">
        <v>0</v>
      </c>
      <c r="K168" s="666">
        <v>750</v>
      </c>
      <c r="L168" s="666">
        <v>0</v>
      </c>
      <c r="M168" s="666">
        <v>500</v>
      </c>
      <c r="N168" s="667">
        <f>SUM(J168:M168)</f>
        <v>1250</v>
      </c>
      <c r="O168" s="1103">
        <f>($I168*J168)</f>
        <v>0</v>
      </c>
      <c r="P168" s="689">
        <f>($I168*K168)</f>
        <v>487.5</v>
      </c>
      <c r="Q168" s="689">
        <f t="shared" ref="Q168:R169" si="164">($I168*L168)</f>
        <v>0</v>
      </c>
      <c r="R168" s="689">
        <f t="shared" si="164"/>
        <v>325</v>
      </c>
      <c r="S168" s="145">
        <f>SUM(O168:R168)</f>
        <v>812.5</v>
      </c>
      <c r="T168" s="618">
        <f>IFERROR(INDEX('Annex 2_Code'!I$8:I$33,MATCH('Annex 3_MAFF'!$AG168,'Annex 2_Code'!$G$8:$G$33,0)),"")</f>
        <v>0</v>
      </c>
      <c r="U168" s="618">
        <f>IFERROR(INDEX('Annex 2_Code'!J$8:J$33,MATCH('Annex 3_MAFF'!$AG168,'Annex 2_Code'!$G$8:$G$33,0)),"")</f>
        <v>0</v>
      </c>
      <c r="V168" s="621">
        <f>IFERROR(INDEX('Annex 2_Code'!K$8:K$33,MATCH('Annex 3_MAFF'!$AG168,'Annex 2_Code'!$G$8:$G$33,0)),"")</f>
        <v>0.27272727272727271</v>
      </c>
      <c r="W168" s="621">
        <f>IFERROR(INDEX('Annex 2_Code'!L$8:L$33,MATCH('Annex 3_MAFF'!$AG168,'Annex 2_Code'!$G$8:$G$33,0)),"")</f>
        <v>0.30585398202814701</v>
      </c>
      <c r="X168" s="621">
        <f>IFERROR(INDEX('Annex 2_Code'!M$8:M$33,MATCH('Annex 3_MAFF'!$AG168,'Annex 2_Code'!$G$8:$G$33,0)),"")</f>
        <v>0.42141874524458028</v>
      </c>
      <c r="Y168" s="1533">
        <f t="shared" ref="Y168" si="165">IFERROR($S168*T168,"")</f>
        <v>0</v>
      </c>
      <c r="Z168" s="717">
        <f t="shared" ref="Z168" si="166">IFERROR($S168*U168,"")</f>
        <v>0</v>
      </c>
      <c r="AA168" s="717">
        <f>IFERROR($S168*V168,"")</f>
        <v>221.59090909090907</v>
      </c>
      <c r="AB168" s="717">
        <f t="shared" ref="AB168" si="167">IFERROR($S168*W168,"")</f>
        <v>248.50636039786946</v>
      </c>
      <c r="AC168" s="718">
        <f t="shared" ref="AC168" si="168">IFERROR($S168*X168,"")</f>
        <v>342.40273051122148</v>
      </c>
      <c r="AD168" s="626">
        <f t="shared" si="130"/>
        <v>812.5</v>
      </c>
      <c r="AE168" s="627">
        <f t="shared" si="131"/>
        <v>0</v>
      </c>
      <c r="AF168" s="568" t="s">
        <v>372</v>
      </c>
      <c r="AG168" s="568" t="s">
        <v>372</v>
      </c>
      <c r="AH168" s="568" t="str">
        <f>IFERROR(INDEX('Annex 2_Code'!$J$110:$J$122,MATCH('Annex 3_MAFF'!AF168,'Annex 2_Code'!$G$110:$G$122,0)),"")</f>
        <v>MAFF-GDAHP</v>
      </c>
      <c r="AI168" s="882" t="str">
        <f t="shared" si="27"/>
        <v>MAFF</v>
      </c>
      <c r="AK168" s="1383"/>
      <c r="AL168" s="1383"/>
    </row>
    <row r="169" spans="1:38" s="366" customFormat="1" outlineLevel="1">
      <c r="A169" s="102"/>
      <c r="B169" s="1921" t="s">
        <v>24</v>
      </c>
      <c r="C169" s="1923" t="s">
        <v>297</v>
      </c>
      <c r="D169" s="362"/>
      <c r="E169" s="82"/>
      <c r="F169" s="543" t="s">
        <v>259</v>
      </c>
      <c r="G169" s="721"/>
      <c r="H169" s="538" t="s">
        <v>171</v>
      </c>
      <c r="I169" s="584">
        <v>0.3</v>
      </c>
      <c r="J169" s="665">
        <v>0</v>
      </c>
      <c r="K169" s="666">
        <v>375</v>
      </c>
      <c r="L169" s="666">
        <v>0</v>
      </c>
      <c r="M169" s="666">
        <v>250</v>
      </c>
      <c r="N169" s="667">
        <f>SUM(J169:M169)</f>
        <v>625</v>
      </c>
      <c r="O169" s="1103">
        <f>($I169*J169)</f>
        <v>0</v>
      </c>
      <c r="P169" s="689">
        <f>($I169*K169)</f>
        <v>112.5</v>
      </c>
      <c r="Q169" s="689">
        <f t="shared" si="164"/>
        <v>0</v>
      </c>
      <c r="R169" s="689">
        <f t="shared" si="164"/>
        <v>75</v>
      </c>
      <c r="S169" s="145">
        <f>SUM(O169:R169)</f>
        <v>187.5</v>
      </c>
      <c r="T169" s="618">
        <f>IFERROR(INDEX('Annex 2_Code'!I$8:I$33,MATCH('Annex 3_MAFF'!$AG169,'Annex 2_Code'!$G$8:$G$33,0)),"")</f>
        <v>0</v>
      </c>
      <c r="U169" s="618">
        <f>IFERROR(INDEX('Annex 2_Code'!J$8:J$33,MATCH('Annex 3_MAFF'!$AG169,'Annex 2_Code'!$G$8:$G$33,0)),"")</f>
        <v>0</v>
      </c>
      <c r="V169" s="621">
        <f>IFERROR(INDEX('Annex 2_Code'!K$8:K$33,MATCH('Annex 3_MAFF'!$AG169,'Annex 2_Code'!$G$8:$G$33,0)),"")</f>
        <v>0.5</v>
      </c>
      <c r="W169" s="621">
        <f>IFERROR(INDEX('Annex 2_Code'!L$8:L$33,MATCH('Annex 3_MAFF'!$AG169,'Annex 2_Code'!$G$8:$G$33,0)),"")</f>
        <v>0.25</v>
      </c>
      <c r="X169" s="621">
        <f>IFERROR(INDEX('Annex 2_Code'!M$8:M$33,MATCH('Annex 3_MAFF'!$AG169,'Annex 2_Code'!$G$8:$G$33,0)),"")</f>
        <v>0.25</v>
      </c>
      <c r="Y169" s="1533">
        <f t="shared" si="9"/>
        <v>0</v>
      </c>
      <c r="Z169" s="717">
        <f t="shared" si="10"/>
        <v>0</v>
      </c>
      <c r="AA169" s="717">
        <f>IFERROR($S169*V169,"")</f>
        <v>93.75</v>
      </c>
      <c r="AB169" s="717">
        <f t="shared" si="11"/>
        <v>46.875</v>
      </c>
      <c r="AC169" s="718">
        <f t="shared" si="12"/>
        <v>46.875</v>
      </c>
      <c r="AD169" s="626">
        <f t="shared" si="130"/>
        <v>187.5</v>
      </c>
      <c r="AE169" s="627">
        <f t="shared" si="131"/>
        <v>0</v>
      </c>
      <c r="AF169" s="568" t="s">
        <v>372</v>
      </c>
      <c r="AG169" s="568" t="s">
        <v>373</v>
      </c>
      <c r="AH169" s="568" t="str">
        <f>IFERROR(INDEX('Annex 2_Code'!$J$110:$J$122,MATCH('Annex 3_MAFF'!AF169,'Annex 2_Code'!$G$110:$G$122,0)),"")</f>
        <v>MAFF-GDAHP</v>
      </c>
      <c r="AI169" s="882" t="str">
        <f t="shared" si="27"/>
        <v>MAFF</v>
      </c>
      <c r="AK169" s="1383"/>
      <c r="AL169" s="1383"/>
    </row>
    <row r="170" spans="1:38" s="366" customFormat="1" outlineLevel="1">
      <c r="A170" s="102"/>
      <c r="B170" s="76" t="s">
        <v>173</v>
      </c>
      <c r="C170" s="1071"/>
      <c r="D170" s="1452"/>
      <c r="E170" s="1513"/>
      <c r="F170" s="1441" t="s">
        <v>41</v>
      </c>
      <c r="G170" s="1453"/>
      <c r="H170" s="1478" t="s">
        <v>173</v>
      </c>
      <c r="I170" s="1514" t="s">
        <v>173</v>
      </c>
      <c r="J170" s="1456"/>
      <c r="K170" s="1457"/>
      <c r="L170" s="1457"/>
      <c r="M170" s="1457"/>
      <c r="N170" s="1458"/>
      <c r="O170" s="1492">
        <f>SUM(O168:O169)</f>
        <v>0</v>
      </c>
      <c r="P170" s="1493">
        <f>SUM(P168:P169)</f>
        <v>600</v>
      </c>
      <c r="Q170" s="1493">
        <f>SUM(Q168:Q169)</f>
        <v>0</v>
      </c>
      <c r="R170" s="1493">
        <f>SUM(R168:R169)</f>
        <v>400</v>
      </c>
      <c r="S170" s="1494">
        <f>SUM(S168:S169)</f>
        <v>1000</v>
      </c>
      <c r="T170" s="618" t="str">
        <f>IFERROR(INDEX('Annex 2_Code'!I$8:I$33,MATCH('Annex 3_MAFF'!$AG170,'Annex 2_Code'!$G$8:$G$33,0)),"")</f>
        <v/>
      </c>
      <c r="U170" s="618" t="str">
        <f>IFERROR(INDEX('Annex 2_Code'!J$8:J$33,MATCH('Annex 3_MAFF'!$AG170,'Annex 2_Code'!$G$8:$G$33,0)),"")</f>
        <v/>
      </c>
      <c r="V170" s="621" t="str">
        <f>IFERROR(INDEX('Annex 2_Code'!K$8:K$33,MATCH('Annex 3_MAFF'!$AG170,'Annex 2_Code'!$G$8:$G$33,0)),"")</f>
        <v/>
      </c>
      <c r="W170" s="621" t="str">
        <f>IFERROR(INDEX('Annex 2_Code'!L$8:L$33,MATCH('Annex 3_MAFF'!$AG170,'Annex 2_Code'!$G$8:$G$33,0)),"")</f>
        <v/>
      </c>
      <c r="X170" s="621" t="str">
        <f>IFERROR(INDEX('Annex 2_Code'!M$8:M$33,MATCH('Annex 3_MAFF'!$AG170,'Annex 2_Code'!$G$8:$G$33,0)),"")</f>
        <v/>
      </c>
      <c r="Y170" s="1533" t="str">
        <f t="shared" si="9"/>
        <v/>
      </c>
      <c r="Z170" s="717" t="str">
        <f t="shared" si="10"/>
        <v/>
      </c>
      <c r="AA170" s="717" t="str">
        <f t="shared" si="9"/>
        <v/>
      </c>
      <c r="AB170" s="717" t="str">
        <f t="shared" si="11"/>
        <v/>
      </c>
      <c r="AC170" s="718"/>
      <c r="AD170" s="626">
        <f t="shared" si="130"/>
        <v>0</v>
      </c>
      <c r="AE170" s="627">
        <f t="shared" si="131"/>
        <v>-1000</v>
      </c>
      <c r="AF170" s="568"/>
      <c r="AG170" s="568"/>
      <c r="AH170" s="568" t="str">
        <f>IFERROR(INDEX('Annex 2_Code'!$J$110:$J$122,MATCH('Annex 3_MAFF'!AF170,'Annex 2_Code'!$G$110:$G$122,0)),"")</f>
        <v/>
      </c>
      <c r="AI170" s="882" t="str">
        <f t="shared" si="27"/>
        <v/>
      </c>
      <c r="AK170" s="1383"/>
      <c r="AL170" s="1383"/>
    </row>
    <row r="171" spans="1:38" s="366" customFormat="1" outlineLevel="1">
      <c r="A171" s="102"/>
      <c r="B171" s="76" t="s">
        <v>173</v>
      </c>
      <c r="C171" s="1071"/>
      <c r="D171" s="86"/>
      <c r="E171" s="82"/>
      <c r="F171" s="364"/>
      <c r="G171" s="721"/>
      <c r="H171" s="538"/>
      <c r="I171" s="540"/>
      <c r="J171" s="665"/>
      <c r="K171" s="666"/>
      <c r="L171" s="666"/>
      <c r="M171" s="666"/>
      <c r="N171" s="667"/>
      <c r="O171" s="691"/>
      <c r="P171" s="692"/>
      <c r="Q171" s="692"/>
      <c r="R171" s="692"/>
      <c r="S171" s="624"/>
      <c r="T171" s="618"/>
      <c r="U171" s="618"/>
      <c r="V171" s="621"/>
      <c r="W171" s="621"/>
      <c r="X171" s="621"/>
      <c r="Y171" s="1533"/>
      <c r="Z171" s="717"/>
      <c r="AA171" s="717">
        <f t="shared" si="9"/>
        <v>0</v>
      </c>
      <c r="AB171" s="717"/>
      <c r="AC171" s="718"/>
      <c r="AD171" s="626">
        <f t="shared" si="130"/>
        <v>0</v>
      </c>
      <c r="AE171" s="627">
        <f t="shared" si="131"/>
        <v>0</v>
      </c>
      <c r="AF171" s="568"/>
      <c r="AG171" s="568"/>
      <c r="AH171" s="568"/>
      <c r="AI171" s="882"/>
      <c r="AK171" s="1383"/>
      <c r="AL171" s="1383"/>
    </row>
    <row r="172" spans="1:38" s="366" customFormat="1" outlineLevel="1">
      <c r="A172" s="102"/>
      <c r="B172" s="1921" t="s">
        <v>24</v>
      </c>
      <c r="C172" s="1923" t="s">
        <v>297</v>
      </c>
      <c r="D172" s="86"/>
      <c r="E172" s="82"/>
      <c r="F172" s="536" t="s">
        <v>580</v>
      </c>
      <c r="G172" s="721"/>
      <c r="H172" s="538" t="s">
        <v>172</v>
      </c>
      <c r="I172" s="1944"/>
      <c r="J172" s="665"/>
      <c r="K172" s="666"/>
      <c r="L172" s="666"/>
      <c r="M172" s="666"/>
      <c r="N172" s="667">
        <f>SUM(J172:M172)</f>
        <v>0</v>
      </c>
      <c r="O172" s="688">
        <f>(O170*0.3)</f>
        <v>0</v>
      </c>
      <c r="P172" s="689">
        <v>0</v>
      </c>
      <c r="Q172" s="689">
        <f>(Q170*0.3)</f>
        <v>0</v>
      </c>
      <c r="R172" s="689">
        <v>0</v>
      </c>
      <c r="S172" s="115">
        <f>SUM(O172:R172)</f>
        <v>0</v>
      </c>
      <c r="T172" s="618">
        <f>IFERROR(INDEX('Annex 2_Code'!I$8:I$33,MATCH('Annex 3_MAFF'!$AG172,'Annex 2_Code'!$G$8:$G$33,0)),"")</f>
        <v>0</v>
      </c>
      <c r="U172" s="618">
        <f>IFERROR(INDEX('Annex 2_Code'!J$8:J$33,MATCH('Annex 3_MAFF'!$AG172,'Annex 2_Code'!$G$8:$G$33,0)),"")</f>
        <v>0</v>
      </c>
      <c r="V172" s="621">
        <f>IFERROR(INDEX('Annex 2_Code'!K$8:K$33,MATCH('Annex 3_MAFF'!$AG172,'Annex 2_Code'!$G$8:$G$33,0)),"")</f>
        <v>0.27272727272727271</v>
      </c>
      <c r="W172" s="621">
        <f>IFERROR(INDEX('Annex 2_Code'!L$8:L$33,MATCH('Annex 3_MAFF'!$AG172,'Annex 2_Code'!$G$8:$G$33,0)),"")</f>
        <v>0.30585398202814701</v>
      </c>
      <c r="X172" s="621">
        <f>IFERROR(INDEX('Annex 2_Code'!M$8:M$33,MATCH('Annex 3_MAFF'!$AG172,'Annex 2_Code'!$G$8:$G$33,0)),"")</f>
        <v>0.42141874524458028</v>
      </c>
      <c r="Y172" s="1533">
        <f t="shared" si="9"/>
        <v>0</v>
      </c>
      <c r="Z172" s="717">
        <f t="shared" si="10"/>
        <v>0</v>
      </c>
      <c r="AA172" s="717">
        <f t="shared" si="9"/>
        <v>0</v>
      </c>
      <c r="AB172" s="717">
        <f t="shared" si="11"/>
        <v>0</v>
      </c>
      <c r="AC172" s="718">
        <f t="shared" si="12"/>
        <v>0</v>
      </c>
      <c r="AD172" s="626">
        <f t="shared" si="130"/>
        <v>0</v>
      </c>
      <c r="AE172" s="627">
        <f t="shared" si="131"/>
        <v>0</v>
      </c>
      <c r="AF172" s="568" t="s">
        <v>372</v>
      </c>
      <c r="AG172" s="569" t="s">
        <v>372</v>
      </c>
      <c r="AH172" s="568" t="str">
        <f>IFERROR(INDEX('Annex 2_Code'!$J$110:$J$122,MATCH('Annex 3_MAFF'!AF172,'Annex 2_Code'!$G$110:$G$122,0)),"")</f>
        <v>MAFF-GDAHP</v>
      </c>
      <c r="AI172" s="882" t="str">
        <f t="shared" si="27"/>
        <v>MAFF</v>
      </c>
      <c r="AK172" s="1383"/>
      <c r="AL172" s="1383"/>
    </row>
    <row r="173" spans="1:38" s="366" customFormat="1" outlineLevel="1">
      <c r="A173" s="102"/>
      <c r="B173" s="76" t="s">
        <v>173</v>
      </c>
      <c r="C173" s="1071"/>
      <c r="D173" s="86"/>
      <c r="E173" s="82"/>
      <c r="F173" s="543"/>
      <c r="G173" s="721"/>
      <c r="H173" s="538"/>
      <c r="I173" s="584"/>
      <c r="J173" s="665"/>
      <c r="K173" s="666"/>
      <c r="L173" s="666"/>
      <c r="M173" s="666"/>
      <c r="N173" s="667"/>
      <c r="O173" s="688"/>
      <c r="P173" s="689"/>
      <c r="Q173" s="689"/>
      <c r="R173" s="689"/>
      <c r="S173" s="115"/>
      <c r="T173" s="618"/>
      <c r="U173" s="618"/>
      <c r="V173" s="621"/>
      <c r="W173" s="621"/>
      <c r="X173" s="621"/>
      <c r="Y173" s="1533"/>
      <c r="Z173" s="717"/>
      <c r="AA173" s="717">
        <f t="shared" si="9"/>
        <v>0</v>
      </c>
      <c r="AB173" s="717"/>
      <c r="AC173" s="718"/>
      <c r="AD173" s="626">
        <f t="shared" si="130"/>
        <v>0</v>
      </c>
      <c r="AE173" s="627">
        <f t="shared" si="131"/>
        <v>0</v>
      </c>
      <c r="AF173" s="568"/>
      <c r="AG173" s="569"/>
      <c r="AH173" s="568"/>
      <c r="AI173" s="882"/>
      <c r="AK173" s="1383"/>
      <c r="AL173" s="1383"/>
    </row>
    <row r="174" spans="1:38" s="366" customFormat="1" outlineLevel="1">
      <c r="A174" s="102"/>
      <c r="B174" s="76" t="s">
        <v>173</v>
      </c>
      <c r="C174" s="361"/>
      <c r="D174" s="1487"/>
      <c r="E174" s="1427"/>
      <c r="F174" s="1427" t="s">
        <v>41</v>
      </c>
      <c r="G174" s="1515"/>
      <c r="H174" s="1478" t="s">
        <v>173</v>
      </c>
      <c r="I174" s="1514" t="s">
        <v>173</v>
      </c>
      <c r="J174" s="1456"/>
      <c r="K174" s="1457"/>
      <c r="L174" s="1457"/>
      <c r="M174" s="1457"/>
      <c r="N174" s="1541"/>
      <c r="O174" s="1492">
        <f>SUM(O172)</f>
        <v>0</v>
      </c>
      <c r="P174" s="1493">
        <f>SUM(P172)</f>
        <v>0</v>
      </c>
      <c r="Q174" s="1493">
        <f t="shared" ref="Q174:R174" si="169">SUM(Q172)</f>
        <v>0</v>
      </c>
      <c r="R174" s="1493">
        <f t="shared" si="169"/>
        <v>0</v>
      </c>
      <c r="S174" s="1494">
        <f>SUM(S172)</f>
        <v>0</v>
      </c>
      <c r="T174" s="618" t="str">
        <f>IFERROR(INDEX('Annex 2_Code'!I$8:I$33,MATCH('Annex 3_MAFF'!$AG174,'Annex 2_Code'!$G$8:$G$33,0)),"")</f>
        <v/>
      </c>
      <c r="U174" s="618" t="str">
        <f>IFERROR(INDEX('Annex 2_Code'!J$8:J$33,MATCH('Annex 3_MAFF'!$AG174,'Annex 2_Code'!$G$8:$G$33,0)),"")</f>
        <v/>
      </c>
      <c r="V174" s="618" t="str">
        <f>IFERROR(INDEX('Annex 2_Code'!K$8:K$33,MATCH('Annex 3_MAFF'!$AG174,'Annex 2_Code'!$G$8:$G$33,0)),"")</f>
        <v/>
      </c>
      <c r="W174" s="618" t="str">
        <f>IFERROR(INDEX('Annex 2_Code'!L$8:L$33,MATCH('Annex 3_MAFF'!$AG174,'Annex 2_Code'!$G$8:$G$33,0)),"")</f>
        <v/>
      </c>
      <c r="X174" s="618" t="str">
        <f>IFERROR(INDEX('Annex 2_Code'!M$8:M$33,MATCH('Annex 3_MAFF'!$AG174,'Annex 2_Code'!$G$8:$G$33,0)),"")</f>
        <v/>
      </c>
      <c r="Y174" s="1533" t="str">
        <f t="shared" si="9"/>
        <v/>
      </c>
      <c r="Z174" s="717" t="str">
        <f t="shared" si="10"/>
        <v/>
      </c>
      <c r="AA174" s="717" t="str">
        <f t="shared" si="9"/>
        <v/>
      </c>
      <c r="AB174" s="717" t="str">
        <f t="shared" si="11"/>
        <v/>
      </c>
      <c r="AC174" s="718"/>
      <c r="AD174" s="626">
        <f t="shared" si="130"/>
        <v>0</v>
      </c>
      <c r="AE174" s="627">
        <f t="shared" si="131"/>
        <v>0</v>
      </c>
      <c r="AF174" s="569"/>
      <c r="AG174" s="569"/>
      <c r="AH174" s="568" t="str">
        <f>IFERROR(INDEX('Annex 2_Code'!$J$110:$J$122,MATCH('Annex 3_MAFF'!AF174,'Annex 2_Code'!$G$110:$G$122,0)),"")</f>
        <v/>
      </c>
      <c r="AI174" s="882" t="str">
        <f t="shared" si="27"/>
        <v/>
      </c>
      <c r="AK174" s="1383"/>
      <c r="AL174" s="1383"/>
    </row>
    <row r="175" spans="1:38" s="366" customFormat="1" outlineLevel="1">
      <c r="A175" s="102"/>
      <c r="B175" s="76" t="s">
        <v>173</v>
      </c>
      <c r="C175" s="361"/>
      <c r="D175" s="362"/>
      <c r="E175" s="363"/>
      <c r="F175" s="364"/>
      <c r="G175" s="729"/>
      <c r="H175" s="538"/>
      <c r="I175" s="540"/>
      <c r="J175" s="665"/>
      <c r="K175" s="666"/>
      <c r="L175" s="666"/>
      <c r="M175" s="666"/>
      <c r="N175" s="667"/>
      <c r="O175" s="694"/>
      <c r="P175" s="695"/>
      <c r="Q175" s="695"/>
      <c r="R175" s="695"/>
      <c r="S175" s="365"/>
      <c r="T175" s="618"/>
      <c r="U175" s="618"/>
      <c r="V175" s="618"/>
      <c r="W175" s="618"/>
      <c r="X175" s="618"/>
      <c r="Y175" s="1533"/>
      <c r="Z175" s="717"/>
      <c r="AA175" s="717">
        <f t="shared" si="9"/>
        <v>0</v>
      </c>
      <c r="AB175" s="717"/>
      <c r="AC175" s="718"/>
      <c r="AD175" s="626">
        <f t="shared" si="130"/>
        <v>0</v>
      </c>
      <c r="AE175" s="627">
        <f t="shared" si="131"/>
        <v>0</v>
      </c>
      <c r="AF175" s="569"/>
      <c r="AG175" s="569"/>
      <c r="AH175" s="568"/>
      <c r="AI175" s="882"/>
      <c r="AK175" s="1383"/>
      <c r="AL175" s="1383"/>
    </row>
    <row r="176" spans="1:38" s="366" customFormat="1" outlineLevel="1">
      <c r="A176" s="102"/>
      <c r="B176" s="76" t="s">
        <v>173</v>
      </c>
      <c r="C176" s="77"/>
      <c r="D176" s="86"/>
      <c r="E176" s="82"/>
      <c r="F176" s="364" t="s">
        <v>63</v>
      </c>
      <c r="G176" s="721"/>
      <c r="H176" s="538"/>
      <c r="I176" s="586"/>
      <c r="J176" s="665"/>
      <c r="K176" s="666"/>
      <c r="L176" s="666"/>
      <c r="M176" s="666"/>
      <c r="N176" s="667"/>
      <c r="O176" s="688"/>
      <c r="P176" s="689"/>
      <c r="Q176" s="689"/>
      <c r="R176" s="689"/>
      <c r="S176" s="620"/>
      <c r="T176" s="618" t="str">
        <f>IFERROR(INDEX('Annex 2_Code'!I$8:I$33,MATCH('Annex 3_MAFF'!$AG176,'Annex 2_Code'!$G$8:$G$33,0)),"")</f>
        <v/>
      </c>
      <c r="U176" s="618" t="str">
        <f>IFERROR(INDEX('Annex 2_Code'!J$8:J$33,MATCH('Annex 3_MAFF'!$AG176,'Annex 2_Code'!$G$8:$G$33,0)),"")</f>
        <v/>
      </c>
      <c r="V176" s="618" t="str">
        <f>IFERROR(INDEX('Annex 2_Code'!K$8:K$33,MATCH('Annex 3_MAFF'!$AG176,'Annex 2_Code'!$G$8:$G$33,0)),"")</f>
        <v/>
      </c>
      <c r="W176" s="618" t="str">
        <f>IFERROR(INDEX('Annex 2_Code'!L$8:L$33,MATCH('Annex 3_MAFF'!$AG176,'Annex 2_Code'!$G$8:$G$33,0)),"")</f>
        <v/>
      </c>
      <c r="X176" s="618" t="str">
        <f>IFERROR(INDEX('Annex 2_Code'!M$8:M$33,MATCH('Annex 3_MAFF'!$AG176,'Annex 2_Code'!$G$8:$G$33,0)),"")</f>
        <v/>
      </c>
      <c r="Y176" s="1533" t="str">
        <f t="shared" si="9"/>
        <v/>
      </c>
      <c r="Z176" s="717" t="str">
        <f t="shared" si="10"/>
        <v/>
      </c>
      <c r="AA176" s="717" t="str">
        <f t="shared" si="9"/>
        <v/>
      </c>
      <c r="AB176" s="717" t="str">
        <f t="shared" si="11"/>
        <v/>
      </c>
      <c r="AC176" s="718" t="str">
        <f t="shared" si="12"/>
        <v/>
      </c>
      <c r="AD176" s="626">
        <f t="shared" si="130"/>
        <v>0</v>
      </c>
      <c r="AE176" s="627">
        <f t="shared" si="131"/>
        <v>0</v>
      </c>
      <c r="AF176" s="568"/>
      <c r="AG176" s="568"/>
      <c r="AH176" s="568" t="str">
        <f>IFERROR(INDEX('Annex 2_Code'!$J$110:$J$122,MATCH('Annex 3_MAFF'!AF176,'Annex 2_Code'!$G$110:$G$122,0)),"")</f>
        <v/>
      </c>
      <c r="AI176" s="882" t="str">
        <f t="shared" si="27"/>
        <v/>
      </c>
      <c r="AK176" s="1383"/>
      <c r="AL176" s="1383"/>
    </row>
    <row r="177" spans="1:38" s="366" customFormat="1" outlineLevel="1">
      <c r="A177" s="102"/>
      <c r="B177" s="361" t="s">
        <v>57</v>
      </c>
      <c r="C177" s="361" t="s">
        <v>57</v>
      </c>
      <c r="D177" s="78"/>
      <c r="E177" s="97" t="s">
        <v>608</v>
      </c>
      <c r="F177" s="364"/>
      <c r="G177" s="1748" t="s">
        <v>1139</v>
      </c>
      <c r="H177" s="1926" t="s">
        <v>607</v>
      </c>
      <c r="I177" s="584">
        <v>0.15</v>
      </c>
      <c r="J177" s="1744">
        <v>0</v>
      </c>
      <c r="K177" s="1745">
        <v>20</v>
      </c>
      <c r="L177" s="1745">
        <v>0</v>
      </c>
      <c r="M177" s="1745">
        <v>20</v>
      </c>
      <c r="N177" s="667">
        <f t="shared" ref="N177:N182" si="170">SUM(J177:M177)</f>
        <v>40</v>
      </c>
      <c r="O177" s="688">
        <f>($I177*J177)</f>
        <v>0</v>
      </c>
      <c r="P177" s="689">
        <f>($I177*K177)</f>
        <v>3</v>
      </c>
      <c r="Q177" s="689">
        <f>($I177*L177)</f>
        <v>0</v>
      </c>
      <c r="R177" s="689">
        <f>($I177*M177)</f>
        <v>3</v>
      </c>
      <c r="S177" s="1737">
        <f t="shared" ref="S177:S181" si="171">SUM(O177:R177)</f>
        <v>6</v>
      </c>
      <c r="T177" s="618">
        <f>IFERROR(INDEX('Annex 2_Code'!I$8:I$33,MATCH('Annex 3_MAFF'!$AG177,'Annex 2_Code'!$G$8:$G$33,0)),"")</f>
        <v>0</v>
      </c>
      <c r="U177" s="618">
        <f>IFERROR(INDEX('Annex 2_Code'!J$8:J$33,MATCH('Annex 3_MAFF'!$AG177,'Annex 2_Code'!$G$8:$G$33,0)),"")</f>
        <v>0</v>
      </c>
      <c r="V177" s="618">
        <f>IFERROR(INDEX('Annex 2_Code'!K$8:K$33,MATCH('Annex 3_MAFF'!$AG177,'Annex 2_Code'!$G$8:$G$33,0)),"")</f>
        <v>1</v>
      </c>
      <c r="W177" s="618">
        <f>IFERROR(INDEX('Annex 2_Code'!L$8:L$33,MATCH('Annex 3_MAFF'!$AG177,'Annex 2_Code'!$G$8:$G$33,0)),"")</f>
        <v>0</v>
      </c>
      <c r="X177" s="618">
        <f>IFERROR(INDEX('Annex 2_Code'!M$8:M$33,MATCH('Annex 3_MAFF'!$AG177,'Annex 2_Code'!$G$8:$G$33,0)),"")</f>
        <v>0</v>
      </c>
      <c r="Y177" s="1533">
        <f t="shared" si="9"/>
        <v>0</v>
      </c>
      <c r="Z177" s="717">
        <f t="shared" si="10"/>
        <v>0</v>
      </c>
      <c r="AA177" s="717">
        <f t="shared" si="9"/>
        <v>6</v>
      </c>
      <c r="AB177" s="717">
        <f t="shared" si="11"/>
        <v>0</v>
      </c>
      <c r="AC177" s="718">
        <f t="shared" si="12"/>
        <v>0</v>
      </c>
      <c r="AD177" s="626">
        <f t="shared" si="130"/>
        <v>6</v>
      </c>
      <c r="AE177" s="627">
        <f t="shared" si="131"/>
        <v>0</v>
      </c>
      <c r="AF177" s="568" t="s">
        <v>372</v>
      </c>
      <c r="AG177" s="568" t="s">
        <v>386</v>
      </c>
      <c r="AH177" s="568" t="str">
        <f>IFERROR(INDEX('Annex 2_Code'!$J$110:$J$122,MATCH('Annex 3_MAFF'!AF177,'Annex 2_Code'!$G$110:$G$122,0)),"")</f>
        <v>MAFF-GDAHP</v>
      </c>
      <c r="AI177" s="882" t="str">
        <f t="shared" si="27"/>
        <v>MAFF</v>
      </c>
      <c r="AK177" s="1383"/>
      <c r="AL177" s="1383"/>
    </row>
    <row r="178" spans="1:38" s="366" customFormat="1" ht="22.5" customHeight="1" outlineLevel="1">
      <c r="A178" s="102"/>
      <c r="B178" s="361" t="s">
        <v>57</v>
      </c>
      <c r="C178" s="361" t="s">
        <v>57</v>
      </c>
      <c r="D178" s="78"/>
      <c r="E178" s="97" t="s">
        <v>609</v>
      </c>
      <c r="F178" s="364"/>
      <c r="G178" s="722" t="s">
        <v>604</v>
      </c>
      <c r="H178" s="538" t="s">
        <v>176</v>
      </c>
      <c r="I178" s="584">
        <v>6</v>
      </c>
      <c r="J178" s="665">
        <v>0</v>
      </c>
      <c r="K178" s="666">
        <v>1</v>
      </c>
      <c r="L178" s="666">
        <v>0</v>
      </c>
      <c r="M178" s="666">
        <v>1</v>
      </c>
      <c r="N178" s="667">
        <f t="shared" si="170"/>
        <v>2</v>
      </c>
      <c r="O178" s="688">
        <f t="shared" ref="O178:O182" si="172">($I178*J178)</f>
        <v>0</v>
      </c>
      <c r="P178" s="689">
        <f t="shared" ref="P178:R182" si="173">($I178*K178)</f>
        <v>6</v>
      </c>
      <c r="Q178" s="689">
        <f t="shared" si="173"/>
        <v>0</v>
      </c>
      <c r="R178" s="689">
        <f t="shared" si="173"/>
        <v>6</v>
      </c>
      <c r="S178" s="145">
        <f t="shared" si="171"/>
        <v>12</v>
      </c>
      <c r="T178" s="618">
        <f>IFERROR(INDEX('Annex 2_Code'!I$8:I$33,MATCH('Annex 3_MAFF'!$AG178,'Annex 2_Code'!$G$8:$G$33,0)),"")</f>
        <v>0</v>
      </c>
      <c r="U178" s="618">
        <f>IFERROR(INDEX('Annex 2_Code'!J$8:J$33,MATCH('Annex 3_MAFF'!$AG178,'Annex 2_Code'!$G$8:$G$33,0)),"")</f>
        <v>0</v>
      </c>
      <c r="V178" s="618">
        <f>IFERROR(INDEX('Annex 2_Code'!K$8:K$33,MATCH('Annex 3_MAFF'!$AG178,'Annex 2_Code'!$G$8:$G$33,0)),"")</f>
        <v>1</v>
      </c>
      <c r="W178" s="618">
        <f>IFERROR(INDEX('Annex 2_Code'!L$8:L$33,MATCH('Annex 3_MAFF'!$AG178,'Annex 2_Code'!$G$8:$G$33,0)),"")</f>
        <v>0</v>
      </c>
      <c r="X178" s="618">
        <f>IFERROR(INDEX('Annex 2_Code'!M$8:M$33,MATCH('Annex 3_MAFF'!$AG178,'Annex 2_Code'!$G$8:$G$33,0)),"")</f>
        <v>0</v>
      </c>
      <c r="Y178" s="1533">
        <f t="shared" si="9"/>
        <v>0</v>
      </c>
      <c r="Z178" s="717">
        <f t="shared" si="10"/>
        <v>0</v>
      </c>
      <c r="AA178" s="717">
        <f t="shared" si="9"/>
        <v>12</v>
      </c>
      <c r="AB178" s="717">
        <f t="shared" si="11"/>
        <v>0</v>
      </c>
      <c r="AC178" s="718">
        <f t="shared" si="12"/>
        <v>0</v>
      </c>
      <c r="AD178" s="626">
        <f t="shared" si="130"/>
        <v>12</v>
      </c>
      <c r="AE178" s="627">
        <f t="shared" si="131"/>
        <v>0</v>
      </c>
      <c r="AF178" s="568" t="s">
        <v>372</v>
      </c>
      <c r="AG178" s="568" t="s">
        <v>386</v>
      </c>
      <c r="AH178" s="568" t="str">
        <f>IFERROR(INDEX('Annex 2_Code'!$J$110:$J$122,MATCH('Annex 3_MAFF'!AF178,'Annex 2_Code'!$G$110:$G$122,0)),"")</f>
        <v>MAFF-GDAHP</v>
      </c>
      <c r="AI178" s="882" t="str">
        <f t="shared" si="27"/>
        <v>MAFF</v>
      </c>
      <c r="AK178" s="1383"/>
      <c r="AL178" s="1383"/>
    </row>
    <row r="179" spans="1:38" s="366" customFormat="1" ht="25.5" outlineLevel="1">
      <c r="A179" s="102"/>
      <c r="B179" s="361" t="s">
        <v>57</v>
      </c>
      <c r="C179" s="361" t="s">
        <v>57</v>
      </c>
      <c r="D179" s="78"/>
      <c r="E179" s="97" t="s">
        <v>610</v>
      </c>
      <c r="F179" s="364"/>
      <c r="G179" s="722" t="s">
        <v>605</v>
      </c>
      <c r="H179" s="538" t="s">
        <v>177</v>
      </c>
      <c r="I179" s="1041">
        <v>0.05</v>
      </c>
      <c r="J179" s="665">
        <v>0</v>
      </c>
      <c r="K179" s="666">
        <v>125</v>
      </c>
      <c r="L179" s="666">
        <v>125</v>
      </c>
      <c r="M179" s="666">
        <v>125</v>
      </c>
      <c r="N179" s="667">
        <f t="shared" si="170"/>
        <v>375</v>
      </c>
      <c r="O179" s="688">
        <f t="shared" si="172"/>
        <v>0</v>
      </c>
      <c r="P179" s="689">
        <f t="shared" si="173"/>
        <v>6.25</v>
      </c>
      <c r="Q179" s="689">
        <f t="shared" si="173"/>
        <v>6.25</v>
      </c>
      <c r="R179" s="689">
        <f t="shared" si="173"/>
        <v>6.25</v>
      </c>
      <c r="S179" s="145">
        <f t="shared" si="171"/>
        <v>18.75</v>
      </c>
      <c r="T179" s="618">
        <f>IFERROR(INDEX('Annex 2_Code'!I$8:I$33,MATCH('Annex 3_MAFF'!$AG179,'Annex 2_Code'!$G$8:$G$33,0)),"")</f>
        <v>0</v>
      </c>
      <c r="U179" s="618">
        <f>IFERROR(INDEX('Annex 2_Code'!J$8:J$33,MATCH('Annex 3_MAFF'!$AG179,'Annex 2_Code'!$G$8:$G$33,0)),"")</f>
        <v>0</v>
      </c>
      <c r="V179" s="618">
        <f>IFERROR(INDEX('Annex 2_Code'!K$8:K$33,MATCH('Annex 3_MAFF'!$AG179,'Annex 2_Code'!$G$8:$G$33,0)),"")</f>
        <v>1</v>
      </c>
      <c r="W179" s="618">
        <f>IFERROR(INDEX('Annex 2_Code'!L$8:L$33,MATCH('Annex 3_MAFF'!$AG179,'Annex 2_Code'!$G$8:$G$33,0)),"")</f>
        <v>0</v>
      </c>
      <c r="X179" s="618">
        <f>IFERROR(INDEX('Annex 2_Code'!M$8:M$33,MATCH('Annex 3_MAFF'!$AG179,'Annex 2_Code'!$G$8:$G$33,0)),"")</f>
        <v>0</v>
      </c>
      <c r="Y179" s="1533">
        <f t="shared" si="9"/>
        <v>0</v>
      </c>
      <c r="Z179" s="717">
        <f t="shared" si="10"/>
        <v>0</v>
      </c>
      <c r="AA179" s="717">
        <f t="shared" si="9"/>
        <v>18.75</v>
      </c>
      <c r="AB179" s="717">
        <f t="shared" si="11"/>
        <v>0</v>
      </c>
      <c r="AC179" s="718">
        <f t="shared" si="12"/>
        <v>0</v>
      </c>
      <c r="AD179" s="626">
        <f t="shared" si="130"/>
        <v>18.75</v>
      </c>
      <c r="AE179" s="627">
        <f t="shared" si="131"/>
        <v>0</v>
      </c>
      <c r="AF179" s="568" t="s">
        <v>372</v>
      </c>
      <c r="AG179" s="568" t="s">
        <v>386</v>
      </c>
      <c r="AH179" s="568" t="str">
        <f>IFERROR(INDEX('Annex 2_Code'!$J$110:$J$122,MATCH('Annex 3_MAFF'!AF179,'Annex 2_Code'!$G$110:$G$122,0)),"")</f>
        <v>MAFF-GDAHP</v>
      </c>
      <c r="AI179" s="882" t="str">
        <f t="shared" si="27"/>
        <v>MAFF</v>
      </c>
      <c r="AK179" s="1383"/>
      <c r="AL179" s="1383"/>
    </row>
    <row r="180" spans="1:38" s="366" customFormat="1" ht="25.5" outlineLevel="1">
      <c r="A180" s="102"/>
      <c r="B180" s="361" t="s">
        <v>57</v>
      </c>
      <c r="C180" s="361" t="s">
        <v>57</v>
      </c>
      <c r="D180" s="78"/>
      <c r="E180" s="97" t="s">
        <v>613</v>
      </c>
      <c r="F180" s="364"/>
      <c r="G180" s="1748" t="s">
        <v>1140</v>
      </c>
      <c r="H180" s="1926" t="s">
        <v>607</v>
      </c>
      <c r="I180" s="584">
        <v>1</v>
      </c>
      <c r="J180" s="665">
        <v>0</v>
      </c>
      <c r="K180" s="666">
        <v>16</v>
      </c>
      <c r="L180" s="666">
        <v>0</v>
      </c>
      <c r="M180" s="666">
        <v>0</v>
      </c>
      <c r="N180" s="667">
        <f>SUM(J180:M180)</f>
        <v>16</v>
      </c>
      <c r="O180" s="688">
        <f t="shared" si="172"/>
        <v>0</v>
      </c>
      <c r="P180" s="689">
        <f t="shared" si="173"/>
        <v>16</v>
      </c>
      <c r="Q180" s="689">
        <f t="shared" si="173"/>
        <v>0</v>
      </c>
      <c r="R180" s="689">
        <f t="shared" si="173"/>
        <v>0</v>
      </c>
      <c r="S180" s="145">
        <f t="shared" si="171"/>
        <v>16</v>
      </c>
      <c r="T180" s="618">
        <f>IFERROR(INDEX('Annex 2_Code'!I$8:I$33,MATCH('Annex 3_MAFF'!$AG180,'Annex 2_Code'!$G$8:$G$33,0)),"")</f>
        <v>0</v>
      </c>
      <c r="U180" s="618">
        <f>IFERROR(INDEX('Annex 2_Code'!J$8:J$33,MATCH('Annex 3_MAFF'!$AG180,'Annex 2_Code'!$G$8:$G$33,0)),"")</f>
        <v>0</v>
      </c>
      <c r="V180" s="618">
        <f>IFERROR(INDEX('Annex 2_Code'!K$8:K$33,MATCH('Annex 3_MAFF'!$AG180,'Annex 2_Code'!$G$8:$G$33,0)),"")</f>
        <v>1</v>
      </c>
      <c r="W180" s="618">
        <f>IFERROR(INDEX('Annex 2_Code'!L$8:L$33,MATCH('Annex 3_MAFF'!$AG180,'Annex 2_Code'!$G$8:$G$33,0)),"")</f>
        <v>0</v>
      </c>
      <c r="X180" s="618">
        <f>IFERROR(INDEX('Annex 2_Code'!M$8:M$33,MATCH('Annex 3_MAFF'!$AG180,'Annex 2_Code'!$G$8:$G$33,0)),"")</f>
        <v>0</v>
      </c>
      <c r="Y180" s="1533">
        <f>IFERROR($S180*T180,"")</f>
        <v>0</v>
      </c>
      <c r="Z180" s="717">
        <f>IFERROR($S180*U180,"")</f>
        <v>0</v>
      </c>
      <c r="AA180" s="717">
        <f t="shared" si="9"/>
        <v>16</v>
      </c>
      <c r="AB180" s="717">
        <f>IFERROR($S180*W180,"")</f>
        <v>0</v>
      </c>
      <c r="AC180" s="718">
        <f>IFERROR($S180*X180,"")</f>
        <v>0</v>
      </c>
      <c r="AD180" s="626">
        <f t="shared" si="130"/>
        <v>16</v>
      </c>
      <c r="AE180" s="627">
        <f t="shared" si="131"/>
        <v>0</v>
      </c>
      <c r="AF180" s="568" t="s">
        <v>372</v>
      </c>
      <c r="AG180" s="568" t="s">
        <v>386</v>
      </c>
      <c r="AH180" s="568" t="str">
        <f>IFERROR(INDEX('Annex 2_Code'!$J$110:$J$122,MATCH('Annex 3_MAFF'!AF180,'Annex 2_Code'!$G$110:$G$122,0)),"")</f>
        <v>MAFF-GDAHP</v>
      </c>
      <c r="AI180" s="882" t="str">
        <f>IF(ISNUMBER(FIND("-",AH180,1))=FALSE,LEFT(AH180,LEN(AH180)),LEFT(AH180,(FIND("-",AH180,1))-1))</f>
        <v>MAFF</v>
      </c>
      <c r="AK180" s="1383"/>
      <c r="AL180" s="1383"/>
    </row>
    <row r="181" spans="1:38" s="366" customFormat="1" outlineLevel="1">
      <c r="A181" s="102"/>
      <c r="B181" s="361" t="s">
        <v>57</v>
      </c>
      <c r="C181" s="361" t="s">
        <v>57</v>
      </c>
      <c r="D181" s="484"/>
      <c r="E181" s="97" t="s">
        <v>612</v>
      </c>
      <c r="F181" s="364"/>
      <c r="G181" s="722" t="s">
        <v>606</v>
      </c>
      <c r="H181" s="538" t="s">
        <v>607</v>
      </c>
      <c r="I181" s="584">
        <v>0.15</v>
      </c>
      <c r="J181" s="665">
        <v>0</v>
      </c>
      <c r="K181" s="666">
        <v>4</v>
      </c>
      <c r="L181" s="666">
        <v>4</v>
      </c>
      <c r="M181" s="666">
        <v>4</v>
      </c>
      <c r="N181" s="667">
        <f t="shared" si="170"/>
        <v>12</v>
      </c>
      <c r="O181" s="688">
        <f t="shared" si="172"/>
        <v>0</v>
      </c>
      <c r="P181" s="689">
        <f t="shared" si="173"/>
        <v>0.6</v>
      </c>
      <c r="Q181" s="689">
        <f t="shared" si="173"/>
        <v>0.6</v>
      </c>
      <c r="R181" s="689">
        <f t="shared" si="173"/>
        <v>0.6</v>
      </c>
      <c r="S181" s="145">
        <f t="shared" si="171"/>
        <v>1.7999999999999998</v>
      </c>
      <c r="T181" s="618">
        <f>IFERROR(INDEX('Annex 2_Code'!I$8:I$33,MATCH('Annex 3_MAFF'!$AG181,'Annex 2_Code'!$G$8:$G$33,0)),"")</f>
        <v>0</v>
      </c>
      <c r="U181" s="618">
        <f>IFERROR(INDEX('Annex 2_Code'!J$8:J$33,MATCH('Annex 3_MAFF'!$AG181,'Annex 2_Code'!$G$8:$G$33,0)),"")</f>
        <v>0</v>
      </c>
      <c r="V181" s="618">
        <f>IFERROR(INDEX('Annex 2_Code'!K$8:K$33,MATCH('Annex 3_MAFF'!$AG181,'Annex 2_Code'!$G$8:$G$33,0)),"")</f>
        <v>1</v>
      </c>
      <c r="W181" s="618">
        <f>IFERROR(INDEX('Annex 2_Code'!L$8:L$33,MATCH('Annex 3_MAFF'!$AG181,'Annex 2_Code'!$G$8:$G$33,0)),"")</f>
        <v>0</v>
      </c>
      <c r="X181" s="618">
        <f>IFERROR(INDEX('Annex 2_Code'!M$8:M$33,MATCH('Annex 3_MAFF'!$AG181,'Annex 2_Code'!$G$8:$G$33,0)),"")</f>
        <v>0</v>
      </c>
      <c r="Y181" s="1533">
        <f t="shared" si="9"/>
        <v>0</v>
      </c>
      <c r="Z181" s="717">
        <f t="shared" si="10"/>
        <v>0</v>
      </c>
      <c r="AA181" s="717">
        <f t="shared" si="9"/>
        <v>1.7999999999999998</v>
      </c>
      <c r="AB181" s="717">
        <f t="shared" si="11"/>
        <v>0</v>
      </c>
      <c r="AC181" s="718">
        <f t="shared" si="12"/>
        <v>0</v>
      </c>
      <c r="AD181" s="626">
        <f t="shared" si="130"/>
        <v>1.7999999999999998</v>
      </c>
      <c r="AE181" s="627">
        <f t="shared" si="131"/>
        <v>0</v>
      </c>
      <c r="AF181" s="568" t="s">
        <v>372</v>
      </c>
      <c r="AG181" s="568" t="s">
        <v>386</v>
      </c>
      <c r="AH181" s="568" t="str">
        <f>IFERROR(INDEX('Annex 2_Code'!$J$110:$J$122,MATCH('Annex 3_MAFF'!AF181,'Annex 2_Code'!$G$110:$G$122,0)),"")</f>
        <v>MAFF-GDAHP</v>
      </c>
      <c r="AI181" s="882" t="str">
        <f t="shared" si="27"/>
        <v>MAFF</v>
      </c>
      <c r="AK181" s="1383"/>
      <c r="AL181" s="1383"/>
    </row>
    <row r="182" spans="1:38" s="366" customFormat="1" outlineLevel="1">
      <c r="A182" s="102"/>
      <c r="B182" s="361" t="s">
        <v>57</v>
      </c>
      <c r="C182" s="361" t="s">
        <v>57</v>
      </c>
      <c r="D182" s="484"/>
      <c r="E182" s="97" t="s">
        <v>611</v>
      </c>
      <c r="F182" s="364"/>
      <c r="G182" s="1748" t="s">
        <v>1141</v>
      </c>
      <c r="H182" s="538" t="s">
        <v>607</v>
      </c>
      <c r="I182" s="584">
        <v>3</v>
      </c>
      <c r="J182" s="1744">
        <v>0</v>
      </c>
      <c r="K182" s="1745">
        <v>0</v>
      </c>
      <c r="L182" s="666">
        <v>1</v>
      </c>
      <c r="M182" s="666">
        <v>0</v>
      </c>
      <c r="N182" s="667">
        <f t="shared" si="170"/>
        <v>1</v>
      </c>
      <c r="O182" s="688">
        <f t="shared" si="172"/>
        <v>0</v>
      </c>
      <c r="P182" s="689">
        <f t="shared" si="173"/>
        <v>0</v>
      </c>
      <c r="Q182" s="689">
        <f t="shared" si="173"/>
        <v>3</v>
      </c>
      <c r="R182" s="689">
        <f t="shared" si="173"/>
        <v>0</v>
      </c>
      <c r="S182" s="145">
        <f>SUM(O182:R182)</f>
        <v>3</v>
      </c>
      <c r="T182" s="618">
        <f>IFERROR(INDEX('Annex 2_Code'!I$8:I$33,MATCH('Annex 3_MAFF'!$AG182,'Annex 2_Code'!$G$8:$G$33,0)),"")</f>
        <v>0</v>
      </c>
      <c r="U182" s="618">
        <f>IFERROR(INDEX('Annex 2_Code'!J$8:J$33,MATCH('Annex 3_MAFF'!$AG182,'Annex 2_Code'!$G$8:$G$33,0)),"")</f>
        <v>0</v>
      </c>
      <c r="V182" s="618">
        <f>IFERROR(INDEX('Annex 2_Code'!K$8:K$33,MATCH('Annex 3_MAFF'!$AG182,'Annex 2_Code'!$G$8:$G$33,0)),"")</f>
        <v>1</v>
      </c>
      <c r="W182" s="618">
        <f>IFERROR(INDEX('Annex 2_Code'!L$8:L$33,MATCH('Annex 3_MAFF'!$AG182,'Annex 2_Code'!$G$8:$G$33,0)),"")</f>
        <v>0</v>
      </c>
      <c r="X182" s="618">
        <f>IFERROR(INDEX('Annex 2_Code'!M$8:M$33,MATCH('Annex 3_MAFF'!$AG182,'Annex 2_Code'!$G$8:$G$33,0)),"")</f>
        <v>0</v>
      </c>
      <c r="Y182" s="1533">
        <f t="shared" ref="Y182" si="174">IFERROR($S182*T182,"")</f>
        <v>0</v>
      </c>
      <c r="Z182" s="717">
        <f t="shared" ref="Z182" si="175">IFERROR($S182*U182,"")</f>
        <v>0</v>
      </c>
      <c r="AA182" s="717">
        <f t="shared" si="9"/>
        <v>3</v>
      </c>
      <c r="AB182" s="717">
        <f t="shared" ref="AB182" si="176">IFERROR($S182*W182,"")</f>
        <v>0</v>
      </c>
      <c r="AC182" s="718">
        <f t="shared" ref="AC182" si="177">IFERROR($S182*X182,"")</f>
        <v>0</v>
      </c>
      <c r="AD182" s="626">
        <f t="shared" si="130"/>
        <v>3</v>
      </c>
      <c r="AE182" s="627">
        <f t="shared" si="131"/>
        <v>0</v>
      </c>
      <c r="AF182" s="568" t="s">
        <v>372</v>
      </c>
      <c r="AG182" s="568" t="s">
        <v>386</v>
      </c>
      <c r="AH182" s="568" t="str">
        <f>IFERROR(INDEX('Annex 2_Code'!$J$110:$J$122,MATCH('Annex 3_MAFF'!AF182,'Annex 2_Code'!$G$110:$G$122,0)),"")</f>
        <v>MAFF-GDAHP</v>
      </c>
      <c r="AI182" s="882" t="str">
        <f t="shared" ref="AI182" si="178">IF(ISNUMBER(FIND("-",AH182,1))=FALSE,LEFT(AH182,LEN(AH182)),LEFT(AH182,(FIND("-",AH182,1))-1))</f>
        <v>MAFF</v>
      </c>
      <c r="AK182" s="1383"/>
      <c r="AL182" s="1383"/>
    </row>
    <row r="183" spans="1:38" s="366" customFormat="1" outlineLevel="1">
      <c r="A183" s="102"/>
      <c r="B183" s="76" t="s">
        <v>173</v>
      </c>
      <c r="C183" s="1071"/>
      <c r="D183" s="1464"/>
      <c r="E183" s="1451"/>
      <c r="F183" s="1441" t="s">
        <v>41</v>
      </c>
      <c r="G183" s="1453" t="s">
        <v>14</v>
      </c>
      <c r="H183" s="1478" t="s">
        <v>173</v>
      </c>
      <c r="I183" s="1514" t="s">
        <v>173</v>
      </c>
      <c r="J183" s="1456"/>
      <c r="K183" s="1457"/>
      <c r="L183" s="1457"/>
      <c r="M183" s="1457"/>
      <c r="N183" s="1458"/>
      <c r="O183" s="1492">
        <f>SUM(O177:O182)</f>
        <v>0</v>
      </c>
      <c r="P183" s="1493">
        <f>SUM(P177:P182)</f>
        <v>31.85</v>
      </c>
      <c r="Q183" s="1493">
        <f>SUM(Q177:Q182)</f>
        <v>9.85</v>
      </c>
      <c r="R183" s="1493">
        <f>SUM(R177:R182)</f>
        <v>15.85</v>
      </c>
      <c r="S183" s="1494">
        <f>SUM(S177:S182)</f>
        <v>57.55</v>
      </c>
      <c r="T183" s="618" t="str">
        <f>IFERROR(INDEX('Annex 2_Code'!I$8:I$33,MATCH('Annex 3_MAFF'!$AG183,'Annex 2_Code'!$G$8:$G$33,0)),"")</f>
        <v/>
      </c>
      <c r="U183" s="618" t="str">
        <f>IFERROR(INDEX('Annex 2_Code'!J$8:J$33,MATCH('Annex 3_MAFF'!$AG183,'Annex 2_Code'!$G$8:$G$33,0)),"")</f>
        <v/>
      </c>
      <c r="V183" s="618" t="str">
        <f>IFERROR(INDEX('Annex 2_Code'!K$8:K$33,MATCH('Annex 3_MAFF'!$AG183,'Annex 2_Code'!$G$8:$G$33,0)),"")</f>
        <v/>
      </c>
      <c r="W183" s="618" t="str">
        <f>IFERROR(INDEX('Annex 2_Code'!L$8:L$33,MATCH('Annex 3_MAFF'!$AG183,'Annex 2_Code'!$G$8:$G$33,0)),"")</f>
        <v/>
      </c>
      <c r="X183" s="618" t="str">
        <f>IFERROR(INDEX('Annex 2_Code'!M$8:M$33,MATCH('Annex 3_MAFF'!$AG183,'Annex 2_Code'!$G$8:$G$33,0)),"")</f>
        <v/>
      </c>
      <c r="Y183" s="1533" t="str">
        <f t="shared" si="9"/>
        <v/>
      </c>
      <c r="Z183" s="717" t="str">
        <f t="shared" si="10"/>
        <v/>
      </c>
      <c r="AA183" s="717" t="str">
        <f t="shared" si="9"/>
        <v/>
      </c>
      <c r="AB183" s="717" t="str">
        <f t="shared" si="11"/>
        <v/>
      </c>
      <c r="AC183" s="718" t="str">
        <f t="shared" si="12"/>
        <v/>
      </c>
      <c r="AD183" s="626">
        <f t="shared" si="130"/>
        <v>0</v>
      </c>
      <c r="AE183" s="627">
        <f t="shared" si="131"/>
        <v>-57.55</v>
      </c>
      <c r="AF183" s="568"/>
      <c r="AG183" s="568"/>
      <c r="AH183" s="568" t="str">
        <f>IFERROR(INDEX('Annex 2_Code'!$J$110:$J$122,MATCH('Annex 3_MAFF'!AF183,'Annex 2_Code'!$G$110:$G$122,0)),"")</f>
        <v/>
      </c>
      <c r="AI183" s="882" t="str">
        <f t="shared" si="27"/>
        <v/>
      </c>
      <c r="AK183" s="1383"/>
      <c r="AL183" s="1383"/>
    </row>
    <row r="184" spans="1:38" s="366" customFormat="1" outlineLevel="1">
      <c r="A184" s="102"/>
      <c r="B184" s="76" t="s">
        <v>173</v>
      </c>
      <c r="C184" s="1071"/>
      <c r="D184" s="78"/>
      <c r="E184" s="97"/>
      <c r="F184" s="364"/>
      <c r="G184" s="721" t="s">
        <v>14</v>
      </c>
      <c r="H184" s="538"/>
      <c r="I184" s="540"/>
      <c r="J184" s="665"/>
      <c r="K184" s="666"/>
      <c r="L184" s="666"/>
      <c r="M184" s="666"/>
      <c r="N184" s="667"/>
      <c r="O184" s="691"/>
      <c r="P184" s="692"/>
      <c r="Q184" s="692"/>
      <c r="R184" s="692"/>
      <c r="S184" s="624"/>
      <c r="T184" s="618"/>
      <c r="U184" s="618"/>
      <c r="V184" s="618"/>
      <c r="W184" s="618"/>
      <c r="X184" s="618"/>
      <c r="Y184" s="1533"/>
      <c r="Z184" s="717"/>
      <c r="AA184" s="717">
        <f t="shared" si="9"/>
        <v>0</v>
      </c>
      <c r="AB184" s="717"/>
      <c r="AC184" s="718"/>
      <c r="AD184" s="626">
        <f t="shared" si="130"/>
        <v>0</v>
      </c>
      <c r="AE184" s="627">
        <f t="shared" si="131"/>
        <v>0</v>
      </c>
      <c r="AF184" s="568"/>
      <c r="AG184" s="568"/>
      <c r="AH184" s="568"/>
      <c r="AI184" s="882"/>
      <c r="AK184" s="1383"/>
      <c r="AL184" s="1383"/>
    </row>
    <row r="185" spans="1:38" s="366" customFormat="1" outlineLevel="1">
      <c r="A185" s="102"/>
      <c r="B185" s="76" t="s">
        <v>173</v>
      </c>
      <c r="C185" s="1071"/>
      <c r="D185" s="78"/>
      <c r="E185" s="97"/>
      <c r="F185" s="364" t="s">
        <v>64</v>
      </c>
      <c r="G185" s="721"/>
      <c r="H185" s="538"/>
      <c r="I185" s="586"/>
      <c r="J185" s="665"/>
      <c r="K185" s="666"/>
      <c r="L185" s="666"/>
      <c r="M185" s="666"/>
      <c r="N185" s="667"/>
      <c r="O185" s="688"/>
      <c r="P185" s="689"/>
      <c r="Q185" s="689"/>
      <c r="R185" s="689"/>
      <c r="S185" s="620"/>
      <c r="T185" s="618" t="str">
        <f>IFERROR(INDEX('Annex 2_Code'!I$8:I$33,MATCH('Annex 3_MAFF'!$AG185,'Annex 2_Code'!$G$8:$G$33,0)),"")</f>
        <v/>
      </c>
      <c r="U185" s="618" t="str">
        <f>IFERROR(INDEX('Annex 2_Code'!J$8:J$33,MATCH('Annex 3_MAFF'!$AG185,'Annex 2_Code'!$G$8:$G$33,0)),"")</f>
        <v/>
      </c>
      <c r="V185" s="618" t="str">
        <f>IFERROR(INDEX('Annex 2_Code'!K$8:K$33,MATCH('Annex 3_MAFF'!$AG185,'Annex 2_Code'!$G$8:$G$33,0)),"")</f>
        <v/>
      </c>
      <c r="W185" s="618" t="str">
        <f>IFERROR(INDEX('Annex 2_Code'!L$8:L$33,MATCH('Annex 3_MAFF'!$AG185,'Annex 2_Code'!$G$8:$G$33,0)),"")</f>
        <v/>
      </c>
      <c r="X185" s="618" t="str">
        <f>IFERROR(INDEX('Annex 2_Code'!M$8:M$33,MATCH('Annex 3_MAFF'!$AG185,'Annex 2_Code'!$G$8:$G$33,0)),"")</f>
        <v/>
      </c>
      <c r="Y185" s="1533" t="str">
        <f t="shared" si="9"/>
        <v/>
      </c>
      <c r="Z185" s="717" t="str">
        <f t="shared" si="10"/>
        <v/>
      </c>
      <c r="AA185" s="717" t="str">
        <f t="shared" si="9"/>
        <v/>
      </c>
      <c r="AB185" s="717" t="str">
        <f t="shared" si="11"/>
        <v/>
      </c>
      <c r="AC185" s="718" t="str">
        <f t="shared" si="12"/>
        <v/>
      </c>
      <c r="AD185" s="626">
        <f t="shared" si="130"/>
        <v>0</v>
      </c>
      <c r="AE185" s="627">
        <f t="shared" si="131"/>
        <v>0</v>
      </c>
      <c r="AF185" s="568"/>
      <c r="AG185" s="568"/>
      <c r="AH185" s="568" t="str">
        <f>IFERROR(INDEX('Annex 2_Code'!$J$110:$J$122,MATCH('Annex 3_MAFF'!AF185,'Annex 2_Code'!$G$110:$G$122,0)),"")</f>
        <v/>
      </c>
      <c r="AI185" s="882" t="str">
        <f t="shared" si="27"/>
        <v/>
      </c>
      <c r="AK185" s="1383"/>
      <c r="AL185" s="1383"/>
    </row>
    <row r="186" spans="1:38" s="366" customFormat="1" outlineLevel="1">
      <c r="A186" s="102"/>
      <c r="B186" s="361" t="s">
        <v>57</v>
      </c>
      <c r="C186" s="361" t="s">
        <v>57</v>
      </c>
      <c r="D186" s="484"/>
      <c r="E186" s="485" t="s">
        <v>614</v>
      </c>
      <c r="F186" s="364"/>
      <c r="G186" s="1748" t="s">
        <v>738</v>
      </c>
      <c r="H186" s="1739" t="s">
        <v>172</v>
      </c>
      <c r="I186" s="584">
        <v>3.5</v>
      </c>
      <c r="J186" s="1744">
        <v>0</v>
      </c>
      <c r="K186" s="1745">
        <v>1</v>
      </c>
      <c r="L186" s="1745">
        <v>0</v>
      </c>
      <c r="M186" s="1745">
        <v>0</v>
      </c>
      <c r="N186" s="667">
        <f t="shared" ref="N186:N192" si="179">SUM(J186:M186)</f>
        <v>1</v>
      </c>
      <c r="O186" s="688">
        <f>($I186*J186)</f>
        <v>0</v>
      </c>
      <c r="P186" s="689">
        <f>($I186*K186)</f>
        <v>3.5</v>
      </c>
      <c r="Q186" s="689">
        <f t="shared" ref="Q186:R192" si="180">($I186*L186)</f>
        <v>0</v>
      </c>
      <c r="R186" s="689">
        <f t="shared" si="180"/>
        <v>0</v>
      </c>
      <c r="S186" s="145">
        <f t="shared" ref="S186:S191" si="181">SUM(O186:R186)</f>
        <v>3.5</v>
      </c>
      <c r="T186" s="618">
        <f>IFERROR(INDEX('Annex 2_Code'!I$8:I$33,MATCH('Annex 3_MAFF'!$AG186,'Annex 2_Code'!$G$8:$G$33,0)),"")</f>
        <v>1</v>
      </c>
      <c r="U186" s="618">
        <f>IFERROR(INDEX('Annex 2_Code'!J$8:J$33,MATCH('Annex 3_MAFF'!$AG186,'Annex 2_Code'!$G$8:$G$33,0)),"")</f>
        <v>0</v>
      </c>
      <c r="V186" s="618">
        <f>IFERROR(INDEX('Annex 2_Code'!K$8:K$33,MATCH('Annex 3_MAFF'!$AG186,'Annex 2_Code'!$G$8:$G$33,0)),"")</f>
        <v>0</v>
      </c>
      <c r="W186" s="618">
        <f>IFERROR(INDEX('Annex 2_Code'!L$8:L$33,MATCH('Annex 3_MAFF'!$AG186,'Annex 2_Code'!$G$8:$G$33,0)),"")</f>
        <v>0</v>
      </c>
      <c r="X186" s="618">
        <f>IFERROR(INDEX('Annex 2_Code'!M$8:M$33,MATCH('Annex 3_MAFF'!$AG186,'Annex 2_Code'!$G$8:$G$33,0)),"")</f>
        <v>0</v>
      </c>
      <c r="Y186" s="1533">
        <f t="shared" si="9"/>
        <v>3.5</v>
      </c>
      <c r="Z186" s="717">
        <f t="shared" si="10"/>
        <v>0</v>
      </c>
      <c r="AA186" s="717">
        <f t="shared" si="9"/>
        <v>0</v>
      </c>
      <c r="AB186" s="717">
        <f t="shared" si="11"/>
        <v>0</v>
      </c>
      <c r="AC186" s="718">
        <f t="shared" si="12"/>
        <v>0</v>
      </c>
      <c r="AD186" s="626">
        <f t="shared" si="130"/>
        <v>3.5</v>
      </c>
      <c r="AE186" s="627">
        <f t="shared" si="131"/>
        <v>0</v>
      </c>
      <c r="AF186" s="568" t="s">
        <v>372</v>
      </c>
      <c r="AG186" s="568" t="s">
        <v>382</v>
      </c>
      <c r="AH186" s="568" t="str">
        <f>IFERROR(INDEX('Annex 2_Code'!$J$110:$J$122,MATCH('Annex 3_MAFF'!AF186,'Annex 2_Code'!$G$110:$G$122,0)),"")</f>
        <v>MAFF-GDAHP</v>
      </c>
      <c r="AI186" s="882" t="str">
        <f t="shared" si="27"/>
        <v>MAFF</v>
      </c>
      <c r="AK186" s="1383"/>
      <c r="AL186" s="1383"/>
    </row>
    <row r="187" spans="1:38" s="366" customFormat="1" ht="25.5" outlineLevel="1">
      <c r="A187" s="102"/>
      <c r="B187" s="361" t="s">
        <v>57</v>
      </c>
      <c r="C187" s="361" t="s">
        <v>57</v>
      </c>
      <c r="D187" s="484"/>
      <c r="E187" s="485" t="s">
        <v>615</v>
      </c>
      <c r="F187" s="364"/>
      <c r="G187" s="1748" t="s">
        <v>775</v>
      </c>
      <c r="H187" s="1739" t="s">
        <v>171</v>
      </c>
      <c r="I187" s="584">
        <v>3.5</v>
      </c>
      <c r="J187" s="1744">
        <v>1</v>
      </c>
      <c r="K187" s="1745">
        <v>0</v>
      </c>
      <c r="L187" s="1745">
        <v>1</v>
      </c>
      <c r="M187" s="1745">
        <v>0</v>
      </c>
      <c r="N187" s="667">
        <f>SUM(J187:M187)</f>
        <v>2</v>
      </c>
      <c r="O187" s="688">
        <f t="shared" ref="O187:O192" si="182">($I187*J187)</f>
        <v>3.5</v>
      </c>
      <c r="P187" s="689">
        <f t="shared" ref="P187:P192" si="183">($I187*K187)</f>
        <v>0</v>
      </c>
      <c r="Q187" s="689">
        <f t="shared" si="180"/>
        <v>3.5</v>
      </c>
      <c r="R187" s="689">
        <f t="shared" si="180"/>
        <v>0</v>
      </c>
      <c r="S187" s="145">
        <f>SUM(O187:R187)</f>
        <v>7</v>
      </c>
      <c r="T187" s="618">
        <f>IFERROR(INDEX('Annex 2_Code'!I$8:I$33,MATCH('Annex 3_MAFF'!$AG187,'Annex 2_Code'!$G$8:$G$33,0)),"")</f>
        <v>1</v>
      </c>
      <c r="U187" s="618">
        <f>IFERROR(INDEX('Annex 2_Code'!J$8:J$33,MATCH('Annex 3_MAFF'!$AG187,'Annex 2_Code'!$G$8:$G$33,0)),"")</f>
        <v>0</v>
      </c>
      <c r="V187" s="618">
        <f>IFERROR(INDEX('Annex 2_Code'!K$8:K$33,MATCH('Annex 3_MAFF'!$AG187,'Annex 2_Code'!$G$8:$G$33,0)),"")</f>
        <v>0</v>
      </c>
      <c r="W187" s="618">
        <f>IFERROR(INDEX('Annex 2_Code'!L$8:L$33,MATCH('Annex 3_MAFF'!$AG187,'Annex 2_Code'!$G$8:$G$33,0)),"")</f>
        <v>0</v>
      </c>
      <c r="X187" s="618">
        <f>IFERROR(INDEX('Annex 2_Code'!M$8:M$33,MATCH('Annex 3_MAFF'!$AG187,'Annex 2_Code'!$G$8:$G$33,0)),"")</f>
        <v>0</v>
      </c>
      <c r="Y187" s="1533">
        <f t="shared" ref="Y187" si="184">IFERROR($S187*T187,"")</f>
        <v>7</v>
      </c>
      <c r="Z187" s="717">
        <f t="shared" ref="Z187" si="185">IFERROR($S187*U187,"")</f>
        <v>0</v>
      </c>
      <c r="AA187" s="717">
        <f t="shared" si="9"/>
        <v>0</v>
      </c>
      <c r="AB187" s="717">
        <f t="shared" ref="AB187" si="186">IFERROR($S187*W187,"")</f>
        <v>0</v>
      </c>
      <c r="AC187" s="718">
        <f t="shared" ref="AC187" si="187">IFERROR($S187*X187,"")</f>
        <v>0</v>
      </c>
      <c r="AD187" s="626">
        <f t="shared" si="130"/>
        <v>7</v>
      </c>
      <c r="AE187" s="627">
        <f t="shared" si="131"/>
        <v>0</v>
      </c>
      <c r="AF187" s="568" t="s">
        <v>372</v>
      </c>
      <c r="AG187" s="568" t="s">
        <v>382</v>
      </c>
      <c r="AH187" s="568" t="str">
        <f>IFERROR(INDEX('Annex 2_Code'!$J$110:$J$122,MATCH('Annex 3_MAFF'!AF187,'Annex 2_Code'!$G$110:$G$122,0)),"")</f>
        <v>MAFF-GDAHP</v>
      </c>
      <c r="AI187" s="882" t="str">
        <f t="shared" si="27"/>
        <v>MAFF</v>
      </c>
      <c r="AK187" s="1383"/>
      <c r="AL187" s="1383"/>
    </row>
    <row r="188" spans="1:38" s="366" customFormat="1" outlineLevel="1">
      <c r="A188" s="102"/>
      <c r="B188" s="361" t="s">
        <v>57</v>
      </c>
      <c r="C188" s="361" t="s">
        <v>57</v>
      </c>
      <c r="D188" s="484"/>
      <c r="E188" s="485" t="s">
        <v>616</v>
      </c>
      <c r="F188" s="364"/>
      <c r="G188" s="1748" t="s">
        <v>821</v>
      </c>
      <c r="H188" s="1739" t="s">
        <v>179</v>
      </c>
      <c r="I188" s="584">
        <v>0.05</v>
      </c>
      <c r="J188" s="1744">
        <v>0</v>
      </c>
      <c r="K188" s="1745">
        <v>125</v>
      </c>
      <c r="L188" s="1745">
        <v>125</v>
      </c>
      <c r="M188" s="1745">
        <v>125</v>
      </c>
      <c r="N188" s="667">
        <f t="shared" si="179"/>
        <v>375</v>
      </c>
      <c r="O188" s="688">
        <f t="shared" si="182"/>
        <v>0</v>
      </c>
      <c r="P188" s="689">
        <f t="shared" si="183"/>
        <v>6.25</v>
      </c>
      <c r="Q188" s="689">
        <f t="shared" si="180"/>
        <v>6.25</v>
      </c>
      <c r="R188" s="689">
        <f t="shared" si="180"/>
        <v>6.25</v>
      </c>
      <c r="S188" s="145">
        <f t="shared" si="181"/>
        <v>18.75</v>
      </c>
      <c r="T188" s="618">
        <f>IFERROR(INDEX('Annex 2_Code'!I$8:I$33,MATCH('Annex 3_MAFF'!$AG188,'Annex 2_Code'!$G$8:$G$33,0)),"")</f>
        <v>0</v>
      </c>
      <c r="U188" s="618">
        <f>IFERROR(INDEX('Annex 2_Code'!J$8:J$33,MATCH('Annex 3_MAFF'!$AG188,'Annex 2_Code'!$G$8:$G$33,0)),"")</f>
        <v>0</v>
      </c>
      <c r="V188" s="618">
        <f>IFERROR(INDEX('Annex 2_Code'!K$8:K$33,MATCH('Annex 3_MAFF'!$AG188,'Annex 2_Code'!$G$8:$G$33,0)),"")</f>
        <v>1</v>
      </c>
      <c r="W188" s="618">
        <f>IFERROR(INDEX('Annex 2_Code'!L$8:L$33,MATCH('Annex 3_MAFF'!$AG188,'Annex 2_Code'!$G$8:$G$33,0)),"")</f>
        <v>0</v>
      </c>
      <c r="X188" s="618">
        <f>IFERROR(INDEX('Annex 2_Code'!M$8:M$33,MATCH('Annex 3_MAFF'!$AG188,'Annex 2_Code'!$G$8:$G$33,0)),"")</f>
        <v>0</v>
      </c>
      <c r="Y188" s="1533">
        <f t="shared" si="9"/>
        <v>0</v>
      </c>
      <c r="Z188" s="717">
        <f t="shared" si="10"/>
        <v>0</v>
      </c>
      <c r="AA188" s="717">
        <f t="shared" si="9"/>
        <v>18.75</v>
      </c>
      <c r="AB188" s="717">
        <f t="shared" si="11"/>
        <v>0</v>
      </c>
      <c r="AC188" s="718">
        <f t="shared" si="12"/>
        <v>0</v>
      </c>
      <c r="AD188" s="626">
        <f t="shared" si="130"/>
        <v>18.75</v>
      </c>
      <c r="AE188" s="627">
        <f t="shared" si="131"/>
        <v>0</v>
      </c>
      <c r="AF188" s="568" t="s">
        <v>372</v>
      </c>
      <c r="AG188" s="568" t="s">
        <v>386</v>
      </c>
      <c r="AH188" s="568" t="str">
        <f>IFERROR(INDEX('Annex 2_Code'!$J$110:$J$122,MATCH('Annex 3_MAFF'!AF188,'Annex 2_Code'!$G$110:$G$122,0)),"")</f>
        <v>MAFF-GDAHP</v>
      </c>
      <c r="AI188" s="882" t="str">
        <f t="shared" si="27"/>
        <v>MAFF</v>
      </c>
      <c r="AK188" s="1383"/>
      <c r="AL188" s="1383"/>
    </row>
    <row r="189" spans="1:38" s="366" customFormat="1" ht="25.5" outlineLevel="1">
      <c r="A189" s="102"/>
      <c r="B189" s="361" t="s">
        <v>57</v>
      </c>
      <c r="C189" s="361" t="s">
        <v>57</v>
      </c>
      <c r="D189" s="484"/>
      <c r="E189" s="485" t="s">
        <v>618</v>
      </c>
      <c r="F189" s="364"/>
      <c r="G189" s="1748" t="s">
        <v>617</v>
      </c>
      <c r="H189" s="1739" t="s">
        <v>176</v>
      </c>
      <c r="I189" s="540">
        <f>7200/1000</f>
        <v>7.2</v>
      </c>
      <c r="J189" s="1744">
        <v>0</v>
      </c>
      <c r="K189" s="1745">
        <v>0</v>
      </c>
      <c r="L189" s="1745">
        <v>1</v>
      </c>
      <c r="M189" s="1745">
        <v>0</v>
      </c>
      <c r="N189" s="667">
        <f t="shared" si="179"/>
        <v>1</v>
      </c>
      <c r="O189" s="688">
        <f t="shared" si="182"/>
        <v>0</v>
      </c>
      <c r="P189" s="689">
        <f t="shared" si="183"/>
        <v>0</v>
      </c>
      <c r="Q189" s="689">
        <f t="shared" si="180"/>
        <v>7.2</v>
      </c>
      <c r="R189" s="689">
        <f t="shared" si="180"/>
        <v>0</v>
      </c>
      <c r="S189" s="145">
        <f t="shared" si="181"/>
        <v>7.2</v>
      </c>
      <c r="T189" s="618">
        <f>IFERROR(INDEX('Annex 2_Code'!I$8:I$33,MATCH('Annex 3_MAFF'!$AG189,'Annex 2_Code'!$G$8:$G$33,0)),"")</f>
        <v>0</v>
      </c>
      <c r="U189" s="618">
        <f>IFERROR(INDEX('Annex 2_Code'!J$8:J$33,MATCH('Annex 3_MAFF'!$AG189,'Annex 2_Code'!$G$8:$G$33,0)),"")</f>
        <v>0</v>
      </c>
      <c r="V189" s="618">
        <f>IFERROR(INDEX('Annex 2_Code'!K$8:K$33,MATCH('Annex 3_MAFF'!$AG189,'Annex 2_Code'!$G$8:$G$33,0)),"")</f>
        <v>1</v>
      </c>
      <c r="W189" s="618">
        <f>IFERROR(INDEX('Annex 2_Code'!L$8:L$33,MATCH('Annex 3_MAFF'!$AG189,'Annex 2_Code'!$G$8:$G$33,0)),"")</f>
        <v>0</v>
      </c>
      <c r="X189" s="618">
        <f>IFERROR(INDEX('Annex 2_Code'!M$8:M$33,MATCH('Annex 3_MAFF'!$AG189,'Annex 2_Code'!$G$8:$G$33,0)),"")</f>
        <v>0</v>
      </c>
      <c r="Y189" s="1533">
        <f t="shared" si="9"/>
        <v>0</v>
      </c>
      <c r="Z189" s="717">
        <f t="shared" si="10"/>
        <v>0</v>
      </c>
      <c r="AA189" s="717">
        <f t="shared" si="9"/>
        <v>7.2</v>
      </c>
      <c r="AB189" s="717">
        <f t="shared" si="11"/>
        <v>0</v>
      </c>
      <c r="AC189" s="718">
        <f t="shared" si="12"/>
        <v>0</v>
      </c>
      <c r="AD189" s="626">
        <f t="shared" si="130"/>
        <v>7.2</v>
      </c>
      <c r="AE189" s="627">
        <f t="shared" si="131"/>
        <v>0</v>
      </c>
      <c r="AF189" s="568" t="s">
        <v>372</v>
      </c>
      <c r="AG189" s="568" t="s">
        <v>386</v>
      </c>
      <c r="AH189" s="568" t="str">
        <f>IFERROR(INDEX('Annex 2_Code'!$J$110:$J$122,MATCH('Annex 3_MAFF'!AF189,'Annex 2_Code'!$G$110:$G$122,0)),"")</f>
        <v>MAFF-GDAHP</v>
      </c>
      <c r="AI189" s="882" t="str">
        <f t="shared" si="27"/>
        <v>MAFF</v>
      </c>
      <c r="AK189" s="1383"/>
      <c r="AL189" s="1383"/>
    </row>
    <row r="190" spans="1:38" s="366" customFormat="1" outlineLevel="1">
      <c r="A190" s="102"/>
      <c r="B190" s="361" t="s">
        <v>57</v>
      </c>
      <c r="C190" s="361" t="s">
        <v>57</v>
      </c>
      <c r="D190" s="484"/>
      <c r="E190" s="485" t="s">
        <v>619</v>
      </c>
      <c r="F190" s="364"/>
      <c r="G190" s="1748" t="s">
        <v>742</v>
      </c>
      <c r="H190" s="1739" t="s">
        <v>179</v>
      </c>
      <c r="I190" s="540">
        <v>0.5</v>
      </c>
      <c r="J190" s="1744">
        <v>0</v>
      </c>
      <c r="K190" s="1745">
        <v>2</v>
      </c>
      <c r="L190" s="1745">
        <v>2</v>
      </c>
      <c r="M190" s="1745">
        <v>2</v>
      </c>
      <c r="N190" s="667">
        <f t="shared" si="179"/>
        <v>6</v>
      </c>
      <c r="O190" s="688">
        <f t="shared" si="182"/>
        <v>0</v>
      </c>
      <c r="P190" s="689">
        <f t="shared" si="183"/>
        <v>1</v>
      </c>
      <c r="Q190" s="689">
        <f t="shared" si="180"/>
        <v>1</v>
      </c>
      <c r="R190" s="689">
        <f t="shared" si="180"/>
        <v>1</v>
      </c>
      <c r="S190" s="145">
        <f t="shared" si="181"/>
        <v>3</v>
      </c>
      <c r="T190" s="618">
        <f>IFERROR(INDEX('Annex 2_Code'!I$8:I$33,MATCH('Annex 3_MAFF'!$AG190,'Annex 2_Code'!$G$8:$G$33,0)),"")</f>
        <v>0</v>
      </c>
      <c r="U190" s="618">
        <f>IFERROR(INDEX('Annex 2_Code'!J$8:J$33,MATCH('Annex 3_MAFF'!$AG190,'Annex 2_Code'!$G$8:$G$33,0)),"")</f>
        <v>0</v>
      </c>
      <c r="V190" s="618">
        <f>IFERROR(INDEX('Annex 2_Code'!K$8:K$33,MATCH('Annex 3_MAFF'!$AG190,'Annex 2_Code'!$G$8:$G$33,0)),"")</f>
        <v>1</v>
      </c>
      <c r="W190" s="618">
        <f>IFERROR(INDEX('Annex 2_Code'!L$8:L$33,MATCH('Annex 3_MAFF'!$AG190,'Annex 2_Code'!$G$8:$G$33,0)),"")</f>
        <v>0</v>
      </c>
      <c r="X190" s="618">
        <f>IFERROR(INDEX('Annex 2_Code'!M$8:M$33,MATCH('Annex 3_MAFF'!$AG190,'Annex 2_Code'!$G$8:$G$33,0)),"")</f>
        <v>0</v>
      </c>
      <c r="Y190" s="1533">
        <f t="shared" si="9"/>
        <v>0</v>
      </c>
      <c r="Z190" s="717">
        <f t="shared" si="10"/>
        <v>0</v>
      </c>
      <c r="AA190" s="717">
        <f t="shared" si="9"/>
        <v>3</v>
      </c>
      <c r="AB190" s="717">
        <f t="shared" si="11"/>
        <v>0</v>
      </c>
      <c r="AC190" s="718">
        <f t="shared" si="12"/>
        <v>0</v>
      </c>
      <c r="AD190" s="626">
        <f t="shared" si="130"/>
        <v>3</v>
      </c>
      <c r="AE190" s="627">
        <f t="shared" si="131"/>
        <v>0</v>
      </c>
      <c r="AF190" s="568" t="s">
        <v>372</v>
      </c>
      <c r="AG190" s="568" t="s">
        <v>386</v>
      </c>
      <c r="AH190" s="568" t="str">
        <f>IFERROR(INDEX('Annex 2_Code'!$J$110:$J$122,MATCH('Annex 3_MAFF'!AF190,'Annex 2_Code'!$G$110:$G$122,0)),"")</f>
        <v>MAFF-GDAHP</v>
      </c>
      <c r="AI190" s="882" t="str">
        <f t="shared" si="27"/>
        <v>MAFF</v>
      </c>
      <c r="AK190" s="1383"/>
      <c r="AL190" s="1383"/>
    </row>
    <row r="191" spans="1:38" s="366" customFormat="1" outlineLevel="1">
      <c r="A191" s="102"/>
      <c r="B191" s="361" t="s">
        <v>57</v>
      </c>
      <c r="C191" s="361" t="s">
        <v>57</v>
      </c>
      <c r="D191" s="484"/>
      <c r="E191" s="485" t="s">
        <v>620</v>
      </c>
      <c r="F191" s="364"/>
      <c r="G191" s="1748" t="s">
        <v>268</v>
      </c>
      <c r="H191" s="1739" t="s">
        <v>171</v>
      </c>
      <c r="I191" s="584">
        <v>0.6</v>
      </c>
      <c r="J191" s="1744">
        <v>0</v>
      </c>
      <c r="K191" s="1745">
        <v>40</v>
      </c>
      <c r="L191" s="1745">
        <v>0</v>
      </c>
      <c r="M191" s="1745">
        <v>0</v>
      </c>
      <c r="N191" s="667">
        <f t="shared" si="179"/>
        <v>40</v>
      </c>
      <c r="O191" s="688">
        <f t="shared" si="182"/>
        <v>0</v>
      </c>
      <c r="P191" s="689">
        <f t="shared" si="183"/>
        <v>24</v>
      </c>
      <c r="Q191" s="689">
        <f t="shared" si="180"/>
        <v>0</v>
      </c>
      <c r="R191" s="689">
        <f t="shared" si="180"/>
        <v>0</v>
      </c>
      <c r="S191" s="145">
        <f t="shared" si="181"/>
        <v>24</v>
      </c>
      <c r="T191" s="618">
        <f>IFERROR(INDEX('Annex 2_Code'!I$8:I$33,MATCH('Annex 3_MAFF'!$AG191,'Annex 2_Code'!$G$8:$G$33,0)),"")</f>
        <v>1</v>
      </c>
      <c r="U191" s="618">
        <f>IFERROR(INDEX('Annex 2_Code'!J$8:J$33,MATCH('Annex 3_MAFF'!$AG191,'Annex 2_Code'!$G$8:$G$33,0)),"")</f>
        <v>0</v>
      </c>
      <c r="V191" s="618">
        <f>IFERROR(INDEX('Annex 2_Code'!K$8:K$33,MATCH('Annex 3_MAFF'!$AG191,'Annex 2_Code'!$G$8:$G$33,0)),"")</f>
        <v>0</v>
      </c>
      <c r="W191" s="618">
        <f>IFERROR(INDEX('Annex 2_Code'!L$8:L$33,MATCH('Annex 3_MAFF'!$AG191,'Annex 2_Code'!$G$8:$G$33,0)),"")</f>
        <v>0</v>
      </c>
      <c r="X191" s="618">
        <f>IFERROR(INDEX('Annex 2_Code'!M$8:M$33,MATCH('Annex 3_MAFF'!$AG191,'Annex 2_Code'!$G$8:$G$33,0)),"")</f>
        <v>0</v>
      </c>
      <c r="Y191" s="1533">
        <f t="shared" ref="Y191:AA247" si="188">IFERROR($S191*T191,"")</f>
        <v>24</v>
      </c>
      <c r="Z191" s="717">
        <f t="shared" ref="Z191:AA240" si="189">IFERROR($S191*U191,"")</f>
        <v>0</v>
      </c>
      <c r="AA191" s="717">
        <f t="shared" si="189"/>
        <v>0</v>
      </c>
      <c r="AB191" s="717">
        <f t="shared" ref="AB191:AC247" si="190">IFERROR($S191*W191,"")</f>
        <v>0</v>
      </c>
      <c r="AC191" s="718">
        <f t="shared" ref="AC191:AC240" si="191">IFERROR($S191*X191,"")</f>
        <v>0</v>
      </c>
      <c r="AD191" s="626">
        <f t="shared" si="130"/>
        <v>24</v>
      </c>
      <c r="AE191" s="627">
        <f t="shared" si="131"/>
        <v>0</v>
      </c>
      <c r="AF191" s="568" t="s">
        <v>372</v>
      </c>
      <c r="AG191" s="568" t="s">
        <v>382</v>
      </c>
      <c r="AH191" s="568" t="str">
        <f>IFERROR(INDEX('Annex 2_Code'!$J$110:$J$122,MATCH('Annex 3_MAFF'!AF191,'Annex 2_Code'!$G$110:$G$122,0)),"")</f>
        <v>MAFF-GDAHP</v>
      </c>
      <c r="AI191" s="882" t="str">
        <f>IF(ISNUMBER(FIND("-",AH191,1))=FALSE,LEFT(AH191,LEN(AH191)),LEFT(AH191,(FIND("-",AH191,1))-1))</f>
        <v>MAFF</v>
      </c>
      <c r="AK191" s="1383"/>
      <c r="AL191" s="1383"/>
    </row>
    <row r="192" spans="1:38" s="366" customFormat="1" outlineLevel="1">
      <c r="A192" s="102"/>
      <c r="B192" s="1115" t="s">
        <v>57</v>
      </c>
      <c r="C192" s="1115" t="s">
        <v>57</v>
      </c>
      <c r="D192" s="78"/>
      <c r="E192" s="97" t="s">
        <v>621</v>
      </c>
      <c r="F192" s="364"/>
      <c r="G192" s="2290" t="s">
        <v>739</v>
      </c>
      <c r="H192" s="538" t="s">
        <v>740</v>
      </c>
      <c r="I192" s="1944">
        <v>0.5</v>
      </c>
      <c r="J192" s="2277">
        <v>20</v>
      </c>
      <c r="K192" s="2278">
        <v>20</v>
      </c>
      <c r="L192" s="2278">
        <v>20</v>
      </c>
      <c r="M192" s="2278">
        <v>20</v>
      </c>
      <c r="N192" s="2279">
        <f t="shared" si="179"/>
        <v>80</v>
      </c>
      <c r="O192" s="688">
        <f t="shared" si="182"/>
        <v>10</v>
      </c>
      <c r="P192" s="689">
        <f t="shared" si="183"/>
        <v>10</v>
      </c>
      <c r="Q192" s="689">
        <f t="shared" si="180"/>
        <v>10</v>
      </c>
      <c r="R192" s="689">
        <f t="shared" si="180"/>
        <v>10</v>
      </c>
      <c r="S192" s="145">
        <f>SUM(O192:R192)</f>
        <v>40</v>
      </c>
      <c r="T192" s="618">
        <f>IFERROR(INDEX('Annex 2_Code'!I$8:I$33,MATCH('Annex 3_MAFF'!$AG192,'Annex 2_Code'!$G$8:$G$33,0)),"")</f>
        <v>0</v>
      </c>
      <c r="U192" s="618">
        <f>IFERROR(INDEX('Annex 2_Code'!J$8:J$33,MATCH('Annex 3_MAFF'!$AG192,'Annex 2_Code'!$G$8:$G$33,0)),"")</f>
        <v>0</v>
      </c>
      <c r="V192" s="618">
        <f>IFERROR(INDEX('Annex 2_Code'!K$8:K$33,MATCH('Annex 3_MAFF'!$AG192,'Annex 2_Code'!$G$8:$G$33,0)),"")</f>
        <v>1</v>
      </c>
      <c r="W192" s="618">
        <f>IFERROR(INDEX('Annex 2_Code'!L$8:L$33,MATCH('Annex 3_MAFF'!$AG192,'Annex 2_Code'!$G$8:$G$33,0)),"")</f>
        <v>0</v>
      </c>
      <c r="X192" s="618">
        <f>IFERROR(INDEX('Annex 2_Code'!M$8:M$33,MATCH('Annex 3_MAFF'!$AG192,'Annex 2_Code'!$G$8:$G$33,0)),"")</f>
        <v>0</v>
      </c>
      <c r="Y192" s="1533">
        <f t="shared" ref="Y192" si="192">IFERROR($S192*T192,"")</f>
        <v>0</v>
      </c>
      <c r="Z192" s="717">
        <f t="shared" ref="Z192" si="193">IFERROR($S192*U192,"")</f>
        <v>0</v>
      </c>
      <c r="AA192" s="717">
        <f t="shared" si="189"/>
        <v>40</v>
      </c>
      <c r="AB192" s="717">
        <f t="shared" ref="AB192" si="194">IFERROR($S192*W192,"")</f>
        <v>0</v>
      </c>
      <c r="AC192" s="718">
        <f t="shared" ref="AC192" si="195">IFERROR($S192*X192,"")</f>
        <v>0</v>
      </c>
      <c r="AD192" s="626">
        <f t="shared" si="130"/>
        <v>40</v>
      </c>
      <c r="AE192" s="627">
        <f t="shared" si="131"/>
        <v>0</v>
      </c>
      <c r="AF192" s="568" t="s">
        <v>372</v>
      </c>
      <c r="AG192" s="568" t="s">
        <v>390</v>
      </c>
      <c r="AH192" s="568" t="str">
        <f>IFERROR(INDEX('Annex 2_Code'!$J$110:$J$122,MATCH('Annex 3_MAFF'!AF192,'Annex 2_Code'!$G$110:$G$122,0)),"")</f>
        <v>MAFF-GDAHP</v>
      </c>
      <c r="AI192" s="882" t="str">
        <f>IF(ISNUMBER(FIND("-",AH192,1))=FALSE,LEFT(AH192,LEN(AH192)),LEFT(AH192,(FIND("-",AH192,1))-1))</f>
        <v>MAFF</v>
      </c>
      <c r="AK192" s="1383"/>
      <c r="AL192" s="1383"/>
    </row>
    <row r="193" spans="1:38" s="366" customFormat="1" outlineLevel="1">
      <c r="A193" s="102"/>
      <c r="B193" s="76" t="s">
        <v>173</v>
      </c>
      <c r="C193" s="1071"/>
      <c r="D193" s="1464"/>
      <c r="E193" s="1451"/>
      <c r="F193" s="1441" t="s">
        <v>41</v>
      </c>
      <c r="G193" s="1453"/>
      <c r="H193" s="1478" t="s">
        <v>173</v>
      </c>
      <c r="I193" s="1514" t="s">
        <v>173</v>
      </c>
      <c r="J193" s="1456"/>
      <c r="K193" s="1457"/>
      <c r="L193" s="1457"/>
      <c r="M193" s="1457"/>
      <c r="N193" s="1458"/>
      <c r="O193" s="1492">
        <f>SUM(O186:O192)</f>
        <v>13.5</v>
      </c>
      <c r="P193" s="1493">
        <f>SUM(P186:P192)</f>
        <v>44.75</v>
      </c>
      <c r="Q193" s="1493">
        <f>SUM(Q186:Q192)</f>
        <v>27.95</v>
      </c>
      <c r="R193" s="1493">
        <f>SUM(R186:R192)</f>
        <v>17.25</v>
      </c>
      <c r="S193" s="1494">
        <f>SUM(S186:S192)</f>
        <v>103.45</v>
      </c>
      <c r="T193" s="618" t="str">
        <f>IFERROR(INDEX('Annex 2_Code'!I$8:I$33,MATCH('Annex 3_MAFF'!$AG193,'Annex 2_Code'!$G$8:$G$33,0)),"")</f>
        <v/>
      </c>
      <c r="U193" s="618" t="str">
        <f>IFERROR(INDEX('Annex 2_Code'!J$8:J$33,MATCH('Annex 3_MAFF'!$AG193,'Annex 2_Code'!$G$8:$G$33,0)),"")</f>
        <v/>
      </c>
      <c r="V193" s="618" t="str">
        <f>IFERROR(INDEX('Annex 2_Code'!K$8:K$33,MATCH('Annex 3_MAFF'!$AG193,'Annex 2_Code'!$G$8:$G$33,0)),"")</f>
        <v/>
      </c>
      <c r="W193" s="618" t="str">
        <f>IFERROR(INDEX('Annex 2_Code'!L$8:L$33,MATCH('Annex 3_MAFF'!$AG193,'Annex 2_Code'!$G$8:$G$33,0)),"")</f>
        <v/>
      </c>
      <c r="X193" s="618" t="str">
        <f>IFERROR(INDEX('Annex 2_Code'!M$8:M$33,MATCH('Annex 3_MAFF'!$AG193,'Annex 2_Code'!$G$8:$G$33,0)),"")</f>
        <v/>
      </c>
      <c r="Y193" s="1533" t="str">
        <f t="shared" si="188"/>
        <v/>
      </c>
      <c r="Z193" s="717" t="str">
        <f t="shared" si="189"/>
        <v/>
      </c>
      <c r="AA193" s="717" t="str">
        <f t="shared" si="189"/>
        <v/>
      </c>
      <c r="AB193" s="717" t="str">
        <f t="shared" si="190"/>
        <v/>
      </c>
      <c r="AC193" s="718" t="str">
        <f t="shared" si="191"/>
        <v/>
      </c>
      <c r="AD193" s="626">
        <f t="shared" si="130"/>
        <v>0</v>
      </c>
      <c r="AE193" s="627">
        <f t="shared" si="131"/>
        <v>-103.45</v>
      </c>
      <c r="AF193" s="568"/>
      <c r="AG193" s="568"/>
      <c r="AH193" s="568" t="str">
        <f>IFERROR(INDEX('Annex 2_Code'!$J$110:$J$122,MATCH('Annex 3_MAFF'!AF193,'Annex 2_Code'!$G$110:$G$122,0)),"")</f>
        <v/>
      </c>
      <c r="AI193" s="882" t="str">
        <f t="shared" ref="AI193:AI261" si="196">IF(ISNUMBER(FIND("-",AH193,1))=FALSE,LEFT(AH193,LEN(AH193)),LEFT(AH193,(FIND("-",AH193,1))-1))</f>
        <v/>
      </c>
      <c r="AK193" s="1383"/>
      <c r="AL193" s="1383"/>
    </row>
    <row r="194" spans="1:38" s="366" customFormat="1" outlineLevel="1">
      <c r="A194" s="102"/>
      <c r="B194" s="76" t="s">
        <v>173</v>
      </c>
      <c r="C194" s="1071"/>
      <c r="D194" s="78"/>
      <c r="E194" s="97"/>
      <c r="F194" s="364"/>
      <c r="G194" s="721"/>
      <c r="H194" s="538"/>
      <c r="I194" s="540"/>
      <c r="J194" s="665"/>
      <c r="K194" s="666"/>
      <c r="L194" s="666"/>
      <c r="M194" s="666"/>
      <c r="N194" s="667"/>
      <c r="O194" s="691"/>
      <c r="P194" s="692"/>
      <c r="Q194" s="692"/>
      <c r="R194" s="692"/>
      <c r="S194" s="624"/>
      <c r="T194" s="618"/>
      <c r="U194" s="618"/>
      <c r="V194" s="618"/>
      <c r="W194" s="618"/>
      <c r="X194" s="618"/>
      <c r="Y194" s="1533"/>
      <c r="Z194" s="717"/>
      <c r="AA194" s="717">
        <f t="shared" si="189"/>
        <v>0</v>
      </c>
      <c r="AB194" s="717"/>
      <c r="AC194" s="718"/>
      <c r="AD194" s="626">
        <f t="shared" si="130"/>
        <v>0</v>
      </c>
      <c r="AE194" s="627">
        <f t="shared" si="131"/>
        <v>0</v>
      </c>
      <c r="AF194" s="568"/>
      <c r="AG194" s="568"/>
      <c r="AH194" s="568"/>
      <c r="AI194" s="882"/>
      <c r="AK194" s="1383"/>
      <c r="AL194" s="1383"/>
    </row>
    <row r="195" spans="1:38" s="366" customFormat="1" outlineLevel="1">
      <c r="A195" s="102"/>
      <c r="B195" s="76" t="s">
        <v>173</v>
      </c>
      <c r="C195" s="1071"/>
      <c r="D195" s="78"/>
      <c r="E195" s="97"/>
      <c r="F195" s="364" t="s">
        <v>65</v>
      </c>
      <c r="G195" s="721"/>
      <c r="H195" s="538"/>
      <c r="I195" s="586"/>
      <c r="J195" s="665"/>
      <c r="K195" s="666"/>
      <c r="L195" s="666"/>
      <c r="M195" s="666"/>
      <c r="N195" s="667"/>
      <c r="O195" s="688"/>
      <c r="P195" s="689"/>
      <c r="Q195" s="689"/>
      <c r="R195" s="689"/>
      <c r="S195" s="620"/>
      <c r="T195" s="618" t="str">
        <f>IFERROR(INDEX('Annex 2_Code'!I$8:I$33,MATCH('Annex 3_MAFF'!$AG195,'Annex 2_Code'!$G$8:$G$33,0)),"")</f>
        <v/>
      </c>
      <c r="U195" s="618" t="str">
        <f>IFERROR(INDEX('Annex 2_Code'!J$8:J$33,MATCH('Annex 3_MAFF'!$AG195,'Annex 2_Code'!$G$8:$G$33,0)),"")</f>
        <v/>
      </c>
      <c r="V195" s="618" t="str">
        <f>IFERROR(INDEX('Annex 2_Code'!K$8:K$33,MATCH('Annex 3_MAFF'!$AG195,'Annex 2_Code'!$G$8:$G$33,0)),"")</f>
        <v/>
      </c>
      <c r="W195" s="618" t="str">
        <f>IFERROR(INDEX('Annex 2_Code'!L$8:L$33,MATCH('Annex 3_MAFF'!$AG195,'Annex 2_Code'!$G$8:$G$33,0)),"")</f>
        <v/>
      </c>
      <c r="X195" s="618" t="str">
        <f>IFERROR(INDEX('Annex 2_Code'!M$8:M$33,MATCH('Annex 3_MAFF'!$AG195,'Annex 2_Code'!$G$8:$G$33,0)),"")</f>
        <v/>
      </c>
      <c r="Y195" s="1533" t="str">
        <f t="shared" si="188"/>
        <v/>
      </c>
      <c r="Z195" s="717" t="str">
        <f t="shared" si="189"/>
        <v/>
      </c>
      <c r="AA195" s="717" t="str">
        <f t="shared" si="189"/>
        <v/>
      </c>
      <c r="AB195" s="717" t="str">
        <f t="shared" si="190"/>
        <v/>
      </c>
      <c r="AC195" s="718" t="str">
        <f t="shared" si="191"/>
        <v/>
      </c>
      <c r="AD195" s="626">
        <f t="shared" si="130"/>
        <v>0</v>
      </c>
      <c r="AE195" s="627">
        <f t="shared" si="131"/>
        <v>0</v>
      </c>
      <c r="AF195" s="568"/>
      <c r="AG195" s="568"/>
      <c r="AH195" s="568" t="str">
        <f>IFERROR(INDEX('Annex 2_Code'!$J$110:$J$122,MATCH('Annex 3_MAFF'!AF195,'Annex 2_Code'!$G$110:$G$122,0)),"")</f>
        <v/>
      </c>
      <c r="AI195" s="882" t="str">
        <f t="shared" si="196"/>
        <v/>
      </c>
      <c r="AK195" s="1383"/>
      <c r="AL195" s="1383"/>
    </row>
    <row r="196" spans="1:38" s="366" customFormat="1" outlineLevel="1">
      <c r="A196" s="102"/>
      <c r="B196" s="1115" t="s">
        <v>57</v>
      </c>
      <c r="C196" s="1115" t="s">
        <v>57</v>
      </c>
      <c r="D196" s="484"/>
      <c r="E196" s="485" t="s">
        <v>622</v>
      </c>
      <c r="F196" s="364"/>
      <c r="G196" s="1748" t="s">
        <v>66</v>
      </c>
      <c r="H196" s="1739" t="s">
        <v>178</v>
      </c>
      <c r="I196" s="584">
        <v>0.08</v>
      </c>
      <c r="J196" s="1744">
        <v>0</v>
      </c>
      <c r="K196" s="1745">
        <v>0</v>
      </c>
      <c r="L196" s="1745">
        <v>300</v>
      </c>
      <c r="M196" s="1745">
        <v>300</v>
      </c>
      <c r="N196" s="667">
        <f t="shared" ref="N196:N202" si="197">SUM(J196:M196)</f>
        <v>600</v>
      </c>
      <c r="O196" s="688">
        <f>($I196*J196)</f>
        <v>0</v>
      </c>
      <c r="P196" s="689">
        <f>($I196*K196)</f>
        <v>0</v>
      </c>
      <c r="Q196" s="689">
        <f t="shared" ref="Q196:R202" si="198">($I196*L196)</f>
        <v>24</v>
      </c>
      <c r="R196" s="689">
        <f t="shared" si="198"/>
        <v>24</v>
      </c>
      <c r="S196" s="145">
        <f t="shared" ref="S196:S200" si="199">SUM(O196:R196)</f>
        <v>48</v>
      </c>
      <c r="T196" s="618">
        <f>IFERROR(INDEX('Annex 2_Code'!I$8:I$33,MATCH('Annex 3_MAFF'!$AG196,'Annex 2_Code'!$G$8:$G$33,0)),"")</f>
        <v>0</v>
      </c>
      <c r="U196" s="618">
        <f>IFERROR(INDEX('Annex 2_Code'!J$8:J$33,MATCH('Annex 3_MAFF'!$AG196,'Annex 2_Code'!$G$8:$G$33,0)),"")</f>
        <v>0</v>
      </c>
      <c r="V196" s="618">
        <f>IFERROR(INDEX('Annex 2_Code'!K$8:K$33,MATCH('Annex 3_MAFF'!$AG196,'Annex 2_Code'!$G$8:$G$33,0)),"")</f>
        <v>1</v>
      </c>
      <c r="W196" s="618">
        <f>IFERROR(INDEX('Annex 2_Code'!L$8:L$33,MATCH('Annex 3_MAFF'!$AG196,'Annex 2_Code'!$G$8:$G$33,0)),"")</f>
        <v>0</v>
      </c>
      <c r="X196" s="618">
        <f>IFERROR(INDEX('Annex 2_Code'!M$8:M$33,MATCH('Annex 3_MAFF'!$AG196,'Annex 2_Code'!$G$8:$G$33,0)),"")</f>
        <v>0</v>
      </c>
      <c r="Y196" s="1533">
        <f t="shared" si="188"/>
        <v>0</v>
      </c>
      <c r="Z196" s="717">
        <f t="shared" si="189"/>
        <v>0</v>
      </c>
      <c r="AA196" s="717">
        <f t="shared" si="189"/>
        <v>48</v>
      </c>
      <c r="AB196" s="717">
        <f t="shared" si="190"/>
        <v>0</v>
      </c>
      <c r="AC196" s="718">
        <f t="shared" si="191"/>
        <v>0</v>
      </c>
      <c r="AD196" s="626">
        <f t="shared" si="130"/>
        <v>48</v>
      </c>
      <c r="AE196" s="627">
        <f t="shared" si="131"/>
        <v>0</v>
      </c>
      <c r="AF196" s="568" t="s">
        <v>372</v>
      </c>
      <c r="AG196" s="568" t="s">
        <v>390</v>
      </c>
      <c r="AH196" s="568" t="str">
        <f>IFERROR(INDEX('Annex 2_Code'!$J$110:$J$122,MATCH('Annex 3_MAFF'!AF196,'Annex 2_Code'!$G$110:$G$122,0)),"")</f>
        <v>MAFF-GDAHP</v>
      </c>
      <c r="AI196" s="882" t="str">
        <f t="shared" si="196"/>
        <v>MAFF</v>
      </c>
      <c r="AK196" s="1383"/>
      <c r="AL196" s="1383"/>
    </row>
    <row r="197" spans="1:38" s="366" customFormat="1" outlineLevel="1">
      <c r="A197" s="102"/>
      <c r="B197" s="1115" t="s">
        <v>57</v>
      </c>
      <c r="C197" s="1115" t="s">
        <v>57</v>
      </c>
      <c r="D197" s="78"/>
      <c r="E197" s="97" t="s">
        <v>623</v>
      </c>
      <c r="F197" s="364"/>
      <c r="G197" s="722" t="s">
        <v>741</v>
      </c>
      <c r="H197" s="538" t="s">
        <v>179</v>
      </c>
      <c r="I197" s="584">
        <v>0.3</v>
      </c>
      <c r="J197" s="1744">
        <v>0</v>
      </c>
      <c r="K197" s="1745">
        <v>0</v>
      </c>
      <c r="L197" s="666">
        <v>3</v>
      </c>
      <c r="M197" s="666">
        <v>3</v>
      </c>
      <c r="N197" s="667">
        <f t="shared" si="197"/>
        <v>6</v>
      </c>
      <c r="O197" s="688">
        <f t="shared" ref="O197:O202" si="200">($I197*J197)</f>
        <v>0</v>
      </c>
      <c r="P197" s="689">
        <f t="shared" ref="P197:P202" si="201">($I197*K197)</f>
        <v>0</v>
      </c>
      <c r="Q197" s="689">
        <f t="shared" si="198"/>
        <v>0.89999999999999991</v>
      </c>
      <c r="R197" s="689">
        <f t="shared" si="198"/>
        <v>0.89999999999999991</v>
      </c>
      <c r="S197" s="145">
        <f>SUM(O197:R197)</f>
        <v>1.7999999999999998</v>
      </c>
      <c r="T197" s="618">
        <f>IFERROR(INDEX('Annex 2_Code'!I$8:I$33,MATCH('Annex 3_MAFF'!$AG197,'Annex 2_Code'!$G$8:$G$33,0)),"")</f>
        <v>0</v>
      </c>
      <c r="U197" s="618">
        <f>IFERROR(INDEX('Annex 2_Code'!J$8:J$33,MATCH('Annex 3_MAFF'!$AG197,'Annex 2_Code'!$G$8:$G$33,0)),"")</f>
        <v>0</v>
      </c>
      <c r="V197" s="618">
        <f>IFERROR(INDEX('Annex 2_Code'!K$8:K$33,MATCH('Annex 3_MAFF'!$AG197,'Annex 2_Code'!$G$8:$G$33,0)),"")</f>
        <v>1</v>
      </c>
      <c r="W197" s="618">
        <f>IFERROR(INDEX('Annex 2_Code'!L$8:L$33,MATCH('Annex 3_MAFF'!$AG197,'Annex 2_Code'!$G$8:$G$33,0)),"")</f>
        <v>0</v>
      </c>
      <c r="X197" s="618">
        <f>IFERROR(INDEX('Annex 2_Code'!M$8:M$33,MATCH('Annex 3_MAFF'!$AG197,'Annex 2_Code'!$G$8:$G$33,0)),"")</f>
        <v>0</v>
      </c>
      <c r="Y197" s="1533">
        <f t="shared" si="188"/>
        <v>0</v>
      </c>
      <c r="Z197" s="717">
        <f t="shared" si="189"/>
        <v>0</v>
      </c>
      <c r="AA197" s="717">
        <f t="shared" si="189"/>
        <v>1.7999999999999998</v>
      </c>
      <c r="AB197" s="717">
        <f t="shared" si="190"/>
        <v>0</v>
      </c>
      <c r="AC197" s="718">
        <f t="shared" si="191"/>
        <v>0</v>
      </c>
      <c r="AD197" s="626">
        <f t="shared" si="130"/>
        <v>1.7999999999999998</v>
      </c>
      <c r="AE197" s="627">
        <f t="shared" si="131"/>
        <v>0</v>
      </c>
      <c r="AF197" s="568" t="s">
        <v>372</v>
      </c>
      <c r="AG197" s="568" t="s">
        <v>386</v>
      </c>
      <c r="AH197" s="568" t="str">
        <f>IFERROR(INDEX('Annex 2_Code'!$J$110:$J$122,MATCH('Annex 3_MAFF'!AF197,'Annex 2_Code'!$G$110:$G$122,0)),"")</f>
        <v>MAFF-GDAHP</v>
      </c>
      <c r="AI197" s="882" t="str">
        <f t="shared" si="196"/>
        <v>MAFF</v>
      </c>
      <c r="AK197" s="1383"/>
      <c r="AL197" s="1383"/>
    </row>
    <row r="198" spans="1:38" s="366" customFormat="1" outlineLevel="1">
      <c r="A198" s="102"/>
      <c r="B198" s="1115" t="s">
        <v>57</v>
      </c>
      <c r="C198" s="1115" t="s">
        <v>57</v>
      </c>
      <c r="D198" s="484"/>
      <c r="E198" s="97" t="s">
        <v>624</v>
      </c>
      <c r="F198" s="364"/>
      <c r="G198" s="722" t="s">
        <v>815</v>
      </c>
      <c r="H198" s="538" t="s">
        <v>179</v>
      </c>
      <c r="I198" s="584">
        <v>1.2</v>
      </c>
      <c r="J198" s="1744">
        <v>0</v>
      </c>
      <c r="K198" s="1745">
        <v>0</v>
      </c>
      <c r="L198" s="666">
        <v>1</v>
      </c>
      <c r="M198" s="666">
        <v>1</v>
      </c>
      <c r="N198" s="667">
        <f t="shared" si="197"/>
        <v>2</v>
      </c>
      <c r="O198" s="688">
        <f t="shared" si="200"/>
        <v>0</v>
      </c>
      <c r="P198" s="689">
        <f t="shared" si="201"/>
        <v>0</v>
      </c>
      <c r="Q198" s="689">
        <f t="shared" si="198"/>
        <v>1.2</v>
      </c>
      <c r="R198" s="689">
        <f t="shared" si="198"/>
        <v>1.2</v>
      </c>
      <c r="S198" s="145">
        <f>SUM(O198:R198)</f>
        <v>2.4</v>
      </c>
      <c r="T198" s="618">
        <f>IFERROR(INDEX('Annex 2_Code'!I$8:I$33,MATCH('Annex 3_MAFF'!$AG198,'Annex 2_Code'!$G$8:$G$33,0)),"")</f>
        <v>0</v>
      </c>
      <c r="U198" s="618">
        <f>IFERROR(INDEX('Annex 2_Code'!J$8:J$33,MATCH('Annex 3_MAFF'!$AG198,'Annex 2_Code'!$G$8:$G$33,0)),"")</f>
        <v>0</v>
      </c>
      <c r="V198" s="618">
        <f>IFERROR(INDEX('Annex 2_Code'!K$8:K$33,MATCH('Annex 3_MAFF'!$AG198,'Annex 2_Code'!$G$8:$G$33,0)),"")</f>
        <v>1</v>
      </c>
      <c r="W198" s="618">
        <f>IFERROR(INDEX('Annex 2_Code'!L$8:L$33,MATCH('Annex 3_MAFF'!$AG198,'Annex 2_Code'!$G$8:$G$33,0)),"")</f>
        <v>0</v>
      </c>
      <c r="X198" s="618">
        <f>IFERROR(INDEX('Annex 2_Code'!M$8:M$33,MATCH('Annex 3_MAFF'!$AG198,'Annex 2_Code'!$G$8:$G$33,0)),"")</f>
        <v>0</v>
      </c>
      <c r="Y198" s="1533">
        <f t="shared" si="188"/>
        <v>0</v>
      </c>
      <c r="Z198" s="717">
        <f t="shared" si="189"/>
        <v>0</v>
      </c>
      <c r="AA198" s="717">
        <f t="shared" si="189"/>
        <v>2.4</v>
      </c>
      <c r="AB198" s="717">
        <f t="shared" si="190"/>
        <v>0</v>
      </c>
      <c r="AC198" s="718">
        <f t="shared" si="191"/>
        <v>0</v>
      </c>
      <c r="AD198" s="626">
        <f t="shared" si="130"/>
        <v>2.4</v>
      </c>
      <c r="AE198" s="627">
        <f t="shared" si="131"/>
        <v>0</v>
      </c>
      <c r="AF198" s="568" t="s">
        <v>372</v>
      </c>
      <c r="AG198" s="568" t="s">
        <v>386</v>
      </c>
      <c r="AH198" s="568" t="str">
        <f>IFERROR(INDEX('Annex 2_Code'!$J$110:$J$122,MATCH('Annex 3_MAFF'!AF198,'Annex 2_Code'!$G$110:$G$122,0)),"")</f>
        <v>MAFF-GDAHP</v>
      </c>
      <c r="AI198" s="882" t="str">
        <f t="shared" si="196"/>
        <v>MAFF</v>
      </c>
      <c r="AK198" s="1383"/>
      <c r="AL198" s="1383"/>
    </row>
    <row r="199" spans="1:38" s="366" customFormat="1" outlineLevel="1">
      <c r="A199" s="102"/>
      <c r="B199" s="1115" t="s">
        <v>57</v>
      </c>
      <c r="C199" s="1115" t="s">
        <v>57</v>
      </c>
      <c r="D199" s="484"/>
      <c r="E199" s="485" t="s">
        <v>625</v>
      </c>
      <c r="F199" s="364"/>
      <c r="G199" s="1748" t="s">
        <v>818</v>
      </c>
      <c r="H199" s="1739" t="s">
        <v>1092</v>
      </c>
      <c r="I199" s="584">
        <f>500/1000</f>
        <v>0.5</v>
      </c>
      <c r="J199" s="1744">
        <v>0</v>
      </c>
      <c r="K199" s="1745">
        <v>0</v>
      </c>
      <c r="L199" s="1745">
        <v>30</v>
      </c>
      <c r="M199" s="1745">
        <v>30</v>
      </c>
      <c r="N199" s="667">
        <f>SUM(J199:M199)</f>
        <v>60</v>
      </c>
      <c r="O199" s="688">
        <f t="shared" si="200"/>
        <v>0</v>
      </c>
      <c r="P199" s="689">
        <f t="shared" si="201"/>
        <v>0</v>
      </c>
      <c r="Q199" s="689">
        <f t="shared" si="198"/>
        <v>15</v>
      </c>
      <c r="R199" s="689">
        <f t="shared" si="198"/>
        <v>15</v>
      </c>
      <c r="S199" s="1737">
        <f t="shared" si="199"/>
        <v>30</v>
      </c>
      <c r="T199" s="618">
        <f>IFERROR(INDEX('Annex 2_Code'!I$8:I$33,MATCH('Annex 3_MAFF'!$AG199,'Annex 2_Code'!$G$8:$G$33,0)),"")</f>
        <v>0</v>
      </c>
      <c r="U199" s="618">
        <f>IFERROR(INDEX('Annex 2_Code'!J$8:J$33,MATCH('Annex 3_MAFF'!$AG199,'Annex 2_Code'!$G$8:$G$33,0)),"")</f>
        <v>0</v>
      </c>
      <c r="V199" s="618">
        <f>IFERROR(INDEX('Annex 2_Code'!K$8:K$33,MATCH('Annex 3_MAFF'!$AG199,'Annex 2_Code'!$G$8:$G$33,0)),"")</f>
        <v>1</v>
      </c>
      <c r="W199" s="618">
        <f>IFERROR(INDEX('Annex 2_Code'!L$8:L$33,MATCH('Annex 3_MAFF'!$AG199,'Annex 2_Code'!$G$8:$G$33,0)),"")</f>
        <v>0</v>
      </c>
      <c r="X199" s="618">
        <f>IFERROR(INDEX('Annex 2_Code'!M$8:M$33,MATCH('Annex 3_MAFF'!$AG199,'Annex 2_Code'!$G$8:$G$33,0)),"")</f>
        <v>0</v>
      </c>
      <c r="Y199" s="1533">
        <f t="shared" ref="Y199:AC199" si="202">IFERROR($S199*T199,"")</f>
        <v>0</v>
      </c>
      <c r="Z199" s="717">
        <f t="shared" si="202"/>
        <v>0</v>
      </c>
      <c r="AA199" s="717">
        <f t="shared" si="189"/>
        <v>30</v>
      </c>
      <c r="AB199" s="717">
        <f t="shared" si="202"/>
        <v>0</v>
      </c>
      <c r="AC199" s="718">
        <f t="shared" si="202"/>
        <v>0</v>
      </c>
      <c r="AD199" s="626">
        <f t="shared" si="130"/>
        <v>30</v>
      </c>
      <c r="AE199" s="627">
        <f t="shared" si="131"/>
        <v>0</v>
      </c>
      <c r="AF199" s="568" t="s">
        <v>372</v>
      </c>
      <c r="AG199" s="568" t="s">
        <v>390</v>
      </c>
      <c r="AH199" s="568" t="str">
        <f>IFERROR(INDEX('Annex 2_Code'!$J$110:$J$122,MATCH('Annex 3_MAFF'!AF199,'Annex 2_Code'!$G$110:$G$122,0)),"")</f>
        <v>MAFF-GDAHP</v>
      </c>
      <c r="AI199" s="882" t="str">
        <f>IF(ISNUMBER(FIND("-",AH199,1))=FALSE,LEFT(AH199,LEN(AH199)),LEFT(AH199,(FIND("-",AH199,1))-1))</f>
        <v>MAFF</v>
      </c>
      <c r="AK199" s="1383"/>
      <c r="AL199" s="1383"/>
    </row>
    <row r="200" spans="1:38" s="366" customFormat="1" outlineLevel="1">
      <c r="A200" s="102"/>
      <c r="B200" s="374" t="s">
        <v>36</v>
      </c>
      <c r="C200" s="1115" t="s">
        <v>36</v>
      </c>
      <c r="D200" s="484"/>
      <c r="E200" s="485" t="s">
        <v>626</v>
      </c>
      <c r="F200" s="364"/>
      <c r="G200" s="1748" t="s">
        <v>817</v>
      </c>
      <c r="H200" s="1739" t="s">
        <v>172</v>
      </c>
      <c r="I200" s="540">
        <v>5</v>
      </c>
      <c r="J200" s="1744">
        <v>0</v>
      </c>
      <c r="K200" s="1745">
        <v>0</v>
      </c>
      <c r="L200" s="1745">
        <v>1</v>
      </c>
      <c r="M200" s="1745">
        <v>1</v>
      </c>
      <c r="N200" s="667">
        <f t="shared" si="197"/>
        <v>2</v>
      </c>
      <c r="O200" s="688">
        <f t="shared" si="200"/>
        <v>0</v>
      </c>
      <c r="P200" s="689">
        <f t="shared" si="201"/>
        <v>0</v>
      </c>
      <c r="Q200" s="689">
        <f t="shared" si="198"/>
        <v>5</v>
      </c>
      <c r="R200" s="689">
        <f t="shared" si="198"/>
        <v>5</v>
      </c>
      <c r="S200" s="1737">
        <f t="shared" si="199"/>
        <v>10</v>
      </c>
      <c r="T200" s="618">
        <f>IFERROR(INDEX('Annex 2_Code'!I$8:I$33,MATCH('Annex 3_MAFF'!$AG200,'Annex 2_Code'!$G$8:$G$33,0)),"")</f>
        <v>1</v>
      </c>
      <c r="U200" s="618">
        <f>IFERROR(INDEX('Annex 2_Code'!J$8:J$33,MATCH('Annex 3_MAFF'!$AG200,'Annex 2_Code'!$G$8:$G$33,0)),"")</f>
        <v>0</v>
      </c>
      <c r="V200" s="618">
        <f>IFERROR(INDEX('Annex 2_Code'!K$8:K$33,MATCH('Annex 3_MAFF'!$AG200,'Annex 2_Code'!$G$8:$G$33,0)),"")</f>
        <v>0</v>
      </c>
      <c r="W200" s="618">
        <f>IFERROR(INDEX('Annex 2_Code'!L$8:L$33,MATCH('Annex 3_MAFF'!$AG200,'Annex 2_Code'!$G$8:$G$33,0)),"")</f>
        <v>0</v>
      </c>
      <c r="X200" s="618">
        <f>IFERROR(INDEX('Annex 2_Code'!M$8:M$33,MATCH('Annex 3_MAFF'!$AG200,'Annex 2_Code'!$G$8:$G$33,0)),"")</f>
        <v>0</v>
      </c>
      <c r="Y200" s="1533">
        <f t="shared" si="188"/>
        <v>10</v>
      </c>
      <c r="Z200" s="717">
        <f t="shared" si="189"/>
        <v>0</v>
      </c>
      <c r="AA200" s="717">
        <f t="shared" si="189"/>
        <v>0</v>
      </c>
      <c r="AB200" s="717">
        <f t="shared" si="190"/>
        <v>0</v>
      </c>
      <c r="AC200" s="718">
        <f t="shared" si="191"/>
        <v>0</v>
      </c>
      <c r="AD200" s="626">
        <f t="shared" si="130"/>
        <v>10</v>
      </c>
      <c r="AE200" s="627">
        <f t="shared" si="131"/>
        <v>0</v>
      </c>
      <c r="AF200" s="568" t="s">
        <v>372</v>
      </c>
      <c r="AG200" s="568" t="s">
        <v>406</v>
      </c>
      <c r="AH200" s="568" t="str">
        <f>IFERROR(INDEX('Annex 2_Code'!$J$110:$J$122,MATCH('Annex 3_MAFF'!AF200,'Annex 2_Code'!$G$110:$G$122,0)),"")</f>
        <v>MAFF-GDAHP</v>
      </c>
      <c r="AI200" s="882" t="str">
        <f t="shared" si="196"/>
        <v>MAFF</v>
      </c>
      <c r="AK200" s="1383"/>
      <c r="AL200" s="1383"/>
    </row>
    <row r="201" spans="1:38" s="366" customFormat="1" outlineLevel="1">
      <c r="A201" s="102"/>
      <c r="B201" s="76" t="s">
        <v>36</v>
      </c>
      <c r="C201" s="1071" t="s">
        <v>36</v>
      </c>
      <c r="D201" s="484"/>
      <c r="E201" s="485" t="s">
        <v>734</v>
      </c>
      <c r="F201" s="364"/>
      <c r="G201" s="1748" t="s">
        <v>820</v>
      </c>
      <c r="H201" s="1739" t="s">
        <v>172</v>
      </c>
      <c r="I201" s="1742">
        <v>40</v>
      </c>
      <c r="J201" s="1744">
        <v>0</v>
      </c>
      <c r="K201" s="1745">
        <v>0</v>
      </c>
      <c r="L201" s="1745">
        <v>1</v>
      </c>
      <c r="M201" s="1745">
        <v>0</v>
      </c>
      <c r="N201" s="667">
        <f t="shared" ref="N201" si="203">SUM(J201:M201)</f>
        <v>1</v>
      </c>
      <c r="O201" s="688">
        <f t="shared" si="200"/>
        <v>0</v>
      </c>
      <c r="P201" s="689">
        <f t="shared" si="201"/>
        <v>0</v>
      </c>
      <c r="Q201" s="689">
        <f t="shared" si="198"/>
        <v>40</v>
      </c>
      <c r="R201" s="689">
        <f t="shared" si="198"/>
        <v>0</v>
      </c>
      <c r="S201" s="1737">
        <f t="shared" ref="S201" si="204">SUM(O201:R201)</f>
        <v>40</v>
      </c>
      <c r="T201" s="618">
        <f>IFERROR(INDEX('Annex 2_Code'!I$8:I$33,MATCH('Annex 3_MAFF'!$AG201,'Annex 2_Code'!$G$8:$G$33,0)),"")</f>
        <v>0</v>
      </c>
      <c r="U201" s="618">
        <f>IFERROR(INDEX('Annex 2_Code'!J$8:J$33,MATCH('Annex 3_MAFF'!$AG201,'Annex 2_Code'!$G$8:$G$33,0)),"")</f>
        <v>0</v>
      </c>
      <c r="V201" s="618">
        <f>IFERROR(INDEX('Annex 2_Code'!K$8:K$33,MATCH('Annex 3_MAFF'!$AG201,'Annex 2_Code'!$G$8:$G$33,0)),"")</f>
        <v>1</v>
      </c>
      <c r="W201" s="618">
        <f>IFERROR(INDEX('Annex 2_Code'!L$8:L$33,MATCH('Annex 3_MAFF'!$AG201,'Annex 2_Code'!$G$8:$G$33,0)),"")</f>
        <v>0</v>
      </c>
      <c r="X201" s="618">
        <f>IFERROR(INDEX('Annex 2_Code'!M$8:M$33,MATCH('Annex 3_MAFF'!$AG201,'Annex 2_Code'!$G$8:$G$33,0)),"")</f>
        <v>0</v>
      </c>
      <c r="Y201" s="1533">
        <f t="shared" ref="Y201" si="205">IFERROR($S201*T201,"")</f>
        <v>0</v>
      </c>
      <c r="Z201" s="717">
        <f t="shared" ref="Z201" si="206">IFERROR($S201*U201,"")</f>
        <v>0</v>
      </c>
      <c r="AA201" s="717">
        <f t="shared" si="189"/>
        <v>40</v>
      </c>
      <c r="AB201" s="717">
        <f t="shared" ref="AB201" si="207">IFERROR($S201*W201,"")</f>
        <v>0</v>
      </c>
      <c r="AC201" s="718">
        <f t="shared" ref="AC201" si="208">IFERROR($S201*X201,"")</f>
        <v>0</v>
      </c>
      <c r="AD201" s="626">
        <f t="shared" ref="AD201" si="209">SUM(Y201:AC201)</f>
        <v>40</v>
      </c>
      <c r="AE201" s="627">
        <f t="shared" ref="AE201" si="210">AD201-S201</f>
        <v>0</v>
      </c>
      <c r="AF201" s="568" t="s">
        <v>372</v>
      </c>
      <c r="AG201" s="568" t="s">
        <v>384</v>
      </c>
      <c r="AH201" s="568" t="str">
        <f>IFERROR(INDEX('Annex 2_Code'!$J$110:$J$122,MATCH('Annex 3_MAFF'!AF201,'Annex 2_Code'!$G$110:$G$122,0)),"")</f>
        <v>MAFF-GDAHP</v>
      </c>
      <c r="AI201" s="882" t="str">
        <f t="shared" ref="AI201" si="211">IF(ISNUMBER(FIND("-",AH201,1))=FALSE,LEFT(AH201,LEN(AH201)),LEFT(AH201,(FIND("-",AH201,1))-1))</f>
        <v>MAFF</v>
      </c>
      <c r="AK201" s="1383"/>
      <c r="AL201" s="1383"/>
    </row>
    <row r="202" spans="1:38" s="366" customFormat="1" outlineLevel="1">
      <c r="A202" s="102"/>
      <c r="B202" s="1115" t="s">
        <v>57</v>
      </c>
      <c r="C202" s="1115" t="s">
        <v>57</v>
      </c>
      <c r="D202" s="484"/>
      <c r="E202" s="97" t="s">
        <v>631</v>
      </c>
      <c r="F202" s="364"/>
      <c r="G202" s="722" t="s">
        <v>816</v>
      </c>
      <c r="H202" s="538" t="s">
        <v>172</v>
      </c>
      <c r="I202" s="587">
        <v>5</v>
      </c>
      <c r="J202" s="1744">
        <v>0</v>
      </c>
      <c r="K202" s="1745">
        <v>0</v>
      </c>
      <c r="L202" s="666">
        <v>0</v>
      </c>
      <c r="M202" s="666">
        <v>1</v>
      </c>
      <c r="N202" s="667">
        <f t="shared" si="197"/>
        <v>1</v>
      </c>
      <c r="O202" s="688">
        <f t="shared" si="200"/>
        <v>0</v>
      </c>
      <c r="P202" s="689">
        <f t="shared" si="201"/>
        <v>0</v>
      </c>
      <c r="Q202" s="689">
        <f t="shared" si="198"/>
        <v>0</v>
      </c>
      <c r="R202" s="689">
        <f t="shared" si="198"/>
        <v>5</v>
      </c>
      <c r="S202" s="145">
        <f>SUM(O202:R202)</f>
        <v>5</v>
      </c>
      <c r="T202" s="618">
        <f>IFERROR(INDEX('Annex 2_Code'!I$8:I$33,MATCH('Annex 3_MAFF'!$AG202,'Annex 2_Code'!$G$8:$G$33,0)),"")</f>
        <v>0</v>
      </c>
      <c r="U202" s="618">
        <f>IFERROR(INDEX('Annex 2_Code'!J$8:J$33,MATCH('Annex 3_MAFF'!$AG202,'Annex 2_Code'!$G$8:$G$33,0)),"")</f>
        <v>0</v>
      </c>
      <c r="V202" s="618">
        <f>IFERROR(INDEX('Annex 2_Code'!K$8:K$33,MATCH('Annex 3_MAFF'!$AG202,'Annex 2_Code'!$G$8:$G$33,0)),"")</f>
        <v>1</v>
      </c>
      <c r="W202" s="618">
        <f>IFERROR(INDEX('Annex 2_Code'!L$8:L$33,MATCH('Annex 3_MAFF'!$AG202,'Annex 2_Code'!$G$8:$G$33,0)),"")</f>
        <v>0</v>
      </c>
      <c r="X202" s="618">
        <f>IFERROR(INDEX('Annex 2_Code'!M$8:M$33,MATCH('Annex 3_MAFF'!$AG202,'Annex 2_Code'!$G$8:$G$33,0)),"")</f>
        <v>0</v>
      </c>
      <c r="Y202" s="1533">
        <f t="shared" si="188"/>
        <v>0</v>
      </c>
      <c r="Z202" s="717">
        <f t="shared" si="189"/>
        <v>0</v>
      </c>
      <c r="AA202" s="717">
        <f t="shared" si="189"/>
        <v>5</v>
      </c>
      <c r="AB202" s="717">
        <f t="shared" si="190"/>
        <v>0</v>
      </c>
      <c r="AC202" s="718">
        <f t="shared" si="191"/>
        <v>0</v>
      </c>
      <c r="AD202" s="626">
        <f t="shared" si="130"/>
        <v>5</v>
      </c>
      <c r="AE202" s="627">
        <f t="shared" si="131"/>
        <v>0</v>
      </c>
      <c r="AF202" s="568" t="s">
        <v>372</v>
      </c>
      <c r="AG202" s="568" t="s">
        <v>384</v>
      </c>
      <c r="AH202" s="568" t="str">
        <f>IFERROR(INDEX('Annex 2_Code'!$J$110:$J$122,MATCH('Annex 3_MAFF'!AF202,'Annex 2_Code'!$G$110:$G$122,0)),"")</f>
        <v>MAFF-GDAHP</v>
      </c>
      <c r="AI202" s="882" t="str">
        <f t="shared" si="196"/>
        <v>MAFF</v>
      </c>
      <c r="AK202" s="1383"/>
      <c r="AL202" s="1383"/>
    </row>
    <row r="203" spans="1:38" s="366" customFormat="1" outlineLevel="1">
      <c r="A203" s="102"/>
      <c r="B203" s="76" t="s">
        <v>173</v>
      </c>
      <c r="C203" s="1071"/>
      <c r="D203" s="1464"/>
      <c r="E203" s="1451"/>
      <c r="F203" s="1441" t="s">
        <v>41</v>
      </c>
      <c r="G203" s="1453"/>
      <c r="H203" s="1478" t="s">
        <v>173</v>
      </c>
      <c r="I203" s="1514" t="s">
        <v>173</v>
      </c>
      <c r="J203" s="1456"/>
      <c r="K203" s="1457"/>
      <c r="L203" s="1457"/>
      <c r="M203" s="1457"/>
      <c r="N203" s="1458"/>
      <c r="O203" s="1492">
        <f>SUM(O196:O202)</f>
        <v>0</v>
      </c>
      <c r="P203" s="1493">
        <f>SUM(P196:P202)</f>
        <v>0</v>
      </c>
      <c r="Q203" s="1493">
        <f>SUM(Q196:Q202)</f>
        <v>86.1</v>
      </c>
      <c r="R203" s="1493">
        <f>SUM(R196:R202)</f>
        <v>51.099999999999994</v>
      </c>
      <c r="S203" s="1494">
        <f>SUM(S196:S202)</f>
        <v>137.19999999999999</v>
      </c>
      <c r="T203" s="618" t="str">
        <f>IFERROR(INDEX('Annex 2_Code'!I$8:I$33,MATCH('Annex 3_MAFF'!$AG203,'Annex 2_Code'!$G$8:$G$33,0)),"")</f>
        <v/>
      </c>
      <c r="U203" s="618" t="str">
        <f>IFERROR(INDEX('Annex 2_Code'!J$8:J$33,MATCH('Annex 3_MAFF'!$AG203,'Annex 2_Code'!$G$8:$G$33,0)),"")</f>
        <v/>
      </c>
      <c r="V203" s="618" t="str">
        <f>IFERROR(INDEX('Annex 2_Code'!K$8:K$33,MATCH('Annex 3_MAFF'!$AG203,'Annex 2_Code'!$G$8:$G$33,0)),"")</f>
        <v/>
      </c>
      <c r="W203" s="618" t="str">
        <f>IFERROR(INDEX('Annex 2_Code'!L$8:L$33,MATCH('Annex 3_MAFF'!$AG203,'Annex 2_Code'!$G$8:$G$33,0)),"")</f>
        <v/>
      </c>
      <c r="X203" s="618" t="str">
        <f>IFERROR(INDEX('Annex 2_Code'!M$8:M$33,MATCH('Annex 3_MAFF'!$AG203,'Annex 2_Code'!$G$8:$G$33,0)),"")</f>
        <v/>
      </c>
      <c r="Y203" s="1533" t="str">
        <f t="shared" si="188"/>
        <v/>
      </c>
      <c r="Z203" s="717" t="str">
        <f t="shared" si="189"/>
        <v/>
      </c>
      <c r="AA203" s="717" t="str">
        <f t="shared" si="189"/>
        <v/>
      </c>
      <c r="AB203" s="1039"/>
      <c r="AC203" s="718" t="str">
        <f t="shared" si="191"/>
        <v/>
      </c>
      <c r="AD203" s="626">
        <f t="shared" si="130"/>
        <v>0</v>
      </c>
      <c r="AE203" s="627">
        <f t="shared" si="131"/>
        <v>-137.19999999999999</v>
      </c>
      <c r="AF203" s="568"/>
      <c r="AG203" s="568"/>
      <c r="AH203" s="568" t="str">
        <f>IFERROR(INDEX('Annex 2_Code'!$J$110:$J$122,MATCH('Annex 3_MAFF'!AF203,'Annex 2_Code'!$G$110:$G$122,0)),"")</f>
        <v/>
      </c>
      <c r="AI203" s="882" t="str">
        <f t="shared" si="196"/>
        <v/>
      </c>
      <c r="AK203" s="1383"/>
      <c r="AL203" s="1383"/>
    </row>
    <row r="204" spans="1:38" s="366" customFormat="1" outlineLevel="1">
      <c r="A204" s="102"/>
      <c r="B204" s="76" t="s">
        <v>173</v>
      </c>
      <c r="C204" s="1071"/>
      <c r="D204" s="78"/>
      <c r="E204" s="97"/>
      <c r="F204" s="364"/>
      <c r="G204" s="721"/>
      <c r="H204" s="565"/>
      <c r="I204" s="566" t="s">
        <v>14</v>
      </c>
      <c r="J204" s="665"/>
      <c r="K204" s="666"/>
      <c r="L204" s="666"/>
      <c r="M204" s="666"/>
      <c r="N204" s="667"/>
      <c r="O204" s="688"/>
      <c r="P204" s="689"/>
      <c r="Q204" s="689"/>
      <c r="R204" s="689"/>
      <c r="S204" s="365"/>
      <c r="T204" s="618"/>
      <c r="U204" s="618"/>
      <c r="V204" s="618"/>
      <c r="W204" s="618"/>
      <c r="X204" s="618"/>
      <c r="Y204" s="1533"/>
      <c r="Z204" s="717"/>
      <c r="AA204" s="717">
        <f t="shared" si="189"/>
        <v>0</v>
      </c>
      <c r="AB204" s="717"/>
      <c r="AC204" s="718"/>
      <c r="AD204" s="626">
        <f t="shared" si="130"/>
        <v>0</v>
      </c>
      <c r="AE204" s="627">
        <f t="shared" si="131"/>
        <v>0</v>
      </c>
      <c r="AF204" s="568"/>
      <c r="AG204" s="568"/>
      <c r="AH204" s="568"/>
      <c r="AI204" s="882"/>
      <c r="AK204" s="1383"/>
      <c r="AL204" s="1383"/>
    </row>
    <row r="205" spans="1:38" s="366" customFormat="1" outlineLevel="1">
      <c r="A205" s="102"/>
      <c r="B205" s="76" t="s">
        <v>173</v>
      </c>
      <c r="C205" s="1071"/>
      <c r="D205" s="78"/>
      <c r="E205" s="97"/>
      <c r="F205" s="364" t="s">
        <v>68</v>
      </c>
      <c r="G205" s="722"/>
      <c r="H205" s="565"/>
      <c r="I205" s="566"/>
      <c r="J205" s="665"/>
      <c r="K205" s="666"/>
      <c r="L205" s="666"/>
      <c r="M205" s="666"/>
      <c r="N205" s="667"/>
      <c r="O205" s="688"/>
      <c r="P205" s="689"/>
      <c r="Q205" s="689"/>
      <c r="R205" s="689"/>
      <c r="S205" s="620"/>
      <c r="T205" s="618" t="str">
        <f>IFERROR(INDEX('Annex 2_Code'!I$8:I$33,MATCH('Annex 3_MAFF'!$AG205,'Annex 2_Code'!$G$8:$G$33,0)),"")</f>
        <v/>
      </c>
      <c r="U205" s="618" t="str">
        <f>IFERROR(INDEX('Annex 2_Code'!J$8:J$33,MATCH('Annex 3_MAFF'!$AG205,'Annex 2_Code'!$G$8:$G$33,0)),"")</f>
        <v/>
      </c>
      <c r="V205" s="618" t="str">
        <f>IFERROR(INDEX('Annex 2_Code'!K$8:K$33,MATCH('Annex 3_MAFF'!$AG205,'Annex 2_Code'!$G$8:$G$33,0)),"")</f>
        <v/>
      </c>
      <c r="W205" s="618" t="str">
        <f>IFERROR(INDEX('Annex 2_Code'!L$8:L$33,MATCH('Annex 3_MAFF'!$AG205,'Annex 2_Code'!$G$8:$G$33,0)),"")</f>
        <v/>
      </c>
      <c r="X205" s="618" t="str">
        <f>IFERROR(INDEX('Annex 2_Code'!M$8:M$33,MATCH('Annex 3_MAFF'!$AG205,'Annex 2_Code'!$G$8:$G$33,0)),"")</f>
        <v/>
      </c>
      <c r="Y205" s="1533" t="str">
        <f t="shared" si="188"/>
        <v/>
      </c>
      <c r="Z205" s="717" t="str">
        <f t="shared" si="189"/>
        <v/>
      </c>
      <c r="AA205" s="717" t="str">
        <f t="shared" si="189"/>
        <v/>
      </c>
      <c r="AB205" s="717" t="str">
        <f t="shared" si="190"/>
        <v/>
      </c>
      <c r="AC205" s="718" t="str">
        <f t="shared" si="191"/>
        <v/>
      </c>
      <c r="AD205" s="626">
        <f t="shared" si="130"/>
        <v>0</v>
      </c>
      <c r="AE205" s="627">
        <f t="shared" si="131"/>
        <v>0</v>
      </c>
      <c r="AF205" s="568"/>
      <c r="AG205" s="568"/>
      <c r="AH205" s="568" t="str">
        <f>IFERROR(INDEX('Annex 2_Code'!$J$110:$J$122,MATCH('Annex 3_MAFF'!AF205,'Annex 2_Code'!$G$110:$G$122,0)),"")</f>
        <v/>
      </c>
      <c r="AI205" s="882" t="str">
        <f t="shared" si="196"/>
        <v/>
      </c>
      <c r="AK205" s="1383"/>
      <c r="AL205" s="1383"/>
    </row>
    <row r="206" spans="1:38" s="366" customFormat="1" outlineLevel="1">
      <c r="A206" s="102"/>
      <c r="B206" s="374" t="s">
        <v>57</v>
      </c>
      <c r="C206" s="1115" t="s">
        <v>57</v>
      </c>
      <c r="D206" s="78"/>
      <c r="E206" s="97" t="s">
        <v>1169</v>
      </c>
      <c r="F206" s="364"/>
      <c r="G206" s="722" t="s">
        <v>1134</v>
      </c>
      <c r="H206" s="538" t="s">
        <v>172</v>
      </c>
      <c r="I206" s="584">
        <v>8</v>
      </c>
      <c r="J206" s="665">
        <v>0</v>
      </c>
      <c r="K206" s="666">
        <v>1</v>
      </c>
      <c r="L206" s="666">
        <v>1</v>
      </c>
      <c r="M206" s="666">
        <v>0</v>
      </c>
      <c r="N206" s="667">
        <f t="shared" ref="N206:N211" si="212">SUM(J206:M206)</f>
        <v>2</v>
      </c>
      <c r="O206" s="688">
        <f>($I206*J206)</f>
        <v>0</v>
      </c>
      <c r="P206" s="689">
        <f>($I206*K206)</f>
        <v>8</v>
      </c>
      <c r="Q206" s="689">
        <f t="shared" ref="Q206:R213" si="213">($I206*L206)</f>
        <v>8</v>
      </c>
      <c r="R206" s="689">
        <f t="shared" si="213"/>
        <v>0</v>
      </c>
      <c r="S206" s="145">
        <f t="shared" ref="S206:S212" si="214">SUM(O206:R206)</f>
        <v>16</v>
      </c>
      <c r="T206" s="618">
        <f>IFERROR(INDEX('Annex 2_Code'!I$8:I$33,MATCH('Annex 3_MAFF'!$AG206,'Annex 2_Code'!$G$8:$G$33,0)),"")</f>
        <v>0</v>
      </c>
      <c r="U206" s="618">
        <f>IFERROR(INDEX('Annex 2_Code'!J$8:J$33,MATCH('Annex 3_MAFF'!$AG206,'Annex 2_Code'!$G$8:$G$33,0)),"")</f>
        <v>0</v>
      </c>
      <c r="V206" s="618">
        <f>IFERROR(INDEX('Annex 2_Code'!K$8:K$33,MATCH('Annex 3_MAFF'!$AG206,'Annex 2_Code'!$G$8:$G$33,0)),"")</f>
        <v>1</v>
      </c>
      <c r="W206" s="618">
        <f>IFERROR(INDEX('Annex 2_Code'!L$8:L$33,MATCH('Annex 3_MAFF'!$AG206,'Annex 2_Code'!$G$8:$G$33,0)),"")</f>
        <v>0</v>
      </c>
      <c r="X206" s="618">
        <f>IFERROR(INDEX('Annex 2_Code'!M$8:M$33,MATCH('Annex 3_MAFF'!$AG206,'Annex 2_Code'!$G$8:$G$33,0)),"")</f>
        <v>0</v>
      </c>
      <c r="Y206" s="1533">
        <f t="shared" si="188"/>
        <v>0</v>
      </c>
      <c r="Z206" s="717">
        <f t="shared" si="188"/>
        <v>0</v>
      </c>
      <c r="AA206" s="717">
        <f t="shared" si="189"/>
        <v>16</v>
      </c>
      <c r="AB206" s="717">
        <f t="shared" si="190"/>
        <v>0</v>
      </c>
      <c r="AC206" s="718">
        <f t="shared" si="190"/>
        <v>0</v>
      </c>
      <c r="AD206" s="626">
        <f>SUM(Y206:AC206)</f>
        <v>16</v>
      </c>
      <c r="AE206" s="627">
        <f t="shared" si="131"/>
        <v>0</v>
      </c>
      <c r="AF206" s="568" t="s">
        <v>372</v>
      </c>
      <c r="AG206" s="568" t="s">
        <v>386</v>
      </c>
      <c r="AH206" s="568" t="str">
        <f>IFERROR(INDEX('[3]Annex 2'!$J$110:$J$122,MATCH('[3]Annex 3 (''MEF)'!AF208,'[3]Annex 2'!$G$110:$G$122,0)),"")</f>
        <v>MAFF-GDAHP</v>
      </c>
      <c r="AI206" s="882" t="str">
        <f t="shared" si="196"/>
        <v>MAFF</v>
      </c>
      <c r="AK206" s="1383"/>
      <c r="AL206" s="1383"/>
    </row>
    <row r="207" spans="1:38" s="366" customFormat="1" outlineLevel="1">
      <c r="A207" s="102"/>
      <c r="B207" s="374" t="s">
        <v>57</v>
      </c>
      <c r="C207" s="1115" t="s">
        <v>57</v>
      </c>
      <c r="D207" s="78"/>
      <c r="E207" s="97" t="s">
        <v>632</v>
      </c>
      <c r="F207" s="364"/>
      <c r="G207" s="722" t="s">
        <v>69</v>
      </c>
      <c r="H207" s="538" t="s">
        <v>180</v>
      </c>
      <c r="I207" s="584">
        <v>0.6</v>
      </c>
      <c r="J207" s="665">
        <v>0</v>
      </c>
      <c r="K207" s="666">
        <v>0</v>
      </c>
      <c r="L207" s="666">
        <v>10</v>
      </c>
      <c r="M207" s="666">
        <v>10</v>
      </c>
      <c r="N207" s="667">
        <f t="shared" si="212"/>
        <v>20</v>
      </c>
      <c r="O207" s="688">
        <f t="shared" ref="O207:O213" si="215">($I207*J207)</f>
        <v>0</v>
      </c>
      <c r="P207" s="689">
        <f t="shared" ref="P207:P213" si="216">($I207*K207)</f>
        <v>0</v>
      </c>
      <c r="Q207" s="689">
        <f t="shared" si="213"/>
        <v>6</v>
      </c>
      <c r="R207" s="689">
        <f t="shared" si="213"/>
        <v>6</v>
      </c>
      <c r="S207" s="145">
        <f t="shared" si="214"/>
        <v>12</v>
      </c>
      <c r="T207" s="618">
        <f>IFERROR(INDEX('Annex 2_Code'!I$8:I$33,MATCH('Annex 3_MAFF'!$AG207,'Annex 2_Code'!$G$8:$G$33,0)),"")</f>
        <v>0</v>
      </c>
      <c r="U207" s="618">
        <f>IFERROR(INDEX('Annex 2_Code'!J$8:J$33,MATCH('Annex 3_MAFF'!$AG207,'Annex 2_Code'!$G$8:$G$33,0)),"")</f>
        <v>0</v>
      </c>
      <c r="V207" s="618">
        <f>IFERROR(INDEX('Annex 2_Code'!K$8:K$33,MATCH('Annex 3_MAFF'!$AG207,'Annex 2_Code'!$G$8:$G$33,0)),"")</f>
        <v>1</v>
      </c>
      <c r="W207" s="618">
        <f>IFERROR(INDEX('Annex 2_Code'!L$8:L$33,MATCH('Annex 3_MAFF'!$AG207,'Annex 2_Code'!$G$8:$G$33,0)),"")</f>
        <v>0</v>
      </c>
      <c r="X207" s="618">
        <f>IFERROR(INDEX('Annex 2_Code'!M$8:M$33,MATCH('Annex 3_MAFF'!$AG207,'Annex 2_Code'!$G$8:$G$33,0)),"")</f>
        <v>0</v>
      </c>
      <c r="Y207" s="1533">
        <f t="shared" si="188"/>
        <v>0</v>
      </c>
      <c r="Z207" s="717">
        <f t="shared" si="188"/>
        <v>0</v>
      </c>
      <c r="AA207" s="717">
        <f t="shared" si="189"/>
        <v>12</v>
      </c>
      <c r="AB207" s="717">
        <f t="shared" si="190"/>
        <v>0</v>
      </c>
      <c r="AC207" s="718">
        <f t="shared" si="190"/>
        <v>0</v>
      </c>
      <c r="AD207" s="626">
        <f t="shared" si="130"/>
        <v>12</v>
      </c>
      <c r="AE207" s="627">
        <f t="shared" si="131"/>
        <v>0</v>
      </c>
      <c r="AF207" s="568" t="s">
        <v>372</v>
      </c>
      <c r="AG207" s="568" t="s">
        <v>386</v>
      </c>
      <c r="AH207" s="568" t="str">
        <f>IFERROR(INDEX('[3]Annex 2'!$J$110:$J$122,MATCH('[3]Annex 3 (''MEF)'!AF210,'[3]Annex 2'!$G$110:$G$122,0)),"")</f>
        <v>MAFF-GDAHP</v>
      </c>
      <c r="AI207" s="882" t="str">
        <f t="shared" si="196"/>
        <v>MAFF</v>
      </c>
      <c r="AK207" s="1383"/>
      <c r="AL207" s="1383"/>
    </row>
    <row r="208" spans="1:38" s="366" customFormat="1" outlineLevel="1">
      <c r="A208" s="102"/>
      <c r="B208" s="374" t="s">
        <v>57</v>
      </c>
      <c r="C208" s="1115" t="s">
        <v>57</v>
      </c>
      <c r="D208" s="78"/>
      <c r="E208" s="97" t="s">
        <v>633</v>
      </c>
      <c r="F208" s="364"/>
      <c r="G208" s="722" t="s">
        <v>735</v>
      </c>
      <c r="H208" s="538" t="s">
        <v>176</v>
      </c>
      <c r="I208" s="584">
        <v>2</v>
      </c>
      <c r="J208" s="665">
        <v>0</v>
      </c>
      <c r="K208" s="666">
        <v>0</v>
      </c>
      <c r="L208" s="666">
        <v>1</v>
      </c>
      <c r="M208" s="666">
        <v>1</v>
      </c>
      <c r="N208" s="1117">
        <f>SUM(J208:M208)</f>
        <v>2</v>
      </c>
      <c r="O208" s="688">
        <f t="shared" si="215"/>
        <v>0</v>
      </c>
      <c r="P208" s="689">
        <f t="shared" si="216"/>
        <v>0</v>
      </c>
      <c r="Q208" s="689">
        <f t="shared" si="213"/>
        <v>2</v>
      </c>
      <c r="R208" s="689">
        <f t="shared" si="213"/>
        <v>2</v>
      </c>
      <c r="S208" s="145">
        <f t="shared" si="214"/>
        <v>4</v>
      </c>
      <c r="T208" s="618">
        <f>IFERROR(INDEX('Annex 2_Code'!I$8:I$33,MATCH('Annex 3_MAFF'!$AG208,'Annex 2_Code'!$G$8:$G$33,0)),"")</f>
        <v>0</v>
      </c>
      <c r="U208" s="618">
        <f>IFERROR(INDEX('Annex 2_Code'!J$8:J$33,MATCH('Annex 3_MAFF'!$AG208,'Annex 2_Code'!$G$8:$G$33,0)),"")</f>
        <v>0</v>
      </c>
      <c r="V208" s="618">
        <f>IFERROR(INDEX('Annex 2_Code'!K$8:K$33,MATCH('Annex 3_MAFF'!$AG208,'Annex 2_Code'!$G$8:$G$33,0)),"")</f>
        <v>1</v>
      </c>
      <c r="W208" s="618">
        <f>IFERROR(INDEX('Annex 2_Code'!L$8:L$33,MATCH('Annex 3_MAFF'!$AG208,'Annex 2_Code'!$G$8:$G$33,0)),"")</f>
        <v>0</v>
      </c>
      <c r="X208" s="618">
        <f>IFERROR(INDEX('Annex 2_Code'!M$8:M$33,MATCH('Annex 3_MAFF'!$AG208,'Annex 2_Code'!$G$8:$G$33,0)),"")</f>
        <v>0</v>
      </c>
      <c r="Y208" s="1533">
        <f t="shared" si="188"/>
        <v>0</v>
      </c>
      <c r="Z208" s="717">
        <f t="shared" si="188"/>
        <v>0</v>
      </c>
      <c r="AA208" s="717">
        <f t="shared" si="189"/>
        <v>4</v>
      </c>
      <c r="AB208" s="717">
        <f t="shared" si="190"/>
        <v>0</v>
      </c>
      <c r="AC208" s="718">
        <f t="shared" si="190"/>
        <v>0</v>
      </c>
      <c r="AD208" s="626">
        <f t="shared" si="130"/>
        <v>4</v>
      </c>
      <c r="AE208" s="627">
        <f t="shared" si="131"/>
        <v>0</v>
      </c>
      <c r="AF208" s="568" t="s">
        <v>372</v>
      </c>
      <c r="AG208" s="568" t="s">
        <v>386</v>
      </c>
      <c r="AH208" s="568" t="str">
        <f>IFERROR(INDEX('[3]Annex 2'!$J$110:$J$122,MATCH('[3]Annex 3 (''MEF)'!AF211,'[3]Annex 2'!$G$110:$G$122,0)),"")</f>
        <v>MAFF-GDAHP</v>
      </c>
      <c r="AI208" s="882" t="str">
        <f t="shared" si="196"/>
        <v>MAFF</v>
      </c>
      <c r="AK208" s="1383"/>
      <c r="AL208" s="1383"/>
    </row>
    <row r="209" spans="1:39" s="366" customFormat="1" outlineLevel="1">
      <c r="A209" s="102"/>
      <c r="B209" s="374" t="s">
        <v>57</v>
      </c>
      <c r="C209" s="1115" t="s">
        <v>57</v>
      </c>
      <c r="D209" s="78"/>
      <c r="E209" s="97" t="s">
        <v>634</v>
      </c>
      <c r="F209" s="364"/>
      <c r="G209" s="722" t="s">
        <v>627</v>
      </c>
      <c r="H209" s="538" t="s">
        <v>176</v>
      </c>
      <c r="I209" s="584">
        <v>5</v>
      </c>
      <c r="J209" s="665">
        <v>0</v>
      </c>
      <c r="K209" s="666">
        <v>0</v>
      </c>
      <c r="L209" s="666">
        <v>1</v>
      </c>
      <c r="M209" s="666">
        <v>1</v>
      </c>
      <c r="N209" s="667">
        <f t="shared" si="212"/>
        <v>2</v>
      </c>
      <c r="O209" s="688">
        <f t="shared" si="215"/>
        <v>0</v>
      </c>
      <c r="P209" s="689">
        <f t="shared" si="216"/>
        <v>0</v>
      </c>
      <c r="Q209" s="689">
        <f t="shared" si="213"/>
        <v>5</v>
      </c>
      <c r="R209" s="689">
        <f t="shared" si="213"/>
        <v>5</v>
      </c>
      <c r="S209" s="145">
        <f t="shared" si="214"/>
        <v>10</v>
      </c>
      <c r="T209" s="618">
        <f>IFERROR(INDEX('Annex 2_Code'!I$8:I$33,MATCH('Annex 3_MAFF'!$AG209,'Annex 2_Code'!$G$8:$G$33,0)),"")</f>
        <v>0</v>
      </c>
      <c r="U209" s="618">
        <f>IFERROR(INDEX('Annex 2_Code'!J$8:J$33,MATCH('Annex 3_MAFF'!$AG209,'Annex 2_Code'!$G$8:$G$33,0)),"")</f>
        <v>0</v>
      </c>
      <c r="V209" s="618">
        <f>IFERROR(INDEX('Annex 2_Code'!K$8:K$33,MATCH('Annex 3_MAFF'!$AG209,'Annex 2_Code'!$G$8:$G$33,0)),"")</f>
        <v>1</v>
      </c>
      <c r="W209" s="618">
        <f>IFERROR(INDEX('Annex 2_Code'!L$8:L$33,MATCH('Annex 3_MAFF'!$AG209,'Annex 2_Code'!$G$8:$G$33,0)),"")</f>
        <v>0</v>
      </c>
      <c r="X209" s="618">
        <f>IFERROR(INDEX('Annex 2_Code'!M$8:M$33,MATCH('Annex 3_MAFF'!$AG209,'Annex 2_Code'!$G$8:$G$33,0)),"")</f>
        <v>0</v>
      </c>
      <c r="Y209" s="1533">
        <f t="shared" si="188"/>
        <v>0</v>
      </c>
      <c r="Z209" s="717">
        <f t="shared" si="188"/>
        <v>0</v>
      </c>
      <c r="AA209" s="717">
        <f t="shared" si="189"/>
        <v>10</v>
      </c>
      <c r="AB209" s="717">
        <f t="shared" si="190"/>
        <v>0</v>
      </c>
      <c r="AC209" s="718">
        <f t="shared" si="190"/>
        <v>0</v>
      </c>
      <c r="AD209" s="626">
        <f t="shared" si="130"/>
        <v>10</v>
      </c>
      <c r="AE209" s="627">
        <f t="shared" si="131"/>
        <v>0</v>
      </c>
      <c r="AF209" s="568" t="s">
        <v>372</v>
      </c>
      <c r="AG209" s="568" t="s">
        <v>386</v>
      </c>
      <c r="AH209" s="568" t="str">
        <f>IFERROR(INDEX('[3]Annex 2'!$J$110:$J$122,MATCH('[3]Annex 3 (''MEF)'!AF212,'[3]Annex 2'!$G$110:$G$122,0)),"")</f>
        <v>MAFF-GDAHP</v>
      </c>
      <c r="AI209" s="882" t="str">
        <f t="shared" si="196"/>
        <v>MAFF</v>
      </c>
      <c r="AK209" s="1383"/>
      <c r="AL209" s="1383"/>
    </row>
    <row r="210" spans="1:39" s="366" customFormat="1" ht="27.75" customHeight="1" outlineLevel="1">
      <c r="A210" s="102"/>
      <c r="B210" s="374" t="s">
        <v>57</v>
      </c>
      <c r="C210" s="1115" t="s">
        <v>57</v>
      </c>
      <c r="D210" s="78"/>
      <c r="E210" s="97" t="s">
        <v>635</v>
      </c>
      <c r="F210" s="364"/>
      <c r="G210" s="722" t="s">
        <v>628</v>
      </c>
      <c r="H210" s="538" t="s">
        <v>172</v>
      </c>
      <c r="I210" s="584">
        <v>5</v>
      </c>
      <c r="J210" s="665">
        <v>0</v>
      </c>
      <c r="K210" s="666">
        <v>1</v>
      </c>
      <c r="L210" s="666">
        <v>0</v>
      </c>
      <c r="M210" s="666">
        <v>0</v>
      </c>
      <c r="N210" s="667">
        <f t="shared" si="212"/>
        <v>1</v>
      </c>
      <c r="O210" s="688">
        <f t="shared" si="215"/>
        <v>0</v>
      </c>
      <c r="P210" s="689">
        <f t="shared" si="216"/>
        <v>5</v>
      </c>
      <c r="Q210" s="689">
        <f t="shared" si="213"/>
        <v>0</v>
      </c>
      <c r="R210" s="689">
        <f t="shared" si="213"/>
        <v>0</v>
      </c>
      <c r="S210" s="145">
        <f t="shared" si="214"/>
        <v>5</v>
      </c>
      <c r="T210" s="618">
        <f>IFERROR(INDEX('Annex 2_Code'!I$8:I$33,MATCH('Annex 3_MAFF'!$AG210,'Annex 2_Code'!$G$8:$G$33,0)),"")</f>
        <v>1</v>
      </c>
      <c r="U210" s="618">
        <f>IFERROR(INDEX('Annex 2_Code'!J$8:J$33,MATCH('Annex 3_MAFF'!$AG210,'Annex 2_Code'!$G$8:$G$33,0)),"")</f>
        <v>0</v>
      </c>
      <c r="V210" s="618">
        <f>IFERROR(INDEX('Annex 2_Code'!K$8:K$33,MATCH('Annex 3_MAFF'!$AG210,'Annex 2_Code'!$G$8:$G$33,0)),"")</f>
        <v>0</v>
      </c>
      <c r="W210" s="618">
        <f>IFERROR(INDEX('Annex 2_Code'!L$8:L$33,MATCH('Annex 3_MAFF'!$AG210,'Annex 2_Code'!$G$8:$G$33,0)),"")</f>
        <v>0</v>
      </c>
      <c r="X210" s="618">
        <f>IFERROR(INDEX('Annex 2_Code'!M$8:M$33,MATCH('Annex 3_MAFF'!$AG210,'Annex 2_Code'!$G$8:$G$33,0)),"")</f>
        <v>0</v>
      </c>
      <c r="Y210" s="1533">
        <f t="shared" si="188"/>
        <v>5</v>
      </c>
      <c r="Z210" s="717">
        <f t="shared" si="188"/>
        <v>0</v>
      </c>
      <c r="AA210" s="717">
        <f t="shared" si="189"/>
        <v>0</v>
      </c>
      <c r="AB210" s="717">
        <f t="shared" si="190"/>
        <v>0</v>
      </c>
      <c r="AC210" s="718">
        <f t="shared" si="190"/>
        <v>0</v>
      </c>
      <c r="AD210" s="626">
        <f t="shared" si="130"/>
        <v>5</v>
      </c>
      <c r="AE210" s="627">
        <f t="shared" si="131"/>
        <v>0</v>
      </c>
      <c r="AF210" s="568" t="s">
        <v>372</v>
      </c>
      <c r="AG210" s="568" t="s">
        <v>382</v>
      </c>
      <c r="AH210" s="568" t="str">
        <f>IFERROR(INDEX('[3]Annex 2'!$J$110:$J$122,MATCH('[3]Annex 3 (''MEF)'!AF213,'[3]Annex 2'!$G$110:$G$122,0)),"")</f>
        <v>MAFF-GDAHP</v>
      </c>
      <c r="AI210" s="882" t="str">
        <f t="shared" si="196"/>
        <v>MAFF</v>
      </c>
      <c r="AK210" s="1383"/>
      <c r="AL210" s="1383"/>
    </row>
    <row r="211" spans="1:39" s="366" customFormat="1" outlineLevel="1">
      <c r="A211" s="102"/>
      <c r="B211" s="374" t="s">
        <v>57</v>
      </c>
      <c r="C211" s="1115" t="s">
        <v>57</v>
      </c>
      <c r="D211" s="78"/>
      <c r="E211" s="97" t="s">
        <v>636</v>
      </c>
      <c r="F211" s="364"/>
      <c r="G211" s="722" t="s">
        <v>629</v>
      </c>
      <c r="H211" s="538" t="s">
        <v>172</v>
      </c>
      <c r="I211" s="540">
        <v>7</v>
      </c>
      <c r="J211" s="665">
        <v>0</v>
      </c>
      <c r="K211" s="666">
        <v>0</v>
      </c>
      <c r="L211" s="666">
        <v>1</v>
      </c>
      <c r="M211" s="666">
        <v>0</v>
      </c>
      <c r="N211" s="667">
        <f t="shared" si="212"/>
        <v>1</v>
      </c>
      <c r="O211" s="688">
        <f t="shared" si="215"/>
        <v>0</v>
      </c>
      <c r="P211" s="689">
        <f t="shared" si="216"/>
        <v>0</v>
      </c>
      <c r="Q211" s="689">
        <f t="shared" si="213"/>
        <v>7</v>
      </c>
      <c r="R211" s="689">
        <f t="shared" si="213"/>
        <v>0</v>
      </c>
      <c r="S211" s="145">
        <f t="shared" si="214"/>
        <v>7</v>
      </c>
      <c r="T211" s="618">
        <f>IFERROR(INDEX('Annex 2_Code'!I$8:I$33,MATCH('Annex 3_MAFF'!$AG211,'Annex 2_Code'!$G$8:$G$33,0)),"")</f>
        <v>0</v>
      </c>
      <c r="U211" s="618">
        <f>IFERROR(INDEX('Annex 2_Code'!J$8:J$33,MATCH('Annex 3_MAFF'!$AG211,'Annex 2_Code'!$G$8:$G$33,0)),"")</f>
        <v>0</v>
      </c>
      <c r="V211" s="618">
        <f>IFERROR(INDEX('Annex 2_Code'!K$8:K$33,MATCH('Annex 3_MAFF'!$AG211,'Annex 2_Code'!$G$8:$G$33,0)),"")</f>
        <v>1</v>
      </c>
      <c r="W211" s="618">
        <f>IFERROR(INDEX('Annex 2_Code'!L$8:L$33,MATCH('Annex 3_MAFF'!$AG211,'Annex 2_Code'!$G$8:$G$33,0)),"")</f>
        <v>0</v>
      </c>
      <c r="X211" s="618">
        <f>IFERROR(INDEX('Annex 2_Code'!M$8:M$33,MATCH('Annex 3_MAFF'!$AG211,'Annex 2_Code'!$G$8:$G$33,0)),"")</f>
        <v>0</v>
      </c>
      <c r="Y211" s="1533">
        <f t="shared" si="188"/>
        <v>0</v>
      </c>
      <c r="Z211" s="717">
        <f t="shared" si="188"/>
        <v>0</v>
      </c>
      <c r="AA211" s="717">
        <f t="shared" si="189"/>
        <v>7</v>
      </c>
      <c r="AB211" s="717">
        <f t="shared" si="190"/>
        <v>0</v>
      </c>
      <c r="AC211" s="718">
        <f t="shared" si="190"/>
        <v>0</v>
      </c>
      <c r="AD211" s="626">
        <f t="shared" si="130"/>
        <v>7</v>
      </c>
      <c r="AE211" s="627">
        <f t="shared" si="131"/>
        <v>0</v>
      </c>
      <c r="AF211" s="568" t="s">
        <v>372</v>
      </c>
      <c r="AG211" s="568" t="s">
        <v>384</v>
      </c>
      <c r="AH211" s="568" t="str">
        <f>IFERROR(INDEX('[3]Annex 2'!$J$110:$J$122,MATCH('[3]Annex 3 (''MEF)'!AF214,'[3]Annex 2'!$G$110:$G$122,0)),"")</f>
        <v>MAFF-GDAHP</v>
      </c>
      <c r="AI211" s="882" t="str">
        <f t="shared" si="196"/>
        <v>MAFF</v>
      </c>
      <c r="AK211" s="1383"/>
      <c r="AL211" s="1383"/>
    </row>
    <row r="212" spans="1:39" s="366" customFormat="1" outlineLevel="1">
      <c r="A212" s="102"/>
      <c r="B212" s="374" t="s">
        <v>57</v>
      </c>
      <c r="C212" s="1115" t="s">
        <v>57</v>
      </c>
      <c r="D212" s="78"/>
      <c r="E212" s="97" t="s">
        <v>672</v>
      </c>
      <c r="F212" s="364"/>
      <c r="G212" s="722" t="s">
        <v>630</v>
      </c>
      <c r="H212" s="538" t="s">
        <v>172</v>
      </c>
      <c r="I212" s="584">
        <v>4.5</v>
      </c>
      <c r="J212" s="665">
        <v>0</v>
      </c>
      <c r="K212" s="666">
        <v>1</v>
      </c>
      <c r="L212" s="666">
        <v>1</v>
      </c>
      <c r="M212" s="666">
        <v>0</v>
      </c>
      <c r="N212" s="667">
        <f>SUM(J212:M212)</f>
        <v>2</v>
      </c>
      <c r="O212" s="688">
        <f t="shared" si="215"/>
        <v>0</v>
      </c>
      <c r="P212" s="689">
        <f t="shared" si="216"/>
        <v>4.5</v>
      </c>
      <c r="Q212" s="689">
        <f t="shared" si="213"/>
        <v>4.5</v>
      </c>
      <c r="R212" s="689">
        <f t="shared" si="213"/>
        <v>0</v>
      </c>
      <c r="S212" s="145">
        <f t="shared" si="214"/>
        <v>9</v>
      </c>
      <c r="T212" s="618">
        <f>IFERROR(INDEX('Annex 2_Code'!I$8:I$33,MATCH('Annex 3_MAFF'!$AG212,'Annex 2_Code'!$G$8:$G$33,0)),"")</f>
        <v>1</v>
      </c>
      <c r="U212" s="618">
        <f>IFERROR(INDEX('Annex 2_Code'!J$8:J$33,MATCH('Annex 3_MAFF'!$AG212,'Annex 2_Code'!$G$8:$G$33,0)),"")</f>
        <v>0</v>
      </c>
      <c r="V212" s="618">
        <f>IFERROR(INDEX('Annex 2_Code'!K$8:K$33,MATCH('Annex 3_MAFF'!$AG212,'Annex 2_Code'!$G$8:$G$33,0)),"")</f>
        <v>0</v>
      </c>
      <c r="W212" s="618">
        <f>IFERROR(INDEX('Annex 2_Code'!L$8:L$33,MATCH('Annex 3_MAFF'!$AG212,'Annex 2_Code'!$G$8:$G$33,0)),"")</f>
        <v>0</v>
      </c>
      <c r="X212" s="618">
        <f>IFERROR(INDEX('Annex 2_Code'!M$8:M$33,MATCH('Annex 3_MAFF'!$AG212,'Annex 2_Code'!$G$8:$G$33,0)),"")</f>
        <v>0</v>
      </c>
      <c r="Y212" s="1533">
        <f t="shared" si="188"/>
        <v>9</v>
      </c>
      <c r="Z212" s="717">
        <f t="shared" si="188"/>
        <v>0</v>
      </c>
      <c r="AA212" s="717">
        <f t="shared" si="189"/>
        <v>0</v>
      </c>
      <c r="AB212" s="717">
        <f t="shared" si="190"/>
        <v>0</v>
      </c>
      <c r="AC212" s="718">
        <f t="shared" si="190"/>
        <v>0</v>
      </c>
      <c r="AD212" s="626">
        <f t="shared" ref="AD212:AD213" si="217">SUM(Y212:AC212)</f>
        <v>9</v>
      </c>
      <c r="AE212" s="627">
        <f t="shared" ref="AE212:AE213" si="218">AD212-S212</f>
        <v>0</v>
      </c>
      <c r="AF212" s="568" t="s">
        <v>372</v>
      </c>
      <c r="AG212" s="568" t="s">
        <v>412</v>
      </c>
      <c r="AH212" s="568" t="str">
        <f>IFERROR(INDEX('[3]Annex 2'!$J$110:$J$122,MATCH('[3]Annex 3 (''MEF)'!AF216,'[3]Annex 2'!$G$110:$G$122,0)),"")</f>
        <v>MAFF-GDAHP</v>
      </c>
      <c r="AI212" s="882" t="str">
        <f t="shared" si="196"/>
        <v>MAFF</v>
      </c>
      <c r="AK212" s="1383"/>
      <c r="AL212" s="1383"/>
    </row>
    <row r="213" spans="1:39" s="366" customFormat="1" outlineLevel="1">
      <c r="A213" s="102"/>
      <c r="B213" s="374" t="s">
        <v>57</v>
      </c>
      <c r="C213" s="1115" t="s">
        <v>57</v>
      </c>
      <c r="D213" s="484"/>
      <c r="E213" s="97" t="s">
        <v>776</v>
      </c>
      <c r="F213" s="364"/>
      <c r="G213" s="1748" t="s">
        <v>1093</v>
      </c>
      <c r="H213" s="1739" t="s">
        <v>172</v>
      </c>
      <c r="I213" s="584">
        <v>0.35</v>
      </c>
      <c r="J213" s="665">
        <v>0</v>
      </c>
      <c r="K213" s="666">
        <v>1</v>
      </c>
      <c r="L213" s="666">
        <v>1</v>
      </c>
      <c r="M213" s="666">
        <v>1</v>
      </c>
      <c r="N213" s="667">
        <f>SUM(J213:M213)</f>
        <v>3</v>
      </c>
      <c r="O213" s="688">
        <f t="shared" si="215"/>
        <v>0</v>
      </c>
      <c r="P213" s="689">
        <f t="shared" si="216"/>
        <v>0.35</v>
      </c>
      <c r="Q213" s="689">
        <f t="shared" si="213"/>
        <v>0.35</v>
      </c>
      <c r="R213" s="689">
        <f t="shared" si="213"/>
        <v>0.35</v>
      </c>
      <c r="S213" s="145">
        <f>SUM(O213:R213)</f>
        <v>1.0499999999999998</v>
      </c>
      <c r="T213" s="618">
        <f>IFERROR(INDEX('Annex 2_Code'!I$8:I$33,MATCH('Annex 3_MAFF'!$AG213,'Annex 2_Code'!$G$8:$G$33,0)),"")</f>
        <v>0</v>
      </c>
      <c r="U213" s="618">
        <f>IFERROR(INDEX('Annex 2_Code'!J$8:J$33,MATCH('Annex 3_MAFF'!$AG213,'Annex 2_Code'!$G$8:$G$33,0)),"")</f>
        <v>0</v>
      </c>
      <c r="V213" s="618">
        <f>IFERROR(INDEX('Annex 2_Code'!K$8:K$33,MATCH('Annex 3_MAFF'!$AG213,'Annex 2_Code'!$G$8:$G$33,0)),"")</f>
        <v>1</v>
      </c>
      <c r="W213" s="618">
        <f>IFERROR(INDEX('Annex 2_Code'!L$8:L$33,MATCH('Annex 3_MAFF'!$AG213,'Annex 2_Code'!$G$8:$G$33,0)),"")</f>
        <v>0</v>
      </c>
      <c r="X213" s="618">
        <f>IFERROR(INDEX('Annex 2_Code'!M$8:M$33,MATCH('Annex 3_MAFF'!$AG213,'Annex 2_Code'!$G$8:$G$33,0)),"")</f>
        <v>0</v>
      </c>
      <c r="Y213" s="1533">
        <f t="shared" si="188"/>
        <v>0</v>
      </c>
      <c r="Z213" s="717">
        <f t="shared" si="188"/>
        <v>0</v>
      </c>
      <c r="AA213" s="717">
        <f t="shared" si="189"/>
        <v>1.0499999999999998</v>
      </c>
      <c r="AB213" s="717">
        <f t="shared" si="190"/>
        <v>0</v>
      </c>
      <c r="AC213" s="718">
        <f t="shared" si="190"/>
        <v>0</v>
      </c>
      <c r="AD213" s="626">
        <f t="shared" si="217"/>
        <v>1.0499999999999998</v>
      </c>
      <c r="AE213" s="627">
        <f t="shared" si="218"/>
        <v>0</v>
      </c>
      <c r="AF213" s="568" t="s">
        <v>372</v>
      </c>
      <c r="AG213" s="568" t="s">
        <v>390</v>
      </c>
      <c r="AH213" s="568" t="str">
        <f>IFERROR(INDEX('[3]Annex 2'!$J$110:$J$122,MATCH('[3]Annex 3 (''MEF)'!AF217,'[3]Annex 2'!$G$110:$G$122,0)),"")</f>
        <v>MAFF-GDAHP</v>
      </c>
      <c r="AI213" s="882" t="str">
        <f t="shared" si="196"/>
        <v>MAFF</v>
      </c>
      <c r="AK213" s="1383"/>
      <c r="AL213" s="1383"/>
    </row>
    <row r="214" spans="1:39" s="366" customFormat="1" outlineLevel="1">
      <c r="A214" s="102"/>
      <c r="B214" s="76" t="s">
        <v>173</v>
      </c>
      <c r="C214" s="77"/>
      <c r="D214" s="1452"/>
      <c r="E214" s="1513"/>
      <c r="F214" s="1441" t="s">
        <v>41</v>
      </c>
      <c r="G214" s="1453"/>
      <c r="H214" s="1454"/>
      <c r="I214" s="1455"/>
      <c r="J214" s="1456"/>
      <c r="K214" s="1457"/>
      <c r="L214" s="1457"/>
      <c r="M214" s="1457"/>
      <c r="N214" s="1458"/>
      <c r="O214" s="1492">
        <f>SUM(O206:O213)</f>
        <v>0</v>
      </c>
      <c r="P214" s="1493">
        <f>SUM(P206:P213)</f>
        <v>17.850000000000001</v>
      </c>
      <c r="Q214" s="1493">
        <f>SUM(Q206:Q213)</f>
        <v>32.85</v>
      </c>
      <c r="R214" s="1493">
        <f>SUM(R206:R213)</f>
        <v>13.35</v>
      </c>
      <c r="S214" s="1494">
        <f>SUM(S206:S213)</f>
        <v>64.05</v>
      </c>
      <c r="T214" s="618" t="str">
        <f>IFERROR(INDEX('Annex 2_Code'!I$8:I$33,MATCH('Annex 3_MAFF'!$AG214,'Annex 2_Code'!$G$8:$G$33,0)),"")</f>
        <v/>
      </c>
      <c r="U214" s="618" t="str">
        <f>IFERROR(INDEX('Annex 2_Code'!J$8:J$33,MATCH('Annex 3_MAFF'!$AG214,'Annex 2_Code'!$G$8:$G$33,0)),"")</f>
        <v/>
      </c>
      <c r="V214" s="618" t="str">
        <f>IFERROR(INDEX('Annex 2_Code'!K$8:K$33,MATCH('Annex 3_MAFF'!$AG214,'Annex 2_Code'!$G$8:$G$33,0)),"")</f>
        <v/>
      </c>
      <c r="W214" s="618" t="str">
        <f>IFERROR(INDEX('Annex 2_Code'!L$8:L$33,MATCH('Annex 3_MAFF'!$AG214,'Annex 2_Code'!$G$8:$G$33,0)),"")</f>
        <v/>
      </c>
      <c r="X214" s="618" t="str">
        <f>IFERROR(INDEX('Annex 2_Code'!M$8:M$33,MATCH('Annex 3_MAFF'!$AG214,'Annex 2_Code'!$G$8:$G$33,0)),"")</f>
        <v/>
      </c>
      <c r="Y214" s="1533" t="str">
        <f t="shared" si="188"/>
        <v/>
      </c>
      <c r="Z214" s="717" t="str">
        <f t="shared" si="189"/>
        <v/>
      </c>
      <c r="AA214" s="717" t="str">
        <f t="shared" si="189"/>
        <v/>
      </c>
      <c r="AB214" s="717" t="str">
        <f t="shared" si="190"/>
        <v/>
      </c>
      <c r="AC214" s="718" t="str">
        <f t="shared" si="191"/>
        <v/>
      </c>
      <c r="AD214" s="626">
        <f t="shared" ref="AD214:AD254" si="219">SUM(Y214:AC214)</f>
        <v>0</v>
      </c>
      <c r="AE214" s="627">
        <f t="shared" ref="AE214:AE254" si="220">AD214-S214</f>
        <v>-64.05</v>
      </c>
      <c r="AF214" s="568"/>
      <c r="AG214" s="568"/>
      <c r="AH214" s="568" t="str">
        <f>IFERROR(INDEX('Annex 2_Code'!$J$110:$J$122,MATCH('Annex 3_MAFF'!AF214,'Annex 2_Code'!$G$110:$G$122,0)),"")</f>
        <v/>
      </c>
      <c r="AI214" s="882" t="str">
        <f t="shared" si="196"/>
        <v/>
      </c>
      <c r="AK214" s="1383"/>
      <c r="AL214" s="1383"/>
    </row>
    <row r="215" spans="1:39" s="366" customFormat="1" outlineLevel="1">
      <c r="A215" s="102"/>
      <c r="B215" s="76" t="s">
        <v>173</v>
      </c>
      <c r="C215" s="77"/>
      <c r="D215" s="86"/>
      <c r="E215" s="82"/>
      <c r="F215" s="364"/>
      <c r="G215" s="721"/>
      <c r="H215" s="565"/>
      <c r="I215" s="566"/>
      <c r="J215" s="665"/>
      <c r="K215" s="666"/>
      <c r="L215" s="666"/>
      <c r="M215" s="666"/>
      <c r="N215" s="667"/>
      <c r="O215" s="691"/>
      <c r="P215" s="692"/>
      <c r="Q215" s="692"/>
      <c r="R215" s="692"/>
      <c r="S215" s="624"/>
      <c r="T215" s="618"/>
      <c r="U215" s="618"/>
      <c r="V215" s="618"/>
      <c r="W215" s="618"/>
      <c r="X215" s="618"/>
      <c r="Y215" s="1533"/>
      <c r="Z215" s="717"/>
      <c r="AA215" s="717">
        <f t="shared" si="189"/>
        <v>0</v>
      </c>
      <c r="AB215" s="717"/>
      <c r="AC215" s="718"/>
      <c r="AD215" s="626">
        <f t="shared" si="219"/>
        <v>0</v>
      </c>
      <c r="AE215" s="627">
        <f t="shared" si="220"/>
        <v>0</v>
      </c>
      <c r="AF215" s="568"/>
      <c r="AG215" s="568"/>
      <c r="AH215" s="568"/>
      <c r="AI215" s="882"/>
      <c r="AK215" s="1383"/>
      <c r="AL215" s="1383"/>
    </row>
    <row r="216" spans="1:39" s="366" customFormat="1" outlineLevel="1">
      <c r="A216" s="102"/>
      <c r="B216" s="76" t="s">
        <v>58</v>
      </c>
      <c r="C216" s="1071" t="s">
        <v>58</v>
      </c>
      <c r="D216" s="78"/>
      <c r="E216" s="97" t="s">
        <v>70</v>
      </c>
      <c r="F216" s="364"/>
      <c r="G216" s="722"/>
      <c r="H216" s="565"/>
      <c r="I216" s="1044">
        <f>150000/1000</f>
        <v>150</v>
      </c>
      <c r="J216" s="665"/>
      <c r="K216" s="666"/>
      <c r="L216" s="666"/>
      <c r="M216" s="666"/>
      <c r="N216" s="667"/>
      <c r="O216" s="691">
        <v>6.38</v>
      </c>
      <c r="P216" s="692">
        <v>6.38</v>
      </c>
      <c r="Q216" s="692">
        <v>6.38</v>
      </c>
      <c r="R216" s="692">
        <v>6.38</v>
      </c>
      <c r="S216" s="115">
        <f>SUM(O216:R216)</f>
        <v>25.52</v>
      </c>
      <c r="T216" s="618">
        <f>IFERROR(INDEX('Annex 2_Code'!I$8:I$33,MATCH('Annex 3_MAFF'!$AG216,'Annex 2_Code'!$G$8:$G$33,0)),"")</f>
        <v>0</v>
      </c>
      <c r="U216" s="618">
        <f>IFERROR(INDEX('Annex 2_Code'!J$8:J$33,MATCH('Annex 3_MAFF'!$AG216,'Annex 2_Code'!$G$8:$G$33,0)),"")</f>
        <v>0</v>
      </c>
      <c r="V216" s="618">
        <f>IFERROR(INDEX('Annex 2_Code'!K$8:K$33,MATCH('Annex 3_MAFF'!$AG216,'Annex 2_Code'!$G$8:$G$33,0)),"")</f>
        <v>0</v>
      </c>
      <c r="W216" s="618">
        <f>IFERROR(INDEX('Annex 2_Code'!L$8:L$33,MATCH('Annex 3_MAFF'!$AG216,'Annex 2_Code'!$G$8:$G$33,0)),"")</f>
        <v>1</v>
      </c>
      <c r="X216" s="618">
        <f>IFERROR(INDEX('Annex 2_Code'!M$8:M$33,MATCH('Annex 3_MAFF'!$AG216,'Annex 2_Code'!$G$8:$G$33,0)),"")</f>
        <v>0</v>
      </c>
      <c r="Y216" s="1533">
        <f t="shared" si="188"/>
        <v>0</v>
      </c>
      <c r="Z216" s="717">
        <f t="shared" si="189"/>
        <v>0</v>
      </c>
      <c r="AA216" s="717">
        <f t="shared" si="189"/>
        <v>0</v>
      </c>
      <c r="AB216" s="717">
        <f t="shared" si="190"/>
        <v>25.52</v>
      </c>
      <c r="AC216" s="718">
        <f t="shared" si="191"/>
        <v>0</v>
      </c>
      <c r="AD216" s="626">
        <f t="shared" si="219"/>
        <v>25.52</v>
      </c>
      <c r="AE216" s="627">
        <f t="shared" si="220"/>
        <v>0</v>
      </c>
      <c r="AF216" s="568" t="s">
        <v>372</v>
      </c>
      <c r="AG216" s="568" t="s">
        <v>414</v>
      </c>
      <c r="AH216" s="568" t="str">
        <f>IFERROR(INDEX('Annex 2_Code'!$J$110:$J$122,MATCH('Annex 3_MAFF'!AF216,'Annex 2_Code'!$G$110:$G$122,0)),"")</f>
        <v>MAFF-GDAHP</v>
      </c>
      <c r="AI216" s="882" t="str">
        <f t="shared" si="196"/>
        <v>MAFF</v>
      </c>
      <c r="AK216" s="1383"/>
      <c r="AL216" s="1383"/>
    </row>
    <row r="217" spans="1:39" s="366" customFormat="1" outlineLevel="1">
      <c r="A217" s="102"/>
      <c r="B217" s="76" t="s">
        <v>173</v>
      </c>
      <c r="C217" s="1071"/>
      <c r="D217" s="78"/>
      <c r="E217" s="97"/>
      <c r="F217" s="364"/>
      <c r="G217" s="722"/>
      <c r="H217" s="565"/>
      <c r="I217" s="1044"/>
      <c r="J217" s="665"/>
      <c r="K217" s="666"/>
      <c r="L217" s="666"/>
      <c r="M217" s="666"/>
      <c r="N217" s="667"/>
      <c r="O217" s="691"/>
      <c r="P217" s="692"/>
      <c r="Q217" s="692"/>
      <c r="R217" s="692"/>
      <c r="S217" s="115"/>
      <c r="T217" s="618"/>
      <c r="U217" s="618"/>
      <c r="V217" s="618"/>
      <c r="W217" s="618"/>
      <c r="X217" s="618"/>
      <c r="Y217" s="1533"/>
      <c r="Z217" s="717"/>
      <c r="AA217" s="717">
        <f t="shared" si="189"/>
        <v>0</v>
      </c>
      <c r="AB217" s="717"/>
      <c r="AC217" s="718"/>
      <c r="AD217" s="626">
        <f t="shared" si="219"/>
        <v>0</v>
      </c>
      <c r="AE217" s="627">
        <f t="shared" si="220"/>
        <v>0</v>
      </c>
      <c r="AF217" s="568"/>
      <c r="AG217" s="568"/>
      <c r="AH217" s="568"/>
      <c r="AI217" s="882"/>
      <c r="AK217" s="1383"/>
      <c r="AL217" s="1383"/>
    </row>
    <row r="218" spans="1:39" s="366" customFormat="1">
      <c r="A218" s="102"/>
      <c r="B218" s="93" t="s">
        <v>173</v>
      </c>
      <c r="C218" s="89"/>
      <c r="D218" s="1459" t="s">
        <v>671</v>
      </c>
      <c r="E218" s="1460"/>
      <c r="F218" s="1463"/>
      <c r="G218" s="1461"/>
      <c r="H218" s="2013"/>
      <c r="I218" s="1986"/>
      <c r="J218" s="1987"/>
      <c r="K218" s="1988"/>
      <c r="L218" s="1988"/>
      <c r="M218" s="1988"/>
      <c r="N218" s="2014"/>
      <c r="O218" s="1996">
        <f>SUM(O216,O214,O203,O193,O183,O174,O170)</f>
        <v>19.88</v>
      </c>
      <c r="P218" s="1997">
        <f>SUM(P216,P214,P203,P193,P183,P174,P170)</f>
        <v>700.83</v>
      </c>
      <c r="Q218" s="1997">
        <f>SUM(Q216,Q214,Q203,Q193,Q183,Q174,Q170)</f>
        <v>163.13</v>
      </c>
      <c r="R218" s="1997">
        <f>SUM(R216,R214,R203,R193,R183,R174,R170)</f>
        <v>503.93</v>
      </c>
      <c r="S218" s="1998">
        <f>SUM(S216,S214,S203,S193,S183,S174,S170)</f>
        <v>1387.77</v>
      </c>
      <c r="T218" s="2004" t="str">
        <f>IFERROR(INDEX('Annex 2_Code'!I$8:I$33,MATCH('Annex 3_MAFF'!$AG218,'Annex 2_Code'!$G$8:$G$33,0)),"")</f>
        <v/>
      </c>
      <c r="U218" s="2004" t="str">
        <f>IFERROR(INDEX('Annex 2_Code'!J$8:J$33,MATCH('Annex 3_MAFF'!$AG218,'Annex 2_Code'!$G$8:$G$33,0)),"")</f>
        <v/>
      </c>
      <c r="V218" s="2004" t="str">
        <f>IFERROR(INDEX('Annex 2_Code'!K$8:K$33,MATCH('Annex 3_MAFF'!$AG218,'Annex 2_Code'!$G$8:$G$33,0)),"")</f>
        <v/>
      </c>
      <c r="W218" s="2004" t="str">
        <f>IFERROR(INDEX('Annex 2_Code'!L$8:L$33,MATCH('Annex 3_MAFF'!$AG218,'Annex 2_Code'!$G$8:$G$33,0)),"")</f>
        <v/>
      </c>
      <c r="X218" s="2004" t="str">
        <f>IFERROR(INDEX('Annex 2_Code'!M$8:M$33,MATCH('Annex 3_MAFF'!$AG218,'Annex 2_Code'!$G$8:$G$33,0)),"")</f>
        <v/>
      </c>
      <c r="Y218" s="2015" t="str">
        <f t="shared" si="188"/>
        <v/>
      </c>
      <c r="Z218" s="2016" t="str">
        <f t="shared" si="189"/>
        <v/>
      </c>
      <c r="AA218" s="717" t="str">
        <f t="shared" si="189"/>
        <v/>
      </c>
      <c r="AB218" s="2016" t="str">
        <f t="shared" si="190"/>
        <v/>
      </c>
      <c r="AC218" s="2017" t="str">
        <f t="shared" si="191"/>
        <v/>
      </c>
      <c r="AD218" s="2008">
        <f t="shared" si="219"/>
        <v>0</v>
      </c>
      <c r="AE218" s="2009">
        <f t="shared" si="220"/>
        <v>-1387.77</v>
      </c>
      <c r="AF218" s="2011"/>
      <c r="AG218" s="2011"/>
      <c r="AH218" s="2011" t="str">
        <f>IFERROR(INDEX('Annex 2_Code'!$J$110:$J$122,MATCH('Annex 3_MAFF'!AF218,'Annex 2_Code'!$G$110:$G$122,0)),"")</f>
        <v/>
      </c>
      <c r="AI218" s="2012" t="str">
        <f t="shared" si="196"/>
        <v/>
      </c>
      <c r="AK218" s="1389">
        <f>SUM(S206:S213)+SUM(S195:S202)+SUM(S185:S192)+SUM(S176:S182)+S172+S168+S169+S216</f>
        <v>1387.77</v>
      </c>
      <c r="AL218" s="1385" t="s">
        <v>1010</v>
      </c>
      <c r="AM218" s="1377"/>
    </row>
    <row r="219" spans="1:39" s="366" customFormat="1">
      <c r="A219" s="102"/>
      <c r="B219" s="93" t="s">
        <v>173</v>
      </c>
      <c r="C219" s="89"/>
      <c r="D219" s="1124" t="s">
        <v>750</v>
      </c>
      <c r="E219" s="1122"/>
      <c r="F219" s="1123"/>
      <c r="G219" s="1024"/>
      <c r="H219" s="537"/>
      <c r="I219" s="539"/>
      <c r="J219" s="671"/>
      <c r="K219" s="672"/>
      <c r="L219" s="672"/>
      <c r="M219" s="672"/>
      <c r="N219" s="673"/>
      <c r="O219" s="696"/>
      <c r="P219" s="697"/>
      <c r="Q219" s="697"/>
      <c r="R219" s="697"/>
      <c r="S219" s="1054"/>
      <c r="T219" s="618"/>
      <c r="U219" s="618"/>
      <c r="V219" s="618"/>
      <c r="W219" s="618"/>
      <c r="X219" s="618"/>
      <c r="Y219" s="716"/>
      <c r="Z219" s="717"/>
      <c r="AA219" s="717">
        <f t="shared" si="189"/>
        <v>0</v>
      </c>
      <c r="AB219" s="717"/>
      <c r="AC219" s="718"/>
      <c r="AD219" s="626">
        <f t="shared" si="219"/>
        <v>0</v>
      </c>
      <c r="AE219" s="655">
        <f>SUM(AD168:AD217)</f>
        <v>1387.77</v>
      </c>
      <c r="AF219" s="568"/>
      <c r="AG219" s="568"/>
      <c r="AH219" s="568"/>
      <c r="AI219" s="882"/>
      <c r="AK219" s="1383"/>
      <c r="AL219" s="1383"/>
    </row>
    <row r="220" spans="1:39" s="366" customFormat="1">
      <c r="A220" s="102"/>
      <c r="B220" s="93" t="s">
        <v>173</v>
      </c>
      <c r="C220" s="89"/>
      <c r="D220" s="290" t="s">
        <v>71</v>
      </c>
      <c r="E220" s="1945"/>
      <c r="F220" s="74"/>
      <c r="G220" s="728"/>
      <c r="H220" s="537"/>
      <c r="I220" s="539"/>
      <c r="J220" s="671"/>
      <c r="K220" s="672"/>
      <c r="L220" s="672"/>
      <c r="M220" s="672"/>
      <c r="N220" s="673"/>
      <c r="O220" s="688"/>
      <c r="P220" s="689"/>
      <c r="Q220" s="689"/>
      <c r="R220" s="689"/>
      <c r="S220" s="365"/>
      <c r="T220" s="618" t="str">
        <f>IFERROR(INDEX('Annex 2_Code'!I$8:I$33,MATCH('Annex 3_MAFF'!$AG220,'Annex 2_Code'!$G$8:$G$33,0)),"")</f>
        <v/>
      </c>
      <c r="U220" s="618" t="str">
        <f>IFERROR(INDEX('Annex 2_Code'!J$8:J$33,MATCH('Annex 3_MAFF'!$AG220,'Annex 2_Code'!$G$8:$G$33,0)),"")</f>
        <v/>
      </c>
      <c r="V220" s="618" t="str">
        <f>IFERROR(INDEX('Annex 2_Code'!K$8:K$33,MATCH('Annex 3_MAFF'!$AG220,'Annex 2_Code'!$G$8:$G$33,0)),"")</f>
        <v/>
      </c>
      <c r="W220" s="618" t="str">
        <f>IFERROR(INDEX('Annex 2_Code'!L$8:L$33,MATCH('Annex 3_MAFF'!$AG220,'Annex 2_Code'!$G$8:$G$33,0)),"")</f>
        <v/>
      </c>
      <c r="X220" s="618" t="str">
        <f>IFERROR(INDEX('Annex 2_Code'!M$8:M$33,MATCH('Annex 3_MAFF'!$AG220,'Annex 2_Code'!$G$8:$G$33,0)),"")</f>
        <v/>
      </c>
      <c r="Y220" s="716" t="str">
        <f t="shared" si="188"/>
        <v/>
      </c>
      <c r="Z220" s="717" t="str">
        <f t="shared" si="189"/>
        <v/>
      </c>
      <c r="AA220" s="717" t="str">
        <f t="shared" si="189"/>
        <v/>
      </c>
      <c r="AB220" s="717" t="str">
        <f t="shared" si="190"/>
        <v/>
      </c>
      <c r="AC220" s="718" t="str">
        <f t="shared" si="191"/>
        <v/>
      </c>
      <c r="AD220" s="626">
        <f t="shared" si="219"/>
        <v>0</v>
      </c>
      <c r="AE220" s="627">
        <f t="shared" si="220"/>
        <v>0</v>
      </c>
      <c r="AF220" s="568"/>
      <c r="AG220" s="568"/>
      <c r="AH220" s="568" t="str">
        <f>IFERROR(INDEX('Annex 2_Code'!$J$110:$J$122,MATCH('Annex 3_MAFF'!AF220,'Annex 2_Code'!$G$110:$G$122,0)),"")</f>
        <v/>
      </c>
      <c r="AI220" s="882" t="str">
        <f t="shared" si="196"/>
        <v/>
      </c>
      <c r="AK220" s="1383"/>
      <c r="AL220" s="1383"/>
    </row>
    <row r="221" spans="1:39" s="366" customFormat="1">
      <c r="A221" s="102"/>
      <c r="B221" s="93" t="s">
        <v>173</v>
      </c>
      <c r="C221" s="89"/>
      <c r="D221" s="1068" t="s">
        <v>657</v>
      </c>
      <c r="E221" s="290"/>
      <c r="F221" s="74"/>
      <c r="G221" s="728"/>
      <c r="H221" s="537"/>
      <c r="I221" s="539"/>
      <c r="J221" s="671"/>
      <c r="K221" s="672"/>
      <c r="L221" s="672"/>
      <c r="M221" s="672"/>
      <c r="N221" s="673"/>
      <c r="O221" s="688"/>
      <c r="P221" s="689"/>
      <c r="Q221" s="689"/>
      <c r="R221" s="689"/>
      <c r="S221" s="365"/>
      <c r="T221" s="618"/>
      <c r="U221" s="618"/>
      <c r="V221" s="618"/>
      <c r="W221" s="618"/>
      <c r="X221" s="618"/>
      <c r="Y221" s="716"/>
      <c r="Z221" s="717"/>
      <c r="AA221" s="717">
        <f t="shared" si="189"/>
        <v>0</v>
      </c>
      <c r="AB221" s="717"/>
      <c r="AC221" s="718"/>
      <c r="AD221" s="626">
        <f t="shared" si="219"/>
        <v>0</v>
      </c>
      <c r="AE221" s="627">
        <f t="shared" si="220"/>
        <v>0</v>
      </c>
      <c r="AF221" s="568"/>
      <c r="AG221" s="568"/>
      <c r="AH221" s="568"/>
      <c r="AI221" s="882"/>
      <c r="AK221" s="1383"/>
      <c r="AL221" s="1383"/>
    </row>
    <row r="222" spans="1:39" s="85" customFormat="1" outlineLevel="1">
      <c r="A222" s="102"/>
      <c r="B222" s="93" t="s">
        <v>173</v>
      </c>
      <c r="C222" s="1074"/>
      <c r="D222" s="110"/>
      <c r="E222" s="122" t="s">
        <v>736</v>
      </c>
      <c r="F222" s="283"/>
      <c r="G222" s="1059"/>
      <c r="H222" s="1075"/>
      <c r="I222" s="1076"/>
      <c r="J222" s="671"/>
      <c r="K222" s="672"/>
      <c r="L222" s="672"/>
      <c r="M222" s="672"/>
      <c r="N222" s="1077"/>
      <c r="O222" s="1114"/>
      <c r="P222" s="1078"/>
      <c r="Q222" s="1078"/>
      <c r="R222" s="1078"/>
      <c r="S222" s="1079"/>
      <c r="T222" s="1061"/>
      <c r="U222" s="1061"/>
      <c r="V222" s="1061"/>
      <c r="W222" s="1061"/>
      <c r="X222" s="1061"/>
      <c r="Y222" s="1062"/>
      <c r="Z222" s="1063"/>
      <c r="AA222" s="717">
        <f t="shared" si="189"/>
        <v>0</v>
      </c>
      <c r="AB222" s="1063"/>
      <c r="AC222" s="1064"/>
      <c r="AD222" s="626">
        <f t="shared" si="219"/>
        <v>0</v>
      </c>
      <c r="AE222" s="627">
        <f t="shared" si="220"/>
        <v>0</v>
      </c>
      <c r="AF222" s="1080"/>
      <c r="AG222" s="1080"/>
      <c r="AH222" s="1080"/>
      <c r="AI222" s="1081"/>
      <c r="AK222" s="1390"/>
      <c r="AL222" s="1390"/>
    </row>
    <row r="223" spans="1:39" s="85" customFormat="1" outlineLevel="1">
      <c r="A223" s="102"/>
      <c r="B223" s="76" t="s">
        <v>25</v>
      </c>
      <c r="C223" s="1071" t="s">
        <v>298</v>
      </c>
      <c r="D223" s="78"/>
      <c r="E223" s="97" t="s">
        <v>777</v>
      </c>
      <c r="F223" s="283"/>
      <c r="G223" s="722" t="s">
        <v>73</v>
      </c>
      <c r="H223" s="1029" t="s">
        <v>181</v>
      </c>
      <c r="I223" s="1072">
        <v>21.5</v>
      </c>
      <c r="J223" s="665">
        <v>0</v>
      </c>
      <c r="K223" s="666">
        <v>0.3</v>
      </c>
      <c r="L223" s="666">
        <v>0.3</v>
      </c>
      <c r="M223" s="666">
        <v>0.3</v>
      </c>
      <c r="N223" s="1082">
        <f>SUM(J223:M223)</f>
        <v>0.89999999999999991</v>
      </c>
      <c r="O223" s="1103">
        <f>($I223*J223)</f>
        <v>0</v>
      </c>
      <c r="P223" s="689">
        <f>($I223*K223)</f>
        <v>6.45</v>
      </c>
      <c r="Q223" s="689">
        <f t="shared" ref="Q223:R231" si="221">($I223*L223)</f>
        <v>6.45</v>
      </c>
      <c r="R223" s="689">
        <f t="shared" si="221"/>
        <v>6.45</v>
      </c>
      <c r="S223" s="622">
        <f t="shared" ref="S223:S230" si="222">SUM(O223:R223)</f>
        <v>19.350000000000001</v>
      </c>
      <c r="T223" s="618">
        <f>IFERROR(INDEX('Annex 2_Code'!I$8:I$33,MATCH('Annex 3_MAFF'!$AG223,'Annex 2_Code'!$G$8:$G$33,0)),"")</f>
        <v>0</v>
      </c>
      <c r="U223" s="618">
        <f>IFERROR(INDEX('Annex 2_Code'!J$8:J$33,MATCH('Annex 3_MAFF'!$AG223,'Annex 2_Code'!$G$8:$G$33,0)),"")</f>
        <v>0</v>
      </c>
      <c r="V223" s="618">
        <f>IFERROR(INDEX('Annex 2_Code'!K$8:K$33,MATCH('Annex 3_MAFF'!$AG223,'Annex 2_Code'!$G$8:$G$33,0)),"")</f>
        <v>1</v>
      </c>
      <c r="W223" s="618">
        <f>IFERROR(INDEX('Annex 2_Code'!L$8:L$33,MATCH('Annex 3_MAFF'!$AG223,'Annex 2_Code'!$G$8:$G$33,0)),"")</f>
        <v>0</v>
      </c>
      <c r="X223" s="618">
        <f>IFERROR(INDEX('Annex 2_Code'!M$8:M$33,MATCH('Annex 3_MAFF'!$AG223,'Annex 2_Code'!$G$8:$G$33,0)),"")</f>
        <v>0</v>
      </c>
      <c r="Y223" s="1536">
        <f t="shared" ref="Y223:AC231" si="223">IFERROR($S223*T223,"")</f>
        <v>0</v>
      </c>
      <c r="Z223" s="717">
        <f t="shared" si="223"/>
        <v>0</v>
      </c>
      <c r="AA223" s="717">
        <f t="shared" si="189"/>
        <v>19.350000000000001</v>
      </c>
      <c r="AB223" s="717">
        <f t="shared" si="223"/>
        <v>0</v>
      </c>
      <c r="AC223" s="718">
        <f t="shared" si="223"/>
        <v>0</v>
      </c>
      <c r="AD223" s="626">
        <f t="shared" si="219"/>
        <v>19.350000000000001</v>
      </c>
      <c r="AE223" s="627">
        <f t="shared" si="220"/>
        <v>0</v>
      </c>
      <c r="AF223" s="568" t="s">
        <v>562</v>
      </c>
      <c r="AG223" s="1069" t="s">
        <v>402</v>
      </c>
      <c r="AH223" s="568" t="str">
        <f>IFERROR(INDEX('Annex 2_Code'!$J$110:$J$127,MATCH('Annex 3_MAFF'!AF223,'Annex 2_Code'!$G$110:$G$127,0)),"")</f>
        <v>MAFF</v>
      </c>
      <c r="AI223" s="1070" t="str">
        <f t="shared" ref="AI223:AI231" si="224">IF(ISNUMBER(FIND("-",AH223,1))=FALSE,LEFT(AH223,LEN(AH223)),LEFT(AH223,(FIND("-",AH223,1))-1))</f>
        <v>MAFF</v>
      </c>
      <c r="AK223" s="1390"/>
      <c r="AL223" s="1390"/>
    </row>
    <row r="224" spans="1:39" s="85" customFormat="1" outlineLevel="1">
      <c r="A224" s="102"/>
      <c r="B224" s="76" t="s">
        <v>25</v>
      </c>
      <c r="C224" s="1071" t="s">
        <v>298</v>
      </c>
      <c r="D224" s="78"/>
      <c r="E224" s="97" t="s">
        <v>778</v>
      </c>
      <c r="F224" s="283"/>
      <c r="G224" s="722" t="s">
        <v>74</v>
      </c>
      <c r="H224" s="1029" t="s">
        <v>182</v>
      </c>
      <c r="I224" s="1072">
        <v>1.5</v>
      </c>
      <c r="J224" s="665">
        <v>0</v>
      </c>
      <c r="K224" s="666">
        <v>20</v>
      </c>
      <c r="L224" s="666">
        <v>20</v>
      </c>
      <c r="M224" s="666">
        <v>20</v>
      </c>
      <c r="N224" s="1073">
        <f t="shared" ref="N224:N225" si="225">SUM(J224:M224)</f>
        <v>60</v>
      </c>
      <c r="O224" s="1103">
        <f t="shared" ref="O224:O231" si="226">($I224*J224)</f>
        <v>0</v>
      </c>
      <c r="P224" s="689">
        <f t="shared" ref="P224:P231" si="227">($I224*K224)</f>
        <v>30</v>
      </c>
      <c r="Q224" s="689">
        <f t="shared" si="221"/>
        <v>30</v>
      </c>
      <c r="R224" s="689">
        <f t="shared" si="221"/>
        <v>30</v>
      </c>
      <c r="S224" s="622">
        <f t="shared" si="222"/>
        <v>90</v>
      </c>
      <c r="T224" s="618">
        <f>IFERROR(INDEX('Annex 2_Code'!I$8:I$33,MATCH('Annex 3_MAFF'!$AG224,'Annex 2_Code'!$G$8:$G$33,0)),"")</f>
        <v>0</v>
      </c>
      <c r="U224" s="618">
        <f>IFERROR(INDEX('Annex 2_Code'!J$8:J$33,MATCH('Annex 3_MAFF'!$AG224,'Annex 2_Code'!$G$8:$G$33,0)),"")</f>
        <v>0</v>
      </c>
      <c r="V224" s="618">
        <f>IFERROR(INDEX('Annex 2_Code'!K$8:K$33,MATCH('Annex 3_MAFF'!$AG224,'Annex 2_Code'!$G$8:$G$33,0)),"")</f>
        <v>1</v>
      </c>
      <c r="W224" s="618">
        <f>IFERROR(INDEX('Annex 2_Code'!L$8:L$33,MATCH('Annex 3_MAFF'!$AG224,'Annex 2_Code'!$G$8:$G$33,0)),"")</f>
        <v>0</v>
      </c>
      <c r="X224" s="618">
        <f>IFERROR(INDEX('Annex 2_Code'!M$8:M$33,MATCH('Annex 3_MAFF'!$AG224,'Annex 2_Code'!$G$8:$G$33,0)),"")</f>
        <v>0</v>
      </c>
      <c r="Y224" s="1536">
        <f t="shared" si="223"/>
        <v>0</v>
      </c>
      <c r="Z224" s="717">
        <f t="shared" si="223"/>
        <v>0</v>
      </c>
      <c r="AA224" s="717">
        <f t="shared" si="189"/>
        <v>90</v>
      </c>
      <c r="AB224" s="717">
        <f t="shared" si="223"/>
        <v>0</v>
      </c>
      <c r="AC224" s="718">
        <f t="shared" si="223"/>
        <v>0</v>
      </c>
      <c r="AD224" s="626">
        <f t="shared" si="219"/>
        <v>90</v>
      </c>
      <c r="AE224" s="627">
        <f t="shared" si="220"/>
        <v>0</v>
      </c>
      <c r="AF224" s="568" t="s">
        <v>562</v>
      </c>
      <c r="AG224" s="1069" t="s">
        <v>402</v>
      </c>
      <c r="AH224" s="568" t="str">
        <f>IFERROR(INDEX('Annex 2_Code'!$J$110:$J$127,MATCH('Annex 3_MAFF'!AF224,'Annex 2_Code'!$G$110:$G$127,0)),"")</f>
        <v>MAFF</v>
      </c>
      <c r="AI224" s="1070" t="str">
        <f t="shared" si="224"/>
        <v>MAFF</v>
      </c>
      <c r="AK224" s="1390"/>
      <c r="AL224" s="1390"/>
    </row>
    <row r="225" spans="1:39" s="85" customFormat="1" outlineLevel="1">
      <c r="A225" s="102"/>
      <c r="B225" s="76" t="s">
        <v>25</v>
      </c>
      <c r="C225" s="1071" t="s">
        <v>298</v>
      </c>
      <c r="D225" s="78"/>
      <c r="E225" s="97" t="s">
        <v>779</v>
      </c>
      <c r="F225" s="283"/>
      <c r="G225" s="722" t="s">
        <v>75</v>
      </c>
      <c r="H225" s="1029" t="s">
        <v>180</v>
      </c>
      <c r="I225" s="1072">
        <v>0.27</v>
      </c>
      <c r="J225" s="665">
        <v>0</v>
      </c>
      <c r="K225" s="666">
        <v>30</v>
      </c>
      <c r="L225" s="666">
        <v>30</v>
      </c>
      <c r="M225" s="666">
        <v>30</v>
      </c>
      <c r="N225" s="1073">
        <f t="shared" si="225"/>
        <v>90</v>
      </c>
      <c r="O225" s="1103">
        <f t="shared" si="226"/>
        <v>0</v>
      </c>
      <c r="P225" s="689">
        <f t="shared" si="227"/>
        <v>8.1000000000000014</v>
      </c>
      <c r="Q225" s="689">
        <f t="shared" si="221"/>
        <v>8.1000000000000014</v>
      </c>
      <c r="R225" s="689">
        <f t="shared" si="221"/>
        <v>8.1000000000000014</v>
      </c>
      <c r="S225" s="622">
        <f t="shared" si="222"/>
        <v>24.300000000000004</v>
      </c>
      <c r="T225" s="618">
        <f>IFERROR(INDEX('Annex 2_Code'!I$8:I$33,MATCH('Annex 3_MAFF'!$AG225,'Annex 2_Code'!$G$8:$G$33,0)),"")</f>
        <v>0</v>
      </c>
      <c r="U225" s="618">
        <f>IFERROR(INDEX('Annex 2_Code'!J$8:J$33,MATCH('Annex 3_MAFF'!$AG225,'Annex 2_Code'!$G$8:$G$33,0)),"")</f>
        <v>0</v>
      </c>
      <c r="V225" s="618">
        <f>IFERROR(INDEX('Annex 2_Code'!K$8:K$33,MATCH('Annex 3_MAFF'!$AG225,'Annex 2_Code'!$G$8:$G$33,0)),"")</f>
        <v>1</v>
      </c>
      <c r="W225" s="618">
        <f>IFERROR(INDEX('Annex 2_Code'!L$8:L$33,MATCH('Annex 3_MAFF'!$AG225,'Annex 2_Code'!$G$8:$G$33,0)),"")</f>
        <v>0</v>
      </c>
      <c r="X225" s="618">
        <f>IFERROR(INDEX('Annex 2_Code'!M$8:M$33,MATCH('Annex 3_MAFF'!$AG225,'Annex 2_Code'!$G$8:$G$33,0)),"")</f>
        <v>0</v>
      </c>
      <c r="Y225" s="1536">
        <f t="shared" si="223"/>
        <v>0</v>
      </c>
      <c r="Z225" s="717">
        <f t="shared" si="223"/>
        <v>0</v>
      </c>
      <c r="AA225" s="717">
        <f t="shared" si="189"/>
        <v>24.300000000000004</v>
      </c>
      <c r="AB225" s="717">
        <f t="shared" si="223"/>
        <v>0</v>
      </c>
      <c r="AC225" s="718">
        <f t="shared" si="223"/>
        <v>0</v>
      </c>
      <c r="AD225" s="626">
        <f t="shared" si="219"/>
        <v>24.300000000000004</v>
      </c>
      <c r="AE225" s="627">
        <f t="shared" si="220"/>
        <v>0</v>
      </c>
      <c r="AF225" s="568" t="s">
        <v>562</v>
      </c>
      <c r="AG225" s="1069" t="s">
        <v>402</v>
      </c>
      <c r="AH225" s="568" t="str">
        <f>IFERROR(INDEX('Annex 2_Code'!$J$110:$J$127,MATCH('Annex 3_MAFF'!AF225,'Annex 2_Code'!$G$110:$G$127,0)),"")</f>
        <v>MAFF</v>
      </c>
      <c r="AI225" s="1070" t="str">
        <f t="shared" si="224"/>
        <v>MAFF</v>
      </c>
      <c r="AK225" s="1390"/>
      <c r="AL225" s="1390"/>
    </row>
    <row r="226" spans="1:39" s="85" customFormat="1" outlineLevel="1">
      <c r="A226" s="102"/>
      <c r="B226" s="374" t="s">
        <v>25</v>
      </c>
      <c r="C226" s="1115" t="s">
        <v>298</v>
      </c>
      <c r="D226" s="484"/>
      <c r="E226" s="485" t="s">
        <v>780</v>
      </c>
      <c r="F226" s="364"/>
      <c r="G226" s="1748" t="s">
        <v>76</v>
      </c>
      <c r="H226" s="1739" t="s">
        <v>185</v>
      </c>
      <c r="I226" s="1072">
        <v>15</v>
      </c>
      <c r="J226" s="1744">
        <v>0</v>
      </c>
      <c r="K226" s="1745">
        <v>0</v>
      </c>
      <c r="L226" s="1745">
        <v>2</v>
      </c>
      <c r="M226" s="1745">
        <v>0</v>
      </c>
      <c r="N226" s="678">
        <f t="shared" ref="N226:N231" si="228">SUM(J226:M226)</f>
        <v>2</v>
      </c>
      <c r="O226" s="1103">
        <f t="shared" si="226"/>
        <v>0</v>
      </c>
      <c r="P226" s="689">
        <f t="shared" si="227"/>
        <v>0</v>
      </c>
      <c r="Q226" s="689">
        <f t="shared" si="221"/>
        <v>30</v>
      </c>
      <c r="R226" s="689">
        <f t="shared" si="221"/>
        <v>0</v>
      </c>
      <c r="S226" s="622">
        <f t="shared" si="222"/>
        <v>30</v>
      </c>
      <c r="T226" s="618">
        <f>IFERROR(INDEX('Annex 2_Code'!I$8:I$33,MATCH('Annex 3_MAFF'!$AG226,'Annex 2_Code'!$G$8:$G$33,0)),"")</f>
        <v>0</v>
      </c>
      <c r="U226" s="618">
        <f>IFERROR(INDEX('Annex 2_Code'!J$8:J$33,MATCH('Annex 3_MAFF'!$AG226,'Annex 2_Code'!$G$8:$G$33,0)),"")</f>
        <v>0</v>
      </c>
      <c r="V226" s="618">
        <f>IFERROR(INDEX('Annex 2_Code'!K$8:K$33,MATCH('Annex 3_MAFF'!$AG226,'Annex 2_Code'!$G$8:$G$33,0)),"")</f>
        <v>1</v>
      </c>
      <c r="W226" s="618">
        <f>IFERROR(INDEX('Annex 2_Code'!L$8:L$33,MATCH('Annex 3_MAFF'!$AG226,'Annex 2_Code'!$G$8:$G$33,0)),"")</f>
        <v>0</v>
      </c>
      <c r="X226" s="618">
        <f>IFERROR(INDEX('Annex 2_Code'!M$8:M$33,MATCH('Annex 3_MAFF'!$AG226,'Annex 2_Code'!$G$8:$G$33,0)),"")</f>
        <v>0</v>
      </c>
      <c r="Y226" s="1536">
        <f t="shared" si="223"/>
        <v>0</v>
      </c>
      <c r="Z226" s="717">
        <f t="shared" si="223"/>
        <v>0</v>
      </c>
      <c r="AA226" s="717">
        <f t="shared" si="189"/>
        <v>30</v>
      </c>
      <c r="AB226" s="717">
        <f t="shared" si="223"/>
        <v>0</v>
      </c>
      <c r="AC226" s="718">
        <f t="shared" si="223"/>
        <v>0</v>
      </c>
      <c r="AD226" s="626">
        <f t="shared" si="219"/>
        <v>30</v>
      </c>
      <c r="AE226" s="627">
        <f t="shared" si="220"/>
        <v>0</v>
      </c>
      <c r="AF226" s="568" t="s">
        <v>562</v>
      </c>
      <c r="AG226" s="1069" t="s">
        <v>402</v>
      </c>
      <c r="AH226" s="568" t="str">
        <f>IFERROR(INDEX('Annex 2_Code'!$J$110:$J$127,MATCH('Annex 3_MAFF'!AF226,'Annex 2_Code'!$G$110:$G$127,0)),"")</f>
        <v>MAFF</v>
      </c>
      <c r="AI226" s="1070" t="str">
        <f t="shared" si="224"/>
        <v>MAFF</v>
      </c>
      <c r="AK226" s="1390"/>
      <c r="AL226" s="1390"/>
    </row>
    <row r="227" spans="1:39" s="85" customFormat="1" outlineLevel="1">
      <c r="A227" s="102"/>
      <c r="B227" s="374" t="s">
        <v>25</v>
      </c>
      <c r="C227" s="1115" t="s">
        <v>298</v>
      </c>
      <c r="D227" s="484"/>
      <c r="E227" s="485" t="s">
        <v>781</v>
      </c>
      <c r="F227" s="364"/>
      <c r="G227" s="1748" t="s">
        <v>77</v>
      </c>
      <c r="H227" s="1739" t="s">
        <v>185</v>
      </c>
      <c r="I227" s="1072">
        <v>20</v>
      </c>
      <c r="J227" s="1744">
        <v>0</v>
      </c>
      <c r="K227" s="1745">
        <v>0.5</v>
      </c>
      <c r="L227" s="1745"/>
      <c r="M227" s="1745"/>
      <c r="N227" s="678">
        <f t="shared" si="228"/>
        <v>0.5</v>
      </c>
      <c r="O227" s="1103">
        <f t="shared" si="226"/>
        <v>0</v>
      </c>
      <c r="P227" s="689">
        <f t="shared" si="227"/>
        <v>10</v>
      </c>
      <c r="Q227" s="689">
        <f t="shared" si="221"/>
        <v>0</v>
      </c>
      <c r="R227" s="689">
        <f t="shared" si="221"/>
        <v>0</v>
      </c>
      <c r="S227" s="622">
        <f t="shared" si="222"/>
        <v>10</v>
      </c>
      <c r="T227" s="618">
        <f>IFERROR(INDEX('Annex 2_Code'!I$8:I$33,MATCH('Annex 3_MAFF'!$AG227,'Annex 2_Code'!$G$8:$G$33,0)),"")</f>
        <v>0</v>
      </c>
      <c r="U227" s="618">
        <f>IFERROR(INDEX('Annex 2_Code'!J$8:J$33,MATCH('Annex 3_MAFF'!$AG227,'Annex 2_Code'!$G$8:$G$33,0)),"")</f>
        <v>0</v>
      </c>
      <c r="V227" s="618">
        <f>IFERROR(INDEX('Annex 2_Code'!K$8:K$33,MATCH('Annex 3_MAFF'!$AG227,'Annex 2_Code'!$G$8:$G$33,0)),"")</f>
        <v>1</v>
      </c>
      <c r="W227" s="618">
        <f>IFERROR(INDEX('Annex 2_Code'!L$8:L$33,MATCH('Annex 3_MAFF'!$AG227,'Annex 2_Code'!$G$8:$G$33,0)),"")</f>
        <v>0</v>
      </c>
      <c r="X227" s="618">
        <f>IFERROR(INDEX('Annex 2_Code'!M$8:M$33,MATCH('Annex 3_MAFF'!$AG227,'Annex 2_Code'!$G$8:$G$33,0)),"")</f>
        <v>0</v>
      </c>
      <c r="Y227" s="1536">
        <f t="shared" si="223"/>
        <v>0</v>
      </c>
      <c r="Z227" s="717">
        <f t="shared" si="223"/>
        <v>0</v>
      </c>
      <c r="AA227" s="717">
        <f t="shared" si="189"/>
        <v>10</v>
      </c>
      <c r="AB227" s="717">
        <f t="shared" si="223"/>
        <v>0</v>
      </c>
      <c r="AC227" s="718">
        <f t="shared" si="223"/>
        <v>0</v>
      </c>
      <c r="AD227" s="626">
        <f t="shared" si="219"/>
        <v>10</v>
      </c>
      <c r="AE227" s="627">
        <f t="shared" si="220"/>
        <v>0</v>
      </c>
      <c r="AF227" s="568" t="s">
        <v>562</v>
      </c>
      <c r="AG227" s="1069" t="s">
        <v>402</v>
      </c>
      <c r="AH227" s="568" t="str">
        <f>IFERROR(INDEX('Annex 2_Code'!$J$110:$J$127,MATCH('Annex 3_MAFF'!AF227,'Annex 2_Code'!$G$110:$G$127,0)),"")</f>
        <v>MAFF</v>
      </c>
      <c r="AI227" s="1070" t="str">
        <f t="shared" si="224"/>
        <v>MAFF</v>
      </c>
      <c r="AK227" s="1390"/>
      <c r="AL227" s="1390"/>
    </row>
    <row r="228" spans="1:39" s="366" customFormat="1" outlineLevel="1">
      <c r="A228" s="102"/>
      <c r="B228" s="76" t="s">
        <v>25</v>
      </c>
      <c r="C228" s="1071" t="s">
        <v>298</v>
      </c>
      <c r="D228" s="78"/>
      <c r="E228" s="97" t="s">
        <v>782</v>
      </c>
      <c r="F228" s="364"/>
      <c r="G228" s="722" t="s">
        <v>78</v>
      </c>
      <c r="H228" s="538" t="s">
        <v>183</v>
      </c>
      <c r="I228" s="584">
        <v>1</v>
      </c>
      <c r="J228" s="1744">
        <v>0</v>
      </c>
      <c r="K228" s="666">
        <v>10</v>
      </c>
      <c r="L228" s="666">
        <v>10</v>
      </c>
      <c r="M228" s="666">
        <v>10</v>
      </c>
      <c r="N228" s="667">
        <f>SUM(J228:M228)</f>
        <v>30</v>
      </c>
      <c r="O228" s="1103">
        <f t="shared" si="226"/>
        <v>0</v>
      </c>
      <c r="P228" s="689">
        <f t="shared" si="227"/>
        <v>10</v>
      </c>
      <c r="Q228" s="689">
        <f t="shared" si="221"/>
        <v>10</v>
      </c>
      <c r="R228" s="689">
        <f t="shared" si="221"/>
        <v>10</v>
      </c>
      <c r="S228" s="622">
        <f>SUM(O228:R228)</f>
        <v>30</v>
      </c>
      <c r="T228" s="618">
        <f>IFERROR(INDEX('Annex 2_Code'!I$8:I$33,MATCH('Annex 3_MAFF'!$AG228,'Annex 2_Code'!$G$8:$G$33,0)),"")</f>
        <v>0</v>
      </c>
      <c r="U228" s="618">
        <f>IFERROR(INDEX('Annex 2_Code'!J$8:J$33,MATCH('Annex 3_MAFF'!$AG228,'Annex 2_Code'!$G$8:$G$33,0)),"")</f>
        <v>0</v>
      </c>
      <c r="V228" s="618">
        <f>IFERROR(INDEX('Annex 2_Code'!K$8:K$33,MATCH('Annex 3_MAFF'!$AG228,'Annex 2_Code'!$G$8:$G$33,0)),"")</f>
        <v>1</v>
      </c>
      <c r="W228" s="618">
        <f>IFERROR(INDEX('Annex 2_Code'!L$8:L$33,MATCH('Annex 3_MAFF'!$AG228,'Annex 2_Code'!$G$8:$G$33,0)),"")</f>
        <v>0</v>
      </c>
      <c r="X228" s="618">
        <f>IFERROR(INDEX('Annex 2_Code'!M$8:M$33,MATCH('Annex 3_MAFF'!$AG228,'Annex 2_Code'!$G$8:$G$33,0)),"")</f>
        <v>0</v>
      </c>
      <c r="Y228" s="1536">
        <f t="shared" si="223"/>
        <v>0</v>
      </c>
      <c r="Z228" s="717">
        <f t="shared" si="223"/>
        <v>0</v>
      </c>
      <c r="AA228" s="717">
        <f t="shared" si="189"/>
        <v>30</v>
      </c>
      <c r="AB228" s="717">
        <f t="shared" si="223"/>
        <v>0</v>
      </c>
      <c r="AC228" s="718">
        <f t="shared" si="223"/>
        <v>0</v>
      </c>
      <c r="AD228" s="626">
        <f t="shared" si="219"/>
        <v>30</v>
      </c>
      <c r="AE228" s="627">
        <f t="shared" si="220"/>
        <v>0</v>
      </c>
      <c r="AF228" s="568" t="s">
        <v>562</v>
      </c>
      <c r="AG228" s="568" t="s">
        <v>402</v>
      </c>
      <c r="AH228" s="568" t="str">
        <f>IFERROR(INDEX('Annex 2_Code'!$J$110:$J$127,MATCH('Annex 3_MAFF'!AF228,'Annex 2_Code'!$G$110:$G$127,0)),"")</f>
        <v>MAFF</v>
      </c>
      <c r="AI228" s="882" t="str">
        <f t="shared" si="224"/>
        <v>MAFF</v>
      </c>
      <c r="AK228" s="1383"/>
      <c r="AL228" s="1383"/>
    </row>
    <row r="229" spans="1:39" s="366" customFormat="1" outlineLevel="1">
      <c r="A229" s="102"/>
      <c r="B229" s="76" t="s">
        <v>25</v>
      </c>
      <c r="C229" s="1071" t="s">
        <v>298</v>
      </c>
      <c r="D229" s="78"/>
      <c r="E229" s="97" t="s">
        <v>637</v>
      </c>
      <c r="F229" s="364"/>
      <c r="G229" s="722" t="s">
        <v>79</v>
      </c>
      <c r="H229" s="538" t="s">
        <v>172</v>
      </c>
      <c r="I229" s="584">
        <f>147512/1000</f>
        <v>147.512</v>
      </c>
      <c r="J229" s="1744">
        <v>0</v>
      </c>
      <c r="K229" s="666">
        <v>0</v>
      </c>
      <c r="L229" s="666">
        <v>0.3</v>
      </c>
      <c r="M229" s="666">
        <v>0.3</v>
      </c>
      <c r="N229" s="667">
        <f>SUM(J229:M229)</f>
        <v>0.6</v>
      </c>
      <c r="O229" s="1103">
        <f t="shared" si="226"/>
        <v>0</v>
      </c>
      <c r="P229" s="689">
        <f t="shared" si="227"/>
        <v>0</v>
      </c>
      <c r="Q229" s="689">
        <f t="shared" si="221"/>
        <v>44.253599999999999</v>
      </c>
      <c r="R229" s="689">
        <f t="shared" si="221"/>
        <v>44.253599999999999</v>
      </c>
      <c r="S229" s="622">
        <f>SUM(O229:R229)</f>
        <v>88.507199999999997</v>
      </c>
      <c r="T229" s="618">
        <f>IFERROR(INDEX('Annex 2_Code'!I$8:I$33,MATCH('Annex 3_MAFF'!$AG229,'Annex 2_Code'!$G$8:$G$33,0)),"")</f>
        <v>0</v>
      </c>
      <c r="U229" s="618">
        <f>IFERROR(INDEX('Annex 2_Code'!J$8:J$33,MATCH('Annex 3_MAFF'!$AG229,'Annex 2_Code'!$G$8:$G$33,0)),"")</f>
        <v>0</v>
      </c>
      <c r="V229" s="618">
        <f>IFERROR(INDEX('Annex 2_Code'!K$8:K$33,MATCH('Annex 3_MAFF'!$AG229,'Annex 2_Code'!$G$8:$G$33,0)),"")</f>
        <v>1</v>
      </c>
      <c r="W229" s="618">
        <f>IFERROR(INDEX('Annex 2_Code'!L$8:L$33,MATCH('Annex 3_MAFF'!$AG229,'Annex 2_Code'!$G$8:$G$33,0)),"")</f>
        <v>0</v>
      </c>
      <c r="X229" s="618">
        <f>IFERROR(INDEX('Annex 2_Code'!M$8:M$33,MATCH('Annex 3_MAFF'!$AG229,'Annex 2_Code'!$G$8:$G$33,0)),"")</f>
        <v>0</v>
      </c>
      <c r="Y229" s="1536">
        <f t="shared" si="223"/>
        <v>0</v>
      </c>
      <c r="Z229" s="717">
        <f t="shared" si="223"/>
        <v>0</v>
      </c>
      <c r="AA229" s="717">
        <f t="shared" si="189"/>
        <v>88.507199999999997</v>
      </c>
      <c r="AB229" s="717">
        <f t="shared" si="223"/>
        <v>0</v>
      </c>
      <c r="AC229" s="718">
        <f t="shared" si="223"/>
        <v>0</v>
      </c>
      <c r="AD229" s="626">
        <f t="shared" si="219"/>
        <v>88.507199999999997</v>
      </c>
      <c r="AE229" s="627">
        <f t="shared" si="220"/>
        <v>0</v>
      </c>
      <c r="AF229" s="568" t="s">
        <v>562</v>
      </c>
      <c r="AG229" s="568" t="s">
        <v>402</v>
      </c>
      <c r="AH229" s="568" t="str">
        <f>IFERROR(INDEX('Annex 2_Code'!$J$110:$J$127,MATCH('Annex 3_MAFF'!AF229,'Annex 2_Code'!$G$110:$G$127,0)),"")</f>
        <v>MAFF</v>
      </c>
      <c r="AI229" s="882" t="str">
        <f t="shared" si="224"/>
        <v>MAFF</v>
      </c>
      <c r="AK229" s="1383"/>
      <c r="AL229" s="1383"/>
    </row>
    <row r="230" spans="1:39" s="366" customFormat="1" outlineLevel="1">
      <c r="A230" s="102"/>
      <c r="B230" s="76" t="s">
        <v>25</v>
      </c>
      <c r="C230" s="1071" t="s">
        <v>298</v>
      </c>
      <c r="D230" s="78"/>
      <c r="E230" s="97" t="s">
        <v>638</v>
      </c>
      <c r="F230" s="364"/>
      <c r="G230" s="722" t="s">
        <v>876</v>
      </c>
      <c r="H230" s="538" t="s">
        <v>607</v>
      </c>
      <c r="I230" s="584">
        <v>1.5</v>
      </c>
      <c r="J230" s="1744">
        <v>0</v>
      </c>
      <c r="K230" s="666">
        <v>0</v>
      </c>
      <c r="L230" s="666">
        <v>30</v>
      </c>
      <c r="M230" s="666">
        <v>30</v>
      </c>
      <c r="N230" s="667">
        <f t="shared" si="228"/>
        <v>60</v>
      </c>
      <c r="O230" s="1103">
        <f t="shared" si="226"/>
        <v>0</v>
      </c>
      <c r="P230" s="689">
        <f t="shared" si="227"/>
        <v>0</v>
      </c>
      <c r="Q230" s="689">
        <f t="shared" si="221"/>
        <v>45</v>
      </c>
      <c r="R230" s="689">
        <f t="shared" si="221"/>
        <v>45</v>
      </c>
      <c r="S230" s="622">
        <f t="shared" si="222"/>
        <v>90</v>
      </c>
      <c r="T230" s="618">
        <f>IFERROR(INDEX('Annex 2_Code'!I$8:I$33,MATCH('Annex 3_MAFF'!$AG230,'Annex 2_Code'!$G$8:$G$33,0)),"")</f>
        <v>0</v>
      </c>
      <c r="U230" s="618">
        <f>IFERROR(INDEX('Annex 2_Code'!J$8:J$33,MATCH('Annex 3_MAFF'!$AG230,'Annex 2_Code'!$G$8:$G$33,0)),"")</f>
        <v>0</v>
      </c>
      <c r="V230" s="618">
        <f>IFERROR(INDEX('Annex 2_Code'!K$8:K$33,MATCH('Annex 3_MAFF'!$AG230,'Annex 2_Code'!$G$8:$G$33,0)),"")</f>
        <v>1</v>
      </c>
      <c r="W230" s="618">
        <f>IFERROR(INDEX('Annex 2_Code'!L$8:L$33,MATCH('Annex 3_MAFF'!$AG230,'Annex 2_Code'!$G$8:$G$33,0)),"")</f>
        <v>0</v>
      </c>
      <c r="X230" s="618">
        <f>IFERROR(INDEX('Annex 2_Code'!M$8:M$33,MATCH('Annex 3_MAFF'!$AG230,'Annex 2_Code'!$G$8:$G$33,0)),"")</f>
        <v>0</v>
      </c>
      <c r="Y230" s="1536">
        <f t="shared" si="223"/>
        <v>0</v>
      </c>
      <c r="Z230" s="717">
        <f t="shared" si="223"/>
        <v>0</v>
      </c>
      <c r="AA230" s="717">
        <f t="shared" si="189"/>
        <v>90</v>
      </c>
      <c r="AB230" s="717">
        <f t="shared" si="223"/>
        <v>0</v>
      </c>
      <c r="AC230" s="718">
        <f t="shared" si="223"/>
        <v>0</v>
      </c>
      <c r="AD230" s="626">
        <f t="shared" si="219"/>
        <v>90</v>
      </c>
      <c r="AE230" s="627">
        <f t="shared" si="220"/>
        <v>0</v>
      </c>
      <c r="AF230" s="568" t="s">
        <v>562</v>
      </c>
      <c r="AG230" s="568" t="s">
        <v>402</v>
      </c>
      <c r="AH230" s="568" t="str">
        <f>IFERROR(INDEX('Annex 2_Code'!$J$110:$J$127,MATCH('Annex 3_MAFF'!AF230,'Annex 2_Code'!$G$110:$G$127,0)),"")</f>
        <v>MAFF</v>
      </c>
      <c r="AI230" s="882" t="str">
        <f t="shared" si="224"/>
        <v>MAFF</v>
      </c>
      <c r="AK230" s="1383"/>
      <c r="AL230" s="1383"/>
    </row>
    <row r="231" spans="1:39" s="366" customFormat="1" outlineLevel="1">
      <c r="A231" s="102"/>
      <c r="B231" s="76" t="s">
        <v>25</v>
      </c>
      <c r="C231" s="1071" t="s">
        <v>298</v>
      </c>
      <c r="D231" s="78"/>
      <c r="E231" s="97" t="s">
        <v>1146</v>
      </c>
      <c r="F231" s="364"/>
      <c r="G231" s="722" t="s">
        <v>639</v>
      </c>
      <c r="H231" s="538" t="s">
        <v>607</v>
      </c>
      <c r="I231" s="584">
        <v>1.5</v>
      </c>
      <c r="J231" s="1744">
        <v>0</v>
      </c>
      <c r="K231" s="666">
        <v>10</v>
      </c>
      <c r="L231" s="666">
        <v>10</v>
      </c>
      <c r="M231" s="666">
        <v>10</v>
      </c>
      <c r="N231" s="667">
        <f t="shared" si="228"/>
        <v>30</v>
      </c>
      <c r="O231" s="1103">
        <f t="shared" si="226"/>
        <v>0</v>
      </c>
      <c r="P231" s="689">
        <f t="shared" si="227"/>
        <v>15</v>
      </c>
      <c r="Q231" s="689">
        <f t="shared" si="221"/>
        <v>15</v>
      </c>
      <c r="R231" s="689">
        <f t="shared" si="221"/>
        <v>15</v>
      </c>
      <c r="S231" s="622">
        <f>SUM(O231:R231)</f>
        <v>45</v>
      </c>
      <c r="T231" s="618">
        <f>IFERROR(INDEX('Annex 2_Code'!I$8:I$33,MATCH('Annex 3_MAFF'!$AG231,'Annex 2_Code'!$G$8:$G$33,0)),"")</f>
        <v>0</v>
      </c>
      <c r="U231" s="618">
        <f>IFERROR(INDEX('Annex 2_Code'!J$8:J$33,MATCH('Annex 3_MAFF'!$AG231,'Annex 2_Code'!$G$8:$G$33,0)),"")</f>
        <v>0</v>
      </c>
      <c r="V231" s="618">
        <f>IFERROR(INDEX('Annex 2_Code'!K$8:K$33,MATCH('Annex 3_MAFF'!$AG231,'Annex 2_Code'!$G$8:$G$33,0)),"")</f>
        <v>1</v>
      </c>
      <c r="W231" s="618">
        <f>IFERROR(INDEX('Annex 2_Code'!L$8:L$33,MATCH('Annex 3_MAFF'!$AG231,'Annex 2_Code'!$G$8:$G$33,0)),"")</f>
        <v>0</v>
      </c>
      <c r="X231" s="618">
        <f>IFERROR(INDEX('Annex 2_Code'!M$8:M$33,MATCH('Annex 3_MAFF'!$AG231,'Annex 2_Code'!$G$8:$G$33,0)),"")</f>
        <v>0</v>
      </c>
      <c r="Y231" s="1536">
        <f t="shared" si="223"/>
        <v>0</v>
      </c>
      <c r="Z231" s="717">
        <f t="shared" si="223"/>
        <v>0</v>
      </c>
      <c r="AA231" s="717">
        <f t="shared" si="189"/>
        <v>45</v>
      </c>
      <c r="AB231" s="717">
        <f t="shared" si="223"/>
        <v>0</v>
      </c>
      <c r="AC231" s="718">
        <f t="shared" si="223"/>
        <v>0</v>
      </c>
      <c r="AD231" s="626">
        <f t="shared" si="219"/>
        <v>45</v>
      </c>
      <c r="AE231" s="627">
        <f t="shared" si="220"/>
        <v>0</v>
      </c>
      <c r="AF231" s="568" t="s">
        <v>562</v>
      </c>
      <c r="AG231" s="568" t="s">
        <v>402</v>
      </c>
      <c r="AH231" s="568" t="str">
        <f>IFERROR(INDEX('Annex 2_Code'!$J$110:$J$127,MATCH('Annex 3_MAFF'!AF231,'Annex 2_Code'!$G$110:$G$127,0)),"")</f>
        <v>MAFF</v>
      </c>
      <c r="AI231" s="882" t="str">
        <f t="shared" si="224"/>
        <v>MAFF</v>
      </c>
      <c r="AK231" s="1383"/>
      <c r="AL231" s="1383"/>
    </row>
    <row r="232" spans="1:39" s="366" customFormat="1" outlineLevel="1">
      <c r="A232" s="102"/>
      <c r="B232" s="93" t="s">
        <v>173</v>
      </c>
      <c r="C232" s="1074"/>
      <c r="D232" s="1471"/>
      <c r="E232" s="1440" t="s">
        <v>41</v>
      </c>
      <c r="F232" s="1441"/>
      <c r="G232" s="1472"/>
      <c r="H232" s="1475"/>
      <c r="I232" s="1467"/>
      <c r="J232" s="1468"/>
      <c r="K232" s="1469"/>
      <c r="L232" s="1469"/>
      <c r="M232" s="1469"/>
      <c r="N232" s="1470"/>
      <c r="O232" s="1510">
        <f>SUM(O223:O231)</f>
        <v>0</v>
      </c>
      <c r="P232" s="1511">
        <f>SUM(P223:P231)</f>
        <v>79.550000000000011</v>
      </c>
      <c r="Q232" s="1511">
        <f>SUM(Q223:Q231)</f>
        <v>188.80360000000002</v>
      </c>
      <c r="R232" s="1511">
        <f>SUM(R223:R231)</f>
        <v>158.80360000000002</v>
      </c>
      <c r="S232" s="1512">
        <f>SUM(S223:S231)</f>
        <v>427.15719999999999</v>
      </c>
      <c r="T232" s="1061"/>
      <c r="U232" s="1061"/>
      <c r="V232" s="1061"/>
      <c r="W232" s="1061"/>
      <c r="X232" s="1061"/>
      <c r="Y232" s="1062"/>
      <c r="Z232" s="1063"/>
      <c r="AA232" s="717">
        <f t="shared" si="189"/>
        <v>0</v>
      </c>
      <c r="AB232" s="1063"/>
      <c r="AC232" s="1064"/>
      <c r="AD232" s="626">
        <f t="shared" si="219"/>
        <v>0</v>
      </c>
      <c r="AE232" s="627">
        <f t="shared" si="220"/>
        <v>-427.15719999999999</v>
      </c>
      <c r="AF232" s="570"/>
      <c r="AG232" s="570"/>
      <c r="AH232" s="570"/>
      <c r="AI232" s="1065"/>
      <c r="AK232" s="1389">
        <f>SUM(S223:S231)</f>
        <v>427.15719999999999</v>
      </c>
      <c r="AL232" s="1387" t="s">
        <v>298</v>
      </c>
      <c r="AM232" s="1387"/>
    </row>
    <row r="233" spans="1:39" s="366" customFormat="1" outlineLevel="1">
      <c r="A233" s="102"/>
      <c r="B233" s="93" t="s">
        <v>173</v>
      </c>
      <c r="C233" s="1074"/>
      <c r="D233" s="110"/>
      <c r="E233" s="122"/>
      <c r="F233" s="364"/>
      <c r="G233" s="1059"/>
      <c r="H233" s="1060"/>
      <c r="I233" s="1044"/>
      <c r="J233" s="671"/>
      <c r="K233" s="672"/>
      <c r="L233" s="672"/>
      <c r="M233" s="672"/>
      <c r="N233" s="673"/>
      <c r="O233" s="1091"/>
      <c r="P233" s="1092"/>
      <c r="Q233" s="1092"/>
      <c r="R233" s="1092"/>
      <c r="S233" s="1079"/>
      <c r="T233" s="1061"/>
      <c r="U233" s="1061"/>
      <c r="V233" s="1061"/>
      <c r="W233" s="1061"/>
      <c r="X233" s="1061"/>
      <c r="Y233" s="1535"/>
      <c r="Z233" s="1063"/>
      <c r="AA233" s="717">
        <f t="shared" si="189"/>
        <v>0</v>
      </c>
      <c r="AB233" s="1063"/>
      <c r="AC233" s="1064"/>
      <c r="AD233" s="626">
        <f t="shared" si="219"/>
        <v>0</v>
      </c>
      <c r="AE233" s="627">
        <f t="shared" si="220"/>
        <v>0</v>
      </c>
      <c r="AF233" s="570"/>
      <c r="AG233" s="570"/>
      <c r="AH233" s="570"/>
      <c r="AI233" s="1065"/>
      <c r="AK233" s="1383"/>
      <c r="AL233" s="1383"/>
    </row>
    <row r="234" spans="1:39" s="366" customFormat="1" outlineLevel="1">
      <c r="A234" s="102"/>
      <c r="B234" s="1921" t="s">
        <v>24</v>
      </c>
      <c r="C234" s="1923" t="s">
        <v>299</v>
      </c>
      <c r="D234" s="78"/>
      <c r="E234" s="97" t="s">
        <v>1147</v>
      </c>
      <c r="F234" s="364"/>
      <c r="G234" s="722" t="s">
        <v>80</v>
      </c>
      <c r="H234" s="1090" t="s">
        <v>172</v>
      </c>
      <c r="I234" s="540">
        <f>340412/1000</f>
        <v>340.41199999999998</v>
      </c>
      <c r="J234" s="665">
        <v>0</v>
      </c>
      <c r="K234" s="666">
        <v>0.5</v>
      </c>
      <c r="L234" s="666">
        <v>0</v>
      </c>
      <c r="M234" s="666">
        <v>0</v>
      </c>
      <c r="N234" s="667">
        <f t="shared" ref="N234:N235" si="229">SUM(J234:M234)</f>
        <v>0.5</v>
      </c>
      <c r="O234" s="698">
        <f>($I234*J234)</f>
        <v>0</v>
      </c>
      <c r="P234" s="699">
        <f>($I234*K234)</f>
        <v>170.20599999999999</v>
      </c>
      <c r="Q234" s="699">
        <f t="shared" ref="Q234:R235" si="230">($I234*L234)</f>
        <v>0</v>
      </c>
      <c r="R234" s="699">
        <f t="shared" si="230"/>
        <v>0</v>
      </c>
      <c r="S234" s="622">
        <f>SUM(O234:R234)</f>
        <v>170.20599999999999</v>
      </c>
      <c r="T234" s="618">
        <f>IFERROR(INDEX('Annex 2_Code'!I$8:I$33,MATCH('Annex 3_MAFF'!$AG234,'Annex 2_Code'!$G$8:$G$33,0)),"")</f>
        <v>1</v>
      </c>
      <c r="U234" s="618">
        <f>IFERROR(INDEX('Annex 2_Code'!J$8:J$33,MATCH('Annex 3_MAFF'!$AG234,'Annex 2_Code'!$G$8:$G$33,0)),"")</f>
        <v>0</v>
      </c>
      <c r="V234" s="618">
        <f>IFERROR(INDEX('Annex 2_Code'!K$8:K$33,MATCH('Annex 3_MAFF'!$AG234,'Annex 2_Code'!$G$8:$G$33,0)),"")</f>
        <v>0</v>
      </c>
      <c r="W234" s="618">
        <f>IFERROR(INDEX('Annex 2_Code'!L$8:L$33,MATCH('Annex 3_MAFF'!$AG234,'Annex 2_Code'!$G$8:$G$33,0)),"")</f>
        <v>0</v>
      </c>
      <c r="X234" s="618">
        <f>IFERROR(INDEX('Annex 2_Code'!M$8:M$33,MATCH('Annex 3_MAFF'!$AG234,'Annex 2_Code'!$G$8:$G$33,0)),"")</f>
        <v>0</v>
      </c>
      <c r="Y234" s="1533">
        <f t="shared" si="188"/>
        <v>170.20599999999999</v>
      </c>
      <c r="Z234" s="717">
        <f t="shared" si="189"/>
        <v>0</v>
      </c>
      <c r="AA234" s="717">
        <f t="shared" si="189"/>
        <v>0</v>
      </c>
      <c r="AB234" s="717">
        <f t="shared" si="190"/>
        <v>0</v>
      </c>
      <c r="AC234" s="718">
        <f t="shared" si="191"/>
        <v>0</v>
      </c>
      <c r="AD234" s="626">
        <f t="shared" si="219"/>
        <v>170.20599999999999</v>
      </c>
      <c r="AE234" s="627">
        <f t="shared" si="220"/>
        <v>0</v>
      </c>
      <c r="AF234" s="568" t="s">
        <v>485</v>
      </c>
      <c r="AG234" s="568" t="s">
        <v>370</v>
      </c>
      <c r="AH234" s="568" t="str">
        <f>IFERROR(INDEX('Annex 2_Code'!$J$110:$J$127,MATCH('Annex 3_MAFF'!AF234,'Annex 2_Code'!$G$110:$G$127,0)),"")</f>
        <v>MAFF-CARDI</v>
      </c>
      <c r="AI234" s="882" t="str">
        <f t="shared" si="196"/>
        <v>MAFF</v>
      </c>
      <c r="AK234" s="1383"/>
      <c r="AL234" s="1383"/>
    </row>
    <row r="235" spans="1:39" s="366" customFormat="1" outlineLevel="1">
      <c r="A235" s="102"/>
      <c r="B235" s="1921" t="s">
        <v>24</v>
      </c>
      <c r="C235" s="1923" t="s">
        <v>299</v>
      </c>
      <c r="D235" s="78"/>
      <c r="E235" s="97" t="s">
        <v>1148</v>
      </c>
      <c r="F235" s="364"/>
      <c r="G235" s="722" t="s">
        <v>81</v>
      </c>
      <c r="H235" s="538" t="s">
        <v>172</v>
      </c>
      <c r="I235" s="540">
        <f>324202/1000</f>
        <v>324.202</v>
      </c>
      <c r="J235" s="665">
        <v>0</v>
      </c>
      <c r="K235" s="666">
        <v>0.5</v>
      </c>
      <c r="L235" s="666">
        <v>0</v>
      </c>
      <c r="M235" s="666">
        <v>0</v>
      </c>
      <c r="N235" s="667">
        <f t="shared" si="229"/>
        <v>0.5</v>
      </c>
      <c r="O235" s="698">
        <f>($I235*J235)</f>
        <v>0</v>
      </c>
      <c r="P235" s="699">
        <f>($I235*K235)</f>
        <v>162.101</v>
      </c>
      <c r="Q235" s="699">
        <f t="shared" si="230"/>
        <v>0</v>
      </c>
      <c r="R235" s="699">
        <f t="shared" si="230"/>
        <v>0</v>
      </c>
      <c r="S235" s="622">
        <f>SUM(O235:R235)</f>
        <v>162.101</v>
      </c>
      <c r="T235" s="618">
        <f>IFERROR(INDEX('Annex 2_Code'!I$8:I$33,MATCH('Annex 3_MAFF'!$AG235,'Annex 2_Code'!$G$8:$G$33,0)),"")</f>
        <v>1</v>
      </c>
      <c r="U235" s="618">
        <f>IFERROR(INDEX('Annex 2_Code'!J$8:J$33,MATCH('Annex 3_MAFF'!$AG235,'Annex 2_Code'!$G$8:$G$33,0)),"")</f>
        <v>0</v>
      </c>
      <c r="V235" s="618">
        <f>IFERROR(INDEX('Annex 2_Code'!K$8:K$33,MATCH('Annex 3_MAFF'!$AG235,'Annex 2_Code'!$G$8:$G$33,0)),"")</f>
        <v>0</v>
      </c>
      <c r="W235" s="618">
        <f>IFERROR(INDEX('Annex 2_Code'!L$8:L$33,MATCH('Annex 3_MAFF'!$AG235,'Annex 2_Code'!$G$8:$G$33,0)),"")</f>
        <v>0</v>
      </c>
      <c r="X235" s="618">
        <f>IFERROR(INDEX('Annex 2_Code'!M$8:M$33,MATCH('Annex 3_MAFF'!$AG235,'Annex 2_Code'!$G$8:$G$33,0)),"")</f>
        <v>0</v>
      </c>
      <c r="Y235" s="1533">
        <f t="shared" si="188"/>
        <v>162.101</v>
      </c>
      <c r="Z235" s="717">
        <f t="shared" si="189"/>
        <v>0</v>
      </c>
      <c r="AA235" s="717">
        <f t="shared" si="189"/>
        <v>0</v>
      </c>
      <c r="AB235" s="717">
        <f t="shared" si="190"/>
        <v>0</v>
      </c>
      <c r="AC235" s="718">
        <f t="shared" si="191"/>
        <v>0</v>
      </c>
      <c r="AD235" s="626">
        <f t="shared" si="219"/>
        <v>162.101</v>
      </c>
      <c r="AE235" s="627">
        <f t="shared" si="220"/>
        <v>0</v>
      </c>
      <c r="AF235" s="568" t="s">
        <v>485</v>
      </c>
      <c r="AG235" s="568" t="s">
        <v>370</v>
      </c>
      <c r="AH235" s="568" t="str">
        <f>IFERROR(INDEX('Annex 2_Code'!$J$110:$J$127,MATCH('Annex 3_MAFF'!AF235,'Annex 2_Code'!$G$110:$G$127,0)),"")</f>
        <v>MAFF-CARDI</v>
      </c>
      <c r="AI235" s="882" t="str">
        <f t="shared" si="196"/>
        <v>MAFF</v>
      </c>
      <c r="AK235" s="1383"/>
      <c r="AL235" s="1383"/>
    </row>
    <row r="236" spans="1:39" s="366" customFormat="1" outlineLevel="1">
      <c r="A236" s="102"/>
      <c r="B236" s="76" t="s">
        <v>173</v>
      </c>
      <c r="C236" s="77"/>
      <c r="D236" s="1464"/>
      <c r="E236" s="1440" t="s">
        <v>41</v>
      </c>
      <c r="F236" s="1441"/>
      <c r="G236" s="1428"/>
      <c r="H236" s="1454"/>
      <c r="I236" s="1455"/>
      <c r="J236" s="1456"/>
      <c r="K236" s="1457"/>
      <c r="L236" s="1457"/>
      <c r="M236" s="1457"/>
      <c r="N236" s="1458"/>
      <c r="O236" s="1492">
        <f>SUM(O234:O235)</f>
        <v>0</v>
      </c>
      <c r="P236" s="1493">
        <f>SUM(P234:P235)</f>
        <v>332.30700000000002</v>
      </c>
      <c r="Q236" s="1493">
        <f>SUM(Q234:Q235)</f>
        <v>0</v>
      </c>
      <c r="R236" s="1493">
        <f>SUM(R234:R235)</f>
        <v>0</v>
      </c>
      <c r="S236" s="1494">
        <f>SUM(S234:S235)</f>
        <v>332.30700000000002</v>
      </c>
      <c r="T236" s="618" t="str">
        <f>IFERROR(INDEX('Annex 2_Code'!I$8:I$33,MATCH('Annex 3_MAFF'!$AG236,'Annex 2_Code'!$G$8:$G$33,0)),"")</f>
        <v/>
      </c>
      <c r="U236" s="618" t="str">
        <f>IFERROR(INDEX('Annex 2_Code'!J$8:J$33,MATCH('Annex 3_MAFF'!$AG236,'Annex 2_Code'!$G$8:$G$33,0)),"")</f>
        <v/>
      </c>
      <c r="V236" s="618" t="str">
        <f>IFERROR(INDEX('Annex 2_Code'!K$8:K$33,MATCH('Annex 3_MAFF'!$AG236,'Annex 2_Code'!$G$8:$G$33,0)),"")</f>
        <v/>
      </c>
      <c r="W236" s="618" t="str">
        <f>IFERROR(INDEX('Annex 2_Code'!L$8:L$33,MATCH('Annex 3_MAFF'!$AG236,'Annex 2_Code'!$G$8:$G$33,0)),"")</f>
        <v/>
      </c>
      <c r="X236" s="618" t="str">
        <f>IFERROR(INDEX('Annex 2_Code'!M$8:M$33,MATCH('Annex 3_MAFF'!$AG236,'Annex 2_Code'!$G$8:$G$33,0)),"")</f>
        <v/>
      </c>
      <c r="Y236" s="1533" t="str">
        <f t="shared" si="188"/>
        <v/>
      </c>
      <c r="Z236" s="717" t="str">
        <f t="shared" si="189"/>
        <v/>
      </c>
      <c r="AA236" s="717" t="str">
        <f t="shared" si="189"/>
        <v/>
      </c>
      <c r="AB236" s="717" t="str">
        <f t="shared" si="190"/>
        <v/>
      </c>
      <c r="AC236" s="718" t="str">
        <f t="shared" si="191"/>
        <v/>
      </c>
      <c r="AD236" s="626">
        <f t="shared" si="219"/>
        <v>0</v>
      </c>
      <c r="AE236" s="627">
        <f t="shared" si="220"/>
        <v>-332.30700000000002</v>
      </c>
      <c r="AF236" s="568"/>
      <c r="AG236" s="568"/>
      <c r="AH236" s="568" t="str">
        <f>IFERROR(INDEX('Annex 2_Code'!$J$110:$J$122,MATCH('Annex 3_MAFF'!AF236,'Annex 2_Code'!$G$110:$G$122,0)),"")</f>
        <v/>
      </c>
      <c r="AI236" s="882" t="str">
        <f t="shared" si="196"/>
        <v/>
      </c>
      <c r="AK236" s="1389">
        <f>SUM(S234:S235)</f>
        <v>332.30700000000002</v>
      </c>
      <c r="AL236" s="1386" t="s">
        <v>716</v>
      </c>
      <c r="AM236" s="1387"/>
    </row>
    <row r="237" spans="1:39" s="366" customFormat="1">
      <c r="A237" s="102"/>
      <c r="B237" s="89" t="s">
        <v>173</v>
      </c>
      <c r="C237" s="89"/>
      <c r="D237" s="1459" t="s">
        <v>705</v>
      </c>
      <c r="E237" s="1460"/>
      <c r="F237" s="1463"/>
      <c r="G237" s="1461"/>
      <c r="H237" s="1957"/>
      <c r="I237" s="1958"/>
      <c r="J237" s="1959"/>
      <c r="K237" s="1960"/>
      <c r="L237" s="1960"/>
      <c r="M237" s="1960"/>
      <c r="N237" s="1981"/>
      <c r="O237" s="1962">
        <f>SUM(O236,O232)</f>
        <v>0</v>
      </c>
      <c r="P237" s="1963">
        <f>SUM(P236,P232)</f>
        <v>411.85700000000003</v>
      </c>
      <c r="Q237" s="1963">
        <f>SUM(Q236,Q232)</f>
        <v>188.80360000000002</v>
      </c>
      <c r="R237" s="1963">
        <f>SUM(R236,R232)</f>
        <v>158.80360000000002</v>
      </c>
      <c r="S237" s="1964">
        <f>SUM(S236,S232)</f>
        <v>759.46420000000001</v>
      </c>
      <c r="T237" s="2004" t="str">
        <f>IFERROR(INDEX('Annex 2_Code'!I$8:I$33,MATCH('Annex 3_MAFF'!$AG237,'Annex 2_Code'!$G$8:$G$33,0)),"")</f>
        <v/>
      </c>
      <c r="U237" s="2004" t="str">
        <f>IFERROR(INDEX('Annex 2_Code'!J$8:J$33,MATCH('Annex 3_MAFF'!$AG237,'Annex 2_Code'!$G$8:$G$33,0)),"")</f>
        <v/>
      </c>
      <c r="V237" s="2004" t="str">
        <f>IFERROR(INDEX('Annex 2_Code'!K$8:K$33,MATCH('Annex 3_MAFF'!$AG237,'Annex 2_Code'!$G$8:$G$33,0)),"")</f>
        <v/>
      </c>
      <c r="W237" s="2004" t="str">
        <f>IFERROR(INDEX('Annex 2_Code'!L$8:L$33,MATCH('Annex 3_MAFF'!$AG237,'Annex 2_Code'!$G$8:$G$33,0)),"")</f>
        <v/>
      </c>
      <c r="X237" s="2004" t="str">
        <f>IFERROR(INDEX('Annex 2_Code'!M$8:M$33,MATCH('Annex 3_MAFF'!$AG237,'Annex 2_Code'!$G$8:$G$33,0)),"")</f>
        <v/>
      </c>
      <c r="Y237" s="2015" t="str">
        <f t="shared" si="188"/>
        <v/>
      </c>
      <c r="Z237" s="2016" t="str">
        <f t="shared" si="189"/>
        <v/>
      </c>
      <c r="AA237" s="717" t="str">
        <f t="shared" si="189"/>
        <v/>
      </c>
      <c r="AB237" s="2016" t="str">
        <f t="shared" si="190"/>
        <v/>
      </c>
      <c r="AC237" s="2017" t="str">
        <f t="shared" si="191"/>
        <v/>
      </c>
      <c r="AD237" s="2008">
        <f t="shared" si="219"/>
        <v>0</v>
      </c>
      <c r="AE237" s="2009">
        <f t="shared" si="220"/>
        <v>-759.46420000000001</v>
      </c>
      <c r="AF237" s="2011"/>
      <c r="AG237" s="2011"/>
      <c r="AH237" s="2011" t="str">
        <f>IFERROR(INDEX('Annex 2_Code'!$J$110:$J$122,MATCH('Annex 3_MAFF'!AF237,'Annex 2_Code'!$G$110:$G$122,0)),"")</f>
        <v/>
      </c>
      <c r="AI237" s="2012" t="str">
        <f t="shared" si="196"/>
        <v/>
      </c>
      <c r="AK237" s="1383"/>
      <c r="AL237" s="1383"/>
    </row>
    <row r="238" spans="1:39" s="366" customFormat="1">
      <c r="A238" s="102"/>
      <c r="B238" s="89" t="s">
        <v>173</v>
      </c>
      <c r="C238" s="89"/>
      <c r="D238" s="106" t="s">
        <v>82</v>
      </c>
      <c r="E238" s="290"/>
      <c r="F238" s="74"/>
      <c r="G238" s="728"/>
      <c r="H238" s="557"/>
      <c r="I238" s="558"/>
      <c r="J238" s="668"/>
      <c r="K238" s="669"/>
      <c r="L238" s="669"/>
      <c r="M238" s="669"/>
      <c r="N238" s="670"/>
      <c r="O238" s="688"/>
      <c r="P238" s="689"/>
      <c r="Q238" s="689"/>
      <c r="R238" s="689"/>
      <c r="S238" s="1054"/>
      <c r="T238" s="618" t="str">
        <f>IFERROR(INDEX('Annex 2_Code'!I$8:I$33,MATCH('Annex 3_MAFF'!$AG238,'Annex 2_Code'!$G$8:$G$33,0)),"")</f>
        <v/>
      </c>
      <c r="U238" s="618" t="str">
        <f>IFERROR(INDEX('Annex 2_Code'!J$8:J$33,MATCH('Annex 3_MAFF'!$AG238,'Annex 2_Code'!$G$8:$G$33,0)),"")</f>
        <v/>
      </c>
      <c r="V238" s="618" t="str">
        <f>IFERROR(INDEX('Annex 2_Code'!K$8:K$33,MATCH('Annex 3_MAFF'!$AG238,'Annex 2_Code'!$G$8:$G$33,0)),"")</f>
        <v/>
      </c>
      <c r="W238" s="618" t="str">
        <f>IFERROR(INDEX('Annex 2_Code'!L$8:L$33,MATCH('Annex 3_MAFF'!$AG238,'Annex 2_Code'!$G$8:$G$33,0)),"")</f>
        <v/>
      </c>
      <c r="X238" s="618" t="str">
        <f>IFERROR(INDEX('Annex 2_Code'!M$8:M$33,MATCH('Annex 3_MAFF'!$AG238,'Annex 2_Code'!$G$8:$G$33,0)),"")</f>
        <v/>
      </c>
      <c r="Y238" s="716" t="str">
        <f t="shared" si="188"/>
        <v/>
      </c>
      <c r="Z238" s="717" t="str">
        <f t="shared" si="189"/>
        <v/>
      </c>
      <c r="AA238" s="717" t="str">
        <f t="shared" si="189"/>
        <v/>
      </c>
      <c r="AB238" s="717" t="str">
        <f t="shared" si="190"/>
        <v/>
      </c>
      <c r="AC238" s="718" t="str">
        <f t="shared" si="191"/>
        <v/>
      </c>
      <c r="AD238" s="626">
        <f t="shared" si="219"/>
        <v>0</v>
      </c>
      <c r="AE238" s="655">
        <f>SUM(AD223:AD236)</f>
        <v>759.46420000000001</v>
      </c>
      <c r="AF238" s="568"/>
      <c r="AG238" s="568"/>
      <c r="AH238" s="568" t="str">
        <f>IFERROR(INDEX('Annex 2_Code'!$J$110:$J$122,MATCH('Annex 3_MAFF'!AF238,'Annex 2_Code'!$G$110:$G$122,0)),"")</f>
        <v/>
      </c>
      <c r="AI238" s="882" t="str">
        <f t="shared" si="196"/>
        <v/>
      </c>
      <c r="AK238" s="1383"/>
      <c r="AL238" s="1383"/>
    </row>
    <row r="239" spans="1:39" s="366" customFormat="1">
      <c r="A239" s="102"/>
      <c r="B239" s="89" t="s">
        <v>173</v>
      </c>
      <c r="C239" s="89"/>
      <c r="D239" s="106" t="s">
        <v>658</v>
      </c>
      <c r="E239" s="290"/>
      <c r="F239" s="74"/>
      <c r="G239" s="728"/>
      <c r="H239" s="557"/>
      <c r="I239" s="558"/>
      <c r="J239" s="668"/>
      <c r="K239" s="669"/>
      <c r="L239" s="669"/>
      <c r="M239" s="669"/>
      <c r="N239" s="670"/>
      <c r="O239" s="688"/>
      <c r="P239" s="689"/>
      <c r="Q239" s="689"/>
      <c r="R239" s="689"/>
      <c r="S239" s="623"/>
      <c r="T239" s="618"/>
      <c r="U239" s="618"/>
      <c r="V239" s="618"/>
      <c r="W239" s="618"/>
      <c r="X239" s="618"/>
      <c r="Y239" s="716"/>
      <c r="Z239" s="717"/>
      <c r="AA239" s="717">
        <f t="shared" si="189"/>
        <v>0</v>
      </c>
      <c r="AB239" s="717"/>
      <c r="AC239" s="718"/>
      <c r="AD239" s="626">
        <f t="shared" si="219"/>
        <v>0</v>
      </c>
      <c r="AE239" s="627">
        <f t="shared" si="220"/>
        <v>0</v>
      </c>
      <c r="AF239" s="568"/>
      <c r="AG239" s="568"/>
      <c r="AH239" s="568"/>
      <c r="AI239" s="882"/>
      <c r="AK239" s="1383"/>
      <c r="AL239" s="1383"/>
    </row>
    <row r="240" spans="1:39" s="366" customFormat="1" outlineLevel="1">
      <c r="A240" s="102"/>
      <c r="B240" s="76" t="s">
        <v>173</v>
      </c>
      <c r="C240" s="77"/>
      <c r="D240" s="78"/>
      <c r="E240" s="364" t="s">
        <v>729</v>
      </c>
      <c r="G240" s="722"/>
      <c r="H240" s="565" t="s">
        <v>14</v>
      </c>
      <c r="I240" s="566"/>
      <c r="J240" s="665"/>
      <c r="K240" s="666"/>
      <c r="L240" s="666"/>
      <c r="M240" s="666"/>
      <c r="N240" s="667"/>
      <c r="O240" s="688"/>
      <c r="P240" s="689"/>
      <c r="Q240" s="689"/>
      <c r="R240" s="689"/>
      <c r="S240" s="145"/>
      <c r="T240" s="618"/>
      <c r="U240" s="618" t="str">
        <f>IFERROR(INDEX('Annex 2_Code'!J$8:J$33,MATCH('Annex 3_MAFF'!$AG240,'Annex 2_Code'!$G$8:$G$33,0)),"")</f>
        <v/>
      </c>
      <c r="V240" s="618" t="str">
        <f>IFERROR(INDEX('Annex 2_Code'!K$8:K$33,MATCH('Annex 3_MAFF'!$AG240,'Annex 2_Code'!$G$8:$G$33,0)),"")</f>
        <v/>
      </c>
      <c r="W240" s="618" t="str">
        <f>IFERROR(INDEX('Annex 2_Code'!L$8:L$33,MATCH('Annex 3_MAFF'!$AG240,'Annex 2_Code'!$G$8:$G$33,0)),"")</f>
        <v/>
      </c>
      <c r="X240" s="618" t="str">
        <f>IFERROR(INDEX('Annex 2_Code'!M$8:M$33,MATCH('Annex 3_MAFF'!$AG240,'Annex 2_Code'!$G$8:$G$33,0)),"")</f>
        <v/>
      </c>
      <c r="Y240" s="1536">
        <f t="shared" si="188"/>
        <v>0</v>
      </c>
      <c r="Z240" s="717" t="str">
        <f t="shared" si="189"/>
        <v/>
      </c>
      <c r="AA240" s="717" t="str">
        <f t="shared" si="189"/>
        <v/>
      </c>
      <c r="AB240" s="717" t="str">
        <f t="shared" si="190"/>
        <v/>
      </c>
      <c r="AC240" s="718" t="str">
        <f t="shared" si="191"/>
        <v/>
      </c>
      <c r="AD240" s="626">
        <f t="shared" si="219"/>
        <v>0</v>
      </c>
      <c r="AE240" s="627">
        <f t="shared" si="220"/>
        <v>0</v>
      </c>
      <c r="AF240" s="568"/>
      <c r="AG240" s="568"/>
      <c r="AH240" s="568" t="str">
        <f>IFERROR(INDEX('Annex 2_Code'!$J$110:$J$122,MATCH('Annex 3_MAFF'!AF240,'Annex 2_Code'!$G$110:$G$122,0)),"")</f>
        <v/>
      </c>
      <c r="AI240" s="882" t="str">
        <f t="shared" si="196"/>
        <v/>
      </c>
      <c r="AK240" s="1383"/>
      <c r="AL240" s="1383"/>
    </row>
    <row r="241" spans="1:38" s="366" customFormat="1" outlineLevel="1">
      <c r="A241" s="102"/>
      <c r="B241" s="374" t="s">
        <v>57</v>
      </c>
      <c r="C241" s="374" t="s">
        <v>57</v>
      </c>
      <c r="D241" s="78"/>
      <c r="E241" s="97" t="s">
        <v>642</v>
      </c>
      <c r="F241" s="364"/>
      <c r="G241" s="722" t="s">
        <v>877</v>
      </c>
      <c r="H241" s="588" t="s">
        <v>603</v>
      </c>
      <c r="I241" s="587">
        <v>2.5</v>
      </c>
      <c r="J241" s="665">
        <v>0</v>
      </c>
      <c r="K241" s="666">
        <v>6</v>
      </c>
      <c r="L241" s="666">
        <v>0</v>
      </c>
      <c r="M241" s="666">
        <v>0</v>
      </c>
      <c r="N241" s="678">
        <f t="shared" ref="N241:N245" si="231">SUM(J241:M241)</f>
        <v>6</v>
      </c>
      <c r="O241" s="698">
        <f>($I241*J241)</f>
        <v>0</v>
      </c>
      <c r="P241" s="699">
        <f>($I241*K241)</f>
        <v>15</v>
      </c>
      <c r="Q241" s="699">
        <f t="shared" ref="Q241:R247" si="232">($I241*L241)</f>
        <v>0</v>
      </c>
      <c r="R241" s="699">
        <f t="shared" si="232"/>
        <v>0</v>
      </c>
      <c r="S241" s="145">
        <f t="shared" ref="S241:S247" si="233">SUM(O241:R241)</f>
        <v>15</v>
      </c>
      <c r="T241" s="618">
        <f>IFERROR(INDEX('Annex 2_Code'!I$8:I$33,MATCH('Annex 3_MAFF'!$AG241,'Annex 2_Code'!$G$8:$G$33,0)),"")</f>
        <v>0</v>
      </c>
      <c r="U241" s="618">
        <f>IFERROR(INDEX('Annex 2_Code'!J$8:J$33,MATCH('Annex 3_MAFF'!$AG241,'Annex 2_Code'!$G$8:$G$33,0)),"")</f>
        <v>0</v>
      </c>
      <c r="V241" s="618">
        <f>IFERROR(INDEX('Annex 2_Code'!K$8:K$33,MATCH('Annex 3_MAFF'!$AG241,'Annex 2_Code'!$G$8:$G$33,0)),"")</f>
        <v>1</v>
      </c>
      <c r="W241" s="618">
        <f>IFERROR(INDEX('Annex 2_Code'!L$8:L$33,MATCH('Annex 3_MAFF'!$AG241,'Annex 2_Code'!$G$8:$G$33,0)),"")</f>
        <v>0</v>
      </c>
      <c r="X241" s="618">
        <f>IFERROR(INDEX('Annex 2_Code'!M$8:M$33,MATCH('Annex 3_MAFF'!$AG241,'Annex 2_Code'!$G$8:$G$33,0)),"")</f>
        <v>0</v>
      </c>
      <c r="Y241" s="1536">
        <f t="shared" si="188"/>
        <v>0</v>
      </c>
      <c r="Z241" s="717">
        <f t="shared" si="188"/>
        <v>0</v>
      </c>
      <c r="AA241" s="717">
        <f t="shared" si="188"/>
        <v>15</v>
      </c>
      <c r="AB241" s="717">
        <f t="shared" si="190"/>
        <v>0</v>
      </c>
      <c r="AC241" s="718">
        <f t="shared" si="190"/>
        <v>0</v>
      </c>
      <c r="AD241" s="626">
        <f t="shared" si="219"/>
        <v>15</v>
      </c>
      <c r="AE241" s="627">
        <f t="shared" si="220"/>
        <v>0</v>
      </c>
      <c r="AF241" s="568" t="s">
        <v>488</v>
      </c>
      <c r="AG241" s="568" t="s">
        <v>386</v>
      </c>
      <c r="AH241" s="568" t="str">
        <f>IFERROR(INDEX('[3]Annex 2'!$J$110:$J$122,MATCH('[3]Annex 3 (''MEF)'!AF258,'[3]Annex 2'!$G$110:$G$122,0)),"")</f>
        <v>MAFF-GDA</v>
      </c>
      <c r="AI241" s="882" t="str">
        <f t="shared" si="196"/>
        <v>MAFF</v>
      </c>
      <c r="AK241" s="1383"/>
      <c r="AL241" s="1383"/>
    </row>
    <row r="242" spans="1:38" s="85" customFormat="1" outlineLevel="1">
      <c r="A242" s="102"/>
      <c r="B242" s="374" t="s">
        <v>57</v>
      </c>
      <c r="C242" s="374" t="s">
        <v>57</v>
      </c>
      <c r="D242" s="78"/>
      <c r="E242" s="97" t="s">
        <v>643</v>
      </c>
      <c r="F242" s="283"/>
      <c r="G242" s="722" t="s">
        <v>808</v>
      </c>
      <c r="H242" s="96" t="s">
        <v>603</v>
      </c>
      <c r="I242" s="1083">
        <v>2.5</v>
      </c>
      <c r="J242" s="665">
        <v>0</v>
      </c>
      <c r="K242" s="666">
        <v>6</v>
      </c>
      <c r="L242" s="666">
        <v>0</v>
      </c>
      <c r="M242" s="666">
        <v>0</v>
      </c>
      <c r="N242" s="1073">
        <f t="shared" si="231"/>
        <v>6</v>
      </c>
      <c r="O242" s="698">
        <f t="shared" ref="O242:O247" si="234">($I242*J242)</f>
        <v>0</v>
      </c>
      <c r="P242" s="699">
        <f t="shared" ref="P242:P247" si="235">($I242*K242)</f>
        <v>15</v>
      </c>
      <c r="Q242" s="699">
        <f t="shared" si="232"/>
        <v>0</v>
      </c>
      <c r="R242" s="699">
        <f t="shared" si="232"/>
        <v>0</v>
      </c>
      <c r="S242" s="145">
        <f t="shared" si="233"/>
        <v>15</v>
      </c>
      <c r="T242" s="618">
        <f>IFERROR(INDEX('Annex 2_Code'!I$8:I$33,MATCH('Annex 3_MAFF'!$AG242,'Annex 2_Code'!$G$8:$G$33,0)),"")</f>
        <v>0</v>
      </c>
      <c r="U242" s="618">
        <f>IFERROR(INDEX('Annex 2_Code'!J$8:J$33,MATCH('Annex 3_MAFF'!$AG242,'Annex 2_Code'!$G$8:$G$33,0)),"")</f>
        <v>0</v>
      </c>
      <c r="V242" s="618">
        <f>IFERROR(INDEX('Annex 2_Code'!K$8:K$33,MATCH('Annex 3_MAFF'!$AG242,'Annex 2_Code'!$G$8:$G$33,0)),"")</f>
        <v>1</v>
      </c>
      <c r="W242" s="618">
        <f>IFERROR(INDEX('Annex 2_Code'!L$8:L$33,MATCH('Annex 3_MAFF'!$AG242,'Annex 2_Code'!$G$8:$G$33,0)),"")</f>
        <v>0</v>
      </c>
      <c r="X242" s="618">
        <f>IFERROR(INDEX('Annex 2_Code'!M$8:M$33,MATCH('Annex 3_MAFF'!$AG242,'Annex 2_Code'!$G$8:$G$33,0)),"")</f>
        <v>0</v>
      </c>
      <c r="Y242" s="1536">
        <f t="shared" si="188"/>
        <v>0</v>
      </c>
      <c r="Z242" s="717">
        <f t="shared" si="188"/>
        <v>0</v>
      </c>
      <c r="AA242" s="717">
        <f t="shared" si="188"/>
        <v>15</v>
      </c>
      <c r="AB242" s="717">
        <f t="shared" si="190"/>
        <v>0</v>
      </c>
      <c r="AC242" s="718">
        <f t="shared" si="190"/>
        <v>0</v>
      </c>
      <c r="AD242" s="626">
        <f t="shared" si="219"/>
        <v>15</v>
      </c>
      <c r="AE242" s="627">
        <f t="shared" si="220"/>
        <v>0</v>
      </c>
      <c r="AF242" s="568" t="s">
        <v>488</v>
      </c>
      <c r="AG242" s="568" t="s">
        <v>386</v>
      </c>
      <c r="AH242" s="568" t="str">
        <f>IFERROR(INDEX('[3]Annex 2'!$J$110:$J$122,MATCH('[3]Annex 3 (''MEF)'!AF259,'[3]Annex 2'!$G$110:$G$122,0)),"")</f>
        <v>MAFF-GDA</v>
      </c>
      <c r="AI242" s="882" t="str">
        <f t="shared" si="196"/>
        <v>MAFF</v>
      </c>
      <c r="AK242" s="1390"/>
      <c r="AL242" s="1390"/>
    </row>
    <row r="243" spans="1:38" s="85" customFormat="1" outlineLevel="1">
      <c r="A243" s="102"/>
      <c r="B243" s="374" t="s">
        <v>57</v>
      </c>
      <c r="C243" s="374" t="s">
        <v>57</v>
      </c>
      <c r="D243" s="78"/>
      <c r="E243" s="97" t="s">
        <v>644</v>
      </c>
      <c r="F243" s="283"/>
      <c r="G243" s="722" t="s">
        <v>810</v>
      </c>
      <c r="H243" s="96" t="s">
        <v>603</v>
      </c>
      <c r="I243" s="1083">
        <v>1</v>
      </c>
      <c r="J243" s="665">
        <v>0</v>
      </c>
      <c r="K243" s="666">
        <v>16</v>
      </c>
      <c r="L243" s="666">
        <v>0</v>
      </c>
      <c r="M243" s="666">
        <v>0</v>
      </c>
      <c r="N243" s="1073">
        <f t="shared" si="231"/>
        <v>16</v>
      </c>
      <c r="O243" s="698">
        <f t="shared" si="234"/>
        <v>0</v>
      </c>
      <c r="P243" s="699">
        <f t="shared" si="235"/>
        <v>16</v>
      </c>
      <c r="Q243" s="699">
        <f t="shared" si="232"/>
        <v>0</v>
      </c>
      <c r="R243" s="699">
        <f t="shared" si="232"/>
        <v>0</v>
      </c>
      <c r="S243" s="145">
        <f t="shared" si="233"/>
        <v>16</v>
      </c>
      <c r="T243" s="618">
        <f>IFERROR(INDEX('Annex 2_Code'!I$8:I$33,MATCH('Annex 3_MAFF'!$AG243,'Annex 2_Code'!$G$8:$G$33,0)),"")</f>
        <v>0</v>
      </c>
      <c r="U243" s="618">
        <f>IFERROR(INDEX('Annex 2_Code'!J$8:J$33,MATCH('Annex 3_MAFF'!$AG243,'Annex 2_Code'!$G$8:$G$33,0)),"")</f>
        <v>0</v>
      </c>
      <c r="V243" s="618">
        <f>IFERROR(INDEX('Annex 2_Code'!K$8:K$33,MATCH('Annex 3_MAFF'!$AG243,'Annex 2_Code'!$G$8:$G$33,0)),"")</f>
        <v>1</v>
      </c>
      <c r="W243" s="618">
        <f>IFERROR(INDEX('Annex 2_Code'!L$8:L$33,MATCH('Annex 3_MAFF'!$AG243,'Annex 2_Code'!$G$8:$G$33,0)),"")</f>
        <v>0</v>
      </c>
      <c r="X243" s="618">
        <f>IFERROR(INDEX('Annex 2_Code'!M$8:M$33,MATCH('Annex 3_MAFF'!$AG243,'Annex 2_Code'!$G$8:$G$33,0)),"")</f>
        <v>0</v>
      </c>
      <c r="Y243" s="1536">
        <f t="shared" si="188"/>
        <v>0</v>
      </c>
      <c r="Z243" s="717">
        <f t="shared" si="188"/>
        <v>0</v>
      </c>
      <c r="AA243" s="717">
        <f t="shared" si="188"/>
        <v>16</v>
      </c>
      <c r="AB243" s="717">
        <f t="shared" si="190"/>
        <v>0</v>
      </c>
      <c r="AC243" s="718">
        <f t="shared" si="190"/>
        <v>0</v>
      </c>
      <c r="AD243" s="626">
        <f t="shared" si="219"/>
        <v>16</v>
      </c>
      <c r="AE243" s="627">
        <f t="shared" si="220"/>
        <v>0</v>
      </c>
      <c r="AF243" s="568" t="s">
        <v>488</v>
      </c>
      <c r="AG243" s="568" t="s">
        <v>386</v>
      </c>
      <c r="AH243" s="568" t="str">
        <f>IFERROR(INDEX('[3]Annex 2'!$J$110:$J$122,MATCH('[3]Annex 3 (''MEF)'!AF260,'[3]Annex 2'!$G$110:$G$122,0)),"")</f>
        <v>MAFF-GDA</v>
      </c>
      <c r="AI243" s="882" t="str">
        <f t="shared" si="196"/>
        <v>MAFF</v>
      </c>
      <c r="AK243" s="1390"/>
      <c r="AL243" s="1390"/>
    </row>
    <row r="244" spans="1:38" s="85" customFormat="1" ht="26.25" customHeight="1" outlineLevel="1">
      <c r="A244" s="102"/>
      <c r="B244" s="374" t="s">
        <v>57</v>
      </c>
      <c r="C244" s="374" t="s">
        <v>57</v>
      </c>
      <c r="D244" s="78"/>
      <c r="E244" s="97" t="s">
        <v>645</v>
      </c>
      <c r="F244" s="283"/>
      <c r="G244" s="722" t="s">
        <v>1135</v>
      </c>
      <c r="H244" s="96" t="s">
        <v>603</v>
      </c>
      <c r="I244" s="1083">
        <v>1</v>
      </c>
      <c r="J244" s="665">
        <v>0</v>
      </c>
      <c r="K244" s="666">
        <v>16</v>
      </c>
      <c r="L244" s="666">
        <v>0</v>
      </c>
      <c r="M244" s="666">
        <v>0</v>
      </c>
      <c r="N244" s="1073">
        <f>SUM(J244:M244)</f>
        <v>16</v>
      </c>
      <c r="O244" s="698">
        <f t="shared" si="234"/>
        <v>0</v>
      </c>
      <c r="P244" s="699">
        <f t="shared" si="235"/>
        <v>16</v>
      </c>
      <c r="Q244" s="699">
        <f t="shared" si="232"/>
        <v>0</v>
      </c>
      <c r="R244" s="699">
        <f t="shared" si="232"/>
        <v>0</v>
      </c>
      <c r="S244" s="145">
        <f>SUM(O244:R244)</f>
        <v>16</v>
      </c>
      <c r="T244" s="618">
        <f>IFERROR(INDEX('Annex 2_Code'!I$8:I$33,MATCH('Annex 3_MAFF'!$AG244,'Annex 2_Code'!$G$8:$G$33,0)),"")</f>
        <v>0</v>
      </c>
      <c r="U244" s="618">
        <f>IFERROR(INDEX('Annex 2_Code'!J$8:J$33,MATCH('Annex 3_MAFF'!$AG244,'Annex 2_Code'!$G$8:$G$33,0)),"")</f>
        <v>0</v>
      </c>
      <c r="V244" s="618">
        <f>IFERROR(INDEX('Annex 2_Code'!K$8:K$33,MATCH('Annex 3_MAFF'!$AG244,'Annex 2_Code'!$G$8:$G$33,0)),"")</f>
        <v>1</v>
      </c>
      <c r="W244" s="618">
        <f>IFERROR(INDEX('Annex 2_Code'!L$8:L$33,MATCH('Annex 3_MAFF'!$AG244,'Annex 2_Code'!$G$8:$G$33,0)),"")</f>
        <v>0</v>
      </c>
      <c r="X244" s="618">
        <f>IFERROR(INDEX('Annex 2_Code'!M$8:M$33,MATCH('Annex 3_MAFF'!$AG244,'Annex 2_Code'!$G$8:$G$33,0)),"")</f>
        <v>0</v>
      </c>
      <c r="Y244" s="1536">
        <f t="shared" si="188"/>
        <v>0</v>
      </c>
      <c r="Z244" s="717">
        <f t="shared" si="188"/>
        <v>0</v>
      </c>
      <c r="AA244" s="717">
        <f t="shared" si="188"/>
        <v>16</v>
      </c>
      <c r="AB244" s="717">
        <f t="shared" si="190"/>
        <v>0</v>
      </c>
      <c r="AC244" s="718">
        <f t="shared" si="190"/>
        <v>0</v>
      </c>
      <c r="AD244" s="626">
        <f t="shared" ref="AD244" si="236">SUM(Y244:AC244)</f>
        <v>16</v>
      </c>
      <c r="AE244" s="627">
        <f t="shared" si="220"/>
        <v>0</v>
      </c>
      <c r="AF244" s="568" t="s">
        <v>488</v>
      </c>
      <c r="AG244" s="568" t="s">
        <v>386</v>
      </c>
      <c r="AH244" s="568" t="str">
        <f>IFERROR(INDEX('[3]Annex 2'!$J$110:$J$122,MATCH('[3]Annex 3 (''MEF)'!AF261,'[3]Annex 2'!$G$110:$G$122,0)),"")</f>
        <v>MAFF-GDA</v>
      </c>
      <c r="AI244" s="882" t="str">
        <f t="shared" si="196"/>
        <v>MAFF</v>
      </c>
      <c r="AK244" s="1390"/>
      <c r="AL244" s="1390"/>
    </row>
    <row r="245" spans="1:38" s="1176" customFormat="1" ht="15.75" customHeight="1" outlineLevel="1">
      <c r="A245" s="102"/>
      <c r="B245" s="374" t="s">
        <v>57</v>
      </c>
      <c r="C245" s="374" t="s">
        <v>57</v>
      </c>
      <c r="D245" s="1095"/>
      <c r="E245" s="102" t="s">
        <v>646</v>
      </c>
      <c r="F245" s="1158"/>
      <c r="G245" s="731" t="s">
        <v>809</v>
      </c>
      <c r="H245" s="1198" t="s">
        <v>607</v>
      </c>
      <c r="I245" s="1199">
        <v>1.5</v>
      </c>
      <c r="J245" s="1093">
        <v>0</v>
      </c>
      <c r="K245" s="1178">
        <v>0</v>
      </c>
      <c r="L245" s="1178">
        <v>50</v>
      </c>
      <c r="M245" s="1178">
        <v>50</v>
      </c>
      <c r="N245" s="1200">
        <f t="shared" si="231"/>
        <v>100</v>
      </c>
      <c r="O245" s="698">
        <f t="shared" si="234"/>
        <v>0</v>
      </c>
      <c r="P245" s="699">
        <f t="shared" si="235"/>
        <v>0</v>
      </c>
      <c r="Q245" s="699">
        <f t="shared" si="232"/>
        <v>75</v>
      </c>
      <c r="R245" s="699">
        <f t="shared" si="232"/>
        <v>75</v>
      </c>
      <c r="S245" s="1180">
        <f t="shared" si="233"/>
        <v>150</v>
      </c>
      <c r="T245" s="618">
        <f>IFERROR(INDEX('Annex 2_Code'!I$8:I$33,MATCH('Annex 3_MAFF'!$AG245,'Annex 2_Code'!$G$8:$G$33,0)),"")</f>
        <v>0</v>
      </c>
      <c r="U245" s="618">
        <f>IFERROR(INDEX('Annex 2_Code'!J$8:J$33,MATCH('Annex 3_MAFF'!$AG245,'Annex 2_Code'!$G$8:$G$33,0)),"")</f>
        <v>0</v>
      </c>
      <c r="V245" s="618">
        <f>IFERROR(INDEX('Annex 2_Code'!K$8:K$33,MATCH('Annex 3_MAFF'!$AG245,'Annex 2_Code'!$G$8:$G$33,0)),"")</f>
        <v>1</v>
      </c>
      <c r="W245" s="618">
        <f>IFERROR(INDEX('Annex 2_Code'!L$8:L$33,MATCH('Annex 3_MAFF'!$AG245,'Annex 2_Code'!$G$8:$G$33,0)),"")</f>
        <v>0</v>
      </c>
      <c r="X245" s="618">
        <f>IFERROR(INDEX('Annex 2_Code'!M$8:M$33,MATCH('Annex 3_MAFF'!$AG245,'Annex 2_Code'!$G$8:$G$33,0)),"")</f>
        <v>0</v>
      </c>
      <c r="Y245" s="1536">
        <f t="shared" si="188"/>
        <v>0</v>
      </c>
      <c r="Z245" s="1181">
        <f t="shared" si="188"/>
        <v>0</v>
      </c>
      <c r="AA245" s="717">
        <f t="shared" si="188"/>
        <v>150</v>
      </c>
      <c r="AB245" s="1181">
        <f t="shared" si="190"/>
        <v>0</v>
      </c>
      <c r="AC245" s="1182">
        <f t="shared" si="190"/>
        <v>0</v>
      </c>
      <c r="AD245" s="1612">
        <f t="shared" si="219"/>
        <v>150</v>
      </c>
      <c r="AE245" s="1183">
        <f t="shared" si="220"/>
        <v>0</v>
      </c>
      <c r="AF245" s="1184" t="s">
        <v>488</v>
      </c>
      <c r="AG245" s="1184" t="s">
        <v>386</v>
      </c>
      <c r="AH245" s="1184" t="str">
        <f>IFERROR(INDEX('[3]Annex 2'!$J$110:$J$122,MATCH('[3]Annex 3 (''MEF)'!AF262,'[3]Annex 2'!$G$110:$G$122,0)),"")</f>
        <v>MAFF-GDA</v>
      </c>
      <c r="AI245" s="1185" t="str">
        <f t="shared" si="196"/>
        <v>MAFF</v>
      </c>
      <c r="AK245" s="1388"/>
      <c r="AL245" s="1388"/>
    </row>
    <row r="246" spans="1:38" s="1176" customFormat="1" ht="15.75" customHeight="1" outlineLevel="1">
      <c r="A246" s="102"/>
      <c r="B246" s="374" t="s">
        <v>57</v>
      </c>
      <c r="C246" s="374" t="s">
        <v>57</v>
      </c>
      <c r="D246" s="484"/>
      <c r="E246" s="485" t="s">
        <v>647</v>
      </c>
      <c r="F246" s="364"/>
      <c r="G246" s="1748" t="s">
        <v>1090</v>
      </c>
      <c r="H246" s="588" t="s">
        <v>180</v>
      </c>
      <c r="I246" s="1083">
        <v>4.2</v>
      </c>
      <c r="J246" s="1744">
        <v>0</v>
      </c>
      <c r="K246" s="1745">
        <v>10</v>
      </c>
      <c r="L246" s="1745">
        <v>0</v>
      </c>
      <c r="M246" s="1745">
        <v>0</v>
      </c>
      <c r="N246" s="678">
        <f>SUM(J246:M246)</f>
        <v>10</v>
      </c>
      <c r="O246" s="698">
        <f t="shared" si="234"/>
        <v>0</v>
      </c>
      <c r="P246" s="699">
        <f t="shared" si="235"/>
        <v>42</v>
      </c>
      <c r="Q246" s="699">
        <f t="shared" si="232"/>
        <v>0</v>
      </c>
      <c r="R246" s="699">
        <f t="shared" si="232"/>
        <v>0</v>
      </c>
      <c r="S246" s="1180">
        <f t="shared" si="233"/>
        <v>42</v>
      </c>
      <c r="T246" s="618">
        <f>IFERROR(INDEX('Annex 2_Code'!I$8:I$33,MATCH('Annex 3_MAFF'!$AG246,'Annex 2_Code'!$G$8:$G$33,0)),"")</f>
        <v>0</v>
      </c>
      <c r="U246" s="618">
        <f>IFERROR(INDEX('Annex 2_Code'!J$8:J$33,MATCH('Annex 3_MAFF'!$AG246,'Annex 2_Code'!$G$8:$G$33,0)),"")</f>
        <v>0</v>
      </c>
      <c r="V246" s="618">
        <f>IFERROR(INDEX('Annex 2_Code'!K$8:K$33,MATCH('Annex 3_MAFF'!$AG246,'Annex 2_Code'!$G$8:$G$33,0)),"")</f>
        <v>1</v>
      </c>
      <c r="W246" s="618">
        <f>IFERROR(INDEX('Annex 2_Code'!L$8:L$33,MATCH('Annex 3_MAFF'!$AG246,'Annex 2_Code'!$G$8:$G$33,0)),"")</f>
        <v>0</v>
      </c>
      <c r="X246" s="618">
        <f>IFERROR(INDEX('Annex 2_Code'!M$8:M$33,MATCH('Annex 3_MAFF'!$AG246,'Annex 2_Code'!$G$8:$G$33,0)),"")</f>
        <v>0</v>
      </c>
      <c r="Y246" s="1536">
        <f t="shared" ref="Y246" si="237">IFERROR($S246*T246,"")</f>
        <v>0</v>
      </c>
      <c r="Z246" s="1181">
        <f t="shared" ref="Z246" si="238">IFERROR($S246*U246,"")</f>
        <v>0</v>
      </c>
      <c r="AA246" s="717">
        <f t="shared" si="188"/>
        <v>42</v>
      </c>
      <c r="AB246" s="1181">
        <f t="shared" ref="AB246" si="239">IFERROR($S246*W246,"")</f>
        <v>0</v>
      </c>
      <c r="AC246" s="1182">
        <f t="shared" ref="AC246" si="240">IFERROR($S246*X246,"")</f>
        <v>0</v>
      </c>
      <c r="AD246" s="1612">
        <f t="shared" ref="AD246" si="241">SUM(Y246:AC246)</f>
        <v>42</v>
      </c>
      <c r="AE246" s="1183">
        <f t="shared" ref="AE246" si="242">AD246-S246</f>
        <v>0</v>
      </c>
      <c r="AF246" s="1184" t="s">
        <v>488</v>
      </c>
      <c r="AG246" s="1184" t="s">
        <v>386</v>
      </c>
      <c r="AH246" s="1184" t="str">
        <f>IFERROR(INDEX('[3]Annex 2'!$J$110:$J$122,MATCH('[3]Annex 3 (''MEF)'!AF263,'[3]Annex 2'!$G$110:$G$122,0)),"")</f>
        <v>MAFF-GDA</v>
      </c>
      <c r="AI246" s="1185" t="str">
        <f t="shared" ref="AI246" si="243">IF(ISNUMBER(FIND("-",AH246,1))=FALSE,LEFT(AH246,LEN(AH246)),LEFT(AH246,(FIND("-",AH246,1))-1))</f>
        <v>MAFF</v>
      </c>
      <c r="AK246" s="1388"/>
      <c r="AL246" s="1388"/>
    </row>
    <row r="247" spans="1:38" s="1176" customFormat="1" ht="15.75" customHeight="1" outlineLevel="1">
      <c r="A247" s="102"/>
      <c r="B247" s="374" t="s">
        <v>57</v>
      </c>
      <c r="C247" s="374" t="s">
        <v>57</v>
      </c>
      <c r="D247" s="1095"/>
      <c r="E247" s="102" t="s">
        <v>1091</v>
      </c>
      <c r="F247" s="1158"/>
      <c r="G247" s="731" t="s">
        <v>878</v>
      </c>
      <c r="H247" s="1198" t="s">
        <v>607</v>
      </c>
      <c r="I247" s="1199">
        <v>1.5</v>
      </c>
      <c r="J247" s="1093">
        <v>0</v>
      </c>
      <c r="K247" s="1178">
        <v>0</v>
      </c>
      <c r="L247" s="1178">
        <v>75</v>
      </c>
      <c r="M247" s="1178">
        <v>75</v>
      </c>
      <c r="N247" s="1200">
        <f t="shared" ref="N247" si="244">SUM(J247:M247)</f>
        <v>150</v>
      </c>
      <c r="O247" s="698">
        <f t="shared" si="234"/>
        <v>0</v>
      </c>
      <c r="P247" s="699">
        <f t="shared" si="235"/>
        <v>0</v>
      </c>
      <c r="Q247" s="699">
        <f t="shared" si="232"/>
        <v>112.5</v>
      </c>
      <c r="R247" s="699">
        <f t="shared" si="232"/>
        <v>112.5</v>
      </c>
      <c r="S247" s="1180">
        <f t="shared" si="233"/>
        <v>225</v>
      </c>
      <c r="T247" s="618">
        <f>IFERROR(INDEX('Annex 2_Code'!I$8:I$33,MATCH('Annex 3_MAFF'!$AG247,'Annex 2_Code'!$G$8:$G$33,0)),"")</f>
        <v>0</v>
      </c>
      <c r="U247" s="618">
        <f>IFERROR(INDEX('Annex 2_Code'!J$8:J$33,MATCH('Annex 3_MAFF'!$AG247,'Annex 2_Code'!$G$8:$G$33,0)),"")</f>
        <v>0</v>
      </c>
      <c r="V247" s="618">
        <f>IFERROR(INDEX('Annex 2_Code'!K$8:K$33,MATCH('Annex 3_MAFF'!$AG247,'Annex 2_Code'!$G$8:$G$33,0)),"")</f>
        <v>1</v>
      </c>
      <c r="W247" s="618">
        <f>IFERROR(INDEX('Annex 2_Code'!L$8:L$33,MATCH('Annex 3_MAFF'!$AG247,'Annex 2_Code'!$G$8:$G$33,0)),"")</f>
        <v>0</v>
      </c>
      <c r="X247" s="618">
        <f>IFERROR(INDEX('Annex 2_Code'!M$8:M$33,MATCH('Annex 3_MAFF'!$AG247,'Annex 2_Code'!$G$8:$G$33,0)),"")</f>
        <v>0</v>
      </c>
      <c r="Y247" s="1536">
        <f t="shared" si="188"/>
        <v>0</v>
      </c>
      <c r="Z247" s="1181">
        <f t="shared" si="188"/>
        <v>0</v>
      </c>
      <c r="AA247" s="717">
        <f t="shared" si="188"/>
        <v>225</v>
      </c>
      <c r="AB247" s="1181">
        <f t="shared" si="190"/>
        <v>0</v>
      </c>
      <c r="AC247" s="1182">
        <f t="shared" si="190"/>
        <v>0</v>
      </c>
      <c r="AD247" s="1612">
        <f t="shared" si="219"/>
        <v>225</v>
      </c>
      <c r="AE247" s="1183">
        <f t="shared" si="220"/>
        <v>0</v>
      </c>
      <c r="AF247" s="1184" t="s">
        <v>488</v>
      </c>
      <c r="AG247" s="1184" t="s">
        <v>386</v>
      </c>
      <c r="AH247" s="1184" t="str">
        <f>IFERROR(INDEX('[3]Annex 2'!$J$110:$J$122,MATCH('[3]Annex 3 (''MEF)'!AF263,'[3]Annex 2'!$G$110:$G$122,0)),"")</f>
        <v>MAFF-GDA</v>
      </c>
      <c r="AI247" s="1185" t="str">
        <f t="shared" si="196"/>
        <v>MAFF</v>
      </c>
      <c r="AK247" s="1388"/>
      <c r="AL247" s="1388"/>
    </row>
    <row r="248" spans="1:38" s="85" customFormat="1" ht="15.75" customHeight="1" outlineLevel="1">
      <c r="A248" s="102"/>
      <c r="B248" s="76" t="s">
        <v>173</v>
      </c>
      <c r="C248" s="1071"/>
      <c r="D248" s="78"/>
      <c r="E248" s="283" t="s">
        <v>727</v>
      </c>
      <c r="G248" s="722"/>
      <c r="H248" s="96"/>
      <c r="I248" s="1083"/>
      <c r="J248" s="665"/>
      <c r="K248" s="666"/>
      <c r="L248" s="666"/>
      <c r="M248" s="666"/>
      <c r="N248" s="1073"/>
      <c r="O248" s="698"/>
      <c r="P248" s="699"/>
      <c r="Q248" s="699"/>
      <c r="R248" s="699"/>
      <c r="S248" s="145"/>
      <c r="T248" s="618"/>
      <c r="U248" s="618"/>
      <c r="V248" s="618"/>
      <c r="W248" s="618"/>
      <c r="X248" s="618"/>
      <c r="Y248" s="1536">
        <f t="shared" ref="Y248" si="245">IFERROR($S248*T248,"")</f>
        <v>0</v>
      </c>
      <c r="Z248" s="717">
        <f t="shared" ref="Z248:AA263" si="246">IFERROR($S248*U248,"")</f>
        <v>0</v>
      </c>
      <c r="AA248" s="717">
        <f t="shared" si="246"/>
        <v>0</v>
      </c>
      <c r="AB248" s="717">
        <f t="shared" ref="AB248" si="247">IFERROR($S248*W248,"")</f>
        <v>0</v>
      </c>
      <c r="AC248" s="718">
        <f t="shared" ref="AC248" si="248">IFERROR($S248*X248,"")</f>
        <v>0</v>
      </c>
      <c r="AD248" s="626">
        <f t="shared" si="219"/>
        <v>0</v>
      </c>
      <c r="AE248" s="627">
        <f t="shared" si="220"/>
        <v>0</v>
      </c>
      <c r="AF248" s="568"/>
      <c r="AG248" s="568"/>
      <c r="AH248" s="568"/>
      <c r="AI248" s="882"/>
      <c r="AK248" s="1390"/>
      <c r="AL248" s="1390"/>
    </row>
    <row r="249" spans="1:38" s="85" customFormat="1" outlineLevel="1">
      <c r="A249" s="102"/>
      <c r="B249" s="374" t="s">
        <v>57</v>
      </c>
      <c r="C249" s="374" t="s">
        <v>57</v>
      </c>
      <c r="D249" s="78"/>
      <c r="E249" s="97" t="s">
        <v>650</v>
      </c>
      <c r="F249" s="283"/>
      <c r="G249" s="722" t="s">
        <v>813</v>
      </c>
      <c r="H249" s="96" t="s">
        <v>603</v>
      </c>
      <c r="I249" s="1083">
        <v>1</v>
      </c>
      <c r="J249" s="665">
        <v>0</v>
      </c>
      <c r="K249" s="666">
        <v>8</v>
      </c>
      <c r="L249" s="666">
        <v>0</v>
      </c>
      <c r="M249" s="666">
        <v>0</v>
      </c>
      <c r="N249" s="1073">
        <f t="shared" ref="N249:N251" si="249">SUM(J249:M249)</f>
        <v>8</v>
      </c>
      <c r="O249" s="698">
        <f>($I249*J249)</f>
        <v>0</v>
      </c>
      <c r="P249" s="699">
        <f>($I249*K249)</f>
        <v>8</v>
      </c>
      <c r="Q249" s="699">
        <f t="shared" ref="Q249:R251" si="250">($I249*L249)</f>
        <v>0</v>
      </c>
      <c r="R249" s="699">
        <f t="shared" si="250"/>
        <v>0</v>
      </c>
      <c r="S249" s="145">
        <f>SUM(O249:R249)</f>
        <v>8</v>
      </c>
      <c r="T249" s="618">
        <f>IFERROR(INDEX('Annex 2_Code'!I$8:I$33,MATCH('Annex 3_MAFF'!$AG249,'Annex 2_Code'!$G$8:$G$33,0)),"")</f>
        <v>0</v>
      </c>
      <c r="U249" s="618">
        <f>IFERROR(INDEX('Annex 2_Code'!J$8:J$33,MATCH('Annex 3_MAFF'!$AG249,'Annex 2_Code'!$G$8:$G$33,0)),"")</f>
        <v>0</v>
      </c>
      <c r="V249" s="618">
        <f>IFERROR(INDEX('Annex 2_Code'!K$8:K$33,MATCH('Annex 3_MAFF'!$AG249,'Annex 2_Code'!$G$8:$G$33,0)),"")</f>
        <v>1</v>
      </c>
      <c r="W249" s="618">
        <f>IFERROR(INDEX('Annex 2_Code'!L$8:L$33,MATCH('Annex 3_MAFF'!$AG249,'Annex 2_Code'!$G$8:$G$33,0)),"")</f>
        <v>0</v>
      </c>
      <c r="X249" s="618">
        <f>IFERROR(INDEX('Annex 2_Code'!M$8:M$33,MATCH('Annex 3_MAFF'!$AG249,'Annex 2_Code'!$G$8:$G$33,0)),"")</f>
        <v>0</v>
      </c>
      <c r="Y249" s="1536">
        <f>IFERROR($S249*T249,"")</f>
        <v>0</v>
      </c>
      <c r="Z249" s="717">
        <f>IFERROR($S249*U249,"")</f>
        <v>0</v>
      </c>
      <c r="AA249" s="717">
        <f t="shared" si="246"/>
        <v>8</v>
      </c>
      <c r="AB249" s="717">
        <f>IFERROR($S249*W249,"")</f>
        <v>0</v>
      </c>
      <c r="AC249" s="718">
        <f>IFERROR($S249*X249,"")</f>
        <v>0</v>
      </c>
      <c r="AD249" s="626">
        <f t="shared" si="219"/>
        <v>8</v>
      </c>
      <c r="AE249" s="627">
        <f t="shared" si="220"/>
        <v>0</v>
      </c>
      <c r="AF249" s="568" t="s">
        <v>488</v>
      </c>
      <c r="AG249" s="568" t="s">
        <v>386</v>
      </c>
      <c r="AH249" s="568" t="str">
        <f>IFERROR(INDEX('[3]Annex 2'!$J$110:$J$122,MATCH('[3]Annex 3 (''MEF)'!AF265,'[3]Annex 2'!$G$110:$G$122,0)),"")</f>
        <v>MAFF-GDA</v>
      </c>
      <c r="AI249" s="882" t="str">
        <f t="shared" ref="AI249:AI254" si="251">IF(ISNUMBER(FIND("-",AH249,1))=FALSE,LEFT(AH249,LEN(AH249)),LEFT(AH249,(FIND("-",AH249,1))-1))</f>
        <v>MAFF</v>
      </c>
      <c r="AK249" s="1390"/>
      <c r="AL249" s="1390"/>
    </row>
    <row r="250" spans="1:38" s="1089" customFormat="1" ht="17.25" customHeight="1" outlineLevel="1">
      <c r="A250" s="102"/>
      <c r="B250" s="374" t="s">
        <v>57</v>
      </c>
      <c r="C250" s="374" t="s">
        <v>57</v>
      </c>
      <c r="D250" s="1071"/>
      <c r="E250" s="816" t="s">
        <v>651</v>
      </c>
      <c r="F250" s="1086"/>
      <c r="G250" s="722" t="s">
        <v>648</v>
      </c>
      <c r="H250" s="96" t="s">
        <v>607</v>
      </c>
      <c r="I250" s="1083">
        <v>1</v>
      </c>
      <c r="J250" s="1087">
        <v>0</v>
      </c>
      <c r="K250" s="1088">
        <v>0</v>
      </c>
      <c r="L250" s="1088">
        <v>10</v>
      </c>
      <c r="M250" s="1088">
        <v>10</v>
      </c>
      <c r="N250" s="1073">
        <f t="shared" si="249"/>
        <v>20</v>
      </c>
      <c r="O250" s="698">
        <f t="shared" ref="O250:O251" si="252">($I250*J250)</f>
        <v>0</v>
      </c>
      <c r="P250" s="699">
        <f t="shared" ref="P250:P251" si="253">($I250*K250)</f>
        <v>0</v>
      </c>
      <c r="Q250" s="699">
        <f t="shared" si="250"/>
        <v>10</v>
      </c>
      <c r="R250" s="699">
        <f t="shared" si="250"/>
        <v>10</v>
      </c>
      <c r="S250" s="145">
        <f>SUM(O250:R250)</f>
        <v>20</v>
      </c>
      <c r="T250" s="618">
        <f>IFERROR(INDEX('Annex 2_Code'!I$8:I$33,MATCH('Annex 3_MAFF'!$AG250,'Annex 2_Code'!$G$8:$G$33,0)),"")</f>
        <v>0</v>
      </c>
      <c r="U250" s="618">
        <f>IFERROR(INDEX('Annex 2_Code'!J$8:J$33,MATCH('Annex 3_MAFF'!$AG250,'Annex 2_Code'!$G$8:$G$33,0)),"")</f>
        <v>0</v>
      </c>
      <c r="V250" s="618">
        <f>IFERROR(INDEX('Annex 2_Code'!K$8:K$33,MATCH('Annex 3_MAFF'!$AG250,'Annex 2_Code'!$G$8:$G$33,0)),"")</f>
        <v>1</v>
      </c>
      <c r="W250" s="618">
        <f>IFERROR(INDEX('Annex 2_Code'!L$8:L$33,MATCH('Annex 3_MAFF'!$AG250,'Annex 2_Code'!$G$8:$G$33,0)),"")</f>
        <v>0</v>
      </c>
      <c r="X250" s="618">
        <f>IFERROR(INDEX('Annex 2_Code'!M$8:M$33,MATCH('Annex 3_MAFF'!$AG250,'Annex 2_Code'!$G$8:$G$33,0)),"")</f>
        <v>0</v>
      </c>
      <c r="Y250" s="1536">
        <f t="shared" ref="Y250:AC251" si="254">IFERROR($S250*T250,"")</f>
        <v>0</v>
      </c>
      <c r="Z250" s="717">
        <f t="shared" si="254"/>
        <v>0</v>
      </c>
      <c r="AA250" s="717">
        <f t="shared" si="246"/>
        <v>20</v>
      </c>
      <c r="AB250" s="717">
        <f t="shared" si="254"/>
        <v>0</v>
      </c>
      <c r="AC250" s="718">
        <f t="shared" si="254"/>
        <v>0</v>
      </c>
      <c r="AD250" s="626">
        <f t="shared" si="219"/>
        <v>20</v>
      </c>
      <c r="AE250" s="627">
        <f t="shared" si="220"/>
        <v>0</v>
      </c>
      <c r="AF250" s="568" t="s">
        <v>488</v>
      </c>
      <c r="AG250" s="568" t="s">
        <v>386</v>
      </c>
      <c r="AH250" s="568" t="str">
        <f>IFERROR(INDEX('[3]Annex 2'!$J$110:$J$122,MATCH('[3]Annex 3 (''MEF)'!AF266,'[3]Annex 2'!$G$110:$G$122,0)),"")</f>
        <v>MAFF-GDA</v>
      </c>
      <c r="AI250" s="882" t="str">
        <f t="shared" si="251"/>
        <v>MAFF</v>
      </c>
      <c r="AK250" s="1391"/>
      <c r="AL250" s="1391"/>
    </row>
    <row r="251" spans="1:38" s="1089" customFormat="1" ht="16.5" customHeight="1" outlineLevel="1">
      <c r="A251" s="102"/>
      <c r="B251" s="374" t="s">
        <v>57</v>
      </c>
      <c r="C251" s="374" t="s">
        <v>57</v>
      </c>
      <c r="D251" s="1071"/>
      <c r="E251" s="816" t="s">
        <v>652</v>
      </c>
      <c r="F251" s="1086"/>
      <c r="G251" s="722" t="s">
        <v>649</v>
      </c>
      <c r="H251" s="96" t="s">
        <v>607</v>
      </c>
      <c r="I251" s="1083">
        <v>1</v>
      </c>
      <c r="J251" s="1087">
        <v>0</v>
      </c>
      <c r="K251" s="1088">
        <v>0</v>
      </c>
      <c r="L251" s="1088">
        <v>10</v>
      </c>
      <c r="M251" s="1088">
        <v>10</v>
      </c>
      <c r="N251" s="1073">
        <f t="shared" si="249"/>
        <v>20</v>
      </c>
      <c r="O251" s="698">
        <f t="shared" si="252"/>
        <v>0</v>
      </c>
      <c r="P251" s="699">
        <f t="shared" si="253"/>
        <v>0</v>
      </c>
      <c r="Q251" s="699">
        <f t="shared" si="250"/>
        <v>10</v>
      </c>
      <c r="R251" s="699">
        <f t="shared" si="250"/>
        <v>10</v>
      </c>
      <c r="S251" s="145">
        <f>SUM(O251:R251)</f>
        <v>20</v>
      </c>
      <c r="T251" s="618">
        <f>IFERROR(INDEX('Annex 2_Code'!I$8:I$33,MATCH('Annex 3_MAFF'!$AG251,'Annex 2_Code'!$G$8:$G$33,0)),"")</f>
        <v>0</v>
      </c>
      <c r="U251" s="618">
        <f>IFERROR(INDEX('Annex 2_Code'!J$8:J$33,MATCH('Annex 3_MAFF'!$AG251,'Annex 2_Code'!$G$8:$G$33,0)),"")</f>
        <v>0</v>
      </c>
      <c r="V251" s="618">
        <f>IFERROR(INDEX('Annex 2_Code'!K$8:K$33,MATCH('Annex 3_MAFF'!$AG251,'Annex 2_Code'!$G$8:$G$33,0)),"")</f>
        <v>1</v>
      </c>
      <c r="W251" s="618">
        <f>IFERROR(INDEX('Annex 2_Code'!L$8:L$33,MATCH('Annex 3_MAFF'!$AG251,'Annex 2_Code'!$G$8:$G$33,0)),"")</f>
        <v>0</v>
      </c>
      <c r="X251" s="618">
        <f>IFERROR(INDEX('Annex 2_Code'!M$8:M$33,MATCH('Annex 3_MAFF'!$AG251,'Annex 2_Code'!$G$8:$G$33,0)),"")</f>
        <v>0</v>
      </c>
      <c r="Y251" s="1536">
        <f t="shared" si="254"/>
        <v>0</v>
      </c>
      <c r="Z251" s="717">
        <f t="shared" si="254"/>
        <v>0</v>
      </c>
      <c r="AA251" s="717">
        <f t="shared" si="246"/>
        <v>20</v>
      </c>
      <c r="AB251" s="717">
        <f t="shared" si="254"/>
        <v>0</v>
      </c>
      <c r="AC251" s="718">
        <f t="shared" si="254"/>
        <v>0</v>
      </c>
      <c r="AD251" s="626">
        <f t="shared" si="219"/>
        <v>20</v>
      </c>
      <c r="AE251" s="627">
        <f t="shared" si="220"/>
        <v>0</v>
      </c>
      <c r="AF251" s="568" t="s">
        <v>488</v>
      </c>
      <c r="AG251" s="568" t="s">
        <v>386</v>
      </c>
      <c r="AH251" s="568" t="str">
        <f>IFERROR(INDEX('[3]Annex 2'!$J$110:$J$122,MATCH('[3]Annex 3 (''MEF)'!AF267,'[3]Annex 2'!$G$110:$G$122,0)),"")</f>
        <v>MAFF-GDA</v>
      </c>
      <c r="AI251" s="882" t="str">
        <f t="shared" si="251"/>
        <v>MAFF</v>
      </c>
      <c r="AK251" s="1391"/>
      <c r="AL251" s="1391"/>
    </row>
    <row r="252" spans="1:38" s="85" customFormat="1" outlineLevel="1">
      <c r="A252" s="102"/>
      <c r="B252" s="77" t="s">
        <v>173</v>
      </c>
      <c r="C252" s="1071"/>
      <c r="D252" s="78"/>
      <c r="E252" s="283" t="s">
        <v>728</v>
      </c>
      <c r="G252" s="722"/>
      <c r="H252" s="96"/>
      <c r="I252" s="1083"/>
      <c r="J252" s="665"/>
      <c r="K252" s="666"/>
      <c r="L252" s="666"/>
      <c r="M252" s="666"/>
      <c r="N252" s="1073"/>
      <c r="O252" s="698"/>
      <c r="P252" s="699"/>
      <c r="Q252" s="699"/>
      <c r="R252" s="699"/>
      <c r="S252" s="145"/>
      <c r="T252" s="618"/>
      <c r="U252" s="618"/>
      <c r="V252" s="618"/>
      <c r="W252" s="618"/>
      <c r="X252" s="618"/>
      <c r="Y252" s="1538"/>
      <c r="Z252" s="1084"/>
      <c r="AA252" s="717">
        <f t="shared" si="246"/>
        <v>0</v>
      </c>
      <c r="AB252" s="1084"/>
      <c r="AC252" s="1085"/>
      <c r="AD252" s="626">
        <f t="shared" si="219"/>
        <v>0</v>
      </c>
      <c r="AE252" s="627">
        <f t="shared" si="220"/>
        <v>0</v>
      </c>
      <c r="AF252" s="568"/>
      <c r="AG252" s="568"/>
      <c r="AH252" s="568"/>
      <c r="AI252" s="882"/>
      <c r="AK252" s="1390"/>
      <c r="AL252" s="1390"/>
    </row>
    <row r="253" spans="1:38" s="85" customFormat="1" ht="25.5" outlineLevel="1">
      <c r="A253" s="102"/>
      <c r="B253" s="374" t="s">
        <v>36</v>
      </c>
      <c r="C253" s="1115" t="s">
        <v>36</v>
      </c>
      <c r="D253" s="484"/>
      <c r="E253" s="485" t="s">
        <v>653</v>
      </c>
      <c r="F253" s="364"/>
      <c r="G253" s="1748" t="s">
        <v>879</v>
      </c>
      <c r="H253" s="588" t="s">
        <v>607</v>
      </c>
      <c r="I253" s="1083">
        <v>10</v>
      </c>
      <c r="J253" s="1744">
        <v>0</v>
      </c>
      <c r="K253" s="1745">
        <v>3</v>
      </c>
      <c r="L253" s="1745">
        <v>0</v>
      </c>
      <c r="M253" s="1745">
        <v>0</v>
      </c>
      <c r="N253" s="678">
        <f t="shared" ref="N253:N254" si="255">SUM(J253:M253)</f>
        <v>3</v>
      </c>
      <c r="O253" s="698">
        <f>($I253*J253)</f>
        <v>0</v>
      </c>
      <c r="P253" s="699">
        <f>($I253*K253)</f>
        <v>30</v>
      </c>
      <c r="Q253" s="699">
        <f t="shared" ref="Q253:R254" si="256">($I253*L253)</f>
        <v>0</v>
      </c>
      <c r="R253" s="699">
        <f t="shared" si="256"/>
        <v>0</v>
      </c>
      <c r="S253" s="145">
        <f>SUM(O253:R253)</f>
        <v>30</v>
      </c>
      <c r="T253" s="618">
        <f>IFERROR(INDEX('Annex 2_Code'!I$8:I$33,MATCH('Annex 3_MAFF'!$AG253,'Annex 2_Code'!$G$8:$G$33,0)),"")</f>
        <v>0</v>
      </c>
      <c r="U253" s="618">
        <f>IFERROR(INDEX('Annex 2_Code'!J$8:J$33,MATCH('Annex 3_MAFF'!$AG253,'Annex 2_Code'!$G$8:$G$33,0)),"")</f>
        <v>0</v>
      </c>
      <c r="V253" s="618">
        <f>IFERROR(INDEX('Annex 2_Code'!K$8:K$33,MATCH('Annex 3_MAFF'!$AG253,'Annex 2_Code'!$G$8:$G$33,0)),"")</f>
        <v>1</v>
      </c>
      <c r="W253" s="618">
        <f>IFERROR(INDEX('Annex 2_Code'!L$8:L$33,MATCH('Annex 3_MAFF'!$AG253,'Annex 2_Code'!$G$8:$G$33,0)),"")</f>
        <v>0</v>
      </c>
      <c r="X253" s="618">
        <f>IFERROR(INDEX('Annex 2_Code'!M$8:M$33,MATCH('Annex 3_MAFF'!$AG253,'Annex 2_Code'!$G$8:$G$33,0)),"")</f>
        <v>0</v>
      </c>
      <c r="Y253" s="1536">
        <f t="shared" ref="Y253:AC254" si="257">IFERROR($S253*T253,"")</f>
        <v>0</v>
      </c>
      <c r="Z253" s="717">
        <f t="shared" si="257"/>
        <v>0</v>
      </c>
      <c r="AA253" s="717">
        <f t="shared" si="246"/>
        <v>30</v>
      </c>
      <c r="AB253" s="717">
        <f t="shared" si="257"/>
        <v>0</v>
      </c>
      <c r="AC253" s="718">
        <f t="shared" si="257"/>
        <v>0</v>
      </c>
      <c r="AD253" s="626">
        <f t="shared" si="219"/>
        <v>30</v>
      </c>
      <c r="AE253" s="627">
        <f t="shared" si="220"/>
        <v>0</v>
      </c>
      <c r="AF253" s="1069" t="s">
        <v>488</v>
      </c>
      <c r="AG253" s="1069" t="s">
        <v>386</v>
      </c>
      <c r="AH253" s="568" t="str">
        <f>IFERROR(INDEX('[3]Annex 2'!$J$110:$J$122,MATCH('[3]Annex 3 (''MEF)'!AF269,'[3]Annex 2'!$G$110:$G$122,0)),"")</f>
        <v>MAFF-GDA</v>
      </c>
      <c r="AI253" s="1070" t="str">
        <f t="shared" si="251"/>
        <v>MAFF</v>
      </c>
      <c r="AK253" s="1390"/>
      <c r="AL253" s="1390"/>
    </row>
    <row r="254" spans="1:38" s="85" customFormat="1" outlineLevel="1">
      <c r="A254" s="102"/>
      <c r="B254" s="1115" t="s">
        <v>36</v>
      </c>
      <c r="C254" s="1115" t="s">
        <v>36</v>
      </c>
      <c r="D254" s="484"/>
      <c r="E254" s="485" t="s">
        <v>654</v>
      </c>
      <c r="F254" s="364"/>
      <c r="G254" s="1748" t="s">
        <v>880</v>
      </c>
      <c r="H254" s="588" t="s">
        <v>292</v>
      </c>
      <c r="I254" s="1083">
        <v>1.5</v>
      </c>
      <c r="J254" s="1744">
        <v>0</v>
      </c>
      <c r="K254" s="1745">
        <v>0</v>
      </c>
      <c r="L254" s="1745">
        <v>24</v>
      </c>
      <c r="M254" s="1745">
        <v>24</v>
      </c>
      <c r="N254" s="678">
        <f t="shared" si="255"/>
        <v>48</v>
      </c>
      <c r="O254" s="698">
        <f>($I254*J254)</f>
        <v>0</v>
      </c>
      <c r="P254" s="699">
        <f>($I254*K254)</f>
        <v>0</v>
      </c>
      <c r="Q254" s="699">
        <f t="shared" si="256"/>
        <v>36</v>
      </c>
      <c r="R254" s="699">
        <f t="shared" si="256"/>
        <v>36</v>
      </c>
      <c r="S254" s="145">
        <f>SUM(O254:R254)</f>
        <v>72</v>
      </c>
      <c r="T254" s="618">
        <f>IFERROR(INDEX('Annex 2_Code'!I$8:I$33,MATCH('Annex 3_MAFF'!$AG254,'Annex 2_Code'!$G$8:$G$33,0)),"")</f>
        <v>0</v>
      </c>
      <c r="U254" s="618">
        <f>IFERROR(INDEX('Annex 2_Code'!J$8:J$33,MATCH('Annex 3_MAFF'!$AG254,'Annex 2_Code'!$G$8:$G$33,0)),"")</f>
        <v>0</v>
      </c>
      <c r="V254" s="618">
        <f>IFERROR(INDEX('Annex 2_Code'!K$8:K$33,MATCH('Annex 3_MAFF'!$AG254,'Annex 2_Code'!$G$8:$G$33,0)),"")</f>
        <v>1</v>
      </c>
      <c r="W254" s="618">
        <f>IFERROR(INDEX('Annex 2_Code'!L$8:L$33,MATCH('Annex 3_MAFF'!$AG254,'Annex 2_Code'!$G$8:$G$33,0)),"")</f>
        <v>0</v>
      </c>
      <c r="X254" s="618">
        <f>IFERROR(INDEX('Annex 2_Code'!M$8:M$33,MATCH('Annex 3_MAFF'!$AG254,'Annex 2_Code'!$G$8:$G$33,0)),"")</f>
        <v>0</v>
      </c>
      <c r="Y254" s="1536">
        <f t="shared" si="257"/>
        <v>0</v>
      </c>
      <c r="Z254" s="717">
        <f t="shared" si="257"/>
        <v>0</v>
      </c>
      <c r="AA254" s="717">
        <f t="shared" si="246"/>
        <v>72</v>
      </c>
      <c r="AB254" s="717">
        <f t="shared" si="257"/>
        <v>0</v>
      </c>
      <c r="AC254" s="718">
        <f t="shared" si="257"/>
        <v>0</v>
      </c>
      <c r="AD254" s="626">
        <f t="shared" si="219"/>
        <v>72</v>
      </c>
      <c r="AE254" s="627">
        <f t="shared" si="220"/>
        <v>0</v>
      </c>
      <c r="AF254" s="568" t="s">
        <v>488</v>
      </c>
      <c r="AG254" s="568" t="s">
        <v>386</v>
      </c>
      <c r="AH254" s="568" t="str">
        <f>IFERROR(INDEX('[3]Annex 2'!$J$110:$J$122,MATCH('[3]Annex 3 (''MEF)'!AF270,'[3]Annex 2'!$G$110:$G$122,0)),"")</f>
        <v>MAFF-GDA</v>
      </c>
      <c r="AI254" s="882" t="str">
        <f t="shared" si="251"/>
        <v>MAFF</v>
      </c>
      <c r="AK254" s="1390"/>
      <c r="AL254" s="1390"/>
    </row>
    <row r="255" spans="1:38" s="366" customFormat="1" outlineLevel="1">
      <c r="A255" s="102"/>
      <c r="B255" s="1057" t="s">
        <v>173</v>
      </c>
      <c r="C255" s="1058"/>
      <c r="D255" s="110"/>
      <c r="E255" s="122" t="s">
        <v>730</v>
      </c>
      <c r="F255" s="364"/>
      <c r="G255" s="1059"/>
      <c r="H255" s="537"/>
      <c r="I255" s="539"/>
      <c r="J255" s="671"/>
      <c r="K255" s="672"/>
      <c r="L255" s="672"/>
      <c r="M255" s="672"/>
      <c r="N255" s="673"/>
      <c r="O255" s="698"/>
      <c r="P255" s="699"/>
      <c r="Q255" s="699"/>
      <c r="R255" s="699"/>
      <c r="S255" s="115"/>
      <c r="T255" s="618" t="str">
        <f>IFERROR(INDEX('Annex 2_Code'!I$8:I$33,MATCH('Annex 3_MAFF'!$AG255,'Annex 2_Code'!$G$8:$G$33,0)),"")</f>
        <v/>
      </c>
      <c r="U255" s="618" t="str">
        <f>IFERROR(INDEX('Annex 2_Code'!J$8:J$33,MATCH('Annex 3_MAFF'!$AG255,'Annex 2_Code'!$G$8:$G$33,0)),"")</f>
        <v/>
      </c>
      <c r="V255" s="618" t="str">
        <f>IFERROR(INDEX('Annex 2_Code'!K$8:K$33,MATCH('Annex 3_MAFF'!$AG255,'Annex 2_Code'!$G$8:$G$33,0)),"")</f>
        <v/>
      </c>
      <c r="W255" s="618" t="str">
        <f>IFERROR(INDEX('Annex 2_Code'!L$8:L$33,MATCH('Annex 3_MAFF'!$AG255,'Annex 2_Code'!$G$8:$G$33,0)),"")</f>
        <v/>
      </c>
      <c r="X255" s="618" t="str">
        <f>IFERROR(INDEX('Annex 2_Code'!M$8:M$33,MATCH('Annex 3_MAFF'!$AG255,'Annex 2_Code'!$G$8:$G$33,0)),"")</f>
        <v/>
      </c>
      <c r="Y255" s="1537" t="str">
        <f t="shared" ref="Y255:AC258" si="258">IFERROR($S255*T255,"")</f>
        <v/>
      </c>
      <c r="Z255" s="1063" t="str">
        <f t="shared" ref="Z255" si="259">IFERROR($S255*U255,"")</f>
        <v/>
      </c>
      <c r="AA255" s="717" t="str">
        <f t="shared" si="246"/>
        <v/>
      </c>
      <c r="AB255" s="1063" t="str">
        <f t="shared" ref="AB255:AC257" si="260">IFERROR($S255*W255,"")</f>
        <v/>
      </c>
      <c r="AC255" s="1064" t="str">
        <f t="shared" ref="AC255" si="261">IFERROR($S255*X255,"")</f>
        <v/>
      </c>
      <c r="AD255" s="626">
        <f t="shared" ref="AD255:AD279" si="262">SUM(Y255:AC255)</f>
        <v>0</v>
      </c>
      <c r="AE255" s="627">
        <f t="shared" ref="AE255:AE279" si="263">AD255-S255</f>
        <v>0</v>
      </c>
      <c r="AF255" s="568"/>
      <c r="AG255" s="568"/>
      <c r="AH255" s="568"/>
      <c r="AI255" s="882"/>
      <c r="AK255" s="1383"/>
      <c r="AL255" s="1383"/>
    </row>
    <row r="256" spans="1:38" s="366" customFormat="1" outlineLevel="1">
      <c r="A256" s="102"/>
      <c r="B256" s="374" t="s">
        <v>36</v>
      </c>
      <c r="C256" s="1115" t="s">
        <v>36</v>
      </c>
      <c r="D256" s="78"/>
      <c r="E256" s="97" t="s">
        <v>655</v>
      </c>
      <c r="F256" s="364"/>
      <c r="G256" s="722" t="s">
        <v>814</v>
      </c>
      <c r="H256" s="588" t="s">
        <v>603</v>
      </c>
      <c r="I256" s="587">
        <v>2.5</v>
      </c>
      <c r="J256" s="665">
        <v>0</v>
      </c>
      <c r="K256" s="666">
        <v>8</v>
      </c>
      <c r="L256" s="666">
        <v>0</v>
      </c>
      <c r="M256" s="666">
        <v>0</v>
      </c>
      <c r="N256" s="678">
        <f t="shared" ref="N256:N258" si="264">SUM(J256:M256)</f>
        <v>8</v>
      </c>
      <c r="O256" s="698">
        <f t="shared" ref="O256:P258" si="265">($I256*J256)</f>
        <v>0</v>
      </c>
      <c r="P256" s="699">
        <f t="shared" si="265"/>
        <v>20</v>
      </c>
      <c r="Q256" s="699">
        <f t="shared" ref="Q256:R257" si="266">($I256*L256)</f>
        <v>0</v>
      </c>
      <c r="R256" s="699">
        <f t="shared" si="266"/>
        <v>0</v>
      </c>
      <c r="S256" s="145">
        <f>SUM(O256:R256)</f>
        <v>20</v>
      </c>
      <c r="T256" s="618">
        <f>IFERROR(INDEX('Annex 2_Code'!I$8:I$33,MATCH('Annex 3_MAFF'!$AG256,'Annex 2_Code'!$G$8:$G$33,0)),"")</f>
        <v>0</v>
      </c>
      <c r="U256" s="618">
        <f>IFERROR(INDEX('Annex 2_Code'!J$8:J$33,MATCH('Annex 3_MAFF'!$AG256,'Annex 2_Code'!$G$8:$G$33,0)),"")</f>
        <v>0</v>
      </c>
      <c r="V256" s="618">
        <f>IFERROR(INDEX('Annex 2_Code'!K$8:K$33,MATCH('Annex 3_MAFF'!$AG256,'Annex 2_Code'!$G$8:$G$33,0)),"")</f>
        <v>1</v>
      </c>
      <c r="W256" s="618">
        <f>IFERROR(INDEX('Annex 2_Code'!L$8:L$33,MATCH('Annex 3_MAFF'!$AG256,'Annex 2_Code'!$G$8:$G$33,0)),"")</f>
        <v>0</v>
      </c>
      <c r="X256" s="618">
        <f>IFERROR(INDEX('Annex 2_Code'!M$8:M$33,MATCH('Annex 3_MAFF'!$AG256,'Annex 2_Code'!$G$8:$G$33,0)),"")</f>
        <v>0</v>
      </c>
      <c r="Y256" s="1536">
        <f t="shared" si="258"/>
        <v>0</v>
      </c>
      <c r="Z256" s="717">
        <f t="shared" si="258"/>
        <v>0</v>
      </c>
      <c r="AA256" s="717">
        <f t="shared" si="246"/>
        <v>20</v>
      </c>
      <c r="AB256" s="717">
        <f t="shared" si="260"/>
        <v>0</v>
      </c>
      <c r="AC256" s="718">
        <f t="shared" si="260"/>
        <v>0</v>
      </c>
      <c r="AD256" s="626">
        <f t="shared" si="262"/>
        <v>20</v>
      </c>
      <c r="AE256" s="627">
        <f t="shared" si="263"/>
        <v>0</v>
      </c>
      <c r="AF256" s="568" t="s">
        <v>488</v>
      </c>
      <c r="AG256" s="568" t="s">
        <v>386</v>
      </c>
      <c r="AH256" s="568" t="str">
        <f>IFERROR(INDEX('[3]Annex 2'!$J$110:$J$122,MATCH('[3]Annex 3 (''MEF)'!AF272,'[3]Annex 2'!$G$110:$G$122,0)),"")</f>
        <v>MAFF-GDA</v>
      </c>
      <c r="AI256" s="882" t="str">
        <f t="shared" si="196"/>
        <v>MAFF</v>
      </c>
      <c r="AK256" s="1383"/>
      <c r="AL256" s="1383"/>
    </row>
    <row r="257" spans="1:39" s="366" customFormat="1" ht="25.5" outlineLevel="1">
      <c r="A257" s="102"/>
      <c r="B257" s="374" t="s">
        <v>36</v>
      </c>
      <c r="C257" s="1115" t="s">
        <v>36</v>
      </c>
      <c r="D257" s="78"/>
      <c r="E257" s="97" t="s">
        <v>656</v>
      </c>
      <c r="F257" s="364"/>
      <c r="G257" s="722" t="s">
        <v>664</v>
      </c>
      <c r="H257" s="1198" t="s">
        <v>292</v>
      </c>
      <c r="I257" s="587">
        <v>1.5</v>
      </c>
      <c r="J257" s="665">
        <v>0</v>
      </c>
      <c r="K257" s="666">
        <v>10</v>
      </c>
      <c r="L257" s="666">
        <v>10</v>
      </c>
      <c r="M257" s="666">
        <v>10</v>
      </c>
      <c r="N257" s="678">
        <f t="shared" si="264"/>
        <v>30</v>
      </c>
      <c r="O257" s="698">
        <f t="shared" si="265"/>
        <v>0</v>
      </c>
      <c r="P257" s="699">
        <f t="shared" si="265"/>
        <v>15</v>
      </c>
      <c r="Q257" s="699">
        <f t="shared" si="266"/>
        <v>15</v>
      </c>
      <c r="R257" s="699">
        <f t="shared" si="266"/>
        <v>15</v>
      </c>
      <c r="S257" s="145">
        <f t="shared" ref="S257" si="267">SUM(O257:R257)</f>
        <v>45</v>
      </c>
      <c r="T257" s="618">
        <f>IFERROR(INDEX('Annex 2_Code'!I$8:I$33,MATCH('Annex 3_MAFF'!$AG257,'Annex 2_Code'!$G$8:$G$33,0)),"")</f>
        <v>0</v>
      </c>
      <c r="U257" s="618">
        <f>IFERROR(INDEX('Annex 2_Code'!J$8:J$33,MATCH('Annex 3_MAFF'!$AG257,'Annex 2_Code'!$G$8:$G$33,0)),"")</f>
        <v>0</v>
      </c>
      <c r="V257" s="618">
        <f>IFERROR(INDEX('Annex 2_Code'!K$8:K$33,MATCH('Annex 3_MAFF'!$AG257,'Annex 2_Code'!$G$8:$G$33,0)),"")</f>
        <v>1</v>
      </c>
      <c r="W257" s="618">
        <f>IFERROR(INDEX('Annex 2_Code'!L$8:L$33,MATCH('Annex 3_MAFF'!$AG257,'Annex 2_Code'!$G$8:$G$33,0)),"")</f>
        <v>0</v>
      </c>
      <c r="X257" s="618">
        <f>IFERROR(INDEX('Annex 2_Code'!M$8:M$33,MATCH('Annex 3_MAFF'!$AG257,'Annex 2_Code'!$G$8:$G$33,0)),"")</f>
        <v>0</v>
      </c>
      <c r="Y257" s="1536">
        <f t="shared" si="258"/>
        <v>0</v>
      </c>
      <c r="Z257" s="717">
        <f t="shared" si="258"/>
        <v>0</v>
      </c>
      <c r="AA257" s="717">
        <f t="shared" si="246"/>
        <v>45</v>
      </c>
      <c r="AB257" s="717">
        <f t="shared" si="260"/>
        <v>0</v>
      </c>
      <c r="AC257" s="718">
        <f t="shared" si="260"/>
        <v>0</v>
      </c>
      <c r="AD257" s="626">
        <f t="shared" si="262"/>
        <v>45</v>
      </c>
      <c r="AE257" s="627">
        <f t="shared" si="263"/>
        <v>0</v>
      </c>
      <c r="AF257" s="568" t="s">
        <v>488</v>
      </c>
      <c r="AG257" s="568" t="s">
        <v>386</v>
      </c>
      <c r="AH257" s="568" t="str">
        <f>IFERROR(INDEX('[3]Annex 2'!$J$110:$J$122,MATCH('[3]Annex 3 (''MEF)'!AF273,'[3]Annex 2'!$G$110:$G$122,0)),"")</f>
        <v>MAFF-GDA</v>
      </c>
      <c r="AI257" s="882" t="str">
        <f t="shared" si="196"/>
        <v>MAFF</v>
      </c>
      <c r="AK257" s="1383"/>
      <c r="AL257" s="1383"/>
    </row>
    <row r="258" spans="1:39" s="366" customFormat="1" outlineLevel="1">
      <c r="A258" s="102"/>
      <c r="B258" s="374" t="s">
        <v>36</v>
      </c>
      <c r="C258" s="1115" t="s">
        <v>36</v>
      </c>
      <c r="D258" s="78"/>
      <c r="E258" s="97" t="s">
        <v>659</v>
      </c>
      <c r="F258" s="364"/>
      <c r="G258" s="722" t="s">
        <v>666</v>
      </c>
      <c r="H258" s="588" t="s">
        <v>665</v>
      </c>
      <c r="I258" s="587">
        <v>2</v>
      </c>
      <c r="J258" s="665">
        <v>0</v>
      </c>
      <c r="K258" s="666">
        <v>6</v>
      </c>
      <c r="L258" s="666">
        <v>6</v>
      </c>
      <c r="M258" s="666">
        <v>6</v>
      </c>
      <c r="N258" s="678">
        <f t="shared" si="264"/>
        <v>18</v>
      </c>
      <c r="O258" s="698">
        <f t="shared" si="265"/>
        <v>0</v>
      </c>
      <c r="P258" s="699">
        <f t="shared" si="265"/>
        <v>12</v>
      </c>
      <c r="Q258" s="699">
        <f>($I258*L258)</f>
        <v>12</v>
      </c>
      <c r="R258" s="699">
        <f>($I258*M258)</f>
        <v>12</v>
      </c>
      <c r="S258" s="145">
        <f>SUM(O258:R258)</f>
        <v>36</v>
      </c>
      <c r="T258" s="618">
        <f>IFERROR(INDEX('Annex 2_Code'!I$8:I$33,MATCH('Annex 3_MAFF'!$AG258,'Annex 2_Code'!$G$8:$G$33,0)),"")</f>
        <v>0</v>
      </c>
      <c r="U258" s="618">
        <f>IFERROR(INDEX('Annex 2_Code'!J$8:J$33,MATCH('Annex 3_MAFF'!$AG258,'Annex 2_Code'!$G$8:$G$33,0)),"")</f>
        <v>0</v>
      </c>
      <c r="V258" s="618">
        <f>IFERROR(INDEX('Annex 2_Code'!K$8:K$33,MATCH('Annex 3_MAFF'!$AG258,'Annex 2_Code'!$G$8:$G$33,0)),"")</f>
        <v>1</v>
      </c>
      <c r="W258" s="618">
        <f>IFERROR(INDEX('Annex 2_Code'!L$8:L$33,MATCH('Annex 3_MAFF'!$AG258,'Annex 2_Code'!$G$8:$G$33,0)),"")</f>
        <v>0</v>
      </c>
      <c r="X258" s="618">
        <f>IFERROR(INDEX('Annex 2_Code'!M$8:M$33,MATCH('Annex 3_MAFF'!$AG258,'Annex 2_Code'!$G$8:$G$33,0)),"")</f>
        <v>0</v>
      </c>
      <c r="Y258" s="1536">
        <f t="shared" si="258"/>
        <v>0</v>
      </c>
      <c r="Z258" s="717">
        <f t="shared" si="258"/>
        <v>0</v>
      </c>
      <c r="AA258" s="717">
        <f t="shared" si="246"/>
        <v>36</v>
      </c>
      <c r="AB258" s="717">
        <f t="shared" si="258"/>
        <v>0</v>
      </c>
      <c r="AC258" s="718">
        <f t="shared" si="258"/>
        <v>0</v>
      </c>
      <c r="AD258" s="626">
        <f t="shared" si="262"/>
        <v>36</v>
      </c>
      <c r="AE258" s="627">
        <f t="shared" si="263"/>
        <v>0</v>
      </c>
      <c r="AF258" s="568" t="s">
        <v>488</v>
      </c>
      <c r="AG258" s="568" t="s">
        <v>386</v>
      </c>
      <c r="AH258" s="568" t="str">
        <f>IFERROR(INDEX('[3]Annex 2'!$J$110:$J$122,MATCH('[3]Annex 3 (''MEF)'!AF274,'[3]Annex 2'!$G$110:$G$122,0)),"")</f>
        <v>MAFF-GDA</v>
      </c>
      <c r="AI258" s="882" t="str">
        <f t="shared" si="196"/>
        <v>MAFF</v>
      </c>
      <c r="AK258" s="1383"/>
      <c r="AL258" s="1383"/>
    </row>
    <row r="259" spans="1:39" s="366" customFormat="1" outlineLevel="1">
      <c r="A259" s="102"/>
      <c r="B259" s="76" t="s">
        <v>173</v>
      </c>
      <c r="C259" s="1071"/>
      <c r="D259" s="1464"/>
      <c r="E259" s="1440" t="s">
        <v>41</v>
      </c>
      <c r="F259" s="1441"/>
      <c r="G259" s="1428"/>
      <c r="H259" s="1454"/>
      <c r="I259" s="1455"/>
      <c r="J259" s="1456"/>
      <c r="K259" s="1457"/>
      <c r="L259" s="1457"/>
      <c r="M259" s="1457"/>
      <c r="N259" s="1458"/>
      <c r="O259" s="1492">
        <f>SUM(O241:O258)</f>
        <v>0</v>
      </c>
      <c r="P259" s="1493">
        <f>SUM(P241:P258)</f>
        <v>189</v>
      </c>
      <c r="Q259" s="1493">
        <f>SUM(Q241:Q258)</f>
        <v>270.5</v>
      </c>
      <c r="R259" s="1493">
        <f>SUM(R241:R258)</f>
        <v>270.5</v>
      </c>
      <c r="S259" s="1509">
        <f>SUM(S241:S258)</f>
        <v>730</v>
      </c>
      <c r="T259" s="618" t="str">
        <f>IFERROR(INDEX('Annex 2_Code'!I$8:I$33,MATCH('Annex 3_MAFF'!$AG259,'Annex 2_Code'!$G$8:$G$33,0)),"")</f>
        <v/>
      </c>
      <c r="U259" s="618" t="str">
        <f>IFERROR(INDEX('Annex 2_Code'!J$8:J$33,MATCH('Annex 3_MAFF'!$AG259,'Annex 2_Code'!$G$8:$G$33,0)),"")</f>
        <v/>
      </c>
      <c r="V259" s="618" t="str">
        <f>IFERROR(INDEX('Annex 2_Code'!K$8:K$33,MATCH('Annex 3_MAFF'!$AG259,'Annex 2_Code'!$G$8:$G$33,0)),"")</f>
        <v/>
      </c>
      <c r="W259" s="618" t="str">
        <f>IFERROR(INDEX('Annex 2_Code'!L$8:L$33,MATCH('Annex 3_MAFF'!$AG259,'Annex 2_Code'!$G$8:$G$33,0)),"")</f>
        <v/>
      </c>
      <c r="X259" s="618" t="str">
        <f>IFERROR(INDEX('Annex 2_Code'!M$8:M$33,MATCH('Annex 3_MAFF'!$AG259,'Annex 2_Code'!$G$8:$G$33,0)),"")</f>
        <v/>
      </c>
      <c r="Y259" s="1536" t="str">
        <f t="shared" ref="Y259:AC354" si="268">IFERROR($S259*T259,"")</f>
        <v/>
      </c>
      <c r="Z259" s="717" t="str">
        <f t="shared" ref="Z259:Z354" si="269">IFERROR($S259*U259,"")</f>
        <v/>
      </c>
      <c r="AA259" s="717" t="str">
        <f t="shared" si="246"/>
        <v/>
      </c>
      <c r="AB259" s="717" t="str">
        <f t="shared" ref="AB259:AB354" si="270">IFERROR($S259*W259,"")</f>
        <v/>
      </c>
      <c r="AC259" s="718" t="str">
        <f t="shared" ref="AC259:AC354" si="271">IFERROR($S259*X259,"")</f>
        <v/>
      </c>
      <c r="AD259" s="626">
        <f t="shared" si="262"/>
        <v>0</v>
      </c>
      <c r="AE259" s="627">
        <f t="shared" si="263"/>
        <v>-730</v>
      </c>
      <c r="AF259" s="568"/>
      <c r="AG259" s="568"/>
      <c r="AH259" s="568" t="str">
        <f>IFERROR(INDEX('Annex 2_Code'!$J$110:$J$122,MATCH('Annex 3_MAFF'!AF259,'Annex 2_Code'!$G$110:$G$122,0)),"")</f>
        <v/>
      </c>
      <c r="AI259" s="882" t="str">
        <f t="shared" si="196"/>
        <v/>
      </c>
      <c r="AK259" s="1383"/>
      <c r="AL259" s="1383"/>
    </row>
    <row r="260" spans="1:39" s="366" customFormat="1" outlineLevel="1">
      <c r="A260" s="102"/>
      <c r="B260" s="76" t="s">
        <v>173</v>
      </c>
      <c r="C260" s="1071"/>
      <c r="D260" s="78"/>
      <c r="E260" s="97"/>
      <c r="F260" s="364"/>
      <c r="G260" s="722"/>
      <c r="H260" s="565"/>
      <c r="I260" s="566"/>
      <c r="J260" s="665"/>
      <c r="K260" s="666"/>
      <c r="L260" s="666"/>
      <c r="M260" s="666"/>
      <c r="N260" s="667"/>
      <c r="O260" s="1103"/>
      <c r="P260" s="689"/>
      <c r="Q260" s="689"/>
      <c r="R260" s="689"/>
      <c r="S260" s="145"/>
      <c r="T260" s="618" t="str">
        <f>IFERROR(INDEX('Annex 2_Code'!I$8:I$33,MATCH('Annex 3_MAFF'!$AG260,'Annex 2_Code'!$G$8:$G$33,0)),"")</f>
        <v/>
      </c>
      <c r="U260" s="618" t="str">
        <f>IFERROR(INDEX('Annex 2_Code'!J$8:J$33,MATCH('Annex 3_MAFF'!$AG260,'Annex 2_Code'!$G$8:$G$33,0)),"")</f>
        <v/>
      </c>
      <c r="V260" s="618" t="str">
        <f>IFERROR(INDEX('Annex 2_Code'!K$8:K$33,MATCH('Annex 3_MAFF'!$AG260,'Annex 2_Code'!$G$8:$G$33,0)),"")</f>
        <v/>
      </c>
      <c r="W260" s="618" t="str">
        <f>IFERROR(INDEX('Annex 2_Code'!L$8:L$33,MATCH('Annex 3_MAFF'!$AG260,'Annex 2_Code'!$G$8:$G$33,0)),"")</f>
        <v/>
      </c>
      <c r="X260" s="618" t="str">
        <f>IFERROR(INDEX('Annex 2_Code'!M$8:M$33,MATCH('Annex 3_MAFF'!$AG260,'Annex 2_Code'!$G$8:$G$33,0)),"")</f>
        <v/>
      </c>
      <c r="Y260" s="1536" t="str">
        <f t="shared" si="268"/>
        <v/>
      </c>
      <c r="Z260" s="717" t="str">
        <f t="shared" si="269"/>
        <v/>
      </c>
      <c r="AA260" s="717" t="str">
        <f t="shared" si="246"/>
        <v/>
      </c>
      <c r="AB260" s="717" t="str">
        <f t="shared" si="270"/>
        <v/>
      </c>
      <c r="AC260" s="718" t="str">
        <f t="shared" si="271"/>
        <v/>
      </c>
      <c r="AD260" s="626">
        <f t="shared" si="262"/>
        <v>0</v>
      </c>
      <c r="AE260" s="627">
        <f t="shared" si="263"/>
        <v>0</v>
      </c>
      <c r="AF260" s="568"/>
      <c r="AG260" s="568"/>
      <c r="AH260" s="568" t="str">
        <f>IFERROR(INDEX('Annex 2_Code'!$J$110:$J$122,MATCH('Annex 3_MAFF'!AF260,'Annex 2_Code'!$G$110:$G$122,0)),"")</f>
        <v/>
      </c>
      <c r="AI260" s="882" t="str">
        <f t="shared" si="196"/>
        <v/>
      </c>
      <c r="AK260" s="1383"/>
      <c r="AL260" s="1383"/>
    </row>
    <row r="261" spans="1:39" s="366" customFormat="1" outlineLevel="1">
      <c r="A261" s="102"/>
      <c r="B261" s="76" t="s">
        <v>173</v>
      </c>
      <c r="C261" s="1071"/>
      <c r="D261" s="78"/>
      <c r="E261" s="364" t="s">
        <v>660</v>
      </c>
      <c r="G261" s="722"/>
      <c r="H261" s="565" t="s">
        <v>14</v>
      </c>
      <c r="I261" s="566"/>
      <c r="J261" s="665"/>
      <c r="K261" s="666"/>
      <c r="L261" s="666"/>
      <c r="M261" s="666"/>
      <c r="N261" s="667"/>
      <c r="O261" s="1103"/>
      <c r="P261" s="689"/>
      <c r="Q261" s="689"/>
      <c r="R261" s="689"/>
      <c r="S261" s="145"/>
      <c r="T261" s="618" t="str">
        <f>IFERROR(INDEX('Annex 2_Code'!I$8:I$33,MATCH('Annex 3_MAFF'!$AG261,'Annex 2_Code'!$G$8:$G$33,0)),"")</f>
        <v/>
      </c>
      <c r="U261" s="618" t="str">
        <f>IFERROR(INDEX('Annex 2_Code'!J$8:J$33,MATCH('Annex 3_MAFF'!$AG261,'Annex 2_Code'!$G$8:$G$33,0)),"")</f>
        <v/>
      </c>
      <c r="V261" s="618" t="str">
        <f>IFERROR(INDEX('Annex 2_Code'!K$8:K$33,MATCH('Annex 3_MAFF'!$AG261,'Annex 2_Code'!$G$8:$G$33,0)),"")</f>
        <v/>
      </c>
      <c r="W261" s="618" t="str">
        <f>IFERROR(INDEX('Annex 2_Code'!L$8:L$33,MATCH('Annex 3_MAFF'!$AG261,'Annex 2_Code'!$G$8:$G$33,0)),"")</f>
        <v/>
      </c>
      <c r="X261" s="618" t="str">
        <f>IFERROR(INDEX('Annex 2_Code'!M$8:M$33,MATCH('Annex 3_MAFF'!$AG261,'Annex 2_Code'!$G$8:$G$33,0)),"")</f>
        <v/>
      </c>
      <c r="Y261" s="1536" t="str">
        <f t="shared" si="268"/>
        <v/>
      </c>
      <c r="Z261" s="717" t="str">
        <f t="shared" si="269"/>
        <v/>
      </c>
      <c r="AA261" s="717" t="str">
        <f t="shared" si="246"/>
        <v/>
      </c>
      <c r="AB261" s="717" t="str">
        <f t="shared" si="270"/>
        <v/>
      </c>
      <c r="AC261" s="718" t="str">
        <f t="shared" si="271"/>
        <v/>
      </c>
      <c r="AD261" s="626">
        <f t="shared" si="262"/>
        <v>0</v>
      </c>
      <c r="AE261" s="627">
        <f t="shared" si="263"/>
        <v>0</v>
      </c>
      <c r="AF261" s="568"/>
      <c r="AG261" s="568"/>
      <c r="AH261" s="568" t="str">
        <f>IFERROR(INDEX('Annex 2_Code'!$J$110:$J$122,MATCH('Annex 3_MAFF'!AF261,'Annex 2_Code'!$G$110:$G$122,0)),"")</f>
        <v/>
      </c>
      <c r="AI261" s="882" t="str">
        <f t="shared" si="196"/>
        <v/>
      </c>
      <c r="AK261" s="1383"/>
      <c r="AL261" s="1383"/>
    </row>
    <row r="262" spans="1:39" s="366" customFormat="1" outlineLevel="1">
      <c r="A262" s="102"/>
      <c r="B262" s="76" t="s">
        <v>36</v>
      </c>
      <c r="C262" s="1071" t="s">
        <v>36</v>
      </c>
      <c r="D262" s="78"/>
      <c r="E262" s="97" t="s">
        <v>752</v>
      </c>
      <c r="F262" s="364"/>
      <c r="G262" s="722" t="s">
        <v>83</v>
      </c>
      <c r="H262" s="538" t="s">
        <v>184</v>
      </c>
      <c r="I262" s="584">
        <v>120</v>
      </c>
      <c r="J262" s="665">
        <v>0</v>
      </c>
      <c r="K262" s="666">
        <v>0.5</v>
      </c>
      <c r="L262" s="666">
        <v>0.5</v>
      </c>
      <c r="M262" s="666">
        <v>0</v>
      </c>
      <c r="N262" s="667">
        <f t="shared" ref="N262:N266" si="272">SUM(J262:M262)</f>
        <v>1</v>
      </c>
      <c r="O262" s="1103">
        <f>($I262*J262)</f>
        <v>0</v>
      </c>
      <c r="P262" s="689">
        <f>($I262*K262)</f>
        <v>60</v>
      </c>
      <c r="Q262" s="689">
        <f t="shared" ref="Q262:R266" si="273">($I262*L262)</f>
        <v>60</v>
      </c>
      <c r="R262" s="689">
        <f t="shared" si="273"/>
        <v>0</v>
      </c>
      <c r="S262" s="145">
        <f>SUM(O262:R262)</f>
        <v>120</v>
      </c>
      <c r="T262" s="618">
        <f>IFERROR(INDEX('Annex 2_Code'!I$8:I$33,MATCH('Annex 3_MAFF'!$AG262,'Annex 2_Code'!$G$8:$G$33,0)),"")</f>
        <v>0</v>
      </c>
      <c r="U262" s="618">
        <f>IFERROR(INDEX('Annex 2_Code'!J$8:J$33,MATCH('Annex 3_MAFF'!$AG262,'Annex 2_Code'!$G$8:$G$33,0)),"")</f>
        <v>0</v>
      </c>
      <c r="V262" s="618">
        <f>IFERROR(INDEX('Annex 2_Code'!K$8:K$33,MATCH('Annex 3_MAFF'!$AG262,'Annex 2_Code'!$G$8:$G$33,0)),"")</f>
        <v>1</v>
      </c>
      <c r="W262" s="618">
        <f>IFERROR(INDEX('Annex 2_Code'!L$8:L$33,MATCH('Annex 3_MAFF'!$AG262,'Annex 2_Code'!$G$8:$G$33,0)),"")</f>
        <v>0</v>
      </c>
      <c r="X262" s="618">
        <f>IFERROR(INDEX('Annex 2_Code'!M$8:M$33,MATCH('Annex 3_MAFF'!$AG262,'Annex 2_Code'!$G$8:$G$33,0)),"")</f>
        <v>0</v>
      </c>
      <c r="Y262" s="1536">
        <f t="shared" si="268"/>
        <v>0</v>
      </c>
      <c r="Z262" s="717">
        <f t="shared" si="268"/>
        <v>0</v>
      </c>
      <c r="AA262" s="717">
        <f t="shared" si="246"/>
        <v>120</v>
      </c>
      <c r="AB262" s="717">
        <f t="shared" si="268"/>
        <v>0</v>
      </c>
      <c r="AC262" s="718">
        <f t="shared" si="268"/>
        <v>0</v>
      </c>
      <c r="AD262" s="626">
        <f t="shared" si="262"/>
        <v>120</v>
      </c>
      <c r="AE262" s="627">
        <f t="shared" si="263"/>
        <v>0</v>
      </c>
      <c r="AF262" s="568" t="s">
        <v>488</v>
      </c>
      <c r="AG262" s="568" t="s">
        <v>384</v>
      </c>
      <c r="AH262" s="568" t="str">
        <f>IFERROR(INDEX('[3]Annex 2'!$J$110:$J$122,MATCH('[3]Annex 3 (''MEF)'!AF278,'[3]Annex 2'!$G$110:$G$122,0)),"")</f>
        <v>MAFF-GDA</v>
      </c>
      <c r="AI262" s="882" t="str">
        <f t="shared" ref="AI262:AI266" si="274">IF(ISNUMBER(FIND("-",AH262,1))=FALSE,LEFT(AH262,LEN(AH262)),LEFT(AH262,(FIND("-",AH262,1))-1))</f>
        <v>MAFF</v>
      </c>
      <c r="AK262" s="1383"/>
      <c r="AL262" s="1383"/>
    </row>
    <row r="263" spans="1:39" s="366" customFormat="1" outlineLevel="1">
      <c r="A263" s="102"/>
      <c r="B263" s="76" t="s">
        <v>36</v>
      </c>
      <c r="C263" s="1071" t="s">
        <v>36</v>
      </c>
      <c r="D263" s="78"/>
      <c r="E263" s="97" t="s">
        <v>753</v>
      </c>
      <c r="F263" s="364"/>
      <c r="G263" s="722" t="s">
        <v>661</v>
      </c>
      <c r="H263" s="538" t="s">
        <v>662</v>
      </c>
      <c r="I263" s="584">
        <v>68.25</v>
      </c>
      <c r="J263" s="665">
        <v>0</v>
      </c>
      <c r="K263" s="666">
        <v>0.5</v>
      </c>
      <c r="L263" s="666">
        <v>0</v>
      </c>
      <c r="M263" s="666">
        <v>0</v>
      </c>
      <c r="N263" s="667">
        <f>SUM(J263:M263)</f>
        <v>0.5</v>
      </c>
      <c r="O263" s="1103">
        <f t="shared" ref="O263:O266" si="275">($I263*J263)</f>
        <v>0</v>
      </c>
      <c r="P263" s="689">
        <f t="shared" ref="P263:P266" si="276">($I263*K263)</f>
        <v>34.125</v>
      </c>
      <c r="Q263" s="689">
        <f t="shared" si="273"/>
        <v>0</v>
      </c>
      <c r="R263" s="689">
        <f t="shared" si="273"/>
        <v>0</v>
      </c>
      <c r="S263" s="145">
        <f t="shared" ref="S263:S266" si="277">SUM(O263:R263)</f>
        <v>34.125</v>
      </c>
      <c r="T263" s="618">
        <f>IFERROR(INDEX('Annex 2_Code'!I$8:I$33,MATCH('Annex 3_MAFF'!$AG263,'Annex 2_Code'!$G$8:$G$33,0)),"")</f>
        <v>0</v>
      </c>
      <c r="U263" s="618">
        <f>IFERROR(INDEX('Annex 2_Code'!J$8:J$33,MATCH('Annex 3_MAFF'!$AG263,'Annex 2_Code'!$G$8:$G$33,0)),"")</f>
        <v>0</v>
      </c>
      <c r="V263" s="618">
        <f>IFERROR(INDEX('Annex 2_Code'!K$8:K$33,MATCH('Annex 3_MAFF'!$AG263,'Annex 2_Code'!$G$8:$G$33,0)),"")</f>
        <v>1</v>
      </c>
      <c r="W263" s="618">
        <f>IFERROR(INDEX('Annex 2_Code'!L$8:L$33,MATCH('Annex 3_MAFF'!$AG263,'Annex 2_Code'!$G$8:$G$33,0)),"")</f>
        <v>0</v>
      </c>
      <c r="X263" s="618">
        <f>IFERROR(INDEX('Annex 2_Code'!M$8:M$33,MATCH('Annex 3_MAFF'!$AG263,'Annex 2_Code'!$G$8:$G$33,0)),"")</f>
        <v>0</v>
      </c>
      <c r="Y263" s="1536">
        <f t="shared" si="268"/>
        <v>0</v>
      </c>
      <c r="Z263" s="717">
        <f t="shared" si="268"/>
        <v>0</v>
      </c>
      <c r="AA263" s="717">
        <f t="shared" si="246"/>
        <v>34.125</v>
      </c>
      <c r="AB263" s="717">
        <f t="shared" si="268"/>
        <v>0</v>
      </c>
      <c r="AC263" s="718">
        <f t="shared" si="268"/>
        <v>0</v>
      </c>
      <c r="AD263" s="626">
        <f t="shared" si="262"/>
        <v>34.125</v>
      </c>
      <c r="AE263" s="627">
        <f t="shared" si="263"/>
        <v>0</v>
      </c>
      <c r="AF263" s="568" t="s">
        <v>488</v>
      </c>
      <c r="AG263" s="568" t="s">
        <v>386</v>
      </c>
      <c r="AH263" s="568" t="str">
        <f>IFERROR(INDEX('[3]Annex 2'!$J$110:$J$122,MATCH('[3]Annex 3 (''MEF)'!AF279,'[3]Annex 2'!$G$110:$G$122,0)),"")</f>
        <v>MAFF-GDA</v>
      </c>
      <c r="AI263" s="882" t="str">
        <f t="shared" si="274"/>
        <v>MAFF</v>
      </c>
      <c r="AK263" s="1383"/>
      <c r="AL263" s="1383"/>
    </row>
    <row r="264" spans="1:39" s="366" customFormat="1" outlineLevel="1">
      <c r="A264" s="102"/>
      <c r="B264" s="76" t="s">
        <v>57</v>
      </c>
      <c r="C264" s="76" t="s">
        <v>57</v>
      </c>
      <c r="D264" s="78"/>
      <c r="E264" s="97" t="s">
        <v>754</v>
      </c>
      <c r="F264" s="364"/>
      <c r="G264" s="722" t="s">
        <v>703</v>
      </c>
      <c r="H264" s="538" t="s">
        <v>641</v>
      </c>
      <c r="I264" s="584">
        <v>6</v>
      </c>
      <c r="J264" s="665">
        <v>0</v>
      </c>
      <c r="K264" s="666">
        <v>1</v>
      </c>
      <c r="L264" s="666">
        <v>0</v>
      </c>
      <c r="M264" s="666">
        <v>1</v>
      </c>
      <c r="N264" s="678">
        <f>SUM(J264:M264)</f>
        <v>2</v>
      </c>
      <c r="O264" s="1103">
        <f t="shared" si="275"/>
        <v>0</v>
      </c>
      <c r="P264" s="689">
        <f t="shared" si="276"/>
        <v>6</v>
      </c>
      <c r="Q264" s="689">
        <f t="shared" si="273"/>
        <v>0</v>
      </c>
      <c r="R264" s="689">
        <f t="shared" si="273"/>
        <v>6</v>
      </c>
      <c r="S264" s="145">
        <f t="shared" si="277"/>
        <v>12</v>
      </c>
      <c r="T264" s="618">
        <f>IFERROR(INDEX('Annex 2_Code'!I$8:I$33,MATCH('Annex 3_MAFF'!$AG264,'Annex 2_Code'!$G$8:$G$33,0)),"")</f>
        <v>0</v>
      </c>
      <c r="U264" s="618">
        <f>IFERROR(INDEX('Annex 2_Code'!J$8:J$33,MATCH('Annex 3_MAFF'!$AG264,'Annex 2_Code'!$G$8:$G$33,0)),"")</f>
        <v>0</v>
      </c>
      <c r="V264" s="618">
        <f>IFERROR(INDEX('Annex 2_Code'!K$8:K$33,MATCH('Annex 3_MAFF'!$AG264,'Annex 2_Code'!$G$8:$G$33,0)),"")</f>
        <v>1</v>
      </c>
      <c r="W264" s="618">
        <f>IFERROR(INDEX('Annex 2_Code'!L$8:L$33,MATCH('Annex 3_MAFF'!$AG264,'Annex 2_Code'!$G$8:$G$33,0)),"")</f>
        <v>0</v>
      </c>
      <c r="X264" s="618">
        <f>IFERROR(INDEX('Annex 2_Code'!M$8:M$33,MATCH('Annex 3_MAFF'!$AG264,'Annex 2_Code'!$G$8:$G$33,0)),"")</f>
        <v>0</v>
      </c>
      <c r="Y264" s="1536">
        <f t="shared" si="268"/>
        <v>0</v>
      </c>
      <c r="Z264" s="717">
        <f t="shared" si="268"/>
        <v>0</v>
      </c>
      <c r="AA264" s="717">
        <f t="shared" si="268"/>
        <v>12</v>
      </c>
      <c r="AB264" s="717">
        <f t="shared" si="268"/>
        <v>0</v>
      </c>
      <c r="AC264" s="718">
        <f t="shared" si="268"/>
        <v>0</v>
      </c>
      <c r="AD264" s="626">
        <f t="shared" si="262"/>
        <v>12</v>
      </c>
      <c r="AE264" s="627">
        <f t="shared" si="263"/>
        <v>0</v>
      </c>
      <c r="AF264" s="568" t="s">
        <v>488</v>
      </c>
      <c r="AG264" s="568" t="s">
        <v>386</v>
      </c>
      <c r="AH264" s="568" t="str">
        <f>IFERROR(INDEX('[3]Annex 2'!$J$110:$J$122,MATCH('[3]Annex 3 (''MEF)'!AF280,'[3]Annex 2'!$G$110:$G$122,0)),"")</f>
        <v>MAFF-GDA</v>
      </c>
      <c r="AI264" s="882" t="str">
        <f t="shared" si="274"/>
        <v>MAFF</v>
      </c>
      <c r="AK264" s="1383"/>
      <c r="AL264" s="1383"/>
    </row>
    <row r="265" spans="1:39" s="366" customFormat="1" outlineLevel="1">
      <c r="A265" s="102"/>
      <c r="B265" s="76" t="s">
        <v>36</v>
      </c>
      <c r="C265" s="1071" t="s">
        <v>36</v>
      </c>
      <c r="D265" s="78"/>
      <c r="E265" s="97" t="s">
        <v>811</v>
      </c>
      <c r="F265" s="364"/>
      <c r="G265" s="722" t="s">
        <v>881</v>
      </c>
      <c r="H265" s="538" t="s">
        <v>704</v>
      </c>
      <c r="I265" s="584">
        <v>0.5</v>
      </c>
      <c r="J265" s="665">
        <v>0</v>
      </c>
      <c r="K265" s="666">
        <v>6</v>
      </c>
      <c r="L265" s="666">
        <v>6</v>
      </c>
      <c r="M265" s="666">
        <v>6</v>
      </c>
      <c r="N265" s="678">
        <f>SUM(J265:M265)</f>
        <v>18</v>
      </c>
      <c r="O265" s="1103">
        <f t="shared" si="275"/>
        <v>0</v>
      </c>
      <c r="P265" s="689">
        <f t="shared" si="276"/>
        <v>3</v>
      </c>
      <c r="Q265" s="689">
        <f t="shared" si="273"/>
        <v>3</v>
      </c>
      <c r="R265" s="689">
        <f t="shared" si="273"/>
        <v>3</v>
      </c>
      <c r="S265" s="145">
        <f t="shared" si="277"/>
        <v>9</v>
      </c>
      <c r="T265" s="618">
        <f>IFERROR(INDEX('Annex 2_Code'!I$8:I$33,MATCH('Annex 3_MAFF'!$AG265,'Annex 2_Code'!$G$8:$G$33,0)),"")</f>
        <v>0</v>
      </c>
      <c r="U265" s="618">
        <f>IFERROR(INDEX('Annex 2_Code'!J$8:J$33,MATCH('Annex 3_MAFF'!$AG265,'Annex 2_Code'!$G$8:$G$33,0)),"")</f>
        <v>0</v>
      </c>
      <c r="V265" s="618">
        <f>IFERROR(INDEX('Annex 2_Code'!K$8:K$33,MATCH('Annex 3_MAFF'!$AG265,'Annex 2_Code'!$G$8:$G$33,0)),"")</f>
        <v>1</v>
      </c>
      <c r="W265" s="618">
        <f>IFERROR(INDEX('Annex 2_Code'!L$8:L$33,MATCH('Annex 3_MAFF'!$AG265,'Annex 2_Code'!$G$8:$G$33,0)),"")</f>
        <v>0</v>
      </c>
      <c r="X265" s="618">
        <f>IFERROR(INDEX('Annex 2_Code'!M$8:M$33,MATCH('Annex 3_MAFF'!$AG265,'Annex 2_Code'!$G$8:$G$33,0)),"")</f>
        <v>0</v>
      </c>
      <c r="Y265" s="1536">
        <f t="shared" si="268"/>
        <v>0</v>
      </c>
      <c r="Z265" s="717">
        <f t="shared" si="268"/>
        <v>0</v>
      </c>
      <c r="AA265" s="717">
        <f t="shared" si="268"/>
        <v>9</v>
      </c>
      <c r="AB265" s="717">
        <f t="shared" si="268"/>
        <v>0</v>
      </c>
      <c r="AC265" s="718">
        <f t="shared" si="268"/>
        <v>0</v>
      </c>
      <c r="AD265" s="626">
        <f t="shared" si="262"/>
        <v>9</v>
      </c>
      <c r="AE265" s="627">
        <f t="shared" si="263"/>
        <v>0</v>
      </c>
      <c r="AF265" s="568" t="s">
        <v>488</v>
      </c>
      <c r="AG265" s="568" t="s">
        <v>386</v>
      </c>
      <c r="AH265" s="568" t="str">
        <f>IFERROR(INDEX('[3]Annex 2'!$J$110:$J$122,MATCH('[3]Annex 3 (''MEF)'!AF282,'[3]Annex 2'!$G$110:$G$122,0)),"")</f>
        <v>MAFF-GDA</v>
      </c>
      <c r="AI265" s="882" t="str">
        <f t="shared" si="274"/>
        <v>MAFF</v>
      </c>
      <c r="AK265" s="1383"/>
      <c r="AL265" s="1383"/>
    </row>
    <row r="266" spans="1:39" s="366" customFormat="1" outlineLevel="1">
      <c r="A266" s="102"/>
      <c r="B266" s="374" t="s">
        <v>294</v>
      </c>
      <c r="C266" s="1115" t="s">
        <v>544</v>
      </c>
      <c r="D266" s="78"/>
      <c r="E266" s="97" t="s">
        <v>812</v>
      </c>
      <c r="F266" s="364"/>
      <c r="G266" s="721" t="s">
        <v>84</v>
      </c>
      <c r="H266" s="538" t="s">
        <v>185</v>
      </c>
      <c r="I266" s="584">
        <v>0.6</v>
      </c>
      <c r="J266" s="665">
        <v>0</v>
      </c>
      <c r="K266" s="1929">
        <v>500</v>
      </c>
      <c r="L266" s="666">
        <v>0</v>
      </c>
      <c r="M266" s="666">
        <v>0</v>
      </c>
      <c r="N266" s="667">
        <f t="shared" si="272"/>
        <v>500</v>
      </c>
      <c r="O266" s="1103">
        <f t="shared" si="275"/>
        <v>0</v>
      </c>
      <c r="P266" s="689">
        <f t="shared" si="276"/>
        <v>300</v>
      </c>
      <c r="Q266" s="689">
        <f t="shared" si="273"/>
        <v>0</v>
      </c>
      <c r="R266" s="689">
        <f t="shared" si="273"/>
        <v>0</v>
      </c>
      <c r="S266" s="145">
        <f t="shared" si="277"/>
        <v>300</v>
      </c>
      <c r="T266" s="618">
        <f>IFERROR(INDEX('Annex 2_Code'!I$8:I$33,MATCH('Annex 3_MAFF'!$AG266,'Annex 2_Code'!$G$8:$G$33,0)),"")</f>
        <v>0</v>
      </c>
      <c r="U266" s="618">
        <f>IFERROR(INDEX('Annex 2_Code'!J$8:J$33,MATCH('Annex 3_MAFF'!$AG266,'Annex 2_Code'!$G$8:$G$33,0)),"")</f>
        <v>0</v>
      </c>
      <c r="V266" s="618">
        <f>IFERROR(INDEX('Annex 2_Code'!K$8:K$33,MATCH('Annex 3_MAFF'!$AG266,'Annex 2_Code'!$G$8:$G$33,0)),"")</f>
        <v>1</v>
      </c>
      <c r="W266" s="618">
        <f>IFERROR(INDEX('Annex 2_Code'!L$8:L$33,MATCH('Annex 3_MAFF'!$AG266,'Annex 2_Code'!$G$8:$G$33,0)),"")</f>
        <v>0</v>
      </c>
      <c r="X266" s="618">
        <f>IFERROR(INDEX('Annex 2_Code'!M$8:M$33,MATCH('Annex 3_MAFF'!$AG266,'Annex 2_Code'!$G$8:$G$33,0)),"")</f>
        <v>0</v>
      </c>
      <c r="Y266" s="1536">
        <f t="shared" si="268"/>
        <v>0</v>
      </c>
      <c r="Z266" s="717">
        <f t="shared" si="268"/>
        <v>0</v>
      </c>
      <c r="AA266" s="717">
        <f t="shared" si="268"/>
        <v>300</v>
      </c>
      <c r="AB266" s="717">
        <f t="shared" si="268"/>
        <v>0</v>
      </c>
      <c r="AC266" s="718">
        <f t="shared" si="268"/>
        <v>0</v>
      </c>
      <c r="AD266" s="626">
        <f t="shared" si="262"/>
        <v>300</v>
      </c>
      <c r="AE266" s="627">
        <f t="shared" si="263"/>
        <v>0</v>
      </c>
      <c r="AF266" s="568" t="s">
        <v>488</v>
      </c>
      <c r="AG266" s="568" t="s">
        <v>386</v>
      </c>
      <c r="AH266" s="568" t="str">
        <f>IFERROR(INDEX('[3]Annex 2'!$J$110:$J$122,MATCH('[3]Annex 3 (''MEF)'!AF283,'[3]Annex 2'!$G$110:$G$122,0)),"")</f>
        <v>MAFF-GDA</v>
      </c>
      <c r="AI266" s="882" t="str">
        <f t="shared" si="274"/>
        <v>MAFF</v>
      </c>
      <c r="AK266" s="1383"/>
      <c r="AL266" s="1383"/>
    </row>
    <row r="267" spans="1:39" s="366" customFormat="1" outlineLevel="1">
      <c r="A267" s="102"/>
      <c r="B267" s="76" t="s">
        <v>173</v>
      </c>
      <c r="C267" s="77"/>
      <c r="D267" s="1452"/>
      <c r="E267" s="1441" t="s">
        <v>41</v>
      </c>
      <c r="F267" s="1500"/>
      <c r="G267" s="1453"/>
      <c r="H267" s="1454" t="s">
        <v>14</v>
      </c>
      <c r="I267" s="1455"/>
      <c r="J267" s="1456"/>
      <c r="K267" s="1457"/>
      <c r="L267" s="1457"/>
      <c r="M267" s="1457"/>
      <c r="N267" s="1458"/>
      <c r="O267" s="1492">
        <f>SUM(O262:O266)</f>
        <v>0</v>
      </c>
      <c r="P267" s="1493">
        <f>SUM(P262:P266)</f>
        <v>403.125</v>
      </c>
      <c r="Q267" s="1493">
        <f>SUM(Q262:Q266)</f>
        <v>63</v>
      </c>
      <c r="R267" s="1493">
        <f>SUM(R262:R266)</f>
        <v>9</v>
      </c>
      <c r="S267" s="1450">
        <f>SUM(S262:S266)</f>
        <v>475.125</v>
      </c>
      <c r="T267" s="618" t="str">
        <f>IFERROR(INDEX('Annex 2_Code'!I$8:I$33,MATCH('Annex 3_MAFF'!$AG267,'Annex 2_Code'!$G$8:$G$33,0)),"")</f>
        <v/>
      </c>
      <c r="U267" s="618" t="str">
        <f>IFERROR(INDEX('Annex 2_Code'!J$8:J$33,MATCH('Annex 3_MAFF'!$AG267,'Annex 2_Code'!$G$8:$G$33,0)),"")</f>
        <v/>
      </c>
      <c r="V267" s="618" t="str">
        <f>IFERROR(INDEX('Annex 2_Code'!K$8:K$33,MATCH('Annex 3_MAFF'!$AG267,'Annex 2_Code'!$G$8:$G$33,0)),"")</f>
        <v/>
      </c>
      <c r="W267" s="618" t="str">
        <f>IFERROR(INDEX('Annex 2_Code'!L$8:L$33,MATCH('Annex 3_MAFF'!$AG267,'Annex 2_Code'!$G$8:$G$33,0)),"")</f>
        <v/>
      </c>
      <c r="X267" s="618" t="str">
        <f>IFERROR(INDEX('Annex 2_Code'!M$8:M$33,MATCH('Annex 3_MAFF'!$AG267,'Annex 2_Code'!$G$8:$G$33,0)),"")</f>
        <v/>
      </c>
      <c r="Y267" s="716" t="str">
        <f t="shared" si="268"/>
        <v/>
      </c>
      <c r="Z267" s="717" t="str">
        <f t="shared" si="269"/>
        <v/>
      </c>
      <c r="AA267" s="717" t="str">
        <f t="shared" si="268"/>
        <v/>
      </c>
      <c r="AB267" s="717" t="str">
        <f t="shared" si="270"/>
        <v/>
      </c>
      <c r="AC267" s="718" t="str">
        <f t="shared" si="271"/>
        <v/>
      </c>
      <c r="AD267" s="626">
        <f t="shared" si="262"/>
        <v>0</v>
      </c>
      <c r="AE267" s="627">
        <f t="shared" si="263"/>
        <v>-475.125</v>
      </c>
      <c r="AF267" s="568"/>
      <c r="AG267" s="568"/>
      <c r="AH267" s="568" t="str">
        <f>IFERROR(INDEX('Annex 2_Code'!$J$110:$J$122,MATCH('Annex 3_MAFF'!AF267,'Annex 2_Code'!$G$110:$G$122,0)),"")</f>
        <v/>
      </c>
      <c r="AI267" s="882" t="str">
        <f t="shared" ref="AI267:AI357" si="278">IF(ISNUMBER(FIND("-",AH267,1))=FALSE,LEFT(AH267,LEN(AH267)),LEFT(AH267,(FIND("-",AH267,1))-1))</f>
        <v/>
      </c>
      <c r="AK267" s="1389">
        <f>SUM(S240:S258)+SUM(S262:S266)</f>
        <v>1205.125</v>
      </c>
      <c r="AL267" s="1387" t="s">
        <v>717</v>
      </c>
      <c r="AM267" s="1387"/>
    </row>
    <row r="268" spans="1:39" s="366" customFormat="1">
      <c r="A268" s="102"/>
      <c r="B268" s="76" t="s">
        <v>173</v>
      </c>
      <c r="C268" s="77"/>
      <c r="D268" s="1459" t="s">
        <v>706</v>
      </c>
      <c r="E268" s="1506"/>
      <c r="F268" s="1507"/>
      <c r="G268" s="1508"/>
      <c r="H268" s="1999" t="s">
        <v>14</v>
      </c>
      <c r="I268" s="2000"/>
      <c r="J268" s="2001"/>
      <c r="K268" s="2002"/>
      <c r="L268" s="2002"/>
      <c r="M268" s="2002"/>
      <c r="N268" s="2003"/>
      <c r="O268" s="1982">
        <f>SUM(O267,O259)</f>
        <v>0</v>
      </c>
      <c r="P268" s="1983">
        <f>SUM(P267,P259)</f>
        <v>592.125</v>
      </c>
      <c r="Q268" s="1983">
        <f>SUM(Q267,Q259)</f>
        <v>333.5</v>
      </c>
      <c r="R268" s="1983">
        <f>SUM(R267,R259)</f>
        <v>279.5</v>
      </c>
      <c r="S268" s="1984">
        <f>SUM(S267,S259)</f>
        <v>1205.125</v>
      </c>
      <c r="T268" s="2004" t="str">
        <f>IFERROR(INDEX('Annex 2_Code'!I$8:I$33,MATCH('Annex 3_MAFF'!$AG268,'Annex 2_Code'!$G$8:$G$33,0)),"")</f>
        <v/>
      </c>
      <c r="U268" s="2004" t="str">
        <f>IFERROR(INDEX('Annex 2_Code'!J$8:J$33,MATCH('Annex 3_MAFF'!$AG268,'Annex 2_Code'!$G$8:$G$33,0)),"")</f>
        <v/>
      </c>
      <c r="V268" s="2004" t="str">
        <f>IFERROR(INDEX('Annex 2_Code'!K$8:K$33,MATCH('Annex 3_MAFF'!$AG268,'Annex 2_Code'!$G$8:$G$33,0)),"")</f>
        <v/>
      </c>
      <c r="W268" s="2004" t="str">
        <f>IFERROR(INDEX('Annex 2_Code'!L$8:L$33,MATCH('Annex 3_MAFF'!$AG268,'Annex 2_Code'!$G$8:$G$33,0)),"")</f>
        <v/>
      </c>
      <c r="X268" s="2004" t="str">
        <f>IFERROR(INDEX('Annex 2_Code'!M$8:M$33,MATCH('Annex 3_MAFF'!$AG268,'Annex 2_Code'!$G$8:$G$33,0)),"")</f>
        <v/>
      </c>
      <c r="Y268" s="2015" t="str">
        <f t="shared" si="268"/>
        <v/>
      </c>
      <c r="Z268" s="2016" t="str">
        <f t="shared" si="269"/>
        <v/>
      </c>
      <c r="AA268" s="717" t="str">
        <f t="shared" si="268"/>
        <v/>
      </c>
      <c r="AB268" s="2016" t="str">
        <f t="shared" si="270"/>
        <v/>
      </c>
      <c r="AC268" s="2017" t="str">
        <f t="shared" si="271"/>
        <v/>
      </c>
      <c r="AD268" s="2008">
        <f t="shared" si="262"/>
        <v>0</v>
      </c>
      <c r="AE268" s="2009">
        <f t="shared" si="263"/>
        <v>-1205.125</v>
      </c>
      <c r="AF268" s="2011"/>
      <c r="AG268" s="2011"/>
      <c r="AH268" s="2011" t="str">
        <f>IFERROR(INDEX('Annex 2_Code'!$J$110:$J$122,MATCH('Annex 3_MAFF'!AF268,'Annex 2_Code'!$G$110:$G$122,0)),"")</f>
        <v/>
      </c>
      <c r="AI268" s="2012" t="str">
        <f t="shared" si="278"/>
        <v/>
      </c>
      <c r="AK268" s="1383"/>
      <c r="AL268" s="1383"/>
    </row>
    <row r="269" spans="1:39" s="542" customFormat="1" ht="15.75">
      <c r="A269" s="102"/>
      <c r="B269" s="76" t="s">
        <v>173</v>
      </c>
      <c r="C269" s="77"/>
      <c r="D269" s="1201" t="s">
        <v>882</v>
      </c>
      <c r="E269" s="424"/>
      <c r="F269" s="1125"/>
      <c r="G269" s="726"/>
      <c r="H269" s="557"/>
      <c r="I269" s="558"/>
      <c r="J269" s="668"/>
      <c r="K269" s="669"/>
      <c r="L269" s="669"/>
      <c r="M269" s="669"/>
      <c r="N269" s="670"/>
      <c r="O269" s="559"/>
      <c r="P269" s="165"/>
      <c r="Q269" s="165"/>
      <c r="R269" s="165"/>
      <c r="S269" s="304"/>
      <c r="T269" s="618"/>
      <c r="U269" s="618"/>
      <c r="V269" s="618"/>
      <c r="W269" s="618"/>
      <c r="X269" s="618"/>
      <c r="Y269" s="1038"/>
      <c r="Z269" s="717"/>
      <c r="AA269" s="717">
        <f t="shared" si="268"/>
        <v>0</v>
      </c>
      <c r="AB269" s="717"/>
      <c r="AC269" s="718"/>
      <c r="AD269" s="626">
        <f t="shared" si="262"/>
        <v>0</v>
      </c>
      <c r="AE269" s="655">
        <f>SUM(AD241:AD267)</f>
        <v>1205.125</v>
      </c>
      <c r="AF269" s="568"/>
      <c r="AG269" s="568"/>
      <c r="AH269" s="568"/>
      <c r="AI269" s="882"/>
      <c r="AK269" s="1382"/>
      <c r="AL269" s="1382"/>
    </row>
    <row r="270" spans="1:39" s="366" customFormat="1">
      <c r="A270" s="102"/>
      <c r="B270" s="93" t="s">
        <v>173</v>
      </c>
      <c r="C270" s="89"/>
      <c r="D270" s="1499" t="s">
        <v>71</v>
      </c>
      <c r="E270" s="1500"/>
      <c r="F270" s="1501"/>
      <c r="G270" s="1502"/>
      <c r="H270" s="1481"/>
      <c r="I270" s="1480"/>
      <c r="J270" s="1468"/>
      <c r="K270" s="1469"/>
      <c r="L270" s="1469"/>
      <c r="M270" s="1469"/>
      <c r="N270" s="1470"/>
      <c r="O270" s="1503"/>
      <c r="P270" s="1504"/>
      <c r="Q270" s="1504"/>
      <c r="R270" s="1504"/>
      <c r="S270" s="1505"/>
      <c r="T270" s="618" t="str">
        <f>IFERROR(INDEX('Annex 2_Code'!I$8:I$33,MATCH('Annex 3_MAFF'!$AG270,'Annex 2_Code'!$G$8:$G$33,0)),"")</f>
        <v/>
      </c>
      <c r="U270" s="618" t="str">
        <f>IFERROR(INDEX('Annex 2_Code'!J$8:J$33,MATCH('Annex 3_MAFF'!$AG270,'Annex 2_Code'!$G$8:$G$33,0)),"")</f>
        <v/>
      </c>
      <c r="V270" s="618" t="str">
        <f>IFERROR(INDEX('Annex 2_Code'!K$8:K$33,MATCH('Annex 3_MAFF'!$AG270,'Annex 2_Code'!$G$8:$G$33,0)),"")</f>
        <v/>
      </c>
      <c r="W270" s="618" t="str">
        <f>IFERROR(INDEX('Annex 2_Code'!L$8:L$33,MATCH('Annex 3_MAFF'!$AG270,'Annex 2_Code'!$G$8:$G$33,0)),"")</f>
        <v/>
      </c>
      <c r="X270" s="618" t="str">
        <f>IFERROR(INDEX('Annex 2_Code'!M$8:M$33,MATCH('Annex 3_MAFF'!$AG270,'Annex 2_Code'!$G$8:$G$33,0)),"")</f>
        <v/>
      </c>
      <c r="Y270" s="716"/>
      <c r="Z270" s="717" t="str">
        <f t="shared" si="269"/>
        <v/>
      </c>
      <c r="AA270" s="717" t="str">
        <f t="shared" si="268"/>
        <v/>
      </c>
      <c r="AB270" s="717" t="str">
        <f t="shared" si="270"/>
        <v/>
      </c>
      <c r="AC270" s="718" t="str">
        <f t="shared" si="271"/>
        <v/>
      </c>
      <c r="AD270" s="626">
        <f t="shared" si="262"/>
        <v>0</v>
      </c>
      <c r="AE270" s="627">
        <f t="shared" si="263"/>
        <v>0</v>
      </c>
      <c r="AF270" s="568"/>
      <c r="AG270" s="568"/>
      <c r="AH270" s="568" t="str">
        <f>IFERROR(INDEX('Annex 2_Code'!$J$110:$J$122,MATCH('Annex 3_MAFF'!AF270,'Annex 2_Code'!$G$110:$G$122,0)),"")</f>
        <v/>
      </c>
      <c r="AI270" s="882" t="str">
        <f t="shared" si="278"/>
        <v/>
      </c>
      <c r="AK270" s="1383"/>
      <c r="AL270" s="1383"/>
    </row>
    <row r="271" spans="1:39" s="366" customFormat="1">
      <c r="A271" s="102"/>
      <c r="B271" s="93" t="s">
        <v>173</v>
      </c>
      <c r="C271" s="89"/>
      <c r="D271" s="1097" t="s">
        <v>691</v>
      </c>
      <c r="E271" s="1098"/>
      <c r="F271" s="1099"/>
      <c r="G271" s="1100"/>
      <c r="H271" s="1101"/>
      <c r="I271" s="1102"/>
      <c r="J271" s="671"/>
      <c r="K271" s="672"/>
      <c r="L271" s="672"/>
      <c r="M271" s="672"/>
      <c r="N271" s="673"/>
      <c r="O271" s="688"/>
      <c r="P271" s="689"/>
      <c r="Q271" s="689"/>
      <c r="R271" s="689"/>
      <c r="S271" s="564"/>
      <c r="T271" s="618"/>
      <c r="U271" s="618"/>
      <c r="V271" s="618"/>
      <c r="W271" s="618"/>
      <c r="X271" s="618"/>
      <c r="Y271" s="716"/>
      <c r="Z271" s="717"/>
      <c r="AA271" s="717">
        <f t="shared" si="268"/>
        <v>0</v>
      </c>
      <c r="AB271" s="717"/>
      <c r="AC271" s="718"/>
      <c r="AD271" s="626">
        <f t="shared" si="262"/>
        <v>0</v>
      </c>
      <c r="AE271" s="627">
        <f t="shared" si="263"/>
        <v>0</v>
      </c>
      <c r="AF271" s="568"/>
      <c r="AG271" s="568"/>
      <c r="AH271" s="568"/>
      <c r="AI271" s="882"/>
      <c r="AK271" s="1383"/>
      <c r="AL271" s="1383"/>
    </row>
    <row r="272" spans="1:39" s="542" customFormat="1" outlineLevel="1">
      <c r="A272" s="102"/>
      <c r="B272" s="76" t="s">
        <v>173</v>
      </c>
      <c r="C272" s="77"/>
      <c r="D272" s="78"/>
      <c r="E272" s="97" t="s">
        <v>674</v>
      </c>
      <c r="F272" s="364"/>
      <c r="G272" s="722"/>
      <c r="H272" s="565"/>
      <c r="I272" s="566"/>
      <c r="J272" s="665"/>
      <c r="K272" s="666"/>
      <c r="L272" s="666"/>
      <c r="M272" s="666"/>
      <c r="N272" s="667"/>
      <c r="O272" s="688"/>
      <c r="P272" s="689"/>
      <c r="Q272" s="689"/>
      <c r="R272" s="689"/>
      <c r="S272" s="145"/>
      <c r="T272" s="618" t="str">
        <f>IFERROR(INDEX('Annex 2_Code'!I$8:I$33,MATCH('Annex 3_MAFF'!$AG272,'Annex 2_Code'!$G$8:$G$33,0)),"")</f>
        <v/>
      </c>
      <c r="U272" s="618" t="str">
        <f>IFERROR(INDEX('Annex 2_Code'!J$8:J$33,MATCH('Annex 3_MAFF'!$AG272,'Annex 2_Code'!$G$8:$G$33,0)),"")</f>
        <v/>
      </c>
      <c r="V272" s="618" t="str">
        <f>IFERROR(INDEX('Annex 2_Code'!K$8:K$33,MATCH('Annex 3_MAFF'!$AG272,'Annex 2_Code'!$G$8:$G$33,0)),"")</f>
        <v/>
      </c>
      <c r="W272" s="618" t="str">
        <f>IFERROR(INDEX('Annex 2_Code'!L$8:L$33,MATCH('Annex 3_MAFF'!$AG272,'Annex 2_Code'!$G$8:$G$33,0)),"")</f>
        <v/>
      </c>
      <c r="X272" s="618" t="str">
        <f>IFERROR(INDEX('Annex 2_Code'!M$8:M$33,MATCH('Annex 3_MAFF'!$AG272,'Annex 2_Code'!$G$8:$G$33,0)),"")</f>
        <v/>
      </c>
      <c r="Y272" s="716" t="str">
        <f t="shared" si="268"/>
        <v/>
      </c>
      <c r="Z272" s="717" t="str">
        <f t="shared" si="269"/>
        <v/>
      </c>
      <c r="AA272" s="717" t="str">
        <f t="shared" si="268"/>
        <v/>
      </c>
      <c r="AB272" s="717" t="str">
        <f t="shared" si="270"/>
        <v/>
      </c>
      <c r="AC272" s="718" t="str">
        <f t="shared" si="271"/>
        <v/>
      </c>
      <c r="AD272" s="626">
        <f t="shared" si="262"/>
        <v>0</v>
      </c>
      <c r="AE272" s="627">
        <f t="shared" si="263"/>
        <v>0</v>
      </c>
      <c r="AF272" s="568"/>
      <c r="AG272" s="568"/>
      <c r="AH272" s="568" t="str">
        <f>IFERROR(INDEX('Annex 2_Code'!$J$110:$J$122,MATCH('Annex 3_MAFF'!AF272,'Annex 2_Code'!$G$110:$G$122,0)),"")</f>
        <v/>
      </c>
      <c r="AI272" s="882" t="str">
        <f t="shared" si="278"/>
        <v/>
      </c>
      <c r="AK272" s="1382"/>
      <c r="AL272" s="1382"/>
    </row>
    <row r="273" spans="1:39" s="542" customFormat="1" ht="25.5" outlineLevel="1">
      <c r="A273" s="102"/>
      <c r="B273" s="76" t="s">
        <v>57</v>
      </c>
      <c r="C273" s="76" t="s">
        <v>57</v>
      </c>
      <c r="D273" s="78"/>
      <c r="E273" s="97" t="s">
        <v>683</v>
      </c>
      <c r="F273" s="364"/>
      <c r="G273" s="722" t="s">
        <v>272</v>
      </c>
      <c r="H273" s="538" t="s">
        <v>179</v>
      </c>
      <c r="I273" s="584">
        <v>0.5</v>
      </c>
      <c r="J273" s="665">
        <v>0</v>
      </c>
      <c r="K273" s="666">
        <v>0</v>
      </c>
      <c r="L273" s="666">
        <v>1</v>
      </c>
      <c r="M273" s="666">
        <v>1</v>
      </c>
      <c r="N273" s="667">
        <f t="shared" ref="N273:N279" si="279">SUM(J273:M273)</f>
        <v>2</v>
      </c>
      <c r="O273" s="1103">
        <f>($I273*J273)</f>
        <v>0</v>
      </c>
      <c r="P273" s="689">
        <f>($I273*K273)</f>
        <v>0</v>
      </c>
      <c r="Q273" s="689">
        <f t="shared" ref="Q273:R279" si="280">($I273*L273)</f>
        <v>0.5</v>
      </c>
      <c r="R273" s="689">
        <f t="shared" si="280"/>
        <v>0.5</v>
      </c>
      <c r="S273" s="145">
        <f t="shared" ref="S273:S279" si="281">SUM(O273:R273)</f>
        <v>1</v>
      </c>
      <c r="T273" s="618">
        <f>IFERROR(INDEX('Annex 2_Code'!I$8:I$33,MATCH('Annex 3_MAFF'!$AG273,'Annex 2_Code'!$G$8:$G$33,0)),"")</f>
        <v>0</v>
      </c>
      <c r="U273" s="618">
        <f>IFERROR(INDEX('Annex 2_Code'!J$8:J$33,MATCH('Annex 3_MAFF'!$AG273,'Annex 2_Code'!$G$8:$G$33,0)),"")</f>
        <v>0</v>
      </c>
      <c r="V273" s="618">
        <f>IFERROR(INDEX('Annex 2_Code'!K$8:K$33,MATCH('Annex 3_MAFF'!$AG273,'Annex 2_Code'!$G$8:$G$33,0)),"")</f>
        <v>1</v>
      </c>
      <c r="W273" s="618">
        <f>IFERROR(INDEX('Annex 2_Code'!L$8:L$33,MATCH('Annex 3_MAFF'!$AG273,'Annex 2_Code'!$G$8:$G$33,0)),"")</f>
        <v>0</v>
      </c>
      <c r="X273" s="618">
        <f>IFERROR(INDEX('Annex 2_Code'!M$8:M$33,MATCH('Annex 3_MAFF'!$AG273,'Annex 2_Code'!$G$8:$G$33,0)),"")</f>
        <v>0</v>
      </c>
      <c r="Y273" s="1533">
        <f t="shared" si="268"/>
        <v>0</v>
      </c>
      <c r="Z273" s="717">
        <f t="shared" si="268"/>
        <v>0</v>
      </c>
      <c r="AA273" s="717">
        <f t="shared" si="268"/>
        <v>1</v>
      </c>
      <c r="AB273" s="717">
        <f t="shared" si="268"/>
        <v>0</v>
      </c>
      <c r="AC273" s="718">
        <f t="shared" si="268"/>
        <v>0</v>
      </c>
      <c r="AD273" s="626">
        <f t="shared" si="262"/>
        <v>1</v>
      </c>
      <c r="AE273" s="627">
        <f t="shared" si="263"/>
        <v>0</v>
      </c>
      <c r="AF273" s="568" t="s">
        <v>493</v>
      </c>
      <c r="AG273" s="568" t="s">
        <v>388</v>
      </c>
      <c r="AH273" s="568" t="str">
        <f>IFERROR(INDEX('[3]Annex 2'!$J$110:$J$122,MATCH('[3]Annex 3 (''MEF)'!AF296,'[3]Annex 2'!$G$110:$G$122,0)),"")</f>
        <v>MAFF-GDA</v>
      </c>
      <c r="AI273" s="882" t="str">
        <f t="shared" si="278"/>
        <v>MAFF</v>
      </c>
      <c r="AK273" s="1382"/>
      <c r="AL273" s="1382"/>
    </row>
    <row r="274" spans="1:39" s="542" customFormat="1" outlineLevel="1">
      <c r="A274" s="102"/>
      <c r="B274" s="76" t="s">
        <v>57</v>
      </c>
      <c r="C274" s="76" t="s">
        <v>57</v>
      </c>
      <c r="D274" s="78"/>
      <c r="E274" s="97" t="s">
        <v>684</v>
      </c>
      <c r="F274" s="364"/>
      <c r="G274" s="722" t="s">
        <v>673</v>
      </c>
      <c r="H274" s="538" t="s">
        <v>179</v>
      </c>
      <c r="I274" s="584">
        <v>0.5</v>
      </c>
      <c r="J274" s="665">
        <v>0</v>
      </c>
      <c r="K274" s="666">
        <v>0</v>
      </c>
      <c r="L274" s="666">
        <v>3</v>
      </c>
      <c r="M274" s="666">
        <v>3</v>
      </c>
      <c r="N274" s="667">
        <f t="shared" si="279"/>
        <v>6</v>
      </c>
      <c r="O274" s="1103">
        <f t="shared" ref="O274:O279" si="282">($I274*J274)</f>
        <v>0</v>
      </c>
      <c r="P274" s="689">
        <f t="shared" ref="P274:P279" si="283">($I274*K274)</f>
        <v>0</v>
      </c>
      <c r="Q274" s="689">
        <f t="shared" si="280"/>
        <v>1.5</v>
      </c>
      <c r="R274" s="689">
        <f t="shared" si="280"/>
        <v>1.5</v>
      </c>
      <c r="S274" s="145">
        <f t="shared" si="281"/>
        <v>3</v>
      </c>
      <c r="T274" s="618">
        <f>IFERROR(INDEX('Annex 2_Code'!I$8:I$33,MATCH('Annex 3_MAFF'!$AG274,'Annex 2_Code'!$G$8:$G$33,0)),"")</f>
        <v>0</v>
      </c>
      <c r="U274" s="618">
        <f>IFERROR(INDEX('Annex 2_Code'!J$8:J$33,MATCH('Annex 3_MAFF'!$AG274,'Annex 2_Code'!$G$8:$G$33,0)),"")</f>
        <v>0</v>
      </c>
      <c r="V274" s="618">
        <f>IFERROR(INDEX('Annex 2_Code'!K$8:K$33,MATCH('Annex 3_MAFF'!$AG274,'Annex 2_Code'!$G$8:$G$33,0)),"")</f>
        <v>1</v>
      </c>
      <c r="W274" s="618">
        <f>IFERROR(INDEX('Annex 2_Code'!L$8:L$33,MATCH('Annex 3_MAFF'!$AG274,'Annex 2_Code'!$G$8:$G$33,0)),"")</f>
        <v>0</v>
      </c>
      <c r="X274" s="618">
        <f>IFERROR(INDEX('Annex 2_Code'!M$8:M$33,MATCH('Annex 3_MAFF'!$AG274,'Annex 2_Code'!$G$8:$G$33,0)),"")</f>
        <v>0</v>
      </c>
      <c r="Y274" s="1533">
        <f t="shared" si="268"/>
        <v>0</v>
      </c>
      <c r="Z274" s="717">
        <f t="shared" si="268"/>
        <v>0</v>
      </c>
      <c r="AA274" s="717">
        <f t="shared" si="268"/>
        <v>3</v>
      </c>
      <c r="AB274" s="717">
        <f t="shared" si="268"/>
        <v>0</v>
      </c>
      <c r="AC274" s="718">
        <f t="shared" si="268"/>
        <v>0</v>
      </c>
      <c r="AD274" s="626">
        <f t="shared" si="262"/>
        <v>3</v>
      </c>
      <c r="AE274" s="627">
        <f t="shared" si="263"/>
        <v>0</v>
      </c>
      <c r="AF274" s="568" t="s">
        <v>493</v>
      </c>
      <c r="AG274" s="568" t="s">
        <v>388</v>
      </c>
      <c r="AH274" s="568" t="str">
        <f>IFERROR(INDEX('[3]Annex 2'!$J$110:$J$122,MATCH('[3]Annex 3 (''MEF)'!AF297,'[3]Annex 2'!$G$110:$G$122,0)),"")</f>
        <v>MAFF-GDA</v>
      </c>
      <c r="AI274" s="882" t="str">
        <f t="shared" si="278"/>
        <v>MAFF</v>
      </c>
      <c r="AK274" s="1382"/>
      <c r="AL274" s="1382"/>
    </row>
    <row r="275" spans="1:39" s="542" customFormat="1" ht="25.5" outlineLevel="1">
      <c r="A275" s="102"/>
      <c r="B275" s="76" t="s">
        <v>36</v>
      </c>
      <c r="C275" s="76" t="s">
        <v>36</v>
      </c>
      <c r="D275" s="78"/>
      <c r="E275" s="97" t="s">
        <v>685</v>
      </c>
      <c r="F275" s="364"/>
      <c r="G275" s="722" t="s">
        <v>795</v>
      </c>
      <c r="H275" s="538" t="s">
        <v>184</v>
      </c>
      <c r="I275" s="584">
        <v>70</v>
      </c>
      <c r="J275" s="665">
        <v>0</v>
      </c>
      <c r="K275" s="666">
        <v>1</v>
      </c>
      <c r="L275" s="666">
        <v>0</v>
      </c>
      <c r="M275" s="666">
        <v>0</v>
      </c>
      <c r="N275" s="667">
        <f t="shared" si="279"/>
        <v>1</v>
      </c>
      <c r="O275" s="1103">
        <f t="shared" si="282"/>
        <v>0</v>
      </c>
      <c r="P275" s="689">
        <f t="shared" si="283"/>
        <v>70</v>
      </c>
      <c r="Q275" s="689">
        <f t="shared" si="280"/>
        <v>0</v>
      </c>
      <c r="R275" s="689">
        <f t="shared" si="280"/>
        <v>0</v>
      </c>
      <c r="S275" s="145">
        <f t="shared" si="281"/>
        <v>70</v>
      </c>
      <c r="T275" s="618">
        <f>IFERROR(INDEX('Annex 2_Code'!I$8:I$33,MATCH('Annex 3_MAFF'!$AG275,'Annex 2_Code'!$G$8:$G$33,0)),"")</f>
        <v>0</v>
      </c>
      <c r="U275" s="618">
        <f>IFERROR(INDEX('Annex 2_Code'!J$8:J$33,MATCH('Annex 3_MAFF'!$AG275,'Annex 2_Code'!$G$8:$G$33,0)),"")</f>
        <v>0</v>
      </c>
      <c r="V275" s="618">
        <f>IFERROR(INDEX('Annex 2_Code'!K$8:K$33,MATCH('Annex 3_MAFF'!$AG275,'Annex 2_Code'!$G$8:$G$33,0)),"")</f>
        <v>1</v>
      </c>
      <c r="W275" s="618">
        <f>IFERROR(INDEX('Annex 2_Code'!L$8:L$33,MATCH('Annex 3_MAFF'!$AG275,'Annex 2_Code'!$G$8:$G$33,0)),"")</f>
        <v>0</v>
      </c>
      <c r="X275" s="618">
        <f>IFERROR(INDEX('Annex 2_Code'!M$8:M$33,MATCH('Annex 3_MAFF'!$AG275,'Annex 2_Code'!$G$8:$G$33,0)),"")</f>
        <v>0</v>
      </c>
      <c r="Y275" s="1533">
        <f t="shared" si="268"/>
        <v>0</v>
      </c>
      <c r="Z275" s="717">
        <f t="shared" si="268"/>
        <v>0</v>
      </c>
      <c r="AA275" s="717">
        <f t="shared" si="268"/>
        <v>70</v>
      </c>
      <c r="AB275" s="717">
        <f t="shared" si="268"/>
        <v>0</v>
      </c>
      <c r="AC275" s="718">
        <f t="shared" si="268"/>
        <v>0</v>
      </c>
      <c r="AD275" s="626">
        <f t="shared" si="262"/>
        <v>70</v>
      </c>
      <c r="AE275" s="627">
        <f t="shared" si="263"/>
        <v>0</v>
      </c>
      <c r="AF275" s="568" t="s">
        <v>493</v>
      </c>
      <c r="AG275" s="568" t="s">
        <v>388</v>
      </c>
      <c r="AH275" s="568" t="str">
        <f>IFERROR(INDEX('[3]Annex 2'!$J$110:$J$122,MATCH('[3]Annex 3 (''MEF)'!AF298,'[3]Annex 2'!$G$110:$G$122,0)),"")</f>
        <v>MAFF-GDA</v>
      </c>
      <c r="AI275" s="882" t="str">
        <f t="shared" si="278"/>
        <v>MAFF</v>
      </c>
      <c r="AK275" s="1382"/>
      <c r="AL275" s="1382"/>
    </row>
    <row r="276" spans="1:39" s="542" customFormat="1" outlineLevel="1">
      <c r="A276" s="102"/>
      <c r="B276" s="374" t="s">
        <v>57</v>
      </c>
      <c r="C276" s="374" t="s">
        <v>57</v>
      </c>
      <c r="D276" s="78"/>
      <c r="E276" s="97" t="s">
        <v>686</v>
      </c>
      <c r="F276" s="364"/>
      <c r="G276" s="722" t="s">
        <v>72</v>
      </c>
      <c r="H276" s="538" t="s">
        <v>172</v>
      </c>
      <c r="I276" s="584">
        <v>6</v>
      </c>
      <c r="J276" s="665">
        <v>0</v>
      </c>
      <c r="K276" s="666">
        <v>1</v>
      </c>
      <c r="L276" s="666">
        <v>0</v>
      </c>
      <c r="M276" s="1745">
        <v>1</v>
      </c>
      <c r="N276" s="667">
        <f t="shared" si="279"/>
        <v>2</v>
      </c>
      <c r="O276" s="1103">
        <f t="shared" si="282"/>
        <v>0</v>
      </c>
      <c r="P276" s="689">
        <f t="shared" si="283"/>
        <v>6</v>
      </c>
      <c r="Q276" s="689">
        <f t="shared" si="280"/>
        <v>0</v>
      </c>
      <c r="R276" s="689">
        <f t="shared" si="280"/>
        <v>6</v>
      </c>
      <c r="S276" s="145">
        <f t="shared" si="281"/>
        <v>12</v>
      </c>
      <c r="T276" s="618">
        <f>IFERROR(INDEX('Annex 2_Code'!I$8:I$33,MATCH('Annex 3_MAFF'!$AG276,'Annex 2_Code'!$G$8:$G$33,0)),"")</f>
        <v>0</v>
      </c>
      <c r="U276" s="618">
        <f>IFERROR(INDEX('Annex 2_Code'!J$8:J$33,MATCH('Annex 3_MAFF'!$AG276,'Annex 2_Code'!$G$8:$G$33,0)),"")</f>
        <v>0</v>
      </c>
      <c r="V276" s="618">
        <f>IFERROR(INDEX('Annex 2_Code'!K$8:K$33,MATCH('Annex 3_MAFF'!$AG276,'Annex 2_Code'!$G$8:$G$33,0)),"")</f>
        <v>1</v>
      </c>
      <c r="W276" s="618">
        <f>IFERROR(INDEX('Annex 2_Code'!L$8:L$33,MATCH('Annex 3_MAFF'!$AG276,'Annex 2_Code'!$G$8:$G$33,0)),"")</f>
        <v>0</v>
      </c>
      <c r="X276" s="618">
        <f>IFERROR(INDEX('Annex 2_Code'!M$8:M$33,MATCH('Annex 3_MAFF'!$AG276,'Annex 2_Code'!$G$8:$G$33,0)),"")</f>
        <v>0</v>
      </c>
      <c r="Y276" s="1533">
        <f t="shared" si="268"/>
        <v>0</v>
      </c>
      <c r="Z276" s="717">
        <f t="shared" si="268"/>
        <v>0</v>
      </c>
      <c r="AA276" s="717">
        <f t="shared" si="268"/>
        <v>12</v>
      </c>
      <c r="AB276" s="717">
        <f t="shared" si="268"/>
        <v>0</v>
      </c>
      <c r="AC276" s="718">
        <f t="shared" si="268"/>
        <v>0</v>
      </c>
      <c r="AD276" s="626">
        <f t="shared" si="262"/>
        <v>12</v>
      </c>
      <c r="AE276" s="627">
        <f t="shared" si="263"/>
        <v>0</v>
      </c>
      <c r="AF276" s="568" t="s">
        <v>493</v>
      </c>
      <c r="AG276" s="568" t="s">
        <v>388</v>
      </c>
      <c r="AH276" s="568" t="str">
        <f>IFERROR(INDEX('[3]Annex 2'!$J$110:$J$122,MATCH('[3]Annex 3 (''MEF)'!AF299,'[3]Annex 2'!$G$110:$G$122,0)),"")</f>
        <v>MAFF-GDA</v>
      </c>
      <c r="AI276" s="882" t="str">
        <f t="shared" si="278"/>
        <v>MAFF</v>
      </c>
      <c r="AK276" s="1382"/>
      <c r="AL276" s="1382"/>
    </row>
    <row r="277" spans="1:39" s="542" customFormat="1" outlineLevel="1">
      <c r="A277" s="102"/>
      <c r="B277" s="374" t="s">
        <v>57</v>
      </c>
      <c r="C277" s="374" t="s">
        <v>57</v>
      </c>
      <c r="D277" s="78"/>
      <c r="E277" s="97" t="s">
        <v>687</v>
      </c>
      <c r="F277" s="364"/>
      <c r="G277" s="722" t="s">
        <v>271</v>
      </c>
      <c r="H277" s="538" t="s">
        <v>186</v>
      </c>
      <c r="I277" s="584">
        <v>50</v>
      </c>
      <c r="J277" s="665">
        <v>0</v>
      </c>
      <c r="K277" s="666">
        <v>0.5</v>
      </c>
      <c r="L277" s="666">
        <v>0</v>
      </c>
      <c r="M277" s="666">
        <v>0.5</v>
      </c>
      <c r="N277" s="667">
        <f t="shared" si="279"/>
        <v>1</v>
      </c>
      <c r="O277" s="1103">
        <f t="shared" si="282"/>
        <v>0</v>
      </c>
      <c r="P277" s="689">
        <f t="shared" si="283"/>
        <v>25</v>
      </c>
      <c r="Q277" s="689">
        <f t="shared" si="280"/>
        <v>0</v>
      </c>
      <c r="R277" s="689">
        <f>($I277*M277)</f>
        <v>25</v>
      </c>
      <c r="S277" s="145">
        <f t="shared" si="281"/>
        <v>50</v>
      </c>
      <c r="T277" s="618">
        <f>IFERROR(INDEX('Annex 2_Code'!I$8:I$33,MATCH('Annex 3_MAFF'!$AG277,'Annex 2_Code'!$G$8:$G$33,0)),"")</f>
        <v>0</v>
      </c>
      <c r="U277" s="618">
        <f>IFERROR(INDEX('Annex 2_Code'!J$8:J$33,MATCH('Annex 3_MAFF'!$AG277,'Annex 2_Code'!$G$8:$G$33,0)),"")</f>
        <v>0</v>
      </c>
      <c r="V277" s="618">
        <f>IFERROR(INDEX('Annex 2_Code'!K$8:K$33,MATCH('Annex 3_MAFF'!$AG277,'Annex 2_Code'!$G$8:$G$33,0)),"")</f>
        <v>1</v>
      </c>
      <c r="W277" s="618">
        <f>IFERROR(INDEX('Annex 2_Code'!L$8:L$33,MATCH('Annex 3_MAFF'!$AG277,'Annex 2_Code'!$G$8:$G$33,0)),"")</f>
        <v>0</v>
      </c>
      <c r="X277" s="618">
        <f>IFERROR(INDEX('Annex 2_Code'!M$8:M$33,MATCH('Annex 3_MAFF'!$AG277,'Annex 2_Code'!$G$8:$G$33,0)),"")</f>
        <v>0</v>
      </c>
      <c r="Y277" s="1533">
        <f t="shared" si="268"/>
        <v>0</v>
      </c>
      <c r="Z277" s="717">
        <f t="shared" si="268"/>
        <v>0</v>
      </c>
      <c r="AA277" s="717">
        <f t="shared" si="268"/>
        <v>50</v>
      </c>
      <c r="AB277" s="717">
        <f t="shared" si="268"/>
        <v>0</v>
      </c>
      <c r="AC277" s="718">
        <f t="shared" si="268"/>
        <v>0</v>
      </c>
      <c r="AD277" s="626">
        <f t="shared" si="262"/>
        <v>50</v>
      </c>
      <c r="AE277" s="627">
        <f t="shared" si="263"/>
        <v>0</v>
      </c>
      <c r="AF277" s="568" t="s">
        <v>493</v>
      </c>
      <c r="AG277" s="568" t="s">
        <v>388</v>
      </c>
      <c r="AH277" s="568" t="str">
        <f>IFERROR(INDEX('[3]Annex 2'!$J$110:$J$122,MATCH('[3]Annex 3 (''MEF)'!AF300,'[3]Annex 2'!$G$110:$G$122,0)),"")</f>
        <v>MAFF-GDA</v>
      </c>
      <c r="AI277" s="882" t="str">
        <f t="shared" si="278"/>
        <v>MAFF</v>
      </c>
      <c r="AK277" s="1382"/>
      <c r="AL277" s="1382"/>
    </row>
    <row r="278" spans="1:39" s="1203" customFormat="1" outlineLevel="1">
      <c r="A278" s="102"/>
      <c r="B278" s="374" t="s">
        <v>57</v>
      </c>
      <c r="C278" s="374" t="s">
        <v>57</v>
      </c>
      <c r="D278" s="1095"/>
      <c r="E278" s="102" t="s">
        <v>688</v>
      </c>
      <c r="F278" s="1158"/>
      <c r="G278" s="731" t="s">
        <v>883</v>
      </c>
      <c r="H278" s="1090" t="s">
        <v>884</v>
      </c>
      <c r="I278" s="1177">
        <v>0.55000000000000004</v>
      </c>
      <c r="J278" s="1093">
        <v>0</v>
      </c>
      <c r="K278" s="1178">
        <v>0</v>
      </c>
      <c r="L278" s="1178">
        <v>1</v>
      </c>
      <c r="M278" s="1178">
        <v>1</v>
      </c>
      <c r="N278" s="1202">
        <f t="shared" si="279"/>
        <v>2</v>
      </c>
      <c r="O278" s="1103">
        <f t="shared" si="282"/>
        <v>0</v>
      </c>
      <c r="P278" s="689">
        <f t="shared" si="283"/>
        <v>0</v>
      </c>
      <c r="Q278" s="689">
        <f t="shared" si="280"/>
        <v>0.55000000000000004</v>
      </c>
      <c r="R278" s="689">
        <f t="shared" si="280"/>
        <v>0.55000000000000004</v>
      </c>
      <c r="S278" s="1180">
        <f t="shared" si="281"/>
        <v>1.1000000000000001</v>
      </c>
      <c r="T278" s="618">
        <f>IFERROR(INDEX('Annex 2_Code'!I$8:I$33,MATCH('Annex 3_MAFF'!$AG278,'Annex 2_Code'!$G$8:$G$33,0)),"")</f>
        <v>0</v>
      </c>
      <c r="U278" s="618">
        <f>IFERROR(INDEX('Annex 2_Code'!J$8:J$33,MATCH('Annex 3_MAFF'!$AG278,'Annex 2_Code'!$G$8:$G$33,0)),"")</f>
        <v>0</v>
      </c>
      <c r="V278" s="618">
        <f>IFERROR(INDEX('Annex 2_Code'!K$8:K$33,MATCH('Annex 3_MAFF'!$AG278,'Annex 2_Code'!$G$8:$G$33,0)),"")</f>
        <v>1</v>
      </c>
      <c r="W278" s="618">
        <f>IFERROR(INDEX('Annex 2_Code'!L$8:L$33,MATCH('Annex 3_MAFF'!$AG278,'Annex 2_Code'!$G$8:$G$33,0)),"")</f>
        <v>0</v>
      </c>
      <c r="X278" s="618">
        <f>IFERROR(INDEX('Annex 2_Code'!M$8:M$33,MATCH('Annex 3_MAFF'!$AG278,'Annex 2_Code'!$G$8:$G$33,0)),"")</f>
        <v>0</v>
      </c>
      <c r="Y278" s="1533">
        <f t="shared" si="268"/>
        <v>0</v>
      </c>
      <c r="Z278" s="1181">
        <f t="shared" si="268"/>
        <v>0</v>
      </c>
      <c r="AA278" s="717">
        <f t="shared" si="268"/>
        <v>1.1000000000000001</v>
      </c>
      <c r="AB278" s="1181">
        <f t="shared" si="268"/>
        <v>0</v>
      </c>
      <c r="AC278" s="1182">
        <f t="shared" si="268"/>
        <v>0</v>
      </c>
      <c r="AD278" s="1612">
        <f t="shared" ref="AD278" si="284">SUM(Y278:AC278)</f>
        <v>1.1000000000000001</v>
      </c>
      <c r="AE278" s="1183">
        <f t="shared" si="263"/>
        <v>0</v>
      </c>
      <c r="AF278" s="1184" t="s">
        <v>493</v>
      </c>
      <c r="AG278" s="1184" t="s">
        <v>388</v>
      </c>
      <c r="AH278" s="1184" t="str">
        <f>IFERROR(INDEX('[3]Annex 2'!$J$110:$J$122,MATCH('[3]Annex 3 (''MEF)'!AF301,'[3]Annex 2'!$G$110:$G$122,0)),"")</f>
        <v>MAFF-GDA</v>
      </c>
      <c r="AI278" s="1185" t="str">
        <f t="shared" si="278"/>
        <v>MAFF</v>
      </c>
      <c r="AK278" s="1392"/>
      <c r="AL278" s="1392"/>
    </row>
    <row r="279" spans="1:39" s="542" customFormat="1" outlineLevel="1">
      <c r="A279" s="102"/>
      <c r="B279" s="374" t="s">
        <v>57</v>
      </c>
      <c r="C279" s="374" t="s">
        <v>57</v>
      </c>
      <c r="D279" s="78"/>
      <c r="E279" s="97" t="s">
        <v>689</v>
      </c>
      <c r="F279" s="364"/>
      <c r="G279" s="722" t="s">
        <v>1136</v>
      </c>
      <c r="H279" s="538" t="s">
        <v>172</v>
      </c>
      <c r="I279" s="584">
        <v>8</v>
      </c>
      <c r="J279" s="665">
        <v>0</v>
      </c>
      <c r="K279" s="666">
        <v>0</v>
      </c>
      <c r="L279" s="666">
        <v>0</v>
      </c>
      <c r="M279" s="666">
        <v>1</v>
      </c>
      <c r="N279" s="667">
        <f t="shared" si="279"/>
        <v>1</v>
      </c>
      <c r="O279" s="1103">
        <f t="shared" si="282"/>
        <v>0</v>
      </c>
      <c r="P279" s="689">
        <f t="shared" si="283"/>
        <v>0</v>
      </c>
      <c r="Q279" s="689">
        <f t="shared" si="280"/>
        <v>0</v>
      </c>
      <c r="R279" s="689">
        <f t="shared" si="280"/>
        <v>8</v>
      </c>
      <c r="S279" s="145">
        <f t="shared" si="281"/>
        <v>8</v>
      </c>
      <c r="T279" s="618">
        <f>IFERROR(INDEX('Annex 2_Code'!I$8:I$33,MATCH('Annex 3_MAFF'!$AG279,'Annex 2_Code'!$G$8:$G$33,0)),"")</f>
        <v>0</v>
      </c>
      <c r="U279" s="618">
        <f>IFERROR(INDEX('Annex 2_Code'!J$8:J$33,MATCH('Annex 3_MAFF'!$AG279,'Annex 2_Code'!$G$8:$G$33,0)),"")</f>
        <v>0</v>
      </c>
      <c r="V279" s="618">
        <f>IFERROR(INDEX('Annex 2_Code'!K$8:K$33,MATCH('Annex 3_MAFF'!$AG279,'Annex 2_Code'!$G$8:$G$33,0)),"")</f>
        <v>1</v>
      </c>
      <c r="W279" s="618">
        <f>IFERROR(INDEX('Annex 2_Code'!L$8:L$33,MATCH('Annex 3_MAFF'!$AG279,'Annex 2_Code'!$G$8:$G$33,0)),"")</f>
        <v>0</v>
      </c>
      <c r="X279" s="618">
        <f>IFERROR(INDEX('Annex 2_Code'!M$8:M$33,MATCH('Annex 3_MAFF'!$AG279,'Annex 2_Code'!$G$8:$G$33,0)),"")</f>
        <v>0</v>
      </c>
      <c r="Y279" s="1533">
        <f t="shared" si="268"/>
        <v>0</v>
      </c>
      <c r="Z279" s="717">
        <f t="shared" si="268"/>
        <v>0</v>
      </c>
      <c r="AA279" s="717">
        <f t="shared" si="268"/>
        <v>8</v>
      </c>
      <c r="AB279" s="717">
        <f t="shared" si="268"/>
        <v>0</v>
      </c>
      <c r="AC279" s="718">
        <f t="shared" si="268"/>
        <v>0</v>
      </c>
      <c r="AD279" s="626">
        <f t="shared" si="262"/>
        <v>8</v>
      </c>
      <c r="AE279" s="627">
        <f t="shared" si="263"/>
        <v>0</v>
      </c>
      <c r="AF279" s="568" t="s">
        <v>493</v>
      </c>
      <c r="AG279" s="568" t="s">
        <v>388</v>
      </c>
      <c r="AH279" s="568" t="str">
        <f>IFERROR(INDEX('[3]Annex 2'!$J$110:$J$122,MATCH('[3]Annex 3 (''MEF)'!AF302,'[3]Annex 2'!$G$110:$G$122,0)),"")</f>
        <v>MAFF-GDA</v>
      </c>
      <c r="AI279" s="882" t="str">
        <f t="shared" si="278"/>
        <v>MAFF</v>
      </c>
      <c r="AK279" s="1382"/>
      <c r="AL279" s="1382"/>
    </row>
    <row r="280" spans="1:39" s="366" customFormat="1" outlineLevel="1">
      <c r="A280" s="102"/>
      <c r="B280" s="93" t="s">
        <v>173</v>
      </c>
      <c r="C280" s="1137"/>
      <c r="D280" s="1471"/>
      <c r="E280" s="1440" t="s">
        <v>41</v>
      </c>
      <c r="F280" s="1441"/>
      <c r="G280" s="1472"/>
      <c r="H280" s="1475"/>
      <c r="I280" s="1467"/>
      <c r="J280" s="1468"/>
      <c r="K280" s="1469"/>
      <c r="L280" s="1469"/>
      <c r="M280" s="1469"/>
      <c r="N280" s="1470"/>
      <c r="O280" s="1434">
        <f>SUM(O273:O279)</f>
        <v>0</v>
      </c>
      <c r="P280" s="1435">
        <f>SUM(P273:P279)</f>
        <v>101</v>
      </c>
      <c r="Q280" s="1435">
        <f>SUM(Q273:Q279)</f>
        <v>2.5499999999999998</v>
      </c>
      <c r="R280" s="1435">
        <f>SUM(R273:R279)</f>
        <v>41.55</v>
      </c>
      <c r="S280" s="1423">
        <f>SUM(S273:S279)</f>
        <v>145.1</v>
      </c>
      <c r="T280" s="618" t="str">
        <f>IFERROR(INDEX('Annex 2_Code'!I$8:I$33,MATCH('Annex 3_MAFF'!$AG280,'Annex 2_Code'!$G$8:$G$33,0)),"")</f>
        <v/>
      </c>
      <c r="U280" s="1061"/>
      <c r="V280" s="1061"/>
      <c r="W280" s="1061"/>
      <c r="X280" s="1061"/>
      <c r="Y280" s="716" t="str">
        <f t="shared" ref="Y280:AC285" si="285">IFERROR($S280*T280,"")</f>
        <v/>
      </c>
      <c r="Z280" s="717">
        <f t="shared" ref="Z280:Z282" si="286">IFERROR($S280*U280,"")</f>
        <v>0</v>
      </c>
      <c r="AA280" s="717">
        <f t="shared" si="268"/>
        <v>0</v>
      </c>
      <c r="AB280" s="717">
        <f t="shared" ref="AB280:AB282" si="287">IFERROR($S280*W280,"")</f>
        <v>0</v>
      </c>
      <c r="AC280" s="718">
        <f t="shared" ref="AC280:AC282" si="288">IFERROR($S280*X280,"")</f>
        <v>0</v>
      </c>
      <c r="AD280" s="626">
        <f t="shared" ref="AD280:AD285" si="289">SUM(Y280:AC280)</f>
        <v>0</v>
      </c>
      <c r="AE280" s="627">
        <f t="shared" ref="AE280:AE285" si="290">AD280-S280</f>
        <v>-145.1</v>
      </c>
      <c r="AF280" s="570"/>
      <c r="AG280" s="570"/>
      <c r="AH280" s="570"/>
      <c r="AI280" s="1065"/>
      <c r="AK280" s="1389">
        <f>SUM(S273:S279)</f>
        <v>145.1</v>
      </c>
      <c r="AL280" s="1387" t="s">
        <v>1013</v>
      </c>
      <c r="AM280" s="1387"/>
    </row>
    <row r="281" spans="1:39" s="542" customFormat="1" outlineLevel="1">
      <c r="A281" s="102"/>
      <c r="B281" s="76" t="s">
        <v>173</v>
      </c>
      <c r="C281" s="1115"/>
      <c r="D281" s="78"/>
      <c r="E281" s="97"/>
      <c r="F281" s="364"/>
      <c r="G281" s="722"/>
      <c r="H281" s="538"/>
      <c r="I281" s="584"/>
      <c r="J281" s="665"/>
      <c r="K281" s="666"/>
      <c r="L281" s="666"/>
      <c r="M281" s="666"/>
      <c r="N281" s="667"/>
      <c r="O281" s="688"/>
      <c r="P281" s="689"/>
      <c r="Q281" s="689"/>
      <c r="R281" s="689"/>
      <c r="S281" s="145"/>
      <c r="T281" s="618" t="str">
        <f>IFERROR(INDEX('Annex 2_Code'!I$8:I$33,MATCH('Annex 3_MAFF'!$AG281,'Annex 2_Code'!$G$8:$G$33,0)),"")</f>
        <v/>
      </c>
      <c r="U281" s="618"/>
      <c r="V281" s="618"/>
      <c r="W281" s="618"/>
      <c r="X281" s="618"/>
      <c r="Y281" s="1536" t="str">
        <f t="shared" si="285"/>
        <v/>
      </c>
      <c r="Z281" s="717">
        <f t="shared" si="286"/>
        <v>0</v>
      </c>
      <c r="AA281" s="717">
        <f t="shared" si="268"/>
        <v>0</v>
      </c>
      <c r="AB281" s="717">
        <f t="shared" si="287"/>
        <v>0</v>
      </c>
      <c r="AC281" s="718">
        <f t="shared" si="288"/>
        <v>0</v>
      </c>
      <c r="AD281" s="626">
        <f t="shared" si="289"/>
        <v>0</v>
      </c>
      <c r="AE281" s="627">
        <f t="shared" si="290"/>
        <v>0</v>
      </c>
      <c r="AF281" s="568"/>
      <c r="AG281" s="568"/>
      <c r="AH281" s="568"/>
      <c r="AI281" s="882"/>
      <c r="AK281" s="1382"/>
      <c r="AL281" s="1382"/>
    </row>
    <row r="282" spans="1:39" s="542" customFormat="1" outlineLevel="1">
      <c r="A282" s="102"/>
      <c r="B282" s="76" t="s">
        <v>173</v>
      </c>
      <c r="C282" s="1115"/>
      <c r="D282" s="78"/>
      <c r="E282" s="82" t="s">
        <v>792</v>
      </c>
      <c r="F282" s="364"/>
      <c r="G282" s="722"/>
      <c r="H282" s="538"/>
      <c r="I282" s="584"/>
      <c r="J282" s="665"/>
      <c r="K282" s="666"/>
      <c r="L282" s="666"/>
      <c r="M282" s="666"/>
      <c r="N282" s="667"/>
      <c r="O282" s="688"/>
      <c r="P282" s="689"/>
      <c r="Q282" s="689"/>
      <c r="R282" s="689"/>
      <c r="S282" s="145"/>
      <c r="T282" s="618" t="str">
        <f>IFERROR(INDEX('Annex 2_Code'!I$8:I$33,MATCH('Annex 3_MAFF'!$AG282,'Annex 2_Code'!$G$8:$G$33,0)),"")</f>
        <v/>
      </c>
      <c r="U282" s="618"/>
      <c r="V282" s="618"/>
      <c r="W282" s="618"/>
      <c r="X282" s="618"/>
      <c r="Y282" s="1536" t="str">
        <f t="shared" si="285"/>
        <v/>
      </c>
      <c r="Z282" s="717">
        <f t="shared" si="286"/>
        <v>0</v>
      </c>
      <c r="AA282" s="717">
        <f t="shared" si="268"/>
        <v>0</v>
      </c>
      <c r="AB282" s="717">
        <f t="shared" si="287"/>
        <v>0</v>
      </c>
      <c r="AC282" s="718">
        <f t="shared" si="288"/>
        <v>0</v>
      </c>
      <c r="AD282" s="626">
        <f t="shared" si="289"/>
        <v>0</v>
      </c>
      <c r="AE282" s="627">
        <f t="shared" si="290"/>
        <v>0</v>
      </c>
      <c r="AF282" s="568"/>
      <c r="AG282" s="568"/>
      <c r="AH282" s="568"/>
      <c r="AI282" s="882"/>
      <c r="AK282" s="1382"/>
      <c r="AL282" s="1382"/>
    </row>
    <row r="283" spans="1:39" s="542" customFormat="1" outlineLevel="1">
      <c r="A283" s="102"/>
      <c r="B283" s="374" t="s">
        <v>57</v>
      </c>
      <c r="C283" s="374" t="s">
        <v>57</v>
      </c>
      <c r="D283" s="78"/>
      <c r="E283" s="97" t="s">
        <v>690</v>
      </c>
      <c r="F283" s="364"/>
      <c r="G283" s="722" t="s">
        <v>793</v>
      </c>
      <c r="H283" s="538" t="s">
        <v>172</v>
      </c>
      <c r="I283" s="584">
        <v>0.5</v>
      </c>
      <c r="J283" s="665">
        <v>0</v>
      </c>
      <c r="K283" s="666">
        <v>0</v>
      </c>
      <c r="L283" s="666">
        <v>3</v>
      </c>
      <c r="M283" s="666">
        <v>3</v>
      </c>
      <c r="N283" s="667">
        <f>SUM(J283:M283)</f>
        <v>6</v>
      </c>
      <c r="O283" s="688">
        <f>($I283*J283)</f>
        <v>0</v>
      </c>
      <c r="P283" s="689">
        <f>($I283*K283)</f>
        <v>0</v>
      </c>
      <c r="Q283" s="689">
        <f t="shared" ref="Q283:R285" si="291">($I283*L283)</f>
        <v>1.5</v>
      </c>
      <c r="R283" s="689">
        <f t="shared" si="291"/>
        <v>1.5</v>
      </c>
      <c r="S283" s="145">
        <f>SUM(O283:R283)</f>
        <v>3</v>
      </c>
      <c r="T283" s="618">
        <f>IFERROR(INDEX('Annex 2_Code'!I$8:I$33,MATCH('Annex 3_MAFF'!$AG283,'Annex 2_Code'!$G$8:$G$33,0)),"")</f>
        <v>0</v>
      </c>
      <c r="U283" s="618">
        <f>IFERROR(INDEX('Annex 2_Code'!J$8:J$33,MATCH('Annex 3_MAFF'!$AG283,'Annex 2_Code'!$G$8:$G$33,0)),"")</f>
        <v>0</v>
      </c>
      <c r="V283" s="618">
        <f>IFERROR(INDEX('Annex 2_Code'!K$8:K$33,MATCH('Annex 3_MAFF'!$AG283,'Annex 2_Code'!$G$8:$G$33,0)),"")</f>
        <v>1</v>
      </c>
      <c r="W283" s="618">
        <f>IFERROR(INDEX('Annex 2_Code'!L$8:L$33,MATCH('Annex 3_MAFF'!$AG283,'Annex 2_Code'!$G$8:$G$33,0)),"")</f>
        <v>0</v>
      </c>
      <c r="X283" s="618">
        <f>IFERROR(INDEX('Annex 2_Code'!M$8:M$33,MATCH('Annex 3_MAFF'!$AG283,'Annex 2_Code'!$G$8:$G$33,0)),"")</f>
        <v>0</v>
      </c>
      <c r="Y283" s="1536">
        <f t="shared" si="285"/>
        <v>0</v>
      </c>
      <c r="Z283" s="717">
        <f t="shared" si="285"/>
        <v>0</v>
      </c>
      <c r="AA283" s="717">
        <f t="shared" si="268"/>
        <v>3</v>
      </c>
      <c r="AB283" s="717">
        <f t="shared" si="285"/>
        <v>0</v>
      </c>
      <c r="AC283" s="718">
        <f t="shared" si="285"/>
        <v>0</v>
      </c>
      <c r="AD283" s="626">
        <f t="shared" si="289"/>
        <v>3</v>
      </c>
      <c r="AE283" s="627">
        <f t="shared" si="290"/>
        <v>0</v>
      </c>
      <c r="AF283" s="568" t="s">
        <v>493</v>
      </c>
      <c r="AG283" s="568" t="s">
        <v>388</v>
      </c>
      <c r="AH283" s="568" t="s">
        <v>560</v>
      </c>
      <c r="AI283" s="882" t="s">
        <v>15</v>
      </c>
      <c r="AK283" s="1382"/>
      <c r="AL283" s="1382"/>
    </row>
    <row r="284" spans="1:39" s="542" customFormat="1" outlineLevel="1">
      <c r="A284" s="102"/>
      <c r="B284" s="374" t="s">
        <v>57</v>
      </c>
      <c r="C284" s="374" t="s">
        <v>57</v>
      </c>
      <c r="D284" s="78"/>
      <c r="E284" s="97" t="s">
        <v>757</v>
      </c>
      <c r="F284" s="364"/>
      <c r="G284" s="722" t="s">
        <v>794</v>
      </c>
      <c r="H284" s="538" t="s">
        <v>172</v>
      </c>
      <c r="I284" s="584">
        <v>5</v>
      </c>
      <c r="J284" s="665">
        <v>0</v>
      </c>
      <c r="K284" s="666">
        <v>1</v>
      </c>
      <c r="L284" s="666">
        <v>0</v>
      </c>
      <c r="M284" s="666">
        <v>1</v>
      </c>
      <c r="N284" s="667">
        <f>SUM(J284:M284)</f>
        <v>2</v>
      </c>
      <c r="O284" s="688">
        <f t="shared" ref="O284" si="292">($I284*J284)</f>
        <v>0</v>
      </c>
      <c r="P284" s="689">
        <f t="shared" ref="P284:P285" si="293">($I284*K284)</f>
        <v>5</v>
      </c>
      <c r="Q284" s="689">
        <f t="shared" si="291"/>
        <v>0</v>
      </c>
      <c r="R284" s="689">
        <f t="shared" si="291"/>
        <v>5</v>
      </c>
      <c r="S284" s="145">
        <f>SUM(O284:R284)</f>
        <v>10</v>
      </c>
      <c r="T284" s="618">
        <f>IFERROR(INDEX('Annex 2_Code'!I$8:I$33,MATCH('Annex 3_MAFF'!$AG284,'Annex 2_Code'!$G$8:$G$33,0)),"")</f>
        <v>0</v>
      </c>
      <c r="U284" s="618">
        <f>IFERROR(INDEX('Annex 2_Code'!J$8:J$33,MATCH('Annex 3_MAFF'!$AG284,'Annex 2_Code'!$G$8:$G$33,0)),"")</f>
        <v>0</v>
      </c>
      <c r="V284" s="618">
        <f>IFERROR(INDEX('Annex 2_Code'!K$8:K$33,MATCH('Annex 3_MAFF'!$AG284,'Annex 2_Code'!$G$8:$G$33,0)),"")</f>
        <v>1</v>
      </c>
      <c r="W284" s="618">
        <f>IFERROR(INDEX('Annex 2_Code'!L$8:L$33,MATCH('Annex 3_MAFF'!$AG284,'Annex 2_Code'!$G$8:$G$33,0)),"")</f>
        <v>0</v>
      </c>
      <c r="X284" s="618">
        <f>IFERROR(INDEX('Annex 2_Code'!M$8:M$33,MATCH('Annex 3_MAFF'!$AG284,'Annex 2_Code'!$G$8:$G$33,0)),"")</f>
        <v>0</v>
      </c>
      <c r="Y284" s="1536">
        <f t="shared" si="285"/>
        <v>0</v>
      </c>
      <c r="Z284" s="717">
        <f t="shared" si="285"/>
        <v>0</v>
      </c>
      <c r="AA284" s="717">
        <f t="shared" si="268"/>
        <v>10</v>
      </c>
      <c r="AB284" s="717">
        <f t="shared" si="285"/>
        <v>0</v>
      </c>
      <c r="AC284" s="718">
        <f t="shared" si="285"/>
        <v>0</v>
      </c>
      <c r="AD284" s="626">
        <f t="shared" si="289"/>
        <v>10</v>
      </c>
      <c r="AE284" s="627">
        <f t="shared" si="290"/>
        <v>0</v>
      </c>
      <c r="AF284" s="568" t="s">
        <v>493</v>
      </c>
      <c r="AG284" s="568" t="s">
        <v>388</v>
      </c>
      <c r="AH284" s="568" t="s">
        <v>560</v>
      </c>
      <c r="AI284" s="882" t="s">
        <v>15</v>
      </c>
      <c r="AK284" s="1382"/>
      <c r="AL284" s="1382"/>
    </row>
    <row r="285" spans="1:39" s="1203" customFormat="1" outlineLevel="1">
      <c r="A285" s="102"/>
      <c r="B285" s="374" t="s">
        <v>57</v>
      </c>
      <c r="C285" s="374" t="s">
        <v>57</v>
      </c>
      <c r="D285" s="1095"/>
      <c r="E285" s="102" t="s">
        <v>758</v>
      </c>
      <c r="F285" s="1158"/>
      <c r="G285" s="731" t="s">
        <v>885</v>
      </c>
      <c r="H285" s="1090" t="s">
        <v>884</v>
      </c>
      <c r="I285" s="1177">
        <v>0.55000000000000004</v>
      </c>
      <c r="J285" s="1093">
        <v>0</v>
      </c>
      <c r="K285" s="1178">
        <v>1</v>
      </c>
      <c r="L285" s="1178">
        <v>1</v>
      </c>
      <c r="M285" s="1178">
        <v>1</v>
      </c>
      <c r="N285" s="1202">
        <f>SUM(J285:M285)</f>
        <v>3</v>
      </c>
      <c r="O285" s="688">
        <f>($I285*J285)</f>
        <v>0</v>
      </c>
      <c r="P285" s="689">
        <f t="shared" si="293"/>
        <v>0.55000000000000004</v>
      </c>
      <c r="Q285" s="689">
        <f t="shared" si="291"/>
        <v>0.55000000000000004</v>
      </c>
      <c r="R285" s="689">
        <f t="shared" si="291"/>
        <v>0.55000000000000004</v>
      </c>
      <c r="S285" s="1180">
        <f>SUM(O285:R285)</f>
        <v>1.6500000000000001</v>
      </c>
      <c r="T285" s="618">
        <f>IFERROR(INDEX('Annex 2_Code'!I$8:I$33,MATCH('Annex 3_MAFF'!$AG285,'Annex 2_Code'!$G$8:$G$33,0)),"")</f>
        <v>0</v>
      </c>
      <c r="U285" s="618">
        <f>IFERROR(INDEX('Annex 2_Code'!J$8:J$33,MATCH('Annex 3_MAFF'!$AG285,'Annex 2_Code'!$G$8:$G$33,0)),"")</f>
        <v>0</v>
      </c>
      <c r="V285" s="618">
        <f>IFERROR(INDEX('Annex 2_Code'!K$8:K$33,MATCH('Annex 3_MAFF'!$AG285,'Annex 2_Code'!$G$8:$G$33,0)),"")</f>
        <v>1</v>
      </c>
      <c r="W285" s="618">
        <f>IFERROR(INDEX('Annex 2_Code'!L$8:L$33,MATCH('Annex 3_MAFF'!$AG285,'Annex 2_Code'!$G$8:$G$33,0)),"")</f>
        <v>0</v>
      </c>
      <c r="X285" s="618">
        <f>IFERROR(INDEX('Annex 2_Code'!M$8:M$33,MATCH('Annex 3_MAFF'!$AG285,'Annex 2_Code'!$G$8:$G$33,0)),"")</f>
        <v>0</v>
      </c>
      <c r="Y285" s="1536">
        <f t="shared" si="285"/>
        <v>0</v>
      </c>
      <c r="Z285" s="1181">
        <f t="shared" si="285"/>
        <v>0</v>
      </c>
      <c r="AA285" s="717">
        <f t="shared" si="268"/>
        <v>1.6500000000000001</v>
      </c>
      <c r="AB285" s="1181">
        <f t="shared" si="285"/>
        <v>0</v>
      </c>
      <c r="AC285" s="1182">
        <f t="shared" si="285"/>
        <v>0</v>
      </c>
      <c r="AD285" s="1612">
        <f t="shared" si="289"/>
        <v>1.6500000000000001</v>
      </c>
      <c r="AE285" s="1183">
        <f t="shared" si="290"/>
        <v>0</v>
      </c>
      <c r="AF285" s="1184" t="s">
        <v>493</v>
      </c>
      <c r="AG285" s="1184" t="s">
        <v>388</v>
      </c>
      <c r="AH285" s="1184" t="s">
        <v>560</v>
      </c>
      <c r="AI285" s="1185" t="s">
        <v>15</v>
      </c>
      <c r="AK285" s="1392"/>
      <c r="AL285" s="1392"/>
    </row>
    <row r="286" spans="1:39" s="366" customFormat="1" outlineLevel="1">
      <c r="A286" s="102"/>
      <c r="B286" s="93" t="s">
        <v>173</v>
      </c>
      <c r="C286" s="1137"/>
      <c r="D286" s="1471"/>
      <c r="E286" s="1440" t="s">
        <v>41</v>
      </c>
      <c r="F286" s="1441"/>
      <c r="G286" s="1472"/>
      <c r="H286" s="1475"/>
      <c r="I286" s="1467"/>
      <c r="J286" s="1468"/>
      <c r="K286" s="1469"/>
      <c r="L286" s="1469"/>
      <c r="M286" s="1469"/>
      <c r="N286" s="1470"/>
      <c r="O286" s="1434">
        <f>SUM(O283:O285)</f>
        <v>0</v>
      </c>
      <c r="P286" s="1435">
        <f>SUM(P283:P285)</f>
        <v>5.55</v>
      </c>
      <c r="Q286" s="1435">
        <f>SUM(Q283:Q285)</f>
        <v>2.0499999999999998</v>
      </c>
      <c r="R286" s="1435">
        <f>SUM(R283:R285)</f>
        <v>7.05</v>
      </c>
      <c r="S286" s="1423">
        <f>SUM(S283:S285)</f>
        <v>14.65</v>
      </c>
      <c r="T286" s="618" t="str">
        <f>IFERROR(INDEX('Annex 2_Code'!I$8:I$33,MATCH('Annex 3_MAFF'!$AG286,'Annex 2_Code'!$G$8:$G$33,0)),"")</f>
        <v/>
      </c>
      <c r="U286" s="618" t="str">
        <f>IFERROR(INDEX('Annex 2_Code'!J$8:J$33,MATCH('Annex 3_MAFF'!$AG286,'Annex 2_Code'!$G$8:$G$33,0)),"")</f>
        <v/>
      </c>
      <c r="V286" s="618" t="str">
        <f>IFERROR(INDEX('Annex 2_Code'!K$8:K$33,MATCH('Annex 3_MAFF'!$AG286,'Annex 2_Code'!$G$8:$G$33,0)),"")</f>
        <v/>
      </c>
      <c r="W286" s="618" t="str">
        <f>IFERROR(INDEX('Annex 2_Code'!L$8:L$33,MATCH('Annex 3_MAFF'!$AG286,'Annex 2_Code'!$G$8:$G$33,0)),"")</f>
        <v/>
      </c>
      <c r="X286" s="618" t="str">
        <f>IFERROR(INDEX('Annex 2_Code'!M$8:M$33,MATCH('Annex 3_MAFF'!$AG286,'Annex 2_Code'!$G$8:$G$33,0)),"")</f>
        <v/>
      </c>
      <c r="Y286" s="1536" t="str">
        <f t="shared" ref="Y286:Y287" si="294">IFERROR($S286*T286,"")</f>
        <v/>
      </c>
      <c r="Z286" s="717" t="str">
        <f t="shared" ref="Z286:Z287" si="295">IFERROR($S286*U286,"")</f>
        <v/>
      </c>
      <c r="AA286" s="717" t="str">
        <f t="shared" si="268"/>
        <v/>
      </c>
      <c r="AB286" s="717" t="str">
        <f t="shared" ref="AB286:AB287" si="296">IFERROR($S286*W286,"")</f>
        <v/>
      </c>
      <c r="AC286" s="718" t="str">
        <f t="shared" ref="AC286:AC287" si="297">IFERROR($S286*X286,"")</f>
        <v/>
      </c>
      <c r="AD286" s="626">
        <f t="shared" ref="AD286:AD287" si="298">SUM(Y286:AC286)</f>
        <v>0</v>
      </c>
      <c r="AE286" s="627">
        <f t="shared" ref="AE286:AE287" si="299">AD286-S286</f>
        <v>-14.65</v>
      </c>
      <c r="AF286" s="570"/>
      <c r="AG286" s="570"/>
      <c r="AH286" s="570"/>
      <c r="AI286" s="1065"/>
      <c r="AK286" s="1383"/>
      <c r="AL286" s="1383"/>
    </row>
    <row r="287" spans="1:39" s="366" customFormat="1" outlineLevel="1">
      <c r="A287" s="102"/>
      <c r="B287" s="93" t="s">
        <v>173</v>
      </c>
      <c r="C287" s="1137"/>
      <c r="D287" s="110"/>
      <c r="E287" s="122"/>
      <c r="F287" s="364"/>
      <c r="G287" s="1059"/>
      <c r="H287" s="1060"/>
      <c r="I287" s="1044"/>
      <c r="J287" s="671"/>
      <c r="K287" s="672"/>
      <c r="L287" s="672"/>
      <c r="M287" s="672"/>
      <c r="N287" s="673"/>
      <c r="O287" s="691"/>
      <c r="P287" s="692"/>
      <c r="Q287" s="692"/>
      <c r="R287" s="692"/>
      <c r="S287" s="115"/>
      <c r="T287" s="618" t="str">
        <f>IFERROR(INDEX('Annex 2_Code'!I$8:I$33,MATCH('Annex 3_MAFF'!$AG287,'Annex 2_Code'!$G$8:$G$33,0)),"")</f>
        <v/>
      </c>
      <c r="U287" s="618" t="str">
        <f>IFERROR(INDEX('Annex 2_Code'!J$8:J$33,MATCH('Annex 3_MAFF'!$AG287,'Annex 2_Code'!$G$8:$G$33,0)),"")</f>
        <v/>
      </c>
      <c r="V287" s="618" t="str">
        <f>IFERROR(INDEX('Annex 2_Code'!K$8:K$33,MATCH('Annex 3_MAFF'!$AG287,'Annex 2_Code'!$G$8:$G$33,0)),"")</f>
        <v/>
      </c>
      <c r="W287" s="618" t="str">
        <f>IFERROR(INDEX('Annex 2_Code'!L$8:L$33,MATCH('Annex 3_MAFF'!$AG287,'Annex 2_Code'!$G$8:$G$33,0)),"")</f>
        <v/>
      </c>
      <c r="X287" s="618" t="str">
        <f>IFERROR(INDEX('Annex 2_Code'!M$8:M$33,MATCH('Annex 3_MAFF'!$AG287,'Annex 2_Code'!$G$8:$G$33,0)),"")</f>
        <v/>
      </c>
      <c r="Y287" s="1536" t="str">
        <f t="shared" si="294"/>
        <v/>
      </c>
      <c r="Z287" s="717" t="str">
        <f t="shared" si="295"/>
        <v/>
      </c>
      <c r="AA287" s="717" t="str">
        <f t="shared" si="268"/>
        <v/>
      </c>
      <c r="AB287" s="717" t="str">
        <f t="shared" si="296"/>
        <v/>
      </c>
      <c r="AC287" s="718" t="str">
        <f t="shared" si="297"/>
        <v/>
      </c>
      <c r="AD287" s="626">
        <f t="shared" si="298"/>
        <v>0</v>
      </c>
      <c r="AE287" s="627">
        <f t="shared" si="299"/>
        <v>0</v>
      </c>
      <c r="AF287" s="570"/>
      <c r="AG287" s="570"/>
      <c r="AH287" s="570"/>
      <c r="AI287" s="1065"/>
      <c r="AK287" s="1383"/>
      <c r="AL287" s="1383"/>
    </row>
    <row r="288" spans="1:39" s="366" customFormat="1" outlineLevel="1">
      <c r="A288" s="102"/>
      <c r="B288" s="1057" t="s">
        <v>173</v>
      </c>
      <c r="C288" s="1137"/>
      <c r="D288" s="1124"/>
      <c r="E288" s="485" t="s">
        <v>886</v>
      </c>
      <c r="F288" s="364"/>
      <c r="G288" s="726"/>
      <c r="H288" s="1060"/>
      <c r="I288" s="1044"/>
      <c r="J288" s="671"/>
      <c r="K288" s="672"/>
      <c r="L288" s="672"/>
      <c r="M288" s="672"/>
      <c r="N288" s="673"/>
      <c r="O288" s="691"/>
      <c r="P288" s="692"/>
      <c r="Q288" s="692"/>
      <c r="R288" s="692"/>
      <c r="S288" s="115"/>
      <c r="T288" s="618"/>
      <c r="U288" s="618"/>
      <c r="V288" s="618"/>
      <c r="W288" s="618"/>
      <c r="X288" s="618"/>
      <c r="Y288" s="1536"/>
      <c r="Z288" s="717"/>
      <c r="AA288" s="717">
        <f t="shared" si="268"/>
        <v>0</v>
      </c>
      <c r="AB288" s="717"/>
      <c r="AC288" s="718"/>
      <c r="AD288" s="626"/>
      <c r="AE288" s="627"/>
      <c r="AF288" s="570"/>
      <c r="AG288" s="570"/>
      <c r="AH288" s="570"/>
      <c r="AI288" s="1065"/>
      <c r="AK288" s="1383"/>
      <c r="AL288" s="1383"/>
    </row>
    <row r="289" spans="1:38" s="542" customFormat="1" outlineLevel="1">
      <c r="A289" s="102"/>
      <c r="B289" s="374" t="s">
        <v>57</v>
      </c>
      <c r="C289" s="374" t="s">
        <v>57</v>
      </c>
      <c r="D289" s="484"/>
      <c r="E289" s="485" t="s">
        <v>759</v>
      </c>
      <c r="F289" s="364"/>
      <c r="G289" s="730" t="s">
        <v>793</v>
      </c>
      <c r="H289" s="538" t="s">
        <v>172</v>
      </c>
      <c r="I289" s="584">
        <v>0.5</v>
      </c>
      <c r="J289" s="665">
        <v>3</v>
      </c>
      <c r="K289" s="666">
        <v>3</v>
      </c>
      <c r="L289" s="666">
        <v>3</v>
      </c>
      <c r="M289" s="666">
        <v>3</v>
      </c>
      <c r="N289" s="667">
        <f>SUM(J289:M289)</f>
        <v>12</v>
      </c>
      <c r="O289" s="688">
        <f t="shared" ref="O289:P292" si="300">($I289*J289)</f>
        <v>1.5</v>
      </c>
      <c r="P289" s="689">
        <f t="shared" si="300"/>
        <v>1.5</v>
      </c>
      <c r="Q289" s="689">
        <f t="shared" ref="Q289:R292" si="301">($I289*L289)</f>
        <v>1.5</v>
      </c>
      <c r="R289" s="689">
        <f t="shared" si="301"/>
        <v>1.5</v>
      </c>
      <c r="S289" s="145">
        <f>SUM(O289:R289)</f>
        <v>6</v>
      </c>
      <c r="T289" s="618">
        <f>IFERROR(INDEX('Annex 2_Code'!I$8:I$33,MATCH('Annex 3_MAFF'!$AG289,'Annex 2_Code'!$G$8:$G$33,0)),"")</f>
        <v>0</v>
      </c>
      <c r="U289" s="618">
        <f>IFERROR(INDEX('Annex 2_Code'!J$8:J$33,MATCH('Annex 3_MAFF'!$AG289,'Annex 2_Code'!$G$8:$G$33,0)),"")</f>
        <v>0</v>
      </c>
      <c r="V289" s="618">
        <f>IFERROR(INDEX('Annex 2_Code'!K$8:K$33,MATCH('Annex 3_MAFF'!$AG289,'Annex 2_Code'!$G$8:$G$33,0)),"")</f>
        <v>1</v>
      </c>
      <c r="W289" s="618">
        <f>IFERROR(INDEX('Annex 2_Code'!L$8:L$33,MATCH('Annex 3_MAFF'!$AG289,'Annex 2_Code'!$G$8:$G$33,0)),"")</f>
        <v>0</v>
      </c>
      <c r="X289" s="618">
        <f>IFERROR(INDEX('Annex 2_Code'!M$8:M$33,MATCH('Annex 3_MAFF'!$AG289,'Annex 2_Code'!$G$8:$G$33,0)),"")</f>
        <v>0</v>
      </c>
      <c r="Y289" s="1536">
        <f t="shared" ref="Y289:AC292" si="302">IFERROR($S289*T289,"")</f>
        <v>0</v>
      </c>
      <c r="Z289" s="717">
        <f t="shared" si="302"/>
        <v>0</v>
      </c>
      <c r="AA289" s="717">
        <f t="shared" si="268"/>
        <v>6</v>
      </c>
      <c r="AB289" s="717">
        <f t="shared" si="302"/>
        <v>0</v>
      </c>
      <c r="AC289" s="718">
        <f t="shared" si="302"/>
        <v>0</v>
      </c>
      <c r="AD289" s="626">
        <f t="shared" ref="AD289:AD292" si="303">SUM(Y289:AC289)</f>
        <v>6</v>
      </c>
      <c r="AE289" s="627">
        <f t="shared" ref="AE289:AE292" si="304">AD289-S289</f>
        <v>0</v>
      </c>
      <c r="AF289" s="568" t="s">
        <v>493</v>
      </c>
      <c r="AG289" s="568" t="s">
        <v>388</v>
      </c>
      <c r="AH289" s="568" t="s">
        <v>560</v>
      </c>
      <c r="AI289" s="882" t="s">
        <v>15</v>
      </c>
      <c r="AK289" s="1382"/>
      <c r="AL289" s="1382"/>
    </row>
    <row r="290" spans="1:38" s="542" customFormat="1" outlineLevel="1">
      <c r="A290" s="102"/>
      <c r="B290" s="374" t="s">
        <v>57</v>
      </c>
      <c r="C290" s="374" t="s">
        <v>57</v>
      </c>
      <c r="D290" s="484"/>
      <c r="E290" s="485" t="s">
        <v>760</v>
      </c>
      <c r="F290" s="364"/>
      <c r="G290" s="730" t="s">
        <v>794</v>
      </c>
      <c r="H290" s="538" t="s">
        <v>172</v>
      </c>
      <c r="I290" s="584">
        <v>5</v>
      </c>
      <c r="J290" s="665">
        <v>0</v>
      </c>
      <c r="K290" s="666">
        <v>1</v>
      </c>
      <c r="L290" s="666">
        <v>0</v>
      </c>
      <c r="M290" s="666">
        <v>1</v>
      </c>
      <c r="N290" s="667">
        <f>SUM(J290:M290)</f>
        <v>2</v>
      </c>
      <c r="O290" s="688">
        <f t="shared" si="300"/>
        <v>0</v>
      </c>
      <c r="P290" s="689">
        <f t="shared" si="300"/>
        <v>5</v>
      </c>
      <c r="Q290" s="689">
        <f t="shared" si="301"/>
        <v>0</v>
      </c>
      <c r="R290" s="689">
        <f t="shared" si="301"/>
        <v>5</v>
      </c>
      <c r="S290" s="145">
        <f>SUM(O290:R290)</f>
        <v>10</v>
      </c>
      <c r="T290" s="618">
        <f>IFERROR(INDEX('Annex 2_Code'!I$8:I$33,MATCH('Annex 3_MAFF'!$AG290,'Annex 2_Code'!$G$8:$G$33,0)),"")</f>
        <v>0</v>
      </c>
      <c r="U290" s="618">
        <f>IFERROR(INDEX('Annex 2_Code'!J$8:J$33,MATCH('Annex 3_MAFF'!$AG290,'Annex 2_Code'!$G$8:$G$33,0)),"")</f>
        <v>0</v>
      </c>
      <c r="V290" s="618">
        <f>IFERROR(INDEX('Annex 2_Code'!K$8:K$33,MATCH('Annex 3_MAFF'!$AG290,'Annex 2_Code'!$G$8:$G$33,0)),"")</f>
        <v>1</v>
      </c>
      <c r="W290" s="618">
        <f>IFERROR(INDEX('Annex 2_Code'!L$8:L$33,MATCH('Annex 3_MAFF'!$AG290,'Annex 2_Code'!$G$8:$G$33,0)),"")</f>
        <v>0</v>
      </c>
      <c r="X290" s="618">
        <f>IFERROR(INDEX('Annex 2_Code'!M$8:M$33,MATCH('Annex 3_MAFF'!$AG290,'Annex 2_Code'!$G$8:$G$33,0)),"")</f>
        <v>0</v>
      </c>
      <c r="Y290" s="1536">
        <f t="shared" si="302"/>
        <v>0</v>
      </c>
      <c r="Z290" s="717">
        <f t="shared" si="302"/>
        <v>0</v>
      </c>
      <c r="AA290" s="717">
        <f t="shared" si="268"/>
        <v>10</v>
      </c>
      <c r="AB290" s="717">
        <f t="shared" si="302"/>
        <v>0</v>
      </c>
      <c r="AC290" s="718">
        <f t="shared" si="302"/>
        <v>0</v>
      </c>
      <c r="AD290" s="626">
        <f t="shared" si="303"/>
        <v>10</v>
      </c>
      <c r="AE290" s="627">
        <f t="shared" si="304"/>
        <v>0</v>
      </c>
      <c r="AF290" s="568" t="s">
        <v>493</v>
      </c>
      <c r="AG290" s="568" t="s">
        <v>388</v>
      </c>
      <c r="AH290" s="568" t="s">
        <v>560</v>
      </c>
      <c r="AI290" s="882" t="s">
        <v>15</v>
      </c>
      <c r="AK290" s="1382"/>
      <c r="AL290" s="1382"/>
    </row>
    <row r="291" spans="1:38" s="542" customFormat="1" outlineLevel="1">
      <c r="A291" s="102"/>
      <c r="B291" s="374" t="s">
        <v>57</v>
      </c>
      <c r="C291" s="374" t="s">
        <v>57</v>
      </c>
      <c r="D291" s="484"/>
      <c r="E291" s="485" t="s">
        <v>761</v>
      </c>
      <c r="F291" s="364"/>
      <c r="G291" s="730" t="s">
        <v>885</v>
      </c>
      <c r="H291" s="538" t="s">
        <v>884</v>
      </c>
      <c r="I291" s="584">
        <v>0.55000000000000004</v>
      </c>
      <c r="J291" s="665">
        <v>1</v>
      </c>
      <c r="K291" s="666">
        <v>1</v>
      </c>
      <c r="L291" s="666">
        <v>1</v>
      </c>
      <c r="M291" s="666">
        <v>1</v>
      </c>
      <c r="N291" s="667">
        <f>SUM(J291:M291)</f>
        <v>4</v>
      </c>
      <c r="O291" s="688">
        <f t="shared" si="300"/>
        <v>0.55000000000000004</v>
      </c>
      <c r="P291" s="689">
        <f t="shared" si="300"/>
        <v>0.55000000000000004</v>
      </c>
      <c r="Q291" s="689">
        <f t="shared" si="301"/>
        <v>0.55000000000000004</v>
      </c>
      <c r="R291" s="689">
        <f t="shared" si="301"/>
        <v>0.55000000000000004</v>
      </c>
      <c r="S291" s="145">
        <f>SUM(O291:R291)</f>
        <v>2.2000000000000002</v>
      </c>
      <c r="T291" s="618">
        <f>IFERROR(INDEX('Annex 2_Code'!I$8:I$33,MATCH('Annex 3_MAFF'!$AG291,'Annex 2_Code'!$G$8:$G$33,0)),"")</f>
        <v>0</v>
      </c>
      <c r="U291" s="618">
        <f>IFERROR(INDEX('Annex 2_Code'!J$8:J$33,MATCH('Annex 3_MAFF'!$AG291,'Annex 2_Code'!$G$8:$G$33,0)),"")</f>
        <v>0</v>
      </c>
      <c r="V291" s="618">
        <f>IFERROR(INDEX('Annex 2_Code'!K$8:K$33,MATCH('Annex 3_MAFF'!$AG291,'Annex 2_Code'!$G$8:$G$33,0)),"")</f>
        <v>1</v>
      </c>
      <c r="W291" s="618">
        <f>IFERROR(INDEX('Annex 2_Code'!L$8:L$33,MATCH('Annex 3_MAFF'!$AG291,'Annex 2_Code'!$G$8:$G$33,0)),"")</f>
        <v>0</v>
      </c>
      <c r="X291" s="618">
        <f>IFERROR(INDEX('Annex 2_Code'!M$8:M$33,MATCH('Annex 3_MAFF'!$AG291,'Annex 2_Code'!$G$8:$G$33,0)),"")</f>
        <v>0</v>
      </c>
      <c r="Y291" s="1536">
        <f t="shared" si="302"/>
        <v>0</v>
      </c>
      <c r="Z291" s="717">
        <f t="shared" si="302"/>
        <v>0</v>
      </c>
      <c r="AA291" s="717">
        <f t="shared" si="268"/>
        <v>2.2000000000000002</v>
      </c>
      <c r="AB291" s="717">
        <f t="shared" si="302"/>
        <v>0</v>
      </c>
      <c r="AC291" s="718">
        <f t="shared" si="302"/>
        <v>0</v>
      </c>
      <c r="AD291" s="626">
        <f t="shared" si="303"/>
        <v>2.2000000000000002</v>
      </c>
      <c r="AE291" s="627">
        <f t="shared" si="304"/>
        <v>0</v>
      </c>
      <c r="AF291" s="568" t="s">
        <v>493</v>
      </c>
      <c r="AG291" s="568" t="s">
        <v>388</v>
      </c>
      <c r="AH291" s="568" t="s">
        <v>560</v>
      </c>
      <c r="AI291" s="882" t="s">
        <v>15</v>
      </c>
      <c r="AK291" s="1382"/>
      <c r="AL291" s="1382"/>
    </row>
    <row r="292" spans="1:38" s="542" customFormat="1" outlineLevel="1">
      <c r="A292" s="102"/>
      <c r="B292" s="374" t="s">
        <v>57</v>
      </c>
      <c r="C292" s="374" t="s">
        <v>57</v>
      </c>
      <c r="D292" s="484"/>
      <c r="E292" s="485" t="s">
        <v>762</v>
      </c>
      <c r="F292" s="364"/>
      <c r="G292" s="730" t="s">
        <v>887</v>
      </c>
      <c r="H292" s="538" t="s">
        <v>172</v>
      </c>
      <c r="I292" s="1928">
        <v>7</v>
      </c>
      <c r="J292" s="665">
        <v>0</v>
      </c>
      <c r="K292" s="666">
        <v>0</v>
      </c>
      <c r="L292" s="666">
        <v>0</v>
      </c>
      <c r="M292" s="666">
        <v>1</v>
      </c>
      <c r="N292" s="667">
        <f>SUM(J292:M292)</f>
        <v>1</v>
      </c>
      <c r="O292" s="688">
        <f t="shared" si="300"/>
        <v>0</v>
      </c>
      <c r="P292" s="689">
        <f t="shared" si="300"/>
        <v>0</v>
      </c>
      <c r="Q292" s="689">
        <f t="shared" si="301"/>
        <v>0</v>
      </c>
      <c r="R292" s="689">
        <f>($I292*M292)</f>
        <v>7</v>
      </c>
      <c r="S292" s="145">
        <f>SUM(O292:R292)</f>
        <v>7</v>
      </c>
      <c r="T292" s="618">
        <f>IFERROR(INDEX('Annex 2_Code'!I$8:I$33,MATCH('Annex 3_MAFF'!$AG292,'Annex 2_Code'!$G$8:$G$33,0)),"")</f>
        <v>0</v>
      </c>
      <c r="U292" s="618">
        <f>IFERROR(INDEX('Annex 2_Code'!J$8:J$33,MATCH('Annex 3_MAFF'!$AG292,'Annex 2_Code'!$G$8:$G$33,0)),"")</f>
        <v>0</v>
      </c>
      <c r="V292" s="618">
        <f>IFERROR(INDEX('Annex 2_Code'!K$8:K$33,MATCH('Annex 3_MAFF'!$AG292,'Annex 2_Code'!$G$8:$G$33,0)),"")</f>
        <v>1</v>
      </c>
      <c r="W292" s="618">
        <f>IFERROR(INDEX('Annex 2_Code'!L$8:L$33,MATCH('Annex 3_MAFF'!$AG292,'Annex 2_Code'!$G$8:$G$33,0)),"")</f>
        <v>0</v>
      </c>
      <c r="X292" s="618">
        <f>IFERROR(INDEX('Annex 2_Code'!M$8:M$33,MATCH('Annex 3_MAFF'!$AG292,'Annex 2_Code'!$G$8:$G$33,0)),"")</f>
        <v>0</v>
      </c>
      <c r="Y292" s="1536">
        <f t="shared" si="302"/>
        <v>0</v>
      </c>
      <c r="Z292" s="717">
        <f t="shared" si="302"/>
        <v>0</v>
      </c>
      <c r="AA292" s="717">
        <f t="shared" si="268"/>
        <v>7</v>
      </c>
      <c r="AB292" s="717">
        <f t="shared" si="302"/>
        <v>0</v>
      </c>
      <c r="AC292" s="718">
        <f t="shared" si="302"/>
        <v>0</v>
      </c>
      <c r="AD292" s="626">
        <f t="shared" si="303"/>
        <v>7</v>
      </c>
      <c r="AE292" s="627">
        <f t="shared" si="304"/>
        <v>0</v>
      </c>
      <c r="AF292" s="568" t="s">
        <v>493</v>
      </c>
      <c r="AG292" s="568" t="s">
        <v>388</v>
      </c>
      <c r="AH292" s="568" t="s">
        <v>560</v>
      </c>
      <c r="AI292" s="882" t="s">
        <v>15</v>
      </c>
      <c r="AK292" s="1382"/>
      <c r="AL292" s="1382"/>
    </row>
    <row r="293" spans="1:38" s="366" customFormat="1" outlineLevel="1">
      <c r="A293" s="102"/>
      <c r="B293" s="93" t="s">
        <v>173</v>
      </c>
      <c r="C293" s="1137"/>
      <c r="D293" s="1471"/>
      <c r="E293" s="1440" t="s">
        <v>41</v>
      </c>
      <c r="F293" s="1441"/>
      <c r="G293" s="1472"/>
      <c r="H293" s="1475"/>
      <c r="I293" s="1467"/>
      <c r="J293" s="1468"/>
      <c r="K293" s="1469"/>
      <c r="L293" s="1469"/>
      <c r="M293" s="1469"/>
      <c r="N293" s="1470"/>
      <c r="O293" s="1434">
        <f>SUM(O289:O292)</f>
        <v>2.0499999999999998</v>
      </c>
      <c r="P293" s="1435">
        <f>SUM(P289:P292)</f>
        <v>7.05</v>
      </c>
      <c r="Q293" s="1435">
        <f>SUM(Q289:Q292)</f>
        <v>2.0499999999999998</v>
      </c>
      <c r="R293" s="1435">
        <f>SUM(R289:R292)</f>
        <v>14.05</v>
      </c>
      <c r="S293" s="1423">
        <f>SUM(S289:S292)</f>
        <v>25.2</v>
      </c>
      <c r="T293" s="1061"/>
      <c r="U293" s="1061"/>
      <c r="V293" s="1061"/>
      <c r="W293" s="1061"/>
      <c r="X293" s="1061"/>
      <c r="Y293" s="1537"/>
      <c r="Z293" s="1063"/>
      <c r="AA293" s="717">
        <f t="shared" si="268"/>
        <v>0</v>
      </c>
      <c r="AB293" s="1063"/>
      <c r="AC293" s="1064"/>
      <c r="AD293" s="1610"/>
      <c r="AE293" s="653"/>
      <c r="AF293" s="570"/>
      <c r="AG293" s="570"/>
      <c r="AH293" s="570"/>
      <c r="AI293" s="1065"/>
      <c r="AK293" s="1383"/>
      <c r="AL293" s="1383"/>
    </row>
    <row r="294" spans="1:38" s="542" customFormat="1" outlineLevel="1">
      <c r="A294" s="102"/>
      <c r="B294" s="76" t="s">
        <v>173</v>
      </c>
      <c r="C294" s="1115"/>
      <c r="D294" s="78"/>
      <c r="E294" s="97"/>
      <c r="F294" s="364"/>
      <c r="G294" s="722"/>
      <c r="H294" s="538"/>
      <c r="I294" s="584"/>
      <c r="J294" s="665"/>
      <c r="K294" s="666"/>
      <c r="L294" s="666"/>
      <c r="M294" s="666"/>
      <c r="N294" s="667"/>
      <c r="O294" s="688"/>
      <c r="P294" s="689"/>
      <c r="Q294" s="689"/>
      <c r="R294" s="689"/>
      <c r="S294" s="145"/>
      <c r="T294" s="618"/>
      <c r="U294" s="618"/>
      <c r="V294" s="618"/>
      <c r="W294" s="618"/>
      <c r="X294" s="618"/>
      <c r="Y294" s="1536"/>
      <c r="Z294" s="717"/>
      <c r="AA294" s="717">
        <f t="shared" si="268"/>
        <v>0</v>
      </c>
      <c r="AB294" s="717"/>
      <c r="AC294" s="718"/>
      <c r="AD294" s="626"/>
      <c r="AE294" s="627"/>
      <c r="AF294" s="568"/>
      <c r="AG294" s="568"/>
      <c r="AH294" s="568"/>
      <c r="AI294" s="882"/>
      <c r="AK294" s="1382"/>
      <c r="AL294" s="1382"/>
    </row>
    <row r="295" spans="1:38" s="542" customFormat="1" outlineLevel="1">
      <c r="A295" s="102"/>
      <c r="B295" s="76" t="s">
        <v>173</v>
      </c>
      <c r="C295" s="1115"/>
      <c r="D295" s="78"/>
      <c r="E295" s="97" t="s">
        <v>888</v>
      </c>
      <c r="F295" s="364"/>
      <c r="G295" s="722"/>
      <c r="H295" s="538"/>
      <c r="I295" s="584"/>
      <c r="J295" s="665"/>
      <c r="K295" s="666"/>
      <c r="L295" s="666"/>
      <c r="M295" s="666"/>
      <c r="N295" s="667"/>
      <c r="O295" s="688"/>
      <c r="P295" s="689"/>
      <c r="Q295" s="689"/>
      <c r="R295" s="689"/>
      <c r="S295" s="145"/>
      <c r="T295" s="618" t="str">
        <f>IFERROR(INDEX('[3]Annex 2'!I$8:I$33,MATCH('[3]Annex 3 (''MEF)'!$AG321,'[3]Annex 2'!$G$8:$G$33,0)),"")</f>
        <v/>
      </c>
      <c r="U295" s="618" t="str">
        <f>IFERROR(INDEX('[3]Annex 2'!J$8:J$33,MATCH('[3]Annex 3 (''MEF)'!$AG321,'[3]Annex 2'!$G$8:$G$33,0)),"")</f>
        <v/>
      </c>
      <c r="V295" s="618" t="str">
        <f>IFERROR(INDEX('[3]Annex 2'!K$8:K$33,MATCH('[3]Annex 3 (''MEF)'!$AG321,'[3]Annex 2'!$G$8:$G$33,0)),"")</f>
        <v/>
      </c>
      <c r="W295" s="618" t="str">
        <f>IFERROR(INDEX('[3]Annex 2'!L$8:L$33,MATCH('[3]Annex 3 (''MEF)'!$AG321,'[3]Annex 2'!$G$8:$G$33,0)),"")</f>
        <v/>
      </c>
      <c r="X295" s="618" t="str">
        <f>IFERROR(INDEX('[3]Annex 2'!M$8:M$33,MATCH('[3]Annex 3 (''MEF)'!$AG321,'[3]Annex 2'!$G$8:$G$33,0)),"")</f>
        <v/>
      </c>
      <c r="Y295" s="1536" t="str">
        <f t="shared" ref="Y295:AC298" si="305">IFERROR($S295*T295,"")</f>
        <v/>
      </c>
      <c r="Z295" s="717" t="str">
        <f t="shared" si="305"/>
        <v/>
      </c>
      <c r="AA295" s="717" t="str">
        <f t="shared" si="268"/>
        <v/>
      </c>
      <c r="AB295" s="717" t="str">
        <f t="shared" si="305"/>
        <v/>
      </c>
      <c r="AC295" s="718" t="str">
        <f t="shared" si="305"/>
        <v/>
      </c>
      <c r="AD295" s="626">
        <f t="shared" ref="AD295:AD298" si="306">SUM(Y295:AC295)</f>
        <v>0</v>
      </c>
      <c r="AE295" s="627">
        <f t="shared" ref="AE295:AE298" si="307">AD295-S295</f>
        <v>0</v>
      </c>
      <c r="AF295" s="568"/>
      <c r="AG295" s="568"/>
      <c r="AH295" s="568"/>
      <c r="AI295" s="882"/>
      <c r="AK295" s="1382"/>
      <c r="AL295" s="1382"/>
    </row>
    <row r="296" spans="1:38" s="542" customFormat="1" ht="24.75" customHeight="1" outlineLevel="1">
      <c r="A296" s="102"/>
      <c r="B296" s="374" t="s">
        <v>57</v>
      </c>
      <c r="C296" s="374" t="s">
        <v>57</v>
      </c>
      <c r="D296" s="484"/>
      <c r="E296" s="485" t="s">
        <v>819</v>
      </c>
      <c r="F296" s="364"/>
      <c r="G296" s="1748" t="s">
        <v>790</v>
      </c>
      <c r="H296" s="1739" t="s">
        <v>179</v>
      </c>
      <c r="I296" s="584">
        <v>0.5</v>
      </c>
      <c r="J296" s="1744">
        <v>0</v>
      </c>
      <c r="K296" s="1745">
        <v>3</v>
      </c>
      <c r="L296" s="1745">
        <v>3</v>
      </c>
      <c r="M296" s="1745">
        <v>3</v>
      </c>
      <c r="N296" s="667">
        <f>SUM(J296:M296)</f>
        <v>9</v>
      </c>
      <c r="O296" s="688">
        <f>($I296*J296)</f>
        <v>0</v>
      </c>
      <c r="P296" s="689">
        <f>($I296*K296)</f>
        <v>1.5</v>
      </c>
      <c r="Q296" s="689">
        <f t="shared" ref="Q296:R298" si="308">($I296*L296)</f>
        <v>1.5</v>
      </c>
      <c r="R296" s="689">
        <f t="shared" si="308"/>
        <v>1.5</v>
      </c>
      <c r="S296" s="145">
        <f t="shared" ref="S296:S298" si="309">SUM(O296:R296)</f>
        <v>4.5</v>
      </c>
      <c r="T296" s="618">
        <f>IFERROR(INDEX('Annex 2_Code'!I$8:I$33,MATCH('Annex 3_MAFF'!$AG296,'Annex 2_Code'!$G$8:$G$33,0)),"")</f>
        <v>0</v>
      </c>
      <c r="U296" s="618">
        <f>IFERROR(INDEX('Annex 2_Code'!J$8:J$33,MATCH('Annex 3_MAFF'!$AG296,'Annex 2_Code'!$G$8:$G$33,0)),"")</f>
        <v>0</v>
      </c>
      <c r="V296" s="618">
        <f>IFERROR(INDEX('Annex 2_Code'!K$8:K$33,MATCH('Annex 3_MAFF'!$AG296,'Annex 2_Code'!$G$8:$G$33,0)),"")</f>
        <v>1</v>
      </c>
      <c r="W296" s="618">
        <f>IFERROR(INDEX('Annex 2_Code'!L$8:L$33,MATCH('Annex 3_MAFF'!$AG296,'Annex 2_Code'!$G$8:$G$33,0)),"")</f>
        <v>0</v>
      </c>
      <c r="X296" s="618">
        <f>IFERROR(INDEX('Annex 2_Code'!M$8:M$33,MATCH('Annex 3_MAFF'!$AG296,'Annex 2_Code'!$G$8:$G$33,0)),"")</f>
        <v>0</v>
      </c>
      <c r="Y296" s="1536">
        <f t="shared" si="305"/>
        <v>0</v>
      </c>
      <c r="Z296" s="717">
        <f t="shared" si="305"/>
        <v>0</v>
      </c>
      <c r="AA296" s="717">
        <f t="shared" si="268"/>
        <v>4.5</v>
      </c>
      <c r="AB296" s="717">
        <f t="shared" si="305"/>
        <v>0</v>
      </c>
      <c r="AC296" s="718">
        <f t="shared" si="305"/>
        <v>0</v>
      </c>
      <c r="AD296" s="626">
        <f t="shared" si="306"/>
        <v>4.5</v>
      </c>
      <c r="AE296" s="627">
        <f t="shared" si="307"/>
        <v>0</v>
      </c>
      <c r="AF296" s="568" t="s">
        <v>493</v>
      </c>
      <c r="AG296" s="568" t="s">
        <v>388</v>
      </c>
      <c r="AH296" s="568" t="s">
        <v>560</v>
      </c>
      <c r="AI296" s="882" t="s">
        <v>15</v>
      </c>
      <c r="AK296" s="1382"/>
      <c r="AL296" s="1382"/>
    </row>
    <row r="297" spans="1:38" s="542" customFormat="1" ht="25.5" outlineLevel="1">
      <c r="A297" s="102"/>
      <c r="B297" s="374" t="s">
        <v>57</v>
      </c>
      <c r="C297" s="374" t="s">
        <v>57</v>
      </c>
      <c r="D297" s="78"/>
      <c r="E297" s="485" t="s">
        <v>763</v>
      </c>
      <c r="F297" s="364"/>
      <c r="G297" s="722" t="s">
        <v>791</v>
      </c>
      <c r="H297" s="538" t="s">
        <v>641</v>
      </c>
      <c r="I297" s="584">
        <v>5</v>
      </c>
      <c r="J297" s="665">
        <v>0</v>
      </c>
      <c r="K297" s="666">
        <v>0</v>
      </c>
      <c r="L297" s="666">
        <v>4</v>
      </c>
      <c r="M297" s="666">
        <v>4</v>
      </c>
      <c r="N297" s="667">
        <f>SUM(J297:M297)</f>
        <v>8</v>
      </c>
      <c r="O297" s="688">
        <f t="shared" ref="O297" si="310">($I297*J297)</f>
        <v>0</v>
      </c>
      <c r="P297" s="689">
        <f t="shared" ref="P297:P298" si="311">($I297*K297)</f>
        <v>0</v>
      </c>
      <c r="Q297" s="689">
        <f t="shared" si="308"/>
        <v>20</v>
      </c>
      <c r="R297" s="689">
        <f t="shared" si="308"/>
        <v>20</v>
      </c>
      <c r="S297" s="145">
        <f t="shared" si="309"/>
        <v>40</v>
      </c>
      <c r="T297" s="618">
        <f>IFERROR(INDEX('Annex 2_Code'!I$8:I$33,MATCH('Annex 3_MAFF'!$AG297,'Annex 2_Code'!$G$8:$G$33,0)),"")</f>
        <v>0</v>
      </c>
      <c r="U297" s="618">
        <f>IFERROR(INDEX('Annex 2_Code'!J$8:J$33,MATCH('Annex 3_MAFF'!$AG297,'Annex 2_Code'!$G$8:$G$33,0)),"")</f>
        <v>0</v>
      </c>
      <c r="V297" s="618">
        <f>IFERROR(INDEX('Annex 2_Code'!K$8:K$33,MATCH('Annex 3_MAFF'!$AG297,'Annex 2_Code'!$G$8:$G$33,0)),"")</f>
        <v>1</v>
      </c>
      <c r="W297" s="618">
        <f>IFERROR(INDEX('Annex 2_Code'!L$8:L$33,MATCH('Annex 3_MAFF'!$AG297,'Annex 2_Code'!$G$8:$G$33,0)),"")</f>
        <v>0</v>
      </c>
      <c r="X297" s="618">
        <f>IFERROR(INDEX('Annex 2_Code'!M$8:M$33,MATCH('Annex 3_MAFF'!$AG297,'Annex 2_Code'!$G$8:$G$33,0)),"")</f>
        <v>0</v>
      </c>
      <c r="Y297" s="1536">
        <f t="shared" si="305"/>
        <v>0</v>
      </c>
      <c r="Z297" s="717">
        <f t="shared" si="305"/>
        <v>0</v>
      </c>
      <c r="AA297" s="717">
        <f t="shared" si="268"/>
        <v>40</v>
      </c>
      <c r="AB297" s="717">
        <f t="shared" si="305"/>
        <v>0</v>
      </c>
      <c r="AC297" s="718">
        <f t="shared" si="305"/>
        <v>0</v>
      </c>
      <c r="AD297" s="626">
        <f t="shared" si="306"/>
        <v>40</v>
      </c>
      <c r="AE297" s="627">
        <f t="shared" si="307"/>
        <v>0</v>
      </c>
      <c r="AF297" s="568" t="s">
        <v>493</v>
      </c>
      <c r="AG297" s="568" t="s">
        <v>388</v>
      </c>
      <c r="AH297" s="568" t="s">
        <v>560</v>
      </c>
      <c r="AI297" s="882" t="s">
        <v>15</v>
      </c>
      <c r="AK297" s="1382"/>
      <c r="AL297" s="1382"/>
    </row>
    <row r="298" spans="1:38" s="542" customFormat="1" outlineLevel="1">
      <c r="A298" s="102"/>
      <c r="B298" s="374" t="s">
        <v>57</v>
      </c>
      <c r="C298" s="374" t="s">
        <v>57</v>
      </c>
      <c r="D298" s="78"/>
      <c r="E298" s="485" t="s">
        <v>764</v>
      </c>
      <c r="F298" s="364"/>
      <c r="G298" s="722" t="s">
        <v>889</v>
      </c>
      <c r="H298" s="538" t="s">
        <v>172</v>
      </c>
      <c r="I298" s="1928">
        <v>8</v>
      </c>
      <c r="J298" s="665">
        <v>0</v>
      </c>
      <c r="K298" s="666">
        <v>0</v>
      </c>
      <c r="L298" s="666">
        <v>0</v>
      </c>
      <c r="M298" s="666">
        <v>1</v>
      </c>
      <c r="N298" s="667">
        <f>SUM(J298:M298)</f>
        <v>1</v>
      </c>
      <c r="O298" s="688">
        <f>($I298*J298)</f>
        <v>0</v>
      </c>
      <c r="P298" s="689">
        <f t="shared" si="311"/>
        <v>0</v>
      </c>
      <c r="Q298" s="689">
        <f t="shared" si="308"/>
        <v>0</v>
      </c>
      <c r="R298" s="689">
        <f t="shared" si="308"/>
        <v>8</v>
      </c>
      <c r="S298" s="145">
        <f t="shared" si="309"/>
        <v>8</v>
      </c>
      <c r="T298" s="618">
        <f>IFERROR(INDEX('Annex 2_Code'!I$8:I$33,MATCH('Annex 3_MAFF'!$AG298,'Annex 2_Code'!$G$8:$G$33,0)),"")</f>
        <v>0</v>
      </c>
      <c r="U298" s="618">
        <f>IFERROR(INDEX('Annex 2_Code'!J$8:J$33,MATCH('Annex 3_MAFF'!$AG298,'Annex 2_Code'!$G$8:$G$33,0)),"")</f>
        <v>0</v>
      </c>
      <c r="V298" s="618">
        <f>IFERROR(INDEX('Annex 2_Code'!K$8:K$33,MATCH('Annex 3_MAFF'!$AG298,'Annex 2_Code'!$G$8:$G$33,0)),"")</f>
        <v>1</v>
      </c>
      <c r="W298" s="618">
        <f>IFERROR(INDEX('Annex 2_Code'!L$8:L$33,MATCH('Annex 3_MAFF'!$AG298,'Annex 2_Code'!$G$8:$G$33,0)),"")</f>
        <v>0</v>
      </c>
      <c r="X298" s="618">
        <f>IFERROR(INDEX('Annex 2_Code'!M$8:M$33,MATCH('Annex 3_MAFF'!$AG298,'Annex 2_Code'!$G$8:$G$33,0)),"")</f>
        <v>0</v>
      </c>
      <c r="Y298" s="1536">
        <f t="shared" si="305"/>
        <v>0</v>
      </c>
      <c r="Z298" s="717">
        <f t="shared" si="305"/>
        <v>0</v>
      </c>
      <c r="AA298" s="717">
        <f t="shared" si="268"/>
        <v>8</v>
      </c>
      <c r="AB298" s="717">
        <f t="shared" si="305"/>
        <v>0</v>
      </c>
      <c r="AC298" s="718">
        <f t="shared" si="305"/>
        <v>0</v>
      </c>
      <c r="AD298" s="626">
        <f t="shared" si="306"/>
        <v>8</v>
      </c>
      <c r="AE298" s="627">
        <f t="shared" si="307"/>
        <v>0</v>
      </c>
      <c r="AF298" s="568" t="s">
        <v>493</v>
      </c>
      <c r="AG298" s="568" t="s">
        <v>388</v>
      </c>
      <c r="AH298" s="568" t="s">
        <v>560</v>
      </c>
      <c r="AI298" s="882" t="s">
        <v>15</v>
      </c>
      <c r="AK298" s="1382"/>
      <c r="AL298" s="1382"/>
    </row>
    <row r="299" spans="1:38" s="542" customFormat="1" outlineLevel="1">
      <c r="A299" s="102"/>
      <c r="B299" s="76" t="s">
        <v>173</v>
      </c>
      <c r="C299" s="77"/>
      <c r="D299" s="1464"/>
      <c r="E299" s="1440" t="s">
        <v>41</v>
      </c>
      <c r="F299" s="1441"/>
      <c r="G299" s="1428"/>
      <c r="H299" s="1454"/>
      <c r="I299" s="1455"/>
      <c r="J299" s="1456"/>
      <c r="K299" s="1457"/>
      <c r="L299" s="1457"/>
      <c r="M299" s="1457"/>
      <c r="N299" s="1458"/>
      <c r="O299" s="1434">
        <f>SUM(O296:O298)</f>
        <v>0</v>
      </c>
      <c r="P299" s="1435">
        <f>SUM(P296:P298)</f>
        <v>1.5</v>
      </c>
      <c r="Q299" s="1435">
        <f>SUM(Q296:Q298)</f>
        <v>21.5</v>
      </c>
      <c r="R299" s="1435">
        <f>SUM(R296:R298)</f>
        <v>29.5</v>
      </c>
      <c r="S299" s="1436">
        <f>SUM(S296:S298)</f>
        <v>52.5</v>
      </c>
      <c r="T299" s="618" t="str">
        <f>IFERROR(INDEX('Annex 2_Code'!I$8:I$33,MATCH('Annex 3_MAFF'!$AG299,'Annex 2_Code'!$G$8:$G$33,0)),"")</f>
        <v/>
      </c>
      <c r="U299" s="618" t="str">
        <f>IFERROR(INDEX('Annex 2_Code'!J$8:J$33,MATCH('Annex 3_MAFF'!$AG299,'Annex 2_Code'!$G$8:$G$33,0)),"")</f>
        <v/>
      </c>
      <c r="V299" s="618" t="str">
        <f>IFERROR(INDEX('Annex 2_Code'!K$8:K$33,MATCH('Annex 3_MAFF'!$AG299,'Annex 2_Code'!$G$8:$G$33,0)),"")</f>
        <v/>
      </c>
      <c r="W299" s="618" t="str">
        <f>IFERROR(INDEX('Annex 2_Code'!L$8:L$33,MATCH('Annex 3_MAFF'!$AG299,'Annex 2_Code'!$G$8:$G$33,0)),"")</f>
        <v/>
      </c>
      <c r="X299" s="618" t="str">
        <f>IFERROR(INDEX('Annex 2_Code'!M$8:M$33,MATCH('Annex 3_MAFF'!$AG299,'Annex 2_Code'!$G$8:$G$33,0)),"")</f>
        <v/>
      </c>
      <c r="Y299" s="1536" t="str">
        <f t="shared" si="268"/>
        <v/>
      </c>
      <c r="Z299" s="717" t="str">
        <f t="shared" si="269"/>
        <v/>
      </c>
      <c r="AA299" s="717" t="str">
        <f t="shared" si="268"/>
        <v/>
      </c>
      <c r="AB299" s="717" t="str">
        <f t="shared" si="270"/>
        <v/>
      </c>
      <c r="AC299" s="718" t="str">
        <f t="shared" si="271"/>
        <v/>
      </c>
      <c r="AD299" s="626">
        <f t="shared" ref="AD299:AD375" si="312">SUM(Y299:AC299)</f>
        <v>0</v>
      </c>
      <c r="AE299" s="627">
        <f t="shared" ref="AE299:AE375" si="313">AD299-S299</f>
        <v>-52.5</v>
      </c>
      <c r="AF299" s="568"/>
      <c r="AG299" s="568"/>
      <c r="AH299" s="568" t="str">
        <f>IFERROR(INDEX('Annex 2_Code'!$J$110:$J$122,MATCH('Annex 3_MAFF'!AF299,'Annex 2_Code'!$G$110:$G$122,0)),"")</f>
        <v/>
      </c>
      <c r="AI299" s="882" t="str">
        <f t="shared" si="278"/>
        <v/>
      </c>
      <c r="AK299" s="1382"/>
      <c r="AL299" s="1382"/>
    </row>
    <row r="300" spans="1:38" s="542" customFormat="1" outlineLevel="1">
      <c r="A300" s="102"/>
      <c r="B300" s="76" t="s">
        <v>173</v>
      </c>
      <c r="C300" s="77"/>
      <c r="D300" s="78"/>
      <c r="E300" s="122"/>
      <c r="F300" s="364"/>
      <c r="G300" s="722"/>
      <c r="H300" s="565"/>
      <c r="I300" s="566"/>
      <c r="J300" s="665"/>
      <c r="K300" s="666"/>
      <c r="L300" s="666"/>
      <c r="M300" s="666"/>
      <c r="N300" s="667"/>
      <c r="O300" s="691"/>
      <c r="P300" s="692"/>
      <c r="Q300" s="692"/>
      <c r="R300" s="692"/>
      <c r="S300" s="692"/>
      <c r="T300" s="618"/>
      <c r="U300" s="618"/>
      <c r="V300" s="618"/>
      <c r="W300" s="618"/>
      <c r="X300" s="618"/>
      <c r="Y300" s="1536"/>
      <c r="Z300" s="717"/>
      <c r="AA300" s="717">
        <f t="shared" si="268"/>
        <v>0</v>
      </c>
      <c r="AB300" s="717"/>
      <c r="AC300" s="718"/>
      <c r="AD300" s="626"/>
      <c r="AE300" s="627"/>
      <c r="AF300" s="568"/>
      <c r="AG300" s="568"/>
      <c r="AH300" s="568"/>
      <c r="AI300" s="882"/>
      <c r="AK300" s="1382"/>
      <c r="AL300" s="1382"/>
    </row>
    <row r="301" spans="1:38" s="542" customFormat="1" outlineLevel="1">
      <c r="A301" s="102"/>
      <c r="B301" s="76" t="s">
        <v>173</v>
      </c>
      <c r="C301" s="1115"/>
      <c r="D301" s="78"/>
      <c r="E301" s="97" t="s">
        <v>890</v>
      </c>
      <c r="F301" s="364"/>
      <c r="G301" s="722"/>
      <c r="H301" s="565"/>
      <c r="I301" s="566"/>
      <c r="J301" s="665"/>
      <c r="K301" s="666"/>
      <c r="L301" s="666"/>
      <c r="M301" s="666"/>
      <c r="N301" s="667"/>
      <c r="O301" s="688"/>
      <c r="P301" s="689"/>
      <c r="Q301" s="689"/>
      <c r="R301" s="689"/>
      <c r="S301" s="145"/>
      <c r="T301" s="618" t="str">
        <f>IFERROR(INDEX('[3]Annex 2'!I$8:I$33,MATCH('[3]Annex 3 (''MEF)'!$AG328,'[3]Annex 2'!$G$8:$G$33,0)),"")</f>
        <v/>
      </c>
      <c r="U301" s="618" t="str">
        <f>IFERROR(INDEX('[3]Annex 2'!J$8:J$33,MATCH('[3]Annex 3 (''MEF)'!$AG328,'[3]Annex 2'!$G$8:$G$33,0)),"")</f>
        <v/>
      </c>
      <c r="V301" s="618" t="str">
        <f>IFERROR(INDEX('[3]Annex 2'!K$8:K$33,MATCH('[3]Annex 3 (''MEF)'!$AG328,'[3]Annex 2'!$G$8:$G$33,0)),"")</f>
        <v/>
      </c>
      <c r="W301" s="618" t="str">
        <f>IFERROR(INDEX('[3]Annex 2'!L$8:L$33,MATCH('[3]Annex 3 (''MEF)'!$AG328,'[3]Annex 2'!$G$8:$G$33,0)),"")</f>
        <v/>
      </c>
      <c r="X301" s="618" t="str">
        <f>IFERROR(INDEX('[3]Annex 2'!M$8:M$33,MATCH('[3]Annex 3 (''MEF)'!$AG328,'[3]Annex 2'!$G$8:$G$33,0)),"")</f>
        <v/>
      </c>
      <c r="Y301" s="1536" t="str">
        <f t="shared" ref="Y301:AC308" si="314">IFERROR($S301*T301,"")</f>
        <v/>
      </c>
      <c r="Z301" s="717" t="str">
        <f t="shared" si="314"/>
        <v/>
      </c>
      <c r="AA301" s="717" t="str">
        <f t="shared" si="268"/>
        <v/>
      </c>
      <c r="AB301" s="717" t="str">
        <f t="shared" si="314"/>
        <v/>
      </c>
      <c r="AC301" s="718" t="str">
        <f t="shared" si="314"/>
        <v/>
      </c>
      <c r="AD301" s="626">
        <f t="shared" ref="AD301:AD307" si="315">SUM(Y301:AC301)</f>
        <v>0</v>
      </c>
      <c r="AE301" s="627">
        <f t="shared" ref="AE301:AE308" si="316">AD301-S301</f>
        <v>0</v>
      </c>
      <c r="AF301" s="568"/>
      <c r="AG301" s="568"/>
      <c r="AH301" s="568" t="str">
        <f>IFERROR(INDEX('[3]Annex 2'!$J$110:$J$122,MATCH('[3]Annex 3 (''MEF)'!AF328,'[3]Annex 2'!$G$110:$G$122,0)),"")</f>
        <v/>
      </c>
      <c r="AI301" s="882" t="str">
        <f t="shared" ref="AI301:AI308" si="317">IF(ISNUMBER(FIND("-",AH301,1))=FALSE,LEFT(AH301,LEN(AH301)),LEFT(AH301,(FIND("-",AH301,1))-1))</f>
        <v/>
      </c>
      <c r="AK301" s="1382"/>
      <c r="AL301" s="1382"/>
    </row>
    <row r="302" spans="1:38" s="542" customFormat="1" outlineLevel="1">
      <c r="A302" s="102"/>
      <c r="B302" s="374" t="s">
        <v>57</v>
      </c>
      <c r="C302" s="374" t="s">
        <v>57</v>
      </c>
      <c r="D302" s="78"/>
      <c r="E302" s="97" t="s">
        <v>765</v>
      </c>
      <c r="F302" s="364"/>
      <c r="G302" s="722" t="s">
        <v>269</v>
      </c>
      <c r="H302" s="538" t="s">
        <v>179</v>
      </c>
      <c r="I302" s="584">
        <v>1</v>
      </c>
      <c r="J302" s="665">
        <v>0</v>
      </c>
      <c r="K302" s="666">
        <v>0</v>
      </c>
      <c r="L302" s="666">
        <v>4</v>
      </c>
      <c r="M302" s="666">
        <v>4</v>
      </c>
      <c r="N302" s="667">
        <f t="shared" ref="N302:N307" si="318">SUM(J302:M302)</f>
        <v>8</v>
      </c>
      <c r="O302" s="688">
        <f>($I302*J302)</f>
        <v>0</v>
      </c>
      <c r="P302" s="689">
        <f>($I302*K302)</f>
        <v>0</v>
      </c>
      <c r="Q302" s="689">
        <f t="shared" ref="Q302:R307" si="319">($I302*L302)</f>
        <v>4</v>
      </c>
      <c r="R302" s="689">
        <f t="shared" si="319"/>
        <v>4</v>
      </c>
      <c r="S302" s="145">
        <f t="shared" ref="S302:S307" si="320">SUM(O302:R302)</f>
        <v>8</v>
      </c>
      <c r="T302" s="618">
        <f>IFERROR(INDEX('Annex 2_Code'!I$8:I$33,MATCH('Annex 3_MAFF'!$AG302,'Annex 2_Code'!$G$8:$G$33,0)),"")</f>
        <v>0</v>
      </c>
      <c r="U302" s="618">
        <f>IFERROR(INDEX('Annex 2_Code'!J$8:J$33,MATCH('Annex 3_MAFF'!$AG302,'Annex 2_Code'!$G$8:$G$33,0)),"")</f>
        <v>0</v>
      </c>
      <c r="V302" s="618">
        <f>IFERROR(INDEX('Annex 2_Code'!K$8:K$33,MATCH('Annex 3_MAFF'!$AG302,'Annex 2_Code'!$G$8:$G$33,0)),"")</f>
        <v>1</v>
      </c>
      <c r="W302" s="618">
        <f>IFERROR(INDEX('Annex 2_Code'!L$8:L$33,MATCH('Annex 3_MAFF'!$AG302,'Annex 2_Code'!$G$8:$G$33,0)),"")</f>
        <v>0</v>
      </c>
      <c r="X302" s="618">
        <f>IFERROR(INDEX('Annex 2_Code'!M$8:M$33,MATCH('Annex 3_MAFF'!$AG302,'Annex 2_Code'!$G$8:$G$33,0)),"")</f>
        <v>0</v>
      </c>
      <c r="Y302" s="1536">
        <f t="shared" si="314"/>
        <v>0</v>
      </c>
      <c r="Z302" s="717">
        <f t="shared" si="314"/>
        <v>0</v>
      </c>
      <c r="AA302" s="717">
        <f t="shared" si="268"/>
        <v>8</v>
      </c>
      <c r="AB302" s="717">
        <f t="shared" si="314"/>
        <v>0</v>
      </c>
      <c r="AC302" s="718">
        <f t="shared" si="314"/>
        <v>0</v>
      </c>
      <c r="AD302" s="626">
        <f t="shared" si="315"/>
        <v>8</v>
      </c>
      <c r="AE302" s="627">
        <f t="shared" si="316"/>
        <v>0</v>
      </c>
      <c r="AF302" s="568" t="s">
        <v>488</v>
      </c>
      <c r="AG302" s="568" t="s">
        <v>386</v>
      </c>
      <c r="AH302" s="568" t="str">
        <f>IFERROR(INDEX('[3]Annex 2'!$J$110:$J$122,MATCH('[3]Annex 3 (''MEF)'!AF329,'[3]Annex 2'!$G$110:$G$122,0)),"")</f>
        <v>MAFF-GDA</v>
      </c>
      <c r="AI302" s="882" t="str">
        <f t="shared" si="317"/>
        <v>MAFF</v>
      </c>
      <c r="AK302" s="1382"/>
      <c r="AL302" s="1382"/>
    </row>
    <row r="303" spans="1:38" s="542" customFormat="1" outlineLevel="1">
      <c r="A303" s="102"/>
      <c r="B303" s="374" t="s">
        <v>57</v>
      </c>
      <c r="C303" s="374" t="s">
        <v>57</v>
      </c>
      <c r="D303" s="78"/>
      <c r="E303" s="97" t="s">
        <v>766</v>
      </c>
      <c r="F303" s="364"/>
      <c r="G303" s="722" t="s">
        <v>756</v>
      </c>
      <c r="H303" s="538" t="s">
        <v>179</v>
      </c>
      <c r="I303" s="584">
        <v>1</v>
      </c>
      <c r="J303" s="665">
        <v>0</v>
      </c>
      <c r="K303" s="666">
        <v>0</v>
      </c>
      <c r="L303" s="666">
        <v>0.5</v>
      </c>
      <c r="M303" s="666">
        <v>0.5</v>
      </c>
      <c r="N303" s="667">
        <f t="shared" si="318"/>
        <v>1</v>
      </c>
      <c r="O303" s="688">
        <f t="shared" ref="O303:O306" si="321">($I303*J303)</f>
        <v>0</v>
      </c>
      <c r="P303" s="689">
        <f t="shared" ref="P303:P307" si="322">($I303*K303)</f>
        <v>0</v>
      </c>
      <c r="Q303" s="689">
        <f t="shared" si="319"/>
        <v>0.5</v>
      </c>
      <c r="R303" s="689">
        <f t="shared" si="319"/>
        <v>0.5</v>
      </c>
      <c r="S303" s="145">
        <f t="shared" si="320"/>
        <v>1</v>
      </c>
      <c r="T303" s="618">
        <f>IFERROR(INDEX('Annex 2_Code'!I$8:I$33,MATCH('Annex 3_MAFF'!$AG303,'Annex 2_Code'!$G$8:$G$33,0)),"")</f>
        <v>0</v>
      </c>
      <c r="U303" s="618">
        <f>IFERROR(INDEX('Annex 2_Code'!J$8:J$33,MATCH('Annex 3_MAFF'!$AG303,'Annex 2_Code'!$G$8:$G$33,0)),"")</f>
        <v>0</v>
      </c>
      <c r="V303" s="618">
        <f>IFERROR(INDEX('Annex 2_Code'!K$8:K$33,MATCH('Annex 3_MAFF'!$AG303,'Annex 2_Code'!$G$8:$G$33,0)),"")</f>
        <v>1</v>
      </c>
      <c r="W303" s="618">
        <f>IFERROR(INDEX('Annex 2_Code'!L$8:L$33,MATCH('Annex 3_MAFF'!$AG303,'Annex 2_Code'!$G$8:$G$33,0)),"")</f>
        <v>0</v>
      </c>
      <c r="X303" s="618">
        <f>IFERROR(INDEX('Annex 2_Code'!M$8:M$33,MATCH('Annex 3_MAFF'!$AG303,'Annex 2_Code'!$G$8:$G$33,0)),"")</f>
        <v>0</v>
      </c>
      <c r="Y303" s="1536">
        <f t="shared" si="314"/>
        <v>0</v>
      </c>
      <c r="Z303" s="717">
        <f t="shared" si="314"/>
        <v>0</v>
      </c>
      <c r="AA303" s="717">
        <f t="shared" si="268"/>
        <v>1</v>
      </c>
      <c r="AB303" s="717">
        <f t="shared" si="314"/>
        <v>0</v>
      </c>
      <c r="AC303" s="718">
        <f t="shared" si="314"/>
        <v>0</v>
      </c>
      <c r="AD303" s="626">
        <f t="shared" si="315"/>
        <v>1</v>
      </c>
      <c r="AE303" s="627">
        <f t="shared" si="316"/>
        <v>0</v>
      </c>
      <c r="AF303" s="568" t="s">
        <v>488</v>
      </c>
      <c r="AG303" s="568" t="s">
        <v>386</v>
      </c>
      <c r="AH303" s="568" t="str">
        <f>IFERROR(INDEX('[3]Annex 2'!$J$110:$J$122,MATCH('[3]Annex 3 (''MEF)'!AF330,'[3]Annex 2'!$G$110:$G$122,0)),"")</f>
        <v>MAFF-GDA</v>
      </c>
      <c r="AI303" s="882" t="str">
        <f t="shared" si="317"/>
        <v>MAFF</v>
      </c>
      <c r="AK303" s="1382"/>
      <c r="AL303" s="1382"/>
    </row>
    <row r="304" spans="1:38" s="542" customFormat="1" outlineLevel="1">
      <c r="A304" s="102"/>
      <c r="B304" s="374" t="s">
        <v>57</v>
      </c>
      <c r="C304" s="374" t="s">
        <v>57</v>
      </c>
      <c r="D304" s="78"/>
      <c r="E304" s="97" t="s">
        <v>767</v>
      </c>
      <c r="F304" s="364"/>
      <c r="G304" s="722" t="s">
        <v>755</v>
      </c>
      <c r="H304" s="538" t="s">
        <v>179</v>
      </c>
      <c r="I304" s="584">
        <v>1</v>
      </c>
      <c r="J304" s="665">
        <v>0</v>
      </c>
      <c r="K304" s="666">
        <v>0</v>
      </c>
      <c r="L304" s="666">
        <v>2</v>
      </c>
      <c r="M304" s="666">
        <v>2</v>
      </c>
      <c r="N304" s="667">
        <f t="shared" si="318"/>
        <v>4</v>
      </c>
      <c r="O304" s="688">
        <f t="shared" si="321"/>
        <v>0</v>
      </c>
      <c r="P304" s="689">
        <f t="shared" si="322"/>
        <v>0</v>
      </c>
      <c r="Q304" s="689">
        <f t="shared" si="319"/>
        <v>2</v>
      </c>
      <c r="R304" s="689">
        <f t="shared" si="319"/>
        <v>2</v>
      </c>
      <c r="S304" s="145">
        <f t="shared" si="320"/>
        <v>4</v>
      </c>
      <c r="T304" s="618">
        <f>IFERROR(INDEX('Annex 2_Code'!I$8:I$33,MATCH('Annex 3_MAFF'!$AG304,'Annex 2_Code'!$G$8:$G$33,0)),"")</f>
        <v>0</v>
      </c>
      <c r="U304" s="618">
        <f>IFERROR(INDEX('Annex 2_Code'!J$8:J$33,MATCH('Annex 3_MAFF'!$AG304,'Annex 2_Code'!$G$8:$G$33,0)),"")</f>
        <v>0</v>
      </c>
      <c r="V304" s="618">
        <f>IFERROR(INDEX('Annex 2_Code'!K$8:K$33,MATCH('Annex 3_MAFF'!$AG304,'Annex 2_Code'!$G$8:$G$33,0)),"")</f>
        <v>1</v>
      </c>
      <c r="W304" s="618">
        <f>IFERROR(INDEX('Annex 2_Code'!L$8:L$33,MATCH('Annex 3_MAFF'!$AG304,'Annex 2_Code'!$G$8:$G$33,0)),"")</f>
        <v>0</v>
      </c>
      <c r="X304" s="618">
        <f>IFERROR(INDEX('Annex 2_Code'!M$8:M$33,MATCH('Annex 3_MAFF'!$AG304,'Annex 2_Code'!$G$8:$G$33,0)),"")</f>
        <v>0</v>
      </c>
      <c r="Y304" s="1536">
        <f t="shared" si="314"/>
        <v>0</v>
      </c>
      <c r="Z304" s="717">
        <f t="shared" si="314"/>
        <v>0</v>
      </c>
      <c r="AA304" s="717">
        <f t="shared" si="268"/>
        <v>4</v>
      </c>
      <c r="AB304" s="717">
        <f t="shared" si="314"/>
        <v>0</v>
      </c>
      <c r="AC304" s="718">
        <f t="shared" si="314"/>
        <v>0</v>
      </c>
      <c r="AD304" s="626">
        <f t="shared" si="315"/>
        <v>4</v>
      </c>
      <c r="AE304" s="627">
        <f t="shared" si="316"/>
        <v>0</v>
      </c>
      <c r="AF304" s="568" t="s">
        <v>488</v>
      </c>
      <c r="AG304" s="568" t="s">
        <v>386</v>
      </c>
      <c r="AH304" s="568" t="str">
        <f>IFERROR(INDEX('[3]Annex 2'!$J$110:$J$122,MATCH('[3]Annex 3 (''MEF)'!AF331,'[3]Annex 2'!$G$110:$G$122,0)),"")</f>
        <v>MAFF-GDA</v>
      </c>
      <c r="AI304" s="882" t="str">
        <f t="shared" si="317"/>
        <v>MAFF</v>
      </c>
      <c r="AK304" s="1382"/>
      <c r="AL304" s="1382"/>
    </row>
    <row r="305" spans="1:38" s="542" customFormat="1" outlineLevel="1">
      <c r="A305" s="102"/>
      <c r="B305" s="374" t="s">
        <v>57</v>
      </c>
      <c r="C305" s="374" t="s">
        <v>57</v>
      </c>
      <c r="D305" s="78"/>
      <c r="E305" s="97" t="s">
        <v>768</v>
      </c>
      <c r="F305" s="364"/>
      <c r="G305" s="722" t="s">
        <v>894</v>
      </c>
      <c r="H305" s="538" t="s">
        <v>179</v>
      </c>
      <c r="I305" s="584">
        <v>1</v>
      </c>
      <c r="J305" s="665">
        <v>0</v>
      </c>
      <c r="K305" s="666">
        <v>0</v>
      </c>
      <c r="L305" s="666">
        <v>2</v>
      </c>
      <c r="M305" s="666">
        <v>2</v>
      </c>
      <c r="N305" s="667">
        <f t="shared" si="318"/>
        <v>4</v>
      </c>
      <c r="O305" s="688">
        <f t="shared" si="321"/>
        <v>0</v>
      </c>
      <c r="P305" s="689">
        <f t="shared" si="322"/>
        <v>0</v>
      </c>
      <c r="Q305" s="689">
        <f t="shared" si="319"/>
        <v>2</v>
      </c>
      <c r="R305" s="689">
        <f t="shared" si="319"/>
        <v>2</v>
      </c>
      <c r="S305" s="145">
        <f t="shared" si="320"/>
        <v>4</v>
      </c>
      <c r="T305" s="618">
        <f>IFERROR(INDEX('Annex 2_Code'!I$8:I$33,MATCH('Annex 3_MAFF'!$AG305,'Annex 2_Code'!$G$8:$G$33,0)),"")</f>
        <v>0</v>
      </c>
      <c r="U305" s="618">
        <f>IFERROR(INDEX('Annex 2_Code'!J$8:J$33,MATCH('Annex 3_MAFF'!$AG305,'Annex 2_Code'!$G$8:$G$33,0)),"")</f>
        <v>0</v>
      </c>
      <c r="V305" s="618">
        <f>IFERROR(INDEX('Annex 2_Code'!K$8:K$33,MATCH('Annex 3_MAFF'!$AG305,'Annex 2_Code'!$G$8:$G$33,0)),"")</f>
        <v>1</v>
      </c>
      <c r="W305" s="618">
        <f>IFERROR(INDEX('Annex 2_Code'!L$8:L$33,MATCH('Annex 3_MAFF'!$AG305,'Annex 2_Code'!$G$8:$G$33,0)),"")</f>
        <v>0</v>
      </c>
      <c r="X305" s="618">
        <f>IFERROR(INDEX('Annex 2_Code'!M$8:M$33,MATCH('Annex 3_MAFF'!$AG305,'Annex 2_Code'!$G$8:$G$33,0)),"")</f>
        <v>0</v>
      </c>
      <c r="Y305" s="1536">
        <f t="shared" si="314"/>
        <v>0</v>
      </c>
      <c r="Z305" s="717">
        <f t="shared" si="314"/>
        <v>0</v>
      </c>
      <c r="AA305" s="717">
        <f t="shared" si="268"/>
        <v>4</v>
      </c>
      <c r="AB305" s="717">
        <f t="shared" si="314"/>
        <v>0</v>
      </c>
      <c r="AC305" s="718">
        <f t="shared" si="314"/>
        <v>0</v>
      </c>
      <c r="AD305" s="626">
        <f t="shared" si="315"/>
        <v>4</v>
      </c>
      <c r="AE305" s="627">
        <f t="shared" si="316"/>
        <v>0</v>
      </c>
      <c r="AF305" s="568" t="s">
        <v>488</v>
      </c>
      <c r="AG305" s="568" t="s">
        <v>386</v>
      </c>
      <c r="AH305" s="568" t="str">
        <f>IFERROR(INDEX('[3]Annex 2'!$J$110:$J$122,MATCH('[3]Annex 3 (''MEF)'!AF332,'[3]Annex 2'!$G$110:$G$122,0)),"")</f>
        <v>MAFF-GDA</v>
      </c>
      <c r="AI305" s="882" t="str">
        <f t="shared" si="317"/>
        <v>MAFF</v>
      </c>
      <c r="AK305" s="1382"/>
      <c r="AL305" s="1382"/>
    </row>
    <row r="306" spans="1:38" s="542" customFormat="1" outlineLevel="1">
      <c r="A306" s="102"/>
      <c r="B306" s="374" t="s">
        <v>57</v>
      </c>
      <c r="C306" s="374" t="s">
        <v>57</v>
      </c>
      <c r="D306" s="78"/>
      <c r="E306" s="97" t="s">
        <v>769</v>
      </c>
      <c r="F306" s="364"/>
      <c r="G306" s="722" t="s">
        <v>72</v>
      </c>
      <c r="H306" s="538" t="s">
        <v>172</v>
      </c>
      <c r="I306" s="1928">
        <v>5</v>
      </c>
      <c r="J306" s="665">
        <v>0</v>
      </c>
      <c r="K306" s="666">
        <v>0</v>
      </c>
      <c r="L306" s="666">
        <v>0.5</v>
      </c>
      <c r="M306" s="666">
        <v>0.5</v>
      </c>
      <c r="N306" s="667">
        <f t="shared" si="318"/>
        <v>1</v>
      </c>
      <c r="O306" s="688">
        <f t="shared" si="321"/>
        <v>0</v>
      </c>
      <c r="P306" s="689">
        <f t="shared" si="322"/>
        <v>0</v>
      </c>
      <c r="Q306" s="689">
        <f t="shared" si="319"/>
        <v>2.5</v>
      </c>
      <c r="R306" s="689">
        <f t="shared" si="319"/>
        <v>2.5</v>
      </c>
      <c r="S306" s="145">
        <f t="shared" si="320"/>
        <v>5</v>
      </c>
      <c r="T306" s="618">
        <f>IFERROR(INDEX('Annex 2_Code'!I$8:I$33,MATCH('Annex 3_MAFF'!$AG306,'Annex 2_Code'!$G$8:$G$33,0)),"")</f>
        <v>0</v>
      </c>
      <c r="U306" s="618">
        <f>IFERROR(INDEX('Annex 2_Code'!J$8:J$33,MATCH('Annex 3_MAFF'!$AG306,'Annex 2_Code'!$G$8:$G$33,0)),"")</f>
        <v>0</v>
      </c>
      <c r="V306" s="618">
        <f>IFERROR(INDEX('Annex 2_Code'!K$8:K$33,MATCH('Annex 3_MAFF'!$AG306,'Annex 2_Code'!$G$8:$G$33,0)),"")</f>
        <v>1</v>
      </c>
      <c r="W306" s="618">
        <f>IFERROR(INDEX('Annex 2_Code'!L$8:L$33,MATCH('Annex 3_MAFF'!$AG306,'Annex 2_Code'!$G$8:$G$33,0)),"")</f>
        <v>0</v>
      </c>
      <c r="X306" s="618">
        <f>IFERROR(INDEX('Annex 2_Code'!M$8:M$33,MATCH('Annex 3_MAFF'!$AG306,'Annex 2_Code'!$G$8:$G$33,0)),"")</f>
        <v>0</v>
      </c>
      <c r="Y306" s="1536">
        <f t="shared" si="314"/>
        <v>0</v>
      </c>
      <c r="Z306" s="717">
        <f t="shared" si="314"/>
        <v>0</v>
      </c>
      <c r="AA306" s="717">
        <f t="shared" si="268"/>
        <v>5</v>
      </c>
      <c r="AB306" s="717">
        <f t="shared" si="314"/>
        <v>0</v>
      </c>
      <c r="AC306" s="718">
        <f t="shared" si="314"/>
        <v>0</v>
      </c>
      <c r="AD306" s="626">
        <f t="shared" si="315"/>
        <v>5</v>
      </c>
      <c r="AE306" s="627">
        <f t="shared" si="316"/>
        <v>0</v>
      </c>
      <c r="AF306" s="568" t="s">
        <v>488</v>
      </c>
      <c r="AG306" s="568" t="s">
        <v>386</v>
      </c>
      <c r="AH306" s="568" t="str">
        <f>IFERROR(INDEX('[3]Annex 2'!$J$110:$J$122,MATCH('[3]Annex 3 (''MEF)'!AF333,'[3]Annex 2'!$G$110:$G$122,0)),"")</f>
        <v>MAFF-GDA</v>
      </c>
      <c r="AI306" s="882" t="str">
        <f t="shared" si="317"/>
        <v>MAFF</v>
      </c>
      <c r="AK306" s="1382"/>
      <c r="AL306" s="1382"/>
    </row>
    <row r="307" spans="1:38" s="542" customFormat="1" outlineLevel="1">
      <c r="A307" s="102"/>
      <c r="B307" s="374" t="s">
        <v>57</v>
      </c>
      <c r="C307" s="374" t="s">
        <v>57</v>
      </c>
      <c r="D307" s="78"/>
      <c r="E307" s="97" t="s">
        <v>891</v>
      </c>
      <c r="F307" s="364"/>
      <c r="G307" s="721" t="s">
        <v>270</v>
      </c>
      <c r="H307" s="538" t="s">
        <v>186</v>
      </c>
      <c r="I307" s="584">
        <f>45000/1000</f>
        <v>45</v>
      </c>
      <c r="J307" s="665">
        <v>0</v>
      </c>
      <c r="K307" s="666">
        <v>0</v>
      </c>
      <c r="L307" s="666">
        <v>0.25</v>
      </c>
      <c r="M307" s="666">
        <v>0.25</v>
      </c>
      <c r="N307" s="667">
        <f t="shared" si="318"/>
        <v>0.5</v>
      </c>
      <c r="O307" s="688">
        <f>($I307*J307)</f>
        <v>0</v>
      </c>
      <c r="P307" s="689">
        <f t="shared" si="322"/>
        <v>0</v>
      </c>
      <c r="Q307" s="689">
        <f t="shared" si="319"/>
        <v>11.25</v>
      </c>
      <c r="R307" s="689">
        <f t="shared" si="319"/>
        <v>11.25</v>
      </c>
      <c r="S307" s="145">
        <f t="shared" si="320"/>
        <v>22.5</v>
      </c>
      <c r="T307" s="618">
        <f>IFERROR(INDEX('Annex 2_Code'!I$8:I$33,MATCH('Annex 3_MAFF'!$AG307,'Annex 2_Code'!$G$8:$G$33,0)),"")</f>
        <v>0</v>
      </c>
      <c r="U307" s="618">
        <f>IFERROR(INDEX('Annex 2_Code'!J$8:J$33,MATCH('Annex 3_MAFF'!$AG307,'Annex 2_Code'!$G$8:$G$33,0)),"")</f>
        <v>0</v>
      </c>
      <c r="V307" s="618">
        <f>IFERROR(INDEX('Annex 2_Code'!K$8:K$33,MATCH('Annex 3_MAFF'!$AG307,'Annex 2_Code'!$G$8:$G$33,0)),"")</f>
        <v>1</v>
      </c>
      <c r="W307" s="618">
        <f>IFERROR(INDEX('Annex 2_Code'!L$8:L$33,MATCH('Annex 3_MAFF'!$AG307,'Annex 2_Code'!$G$8:$G$33,0)),"")</f>
        <v>0</v>
      </c>
      <c r="X307" s="618">
        <f>IFERROR(INDEX('Annex 2_Code'!M$8:M$33,MATCH('Annex 3_MAFF'!$AG307,'Annex 2_Code'!$G$8:$G$33,0)),"")</f>
        <v>0</v>
      </c>
      <c r="Y307" s="1536">
        <f t="shared" si="314"/>
        <v>0</v>
      </c>
      <c r="Z307" s="717">
        <f t="shared" si="314"/>
        <v>0</v>
      </c>
      <c r="AA307" s="717">
        <f t="shared" si="268"/>
        <v>22.5</v>
      </c>
      <c r="AB307" s="717">
        <f t="shared" si="314"/>
        <v>0</v>
      </c>
      <c r="AC307" s="718">
        <f t="shared" si="314"/>
        <v>0</v>
      </c>
      <c r="AD307" s="626">
        <f t="shared" si="315"/>
        <v>22.5</v>
      </c>
      <c r="AE307" s="627">
        <f t="shared" si="316"/>
        <v>0</v>
      </c>
      <c r="AF307" s="568" t="s">
        <v>488</v>
      </c>
      <c r="AG307" s="568" t="s">
        <v>386</v>
      </c>
      <c r="AH307" s="568" t="str">
        <f>IFERROR(INDEX('[3]Annex 2'!$J$110:$J$122,MATCH('[3]Annex 3 (''MEF)'!AF334,'[3]Annex 2'!$G$110:$G$122,0)),"")</f>
        <v>MAFF-GDA</v>
      </c>
      <c r="AI307" s="882" t="str">
        <f t="shared" si="317"/>
        <v>MAFF</v>
      </c>
      <c r="AK307" s="1382"/>
      <c r="AL307" s="1382"/>
    </row>
    <row r="308" spans="1:38" s="542" customFormat="1" outlineLevel="1">
      <c r="A308" s="102"/>
      <c r="B308" s="76" t="s">
        <v>173</v>
      </c>
      <c r="C308" s="77"/>
      <c r="D308" s="1464"/>
      <c r="E308" s="1440" t="s">
        <v>41</v>
      </c>
      <c r="F308" s="1441"/>
      <c r="G308" s="1428"/>
      <c r="H308" s="1454"/>
      <c r="I308" s="1455"/>
      <c r="J308" s="1456"/>
      <c r="K308" s="1457"/>
      <c r="L308" s="1457"/>
      <c r="M308" s="1457"/>
      <c r="N308" s="1458"/>
      <c r="O308" s="1434">
        <f>SUM(O302:O307)</f>
        <v>0</v>
      </c>
      <c r="P308" s="1435">
        <f>SUM(P302:P307)</f>
        <v>0</v>
      </c>
      <c r="Q308" s="1435">
        <f>SUM(Q302:Q307)</f>
        <v>22.25</v>
      </c>
      <c r="R308" s="1435">
        <f>SUM(R302:R307)</f>
        <v>22.25</v>
      </c>
      <c r="S308" s="1436">
        <f>SUM(S302:S307)</f>
        <v>44.5</v>
      </c>
      <c r="T308" s="618" t="str">
        <f>IFERROR(INDEX('[3]Annex 2'!I$8:I$33,MATCH('[3]Annex 3 (''MEF)'!$AG336,'[3]Annex 2'!$G$8:$G$33,0)),"")</f>
        <v/>
      </c>
      <c r="U308" s="618" t="str">
        <f>IFERROR(INDEX('[3]Annex 2'!J$8:J$33,MATCH('[3]Annex 3 (''MEF)'!$AG336,'[3]Annex 2'!$G$8:$G$33,0)),"")</f>
        <v/>
      </c>
      <c r="V308" s="618" t="str">
        <f>IFERROR(INDEX('[3]Annex 2'!K$8:K$33,MATCH('[3]Annex 3 (''MEF)'!$AG336,'[3]Annex 2'!$G$8:$G$33,0)),"")</f>
        <v/>
      </c>
      <c r="W308" s="618" t="str">
        <f>IFERROR(INDEX('[3]Annex 2'!L$8:L$33,MATCH('[3]Annex 3 (''MEF)'!$AG336,'[3]Annex 2'!$G$8:$G$33,0)),"")</f>
        <v/>
      </c>
      <c r="X308" s="618" t="str">
        <f>IFERROR(INDEX('[3]Annex 2'!M$8:M$33,MATCH('[3]Annex 3 (''MEF)'!$AG336,'[3]Annex 2'!$G$8:$G$33,0)),"")</f>
        <v/>
      </c>
      <c r="Y308" s="1536" t="str">
        <f t="shared" si="314"/>
        <v/>
      </c>
      <c r="Z308" s="717" t="str">
        <f t="shared" si="314"/>
        <v/>
      </c>
      <c r="AA308" s="717" t="str">
        <f t="shared" si="268"/>
        <v/>
      </c>
      <c r="AB308" s="717" t="str">
        <f t="shared" si="314"/>
        <v/>
      </c>
      <c r="AC308" s="718" t="str">
        <f t="shared" si="314"/>
        <v/>
      </c>
      <c r="AD308" s="626">
        <f t="shared" ref="AD308" si="323">SUM(Y308:AC308)</f>
        <v>0</v>
      </c>
      <c r="AE308" s="627">
        <f t="shared" si="316"/>
        <v>-44.5</v>
      </c>
      <c r="AF308" s="568"/>
      <c r="AG308" s="568"/>
      <c r="AH308" s="568" t="str">
        <f>IFERROR(INDEX('[3]Annex 2'!$J$110:$J$122,MATCH('[3]Annex 3 (''MEF)'!AF336,'[3]Annex 2'!$G$110:$G$122,0)),"")</f>
        <v/>
      </c>
      <c r="AI308" s="882" t="str">
        <f t="shared" si="317"/>
        <v/>
      </c>
      <c r="AK308" s="1382"/>
      <c r="AL308" s="1382"/>
    </row>
    <row r="309" spans="1:38" s="542" customFormat="1" outlineLevel="1">
      <c r="A309" s="102"/>
      <c r="B309" s="76" t="s">
        <v>173</v>
      </c>
      <c r="C309" s="77"/>
      <c r="D309" s="78"/>
      <c r="E309" s="122"/>
      <c r="F309" s="364"/>
      <c r="G309" s="722"/>
      <c r="H309" s="565"/>
      <c r="I309" s="566"/>
      <c r="J309" s="665"/>
      <c r="K309" s="666"/>
      <c r="L309" s="666"/>
      <c r="M309" s="666"/>
      <c r="N309" s="667"/>
      <c r="O309" s="691"/>
      <c r="P309" s="692"/>
      <c r="Q309" s="692"/>
      <c r="R309" s="692"/>
      <c r="S309" s="692"/>
      <c r="T309" s="618"/>
      <c r="U309" s="618"/>
      <c r="V309" s="618"/>
      <c r="W309" s="618"/>
      <c r="X309" s="618"/>
      <c r="Y309" s="1536"/>
      <c r="Z309" s="717"/>
      <c r="AA309" s="717">
        <f t="shared" si="268"/>
        <v>0</v>
      </c>
      <c r="AB309" s="717"/>
      <c r="AC309" s="718"/>
      <c r="AD309" s="626"/>
      <c r="AE309" s="627"/>
      <c r="AF309" s="568"/>
      <c r="AG309" s="568"/>
      <c r="AH309" s="568"/>
      <c r="AI309" s="882"/>
      <c r="AK309" s="1382"/>
      <c r="AL309" s="1382"/>
    </row>
    <row r="310" spans="1:38" s="366" customFormat="1" outlineLevel="1">
      <c r="A310" s="102"/>
      <c r="B310" s="1057" t="s">
        <v>173</v>
      </c>
      <c r="C310" s="1137"/>
      <c r="D310" s="1124"/>
      <c r="E310" s="485" t="s">
        <v>897</v>
      </c>
      <c r="F310" s="364"/>
      <c r="G310" s="726"/>
      <c r="H310" s="1060"/>
      <c r="I310" s="1044"/>
      <c r="J310" s="671"/>
      <c r="K310" s="672"/>
      <c r="L310" s="672"/>
      <c r="M310" s="672"/>
      <c r="N310" s="673"/>
      <c r="O310" s="691"/>
      <c r="P310" s="692"/>
      <c r="Q310" s="692"/>
      <c r="R310" s="692"/>
      <c r="S310" s="115"/>
      <c r="T310" s="618"/>
      <c r="U310" s="618"/>
      <c r="V310" s="618"/>
      <c r="W310" s="618"/>
      <c r="X310" s="618"/>
      <c r="Y310" s="1536"/>
      <c r="Z310" s="717"/>
      <c r="AA310" s="717">
        <f t="shared" si="268"/>
        <v>0</v>
      </c>
      <c r="AB310" s="717"/>
      <c r="AC310" s="718"/>
      <c r="AD310" s="626"/>
      <c r="AE310" s="627"/>
      <c r="AF310" s="570"/>
      <c r="AG310" s="570"/>
      <c r="AH310" s="570"/>
      <c r="AI310" s="1065"/>
      <c r="AK310" s="1383"/>
      <c r="AL310" s="1383"/>
    </row>
    <row r="311" spans="1:38" s="542" customFormat="1" outlineLevel="1">
      <c r="A311" s="102"/>
      <c r="B311" s="374" t="s">
        <v>57</v>
      </c>
      <c r="C311" s="374" t="s">
        <v>57</v>
      </c>
      <c r="D311" s="484"/>
      <c r="E311" s="485" t="s">
        <v>892</v>
      </c>
      <c r="F311" s="364"/>
      <c r="G311" s="730" t="s">
        <v>898</v>
      </c>
      <c r="H311" s="538" t="s">
        <v>640</v>
      </c>
      <c r="I311" s="584">
        <v>0.5</v>
      </c>
      <c r="J311" s="665">
        <v>3</v>
      </c>
      <c r="K311" s="666">
        <v>3</v>
      </c>
      <c r="L311" s="666">
        <v>3</v>
      </c>
      <c r="M311" s="666">
        <v>3</v>
      </c>
      <c r="N311" s="667">
        <f>SUM(J311:M311)</f>
        <v>12</v>
      </c>
      <c r="O311" s="688">
        <f>($I311*J311)</f>
        <v>1.5</v>
      </c>
      <c r="P311" s="689">
        <f t="shared" ref="P311:R314" si="324">($I311*K311)</f>
        <v>1.5</v>
      </c>
      <c r="Q311" s="689">
        <f t="shared" si="324"/>
        <v>1.5</v>
      </c>
      <c r="R311" s="689">
        <f t="shared" si="324"/>
        <v>1.5</v>
      </c>
      <c r="S311" s="145">
        <f>SUM(O311:R311)</f>
        <v>6</v>
      </c>
      <c r="T311" s="618">
        <f>IFERROR(INDEX('Annex 2_Code'!I$8:I$33,MATCH('Annex 3_MAFF'!$AG311,'Annex 2_Code'!$G$8:$G$33,0)),"")</f>
        <v>0</v>
      </c>
      <c r="U311" s="618">
        <f>IFERROR(INDEX('Annex 2_Code'!J$8:J$33,MATCH('Annex 3_MAFF'!$AG311,'Annex 2_Code'!$G$8:$G$33,0)),"")</f>
        <v>0</v>
      </c>
      <c r="V311" s="618">
        <f>IFERROR(INDEX('Annex 2_Code'!K$8:K$33,MATCH('Annex 3_MAFF'!$AG311,'Annex 2_Code'!$G$8:$G$33,0)),"")</f>
        <v>1</v>
      </c>
      <c r="W311" s="618">
        <f>IFERROR(INDEX('Annex 2_Code'!L$8:L$33,MATCH('Annex 3_MAFF'!$AG311,'Annex 2_Code'!$G$8:$G$33,0)),"")</f>
        <v>0</v>
      </c>
      <c r="X311" s="618">
        <f>IFERROR(INDEX('Annex 2_Code'!M$8:M$33,MATCH('Annex 3_MAFF'!$AG311,'Annex 2_Code'!$G$8:$G$33,0)),"")</f>
        <v>0</v>
      </c>
      <c r="Y311" s="1536">
        <f t="shared" ref="Y311:AC315" si="325">IFERROR($S311*T311,"")</f>
        <v>0</v>
      </c>
      <c r="Z311" s="717">
        <f t="shared" si="325"/>
        <v>0</v>
      </c>
      <c r="AA311" s="717">
        <f t="shared" si="268"/>
        <v>6</v>
      </c>
      <c r="AB311" s="717">
        <f t="shared" si="325"/>
        <v>0</v>
      </c>
      <c r="AC311" s="718">
        <f t="shared" si="325"/>
        <v>0</v>
      </c>
      <c r="AD311" s="626">
        <f t="shared" ref="AD311:AD315" si="326">SUM(Y311:AC311)</f>
        <v>6</v>
      </c>
      <c r="AE311" s="627">
        <f t="shared" ref="AE311:AE315" si="327">AD311-S311</f>
        <v>0</v>
      </c>
      <c r="AF311" s="568" t="s">
        <v>493</v>
      </c>
      <c r="AG311" s="568" t="s">
        <v>388</v>
      </c>
      <c r="AH311" s="568" t="s">
        <v>560</v>
      </c>
      <c r="AI311" s="882" t="s">
        <v>15</v>
      </c>
      <c r="AK311" s="1421"/>
      <c r="AL311" s="1421"/>
    </row>
    <row r="312" spans="1:38" s="542" customFormat="1" outlineLevel="1">
      <c r="A312" s="102"/>
      <c r="B312" s="374" t="s">
        <v>57</v>
      </c>
      <c r="C312" s="374" t="s">
        <v>57</v>
      </c>
      <c r="D312" s="484"/>
      <c r="E312" s="485" t="s">
        <v>893</v>
      </c>
      <c r="F312" s="364"/>
      <c r="G312" s="730" t="s">
        <v>794</v>
      </c>
      <c r="H312" s="538" t="s">
        <v>641</v>
      </c>
      <c r="I312" s="1928">
        <v>5</v>
      </c>
      <c r="J312" s="665">
        <v>0</v>
      </c>
      <c r="K312" s="666">
        <v>1</v>
      </c>
      <c r="L312" s="666">
        <v>0</v>
      </c>
      <c r="M312" s="666">
        <v>1</v>
      </c>
      <c r="N312" s="667">
        <f>SUM(J312:M312)</f>
        <v>2</v>
      </c>
      <c r="O312" s="688">
        <f t="shared" ref="O312:O314" si="328">($I312*J312)</f>
        <v>0</v>
      </c>
      <c r="P312" s="689">
        <f t="shared" si="324"/>
        <v>5</v>
      </c>
      <c r="Q312" s="689">
        <f t="shared" si="324"/>
        <v>0</v>
      </c>
      <c r="R312" s="689">
        <f t="shared" si="324"/>
        <v>5</v>
      </c>
      <c r="S312" s="145">
        <f>SUM(O312:R312)</f>
        <v>10</v>
      </c>
      <c r="T312" s="618">
        <f>IFERROR(INDEX('Annex 2_Code'!I$8:I$33,MATCH('Annex 3_MAFF'!$AG312,'Annex 2_Code'!$G$8:$G$33,0)),"")</f>
        <v>0</v>
      </c>
      <c r="U312" s="618">
        <f>IFERROR(INDEX('Annex 2_Code'!J$8:J$33,MATCH('Annex 3_MAFF'!$AG312,'Annex 2_Code'!$G$8:$G$33,0)),"")</f>
        <v>0</v>
      </c>
      <c r="V312" s="618">
        <f>IFERROR(INDEX('Annex 2_Code'!K$8:K$33,MATCH('Annex 3_MAFF'!$AG312,'Annex 2_Code'!$G$8:$G$33,0)),"")</f>
        <v>1</v>
      </c>
      <c r="W312" s="618">
        <f>IFERROR(INDEX('Annex 2_Code'!L$8:L$33,MATCH('Annex 3_MAFF'!$AG312,'Annex 2_Code'!$G$8:$G$33,0)),"")</f>
        <v>0</v>
      </c>
      <c r="X312" s="618">
        <f>IFERROR(INDEX('Annex 2_Code'!M$8:M$33,MATCH('Annex 3_MAFF'!$AG312,'Annex 2_Code'!$G$8:$G$33,0)),"")</f>
        <v>0</v>
      </c>
      <c r="Y312" s="1536">
        <f t="shared" si="325"/>
        <v>0</v>
      </c>
      <c r="Z312" s="717">
        <f t="shared" si="325"/>
        <v>0</v>
      </c>
      <c r="AA312" s="717">
        <f t="shared" si="268"/>
        <v>10</v>
      </c>
      <c r="AB312" s="717">
        <f t="shared" si="325"/>
        <v>0</v>
      </c>
      <c r="AC312" s="718">
        <f t="shared" si="325"/>
        <v>0</v>
      </c>
      <c r="AD312" s="626">
        <f t="shared" si="326"/>
        <v>10</v>
      </c>
      <c r="AE312" s="627">
        <f t="shared" si="327"/>
        <v>0</v>
      </c>
      <c r="AF312" s="568" t="s">
        <v>493</v>
      </c>
      <c r="AG312" s="568" t="s">
        <v>388</v>
      </c>
      <c r="AH312" s="568" t="s">
        <v>560</v>
      </c>
      <c r="AI312" s="882" t="s">
        <v>15</v>
      </c>
      <c r="AK312" s="1421"/>
      <c r="AL312" s="1421"/>
    </row>
    <row r="313" spans="1:38" s="542" customFormat="1" outlineLevel="1">
      <c r="A313" s="102"/>
      <c r="B313" s="374" t="s">
        <v>57</v>
      </c>
      <c r="C313" s="374" t="s">
        <v>57</v>
      </c>
      <c r="D313" s="484"/>
      <c r="E313" s="485" t="s">
        <v>895</v>
      </c>
      <c r="F313" s="364"/>
      <c r="G313" s="730" t="s">
        <v>885</v>
      </c>
      <c r="H313" s="538" t="s">
        <v>884</v>
      </c>
      <c r="I313" s="584">
        <v>0.55000000000000004</v>
      </c>
      <c r="J313" s="665">
        <v>0</v>
      </c>
      <c r="K313" s="666">
        <v>0</v>
      </c>
      <c r="L313" s="666">
        <v>1</v>
      </c>
      <c r="M313" s="666">
        <v>1</v>
      </c>
      <c r="N313" s="667">
        <f>SUM(J313:M313)</f>
        <v>2</v>
      </c>
      <c r="O313" s="688">
        <f t="shared" si="328"/>
        <v>0</v>
      </c>
      <c r="P313" s="689">
        <f t="shared" si="324"/>
        <v>0</v>
      </c>
      <c r="Q313" s="689">
        <f t="shared" si="324"/>
        <v>0.55000000000000004</v>
      </c>
      <c r="R313" s="689">
        <f t="shared" si="324"/>
        <v>0.55000000000000004</v>
      </c>
      <c r="S313" s="145">
        <f>SUM(O313:R313)</f>
        <v>1.1000000000000001</v>
      </c>
      <c r="T313" s="618">
        <f>IFERROR(INDEX('Annex 2_Code'!I$8:I$33,MATCH('Annex 3_MAFF'!$AG313,'Annex 2_Code'!$G$8:$G$33,0)),"")</f>
        <v>0</v>
      </c>
      <c r="U313" s="618">
        <f>IFERROR(INDEX('Annex 2_Code'!J$8:J$33,MATCH('Annex 3_MAFF'!$AG313,'Annex 2_Code'!$G$8:$G$33,0)),"")</f>
        <v>0</v>
      </c>
      <c r="V313" s="618">
        <f>IFERROR(INDEX('Annex 2_Code'!K$8:K$33,MATCH('Annex 3_MAFF'!$AG313,'Annex 2_Code'!$G$8:$G$33,0)),"")</f>
        <v>1</v>
      </c>
      <c r="W313" s="618">
        <f>IFERROR(INDEX('Annex 2_Code'!L$8:L$33,MATCH('Annex 3_MAFF'!$AG313,'Annex 2_Code'!$G$8:$G$33,0)),"")</f>
        <v>0</v>
      </c>
      <c r="X313" s="618">
        <f>IFERROR(INDEX('Annex 2_Code'!M$8:M$33,MATCH('Annex 3_MAFF'!$AG313,'Annex 2_Code'!$G$8:$G$33,0)),"")</f>
        <v>0</v>
      </c>
      <c r="Y313" s="1536">
        <f t="shared" si="325"/>
        <v>0</v>
      </c>
      <c r="Z313" s="717">
        <f t="shared" si="325"/>
        <v>0</v>
      </c>
      <c r="AA313" s="717">
        <f t="shared" si="268"/>
        <v>1.1000000000000001</v>
      </c>
      <c r="AB313" s="717">
        <f t="shared" si="325"/>
        <v>0</v>
      </c>
      <c r="AC313" s="718">
        <f t="shared" si="325"/>
        <v>0</v>
      </c>
      <c r="AD313" s="626">
        <f t="shared" si="326"/>
        <v>1.1000000000000001</v>
      </c>
      <c r="AE313" s="627">
        <f t="shared" si="327"/>
        <v>0</v>
      </c>
      <c r="AF313" s="568" t="s">
        <v>493</v>
      </c>
      <c r="AG313" s="568" t="s">
        <v>388</v>
      </c>
      <c r="AH313" s="568" t="s">
        <v>560</v>
      </c>
      <c r="AI313" s="882" t="s">
        <v>15</v>
      </c>
      <c r="AK313" s="1421"/>
      <c r="AL313" s="1421"/>
    </row>
    <row r="314" spans="1:38" s="542" customFormat="1" outlineLevel="1">
      <c r="A314" s="102"/>
      <c r="B314" s="374" t="s">
        <v>57</v>
      </c>
      <c r="C314" s="374" t="s">
        <v>57</v>
      </c>
      <c r="D314" s="484"/>
      <c r="E314" s="485" t="s">
        <v>896</v>
      </c>
      <c r="F314" s="364"/>
      <c r="G314" s="730" t="s">
        <v>887</v>
      </c>
      <c r="H314" s="538" t="s">
        <v>884</v>
      </c>
      <c r="I314" s="1928">
        <v>7</v>
      </c>
      <c r="J314" s="665">
        <v>0</v>
      </c>
      <c r="K314" s="666">
        <v>0</v>
      </c>
      <c r="L314" s="666">
        <v>0</v>
      </c>
      <c r="M314" s="666">
        <v>1</v>
      </c>
      <c r="N314" s="667">
        <f>SUM(J314:M314)</f>
        <v>1</v>
      </c>
      <c r="O314" s="1946">
        <f t="shared" si="328"/>
        <v>0</v>
      </c>
      <c r="P314" s="1947">
        <f t="shared" si="324"/>
        <v>0</v>
      </c>
      <c r="Q314" s="1947">
        <f t="shared" si="324"/>
        <v>0</v>
      </c>
      <c r="R314" s="1947">
        <f>($I314*M314)</f>
        <v>7</v>
      </c>
      <c r="S314" s="145">
        <f>SUM(O314:R314)</f>
        <v>7</v>
      </c>
      <c r="T314" s="618">
        <f>IFERROR(INDEX('Annex 2_Code'!I$8:I$33,MATCH('Annex 3_MAFF'!$AG314,'Annex 2_Code'!$G$8:$G$33,0)),"")</f>
        <v>0</v>
      </c>
      <c r="U314" s="618">
        <f>IFERROR(INDEX('Annex 2_Code'!J$8:J$33,MATCH('Annex 3_MAFF'!$AG314,'Annex 2_Code'!$G$8:$G$33,0)),"")</f>
        <v>0</v>
      </c>
      <c r="V314" s="618">
        <f>IFERROR(INDEX('Annex 2_Code'!K$8:K$33,MATCH('Annex 3_MAFF'!$AG314,'Annex 2_Code'!$G$8:$G$33,0)),"")</f>
        <v>1</v>
      </c>
      <c r="W314" s="618">
        <f>IFERROR(INDEX('Annex 2_Code'!L$8:L$33,MATCH('Annex 3_MAFF'!$AG314,'Annex 2_Code'!$G$8:$G$33,0)),"")</f>
        <v>0</v>
      </c>
      <c r="X314" s="618">
        <f>IFERROR(INDEX('Annex 2_Code'!M$8:M$33,MATCH('Annex 3_MAFF'!$AG314,'Annex 2_Code'!$G$8:$G$33,0)),"")</f>
        <v>0</v>
      </c>
      <c r="Y314" s="1536">
        <f t="shared" si="325"/>
        <v>0</v>
      </c>
      <c r="Z314" s="717">
        <f t="shared" si="325"/>
        <v>0</v>
      </c>
      <c r="AA314" s="717">
        <f t="shared" si="268"/>
        <v>7</v>
      </c>
      <c r="AB314" s="717">
        <f t="shared" si="325"/>
        <v>0</v>
      </c>
      <c r="AC314" s="718">
        <f t="shared" si="325"/>
        <v>0</v>
      </c>
      <c r="AD314" s="626">
        <f t="shared" si="326"/>
        <v>7</v>
      </c>
      <c r="AE314" s="627">
        <f t="shared" si="327"/>
        <v>0</v>
      </c>
      <c r="AF314" s="568" t="s">
        <v>493</v>
      </c>
      <c r="AG314" s="568" t="s">
        <v>388</v>
      </c>
      <c r="AH314" s="568" t="s">
        <v>560</v>
      </c>
      <c r="AI314" s="882" t="s">
        <v>15</v>
      </c>
      <c r="AK314" s="1386">
        <f>SUM(S282:S285)+SUM(S289:S292)+SUM(S295:S298)+SUM(S301:S307)+SUM(S310:S314)</f>
        <v>160.94999999999999</v>
      </c>
      <c r="AL314" s="1387" t="s">
        <v>1014</v>
      </c>
    </row>
    <row r="315" spans="1:38" s="366" customFormat="1" outlineLevel="1">
      <c r="A315" s="102"/>
      <c r="B315" s="1057" t="s">
        <v>173</v>
      </c>
      <c r="C315" s="1137"/>
      <c r="D315" s="1735"/>
      <c r="E315" s="1427" t="s">
        <v>41</v>
      </c>
      <c r="F315" s="1441"/>
      <c r="G315" s="1483"/>
      <c r="H315" s="1475"/>
      <c r="I315" s="1467"/>
      <c r="J315" s="1468"/>
      <c r="K315" s="1469"/>
      <c r="L315" s="1469"/>
      <c r="M315" s="1469"/>
      <c r="N315" s="1470"/>
      <c r="O315" s="1434">
        <f>SUM(O311:O314)</f>
        <v>1.5</v>
      </c>
      <c r="P315" s="1435">
        <f>SUM(P311:P314)</f>
        <v>6.5</v>
      </c>
      <c r="Q315" s="1435">
        <f>SUM(Q311:Q314)</f>
        <v>2.0499999999999998</v>
      </c>
      <c r="R315" s="1435">
        <f>SUM(R311:R314)</f>
        <v>14.05</v>
      </c>
      <c r="S315" s="1423">
        <f>SUM(S311:S314)</f>
        <v>24.1</v>
      </c>
      <c r="T315" s="618" t="str">
        <f>IFERROR(INDEX('[3]Annex 2'!I$8:I$33,MATCH('[3]Annex 3 (''MEF)'!$AG344,'[3]Annex 2'!$G$8:$G$33,0)),"")</f>
        <v/>
      </c>
      <c r="U315" s="618" t="str">
        <f>IFERROR(INDEX('[3]Annex 2'!J$8:J$33,MATCH('[3]Annex 3 (''MEF)'!$AG344,'[3]Annex 2'!$G$8:$G$33,0)),"")</f>
        <v/>
      </c>
      <c r="V315" s="618" t="str">
        <f>IFERROR(INDEX('[3]Annex 2'!K$8:K$33,MATCH('[3]Annex 3 (''MEF)'!$AG344,'[3]Annex 2'!$G$8:$G$33,0)),"")</f>
        <v/>
      </c>
      <c r="W315" s="618" t="str">
        <f>IFERROR(INDEX('[3]Annex 2'!L$8:L$33,MATCH('[3]Annex 3 (''MEF)'!$AG344,'[3]Annex 2'!$G$8:$G$33,0)),"")</f>
        <v/>
      </c>
      <c r="X315" s="618" t="str">
        <f>IFERROR(INDEX('[3]Annex 2'!M$8:M$33,MATCH('[3]Annex 3 (''MEF)'!$AG344,'[3]Annex 2'!$G$8:$G$33,0)),"")</f>
        <v/>
      </c>
      <c r="Y315" s="716" t="str">
        <f t="shared" si="325"/>
        <v/>
      </c>
      <c r="Z315" s="717" t="str">
        <f t="shared" si="325"/>
        <v/>
      </c>
      <c r="AA315" s="717" t="str">
        <f t="shared" si="268"/>
        <v/>
      </c>
      <c r="AB315" s="717" t="str">
        <f t="shared" si="325"/>
        <v/>
      </c>
      <c r="AC315" s="718" t="str">
        <f t="shared" si="325"/>
        <v/>
      </c>
      <c r="AD315" s="626">
        <f t="shared" si="326"/>
        <v>0</v>
      </c>
      <c r="AE315" s="627">
        <f t="shared" si="327"/>
        <v>-24.1</v>
      </c>
      <c r="AF315" s="570"/>
      <c r="AG315" s="570"/>
      <c r="AH315" s="570"/>
      <c r="AI315" s="1065"/>
      <c r="AK315" s="1383"/>
      <c r="AL315" s="1383"/>
    </row>
    <row r="316" spans="1:38" s="366" customFormat="1">
      <c r="A316" s="102"/>
      <c r="B316" s="89" t="s">
        <v>173</v>
      </c>
      <c r="C316" s="89"/>
      <c r="D316" s="1459" t="s">
        <v>669</v>
      </c>
      <c r="E316" s="1460"/>
      <c r="F316" s="1463"/>
      <c r="G316" s="1461"/>
      <c r="H316" s="1957"/>
      <c r="I316" s="1958"/>
      <c r="J316" s="1959"/>
      <c r="K316" s="1960"/>
      <c r="L316" s="1960"/>
      <c r="M316" s="1960"/>
      <c r="N316" s="1981"/>
      <c r="O316" s="2018">
        <f>SUM(O299,O293,O286,O280,O308,O315)</f>
        <v>3.55</v>
      </c>
      <c r="P316" s="1963">
        <f>SUM(P299,P293,P286,P280,P308,P315)</f>
        <v>121.6</v>
      </c>
      <c r="Q316" s="1963">
        <f>SUM(Q299,Q293,Q286,Q280,Q308,Q315)</f>
        <v>52.45</v>
      </c>
      <c r="R316" s="1963">
        <f>SUM(R299,R293,R286,R280,R308,R315)</f>
        <v>128.44999999999999</v>
      </c>
      <c r="S316" s="1964">
        <f>SUM(S299,S293,S286,S280,S308,S315)</f>
        <v>306.05</v>
      </c>
      <c r="T316" s="2004" t="str">
        <f>IFERROR(INDEX('Annex 2_Code'!I$8:I$33,MATCH('Annex 3_MAFF'!$AG316,'Annex 2_Code'!$G$8:$G$33,0)),"")</f>
        <v/>
      </c>
      <c r="U316" s="2004" t="str">
        <f>IFERROR(INDEX('Annex 2_Code'!J$8:J$33,MATCH('Annex 3_MAFF'!$AG316,'Annex 2_Code'!$G$8:$G$33,0)),"")</f>
        <v/>
      </c>
      <c r="V316" s="2004" t="str">
        <f>IFERROR(INDEX('Annex 2_Code'!K$8:K$33,MATCH('Annex 3_MAFF'!$AG316,'Annex 2_Code'!$G$8:$G$33,0)),"")</f>
        <v/>
      </c>
      <c r="W316" s="2004" t="str">
        <f>IFERROR(INDEX('Annex 2_Code'!L$8:L$33,MATCH('Annex 3_MAFF'!$AG316,'Annex 2_Code'!$G$8:$G$33,0)),"")</f>
        <v/>
      </c>
      <c r="X316" s="2004" t="str">
        <f>IFERROR(INDEX('Annex 2_Code'!M$8:M$33,MATCH('Annex 3_MAFF'!$AG316,'Annex 2_Code'!$G$8:$G$33,0)),"")</f>
        <v/>
      </c>
      <c r="Y316" s="716" t="str">
        <f t="shared" si="268"/>
        <v/>
      </c>
      <c r="Z316" s="717" t="str">
        <f t="shared" si="269"/>
        <v/>
      </c>
      <c r="AA316" s="717" t="str">
        <f t="shared" si="268"/>
        <v/>
      </c>
      <c r="AB316" s="717" t="str">
        <f t="shared" si="270"/>
        <v/>
      </c>
      <c r="AC316" s="718" t="str">
        <f t="shared" si="271"/>
        <v/>
      </c>
      <c r="AD316" s="626">
        <f t="shared" si="312"/>
        <v>0</v>
      </c>
      <c r="AE316" s="627">
        <f t="shared" si="313"/>
        <v>-306.05</v>
      </c>
      <c r="AF316" s="568"/>
      <c r="AG316" s="568"/>
      <c r="AH316" s="568" t="str">
        <f>IFERROR(INDEX('Annex 2_Code'!$J$110:$J$122,MATCH('Annex 3_MAFF'!AF316,'Annex 2_Code'!$G$110:$G$122,0)),"")</f>
        <v/>
      </c>
      <c r="AI316" s="882" t="str">
        <f t="shared" si="278"/>
        <v/>
      </c>
      <c r="AK316" s="1383"/>
      <c r="AL316" s="1383"/>
    </row>
    <row r="317" spans="1:38" s="366" customFormat="1">
      <c r="A317" s="102"/>
      <c r="B317" s="89" t="s">
        <v>173</v>
      </c>
      <c r="C317" s="89"/>
      <c r="D317" s="423"/>
      <c r="E317" s="1122"/>
      <c r="F317" s="1123"/>
      <c r="G317" s="1024"/>
      <c r="H317" s="557"/>
      <c r="I317" s="558"/>
      <c r="J317" s="668"/>
      <c r="K317" s="669"/>
      <c r="L317" s="669"/>
      <c r="M317" s="669"/>
      <c r="N317" s="670"/>
      <c r="O317" s="2019"/>
      <c r="P317" s="165"/>
      <c r="Q317" s="165"/>
      <c r="R317" s="165"/>
      <c r="S317" s="304"/>
      <c r="T317" s="618"/>
      <c r="U317" s="618"/>
      <c r="V317" s="618"/>
      <c r="W317" s="618"/>
      <c r="X317" s="618"/>
      <c r="Y317" s="716"/>
      <c r="Z317" s="717"/>
      <c r="AA317" s="717">
        <f t="shared" si="268"/>
        <v>0</v>
      </c>
      <c r="AB317" s="717"/>
      <c r="AC317" s="718"/>
      <c r="AD317" s="626"/>
      <c r="AE317" s="627"/>
      <c r="AF317" s="568"/>
      <c r="AG317" s="568"/>
      <c r="AH317" s="568"/>
      <c r="AI317" s="882"/>
      <c r="AK317" s="1383"/>
      <c r="AL317" s="1383"/>
    </row>
    <row r="318" spans="1:38" s="542" customFormat="1">
      <c r="A318" s="102"/>
      <c r="B318" s="76" t="s">
        <v>173</v>
      </c>
      <c r="C318" s="77"/>
      <c r="D318" s="106"/>
      <c r="E318" s="290" t="s">
        <v>85</v>
      </c>
      <c r="F318" s="74"/>
      <c r="G318" s="728"/>
      <c r="H318" s="565"/>
      <c r="I318" s="566"/>
      <c r="J318" s="665"/>
      <c r="K318" s="666"/>
      <c r="L318" s="666"/>
      <c r="M318" s="666"/>
      <c r="N318" s="667"/>
      <c r="O318" s="688"/>
      <c r="P318" s="689"/>
      <c r="Q318" s="689"/>
      <c r="R318" s="689"/>
      <c r="S318" s="365"/>
      <c r="T318" s="618" t="str">
        <f>IFERROR(INDEX('Annex 2_Code'!I$8:I$33,MATCH('Annex 3_MAFF'!$AG318,'Annex 2_Code'!$G$8:$G$33,0)),"")</f>
        <v/>
      </c>
      <c r="U318" s="618" t="str">
        <f>IFERROR(INDEX('Annex 2_Code'!J$8:J$33,MATCH('Annex 3_MAFF'!$AG318,'Annex 2_Code'!$G$8:$G$33,0)),"")</f>
        <v/>
      </c>
      <c r="V318" s="618" t="str">
        <f>IFERROR(INDEX('Annex 2_Code'!K$8:K$33,MATCH('Annex 3_MAFF'!$AG318,'Annex 2_Code'!$G$8:$G$33,0)),"")</f>
        <v/>
      </c>
      <c r="W318" s="618" t="str">
        <f>IFERROR(INDEX('Annex 2_Code'!L$8:L$33,MATCH('Annex 3_MAFF'!$AG318,'Annex 2_Code'!$G$8:$G$33,0)),"")</f>
        <v/>
      </c>
      <c r="X318" s="618" t="str">
        <f>IFERROR(INDEX('Annex 2_Code'!M$8:M$33,MATCH('Annex 3_MAFF'!$AG318,'Annex 2_Code'!$G$8:$G$33,0)),"")</f>
        <v/>
      </c>
      <c r="Y318" s="716" t="str">
        <f t="shared" si="268"/>
        <v/>
      </c>
      <c r="Z318" s="717" t="str">
        <f t="shared" si="269"/>
        <v/>
      </c>
      <c r="AA318" s="717" t="str">
        <f t="shared" si="268"/>
        <v/>
      </c>
      <c r="AB318" s="717" t="str">
        <f t="shared" si="270"/>
        <v/>
      </c>
      <c r="AC318" s="718" t="str">
        <f t="shared" si="271"/>
        <v/>
      </c>
      <c r="AD318" s="626">
        <f t="shared" si="312"/>
        <v>0</v>
      </c>
      <c r="AE318" s="655"/>
      <c r="AF318" s="568"/>
      <c r="AG318" s="568"/>
      <c r="AH318" s="568" t="str">
        <f>IFERROR(INDEX('Annex 2_Code'!$J$110:$J$122,MATCH('Annex 3_MAFF'!AF318,'Annex 2_Code'!$G$110:$G$122,0)),"")</f>
        <v/>
      </c>
      <c r="AI318" s="882" t="str">
        <f t="shared" si="278"/>
        <v/>
      </c>
      <c r="AK318" s="1382"/>
      <c r="AL318" s="1382"/>
    </row>
    <row r="319" spans="1:38" s="542" customFormat="1" outlineLevel="1">
      <c r="A319" s="102"/>
      <c r="B319" s="76" t="s">
        <v>173</v>
      </c>
      <c r="C319" s="77"/>
      <c r="D319" s="1097" t="s">
        <v>770</v>
      </c>
      <c r="E319" s="1098"/>
      <c r="F319" s="1099"/>
      <c r="G319" s="1100"/>
      <c r="H319" s="565"/>
      <c r="I319" s="566"/>
      <c r="J319" s="665"/>
      <c r="K319" s="666"/>
      <c r="L319" s="666"/>
      <c r="M319" s="666"/>
      <c r="N319" s="667"/>
      <c r="O319" s="688"/>
      <c r="P319" s="689"/>
      <c r="Q319" s="689"/>
      <c r="R319" s="689"/>
      <c r="S319" s="564"/>
      <c r="T319" s="618"/>
      <c r="U319" s="618"/>
      <c r="V319" s="618"/>
      <c r="W319" s="618"/>
      <c r="X319" s="618"/>
      <c r="Y319" s="716"/>
      <c r="Z319" s="717"/>
      <c r="AA319" s="717">
        <f t="shared" si="268"/>
        <v>0</v>
      </c>
      <c r="AB319" s="717"/>
      <c r="AC319" s="718"/>
      <c r="AD319" s="626">
        <f t="shared" si="312"/>
        <v>0</v>
      </c>
      <c r="AE319" s="627">
        <f t="shared" si="313"/>
        <v>0</v>
      </c>
      <c r="AF319" s="568"/>
      <c r="AG319" s="568"/>
      <c r="AH319" s="568"/>
      <c r="AI319" s="882"/>
      <c r="AK319" s="1382"/>
      <c r="AL319" s="1382"/>
    </row>
    <row r="320" spans="1:38" s="542" customFormat="1" outlineLevel="1">
      <c r="A320" s="102"/>
      <c r="B320" s="76" t="s">
        <v>173</v>
      </c>
      <c r="C320" s="361"/>
      <c r="D320" s="78"/>
      <c r="E320" s="97" t="s">
        <v>86</v>
      </c>
      <c r="F320" s="364"/>
      <c r="G320" s="722"/>
      <c r="H320" s="588" t="s">
        <v>14</v>
      </c>
      <c r="I320" s="566"/>
      <c r="J320" s="665"/>
      <c r="K320" s="666"/>
      <c r="L320" s="666"/>
      <c r="M320" s="666"/>
      <c r="N320" s="667"/>
      <c r="O320" s="688"/>
      <c r="P320" s="689"/>
      <c r="Q320" s="689"/>
      <c r="R320" s="689"/>
      <c r="S320" s="564"/>
      <c r="T320" s="618" t="str">
        <f>IFERROR(INDEX('Annex 2_Code'!I$8:I$33,MATCH('Annex 3_MAFF'!$AG320,'Annex 2_Code'!$G$8:$G$33,0)),"")</f>
        <v/>
      </c>
      <c r="U320" s="618" t="str">
        <f>IFERROR(INDEX('Annex 2_Code'!J$8:J$33,MATCH('Annex 3_MAFF'!$AG320,'Annex 2_Code'!$G$8:$G$33,0)),"")</f>
        <v/>
      </c>
      <c r="V320" s="618" t="str">
        <f>IFERROR(INDEX('Annex 2_Code'!K$8:K$33,MATCH('Annex 3_MAFF'!$AG320,'Annex 2_Code'!$G$8:$G$33,0)),"")</f>
        <v/>
      </c>
      <c r="W320" s="618" t="str">
        <f>IFERROR(INDEX('Annex 2_Code'!L$8:L$33,MATCH('Annex 3_MAFF'!$AG320,'Annex 2_Code'!$G$8:$G$33,0)),"")</f>
        <v/>
      </c>
      <c r="X320" s="618" t="str">
        <f>IFERROR(INDEX('Annex 2_Code'!M$8:M$33,MATCH('Annex 3_MAFF'!$AG320,'Annex 2_Code'!$G$8:$G$33,0)),"")</f>
        <v/>
      </c>
      <c r="Y320" s="716" t="str">
        <f t="shared" si="268"/>
        <v/>
      </c>
      <c r="Z320" s="717" t="str">
        <f t="shared" si="269"/>
        <v/>
      </c>
      <c r="AA320" s="717" t="str">
        <f t="shared" si="268"/>
        <v/>
      </c>
      <c r="AB320" s="717" t="str">
        <f t="shared" si="270"/>
        <v/>
      </c>
      <c r="AC320" s="718" t="str">
        <f t="shared" si="271"/>
        <v/>
      </c>
      <c r="AD320" s="626">
        <f t="shared" si="312"/>
        <v>0</v>
      </c>
      <c r="AE320" s="627">
        <f t="shared" si="313"/>
        <v>0</v>
      </c>
      <c r="AF320" s="568"/>
      <c r="AG320" s="568"/>
      <c r="AH320" s="568" t="str">
        <f>IFERROR(INDEX('Annex 2_Code'!$J$110:$J$122,MATCH('Annex 3_MAFF'!AF320,'Annex 2_Code'!$G$110:$G$122,0)),"")</f>
        <v/>
      </c>
      <c r="AI320" s="882" t="str">
        <f t="shared" si="278"/>
        <v/>
      </c>
      <c r="AK320" s="1382"/>
      <c r="AL320" s="1382"/>
    </row>
    <row r="321" spans="1:39" s="542" customFormat="1" outlineLevel="1">
      <c r="A321" s="102"/>
      <c r="B321" s="374" t="s">
        <v>36</v>
      </c>
      <c r="C321" s="1115" t="s">
        <v>36</v>
      </c>
      <c r="D321" s="78"/>
      <c r="E321" s="97" t="s">
        <v>692</v>
      </c>
      <c r="F321" s="364"/>
      <c r="G321" s="722" t="s">
        <v>87</v>
      </c>
      <c r="H321" s="538" t="s">
        <v>175</v>
      </c>
      <c r="I321" s="584">
        <v>0.1</v>
      </c>
      <c r="J321" s="665">
        <v>0</v>
      </c>
      <c r="K321" s="666">
        <v>0</v>
      </c>
      <c r="L321" s="666">
        <v>12</v>
      </c>
      <c r="M321" s="666">
        <v>12</v>
      </c>
      <c r="N321" s="667">
        <f>SUM(J321:M321)</f>
        <v>24</v>
      </c>
      <c r="O321" s="1103">
        <f>($I321*J321)</f>
        <v>0</v>
      </c>
      <c r="P321" s="689">
        <f>($I321*K321)</f>
        <v>0</v>
      </c>
      <c r="Q321" s="689">
        <f t="shared" ref="Q321:R324" si="329">($I321*L321)</f>
        <v>1.2000000000000002</v>
      </c>
      <c r="R321" s="689">
        <f t="shared" si="329"/>
        <v>1.2000000000000002</v>
      </c>
      <c r="S321" s="145">
        <f>SUM(O321:R321)</f>
        <v>2.4000000000000004</v>
      </c>
      <c r="T321" s="618">
        <f>IFERROR(INDEX('Annex 2_Code'!I$8:I$33,MATCH('Annex 3_MAFF'!$AG321,'Annex 2_Code'!$G$8:$G$33,0)),"")</f>
        <v>0</v>
      </c>
      <c r="U321" s="618">
        <f>IFERROR(INDEX('Annex 2_Code'!J$8:J$33,MATCH('Annex 3_MAFF'!$AG321,'Annex 2_Code'!$G$8:$G$33,0)),"")</f>
        <v>0</v>
      </c>
      <c r="V321" s="618">
        <f>IFERROR(INDEX('Annex 2_Code'!K$8:K$33,MATCH('Annex 3_MAFF'!$AG321,'Annex 2_Code'!$G$8:$G$33,0)),"")</f>
        <v>1</v>
      </c>
      <c r="W321" s="618">
        <f>IFERROR(INDEX('Annex 2_Code'!L$8:L$33,MATCH('Annex 3_MAFF'!$AG321,'Annex 2_Code'!$G$8:$G$33,0)),"")</f>
        <v>0</v>
      </c>
      <c r="X321" s="618">
        <f>IFERROR(INDEX('Annex 2_Code'!M$8:M$33,MATCH('Annex 3_MAFF'!$AG321,'Annex 2_Code'!$G$8:$G$33,0)),"")</f>
        <v>0</v>
      </c>
      <c r="Y321" s="1533">
        <f t="shared" si="268"/>
        <v>0</v>
      </c>
      <c r="Z321" s="717">
        <f t="shared" si="268"/>
        <v>0</v>
      </c>
      <c r="AA321" s="717">
        <f t="shared" si="268"/>
        <v>2.4000000000000004</v>
      </c>
      <c r="AB321" s="717">
        <f t="shared" si="268"/>
        <v>0</v>
      </c>
      <c r="AC321" s="718">
        <f t="shared" si="268"/>
        <v>0</v>
      </c>
      <c r="AD321" s="626">
        <f t="shared" si="312"/>
        <v>2.4000000000000004</v>
      </c>
      <c r="AE321" s="627">
        <f t="shared" si="313"/>
        <v>0</v>
      </c>
      <c r="AF321" s="568" t="s">
        <v>496</v>
      </c>
      <c r="AG321" s="568" t="s">
        <v>386</v>
      </c>
      <c r="AH321" s="568" t="str">
        <f>IFERROR(INDEX('[3]Annex 2'!$J$110:$J$122,MATCH('[3]Annex 3 (''MEF)'!AF350,'[3]Annex 2'!$G$110:$G$122,0)),"")</f>
        <v>MAFF-GDA</v>
      </c>
      <c r="AI321" s="882" t="str">
        <f t="shared" si="278"/>
        <v>MAFF</v>
      </c>
      <c r="AK321" s="1382"/>
      <c r="AL321" s="1382"/>
    </row>
    <row r="322" spans="1:39" s="542" customFormat="1" outlineLevel="1">
      <c r="A322" s="102"/>
      <c r="B322" s="374" t="s">
        <v>36</v>
      </c>
      <c r="C322" s="1115" t="s">
        <v>36</v>
      </c>
      <c r="D322" s="78"/>
      <c r="E322" s="97" t="s">
        <v>693</v>
      </c>
      <c r="F322" s="364"/>
      <c r="G322" s="722" t="s">
        <v>88</v>
      </c>
      <c r="H322" s="1926" t="s">
        <v>1137</v>
      </c>
      <c r="I322" s="1928">
        <v>60</v>
      </c>
      <c r="J322" s="665">
        <v>0</v>
      </c>
      <c r="K322" s="666">
        <v>0</v>
      </c>
      <c r="L322" s="1929">
        <v>1</v>
      </c>
      <c r="M322" s="666">
        <v>0</v>
      </c>
      <c r="N322" s="667">
        <f>SUM(J322:M322)</f>
        <v>1</v>
      </c>
      <c r="O322" s="1103">
        <f t="shared" ref="O322:O324" si="330">($I322*J322)</f>
        <v>0</v>
      </c>
      <c r="P322" s="689">
        <f t="shared" ref="P322:P324" si="331">($I322*K322)</f>
        <v>0</v>
      </c>
      <c r="Q322" s="689">
        <f t="shared" si="329"/>
        <v>60</v>
      </c>
      <c r="R322" s="689">
        <f t="shared" si="329"/>
        <v>0</v>
      </c>
      <c r="S322" s="145">
        <f>SUM(O322:R322)</f>
        <v>60</v>
      </c>
      <c r="T322" s="618">
        <f>IFERROR(INDEX('Annex 2_Code'!I$8:I$33,MATCH('Annex 3_MAFF'!$AG322,'Annex 2_Code'!$G$8:$G$33,0)),"")</f>
        <v>0</v>
      </c>
      <c r="U322" s="618">
        <f>IFERROR(INDEX('Annex 2_Code'!J$8:J$33,MATCH('Annex 3_MAFF'!$AG322,'Annex 2_Code'!$G$8:$G$33,0)),"")</f>
        <v>0</v>
      </c>
      <c r="V322" s="618">
        <f>IFERROR(INDEX('Annex 2_Code'!K$8:K$33,MATCH('Annex 3_MAFF'!$AG322,'Annex 2_Code'!$G$8:$G$33,0)),"")</f>
        <v>1</v>
      </c>
      <c r="W322" s="618">
        <f>IFERROR(INDEX('Annex 2_Code'!L$8:L$33,MATCH('Annex 3_MAFF'!$AG322,'Annex 2_Code'!$G$8:$G$33,0)),"")</f>
        <v>0</v>
      </c>
      <c r="X322" s="618">
        <f>IFERROR(INDEX('Annex 2_Code'!M$8:M$33,MATCH('Annex 3_MAFF'!$AG322,'Annex 2_Code'!$G$8:$G$33,0)),"")</f>
        <v>0</v>
      </c>
      <c r="Y322" s="1533">
        <f t="shared" si="268"/>
        <v>0</v>
      </c>
      <c r="Z322" s="717">
        <f t="shared" si="268"/>
        <v>0</v>
      </c>
      <c r="AA322" s="717">
        <f t="shared" si="268"/>
        <v>60</v>
      </c>
      <c r="AB322" s="717">
        <f t="shared" si="268"/>
        <v>0</v>
      </c>
      <c r="AC322" s="718">
        <f t="shared" si="268"/>
        <v>0</v>
      </c>
      <c r="AD322" s="626">
        <f t="shared" si="312"/>
        <v>60</v>
      </c>
      <c r="AE322" s="627">
        <f t="shared" si="313"/>
        <v>0</v>
      </c>
      <c r="AF322" s="568" t="s">
        <v>496</v>
      </c>
      <c r="AG322" s="568" t="s">
        <v>384</v>
      </c>
      <c r="AH322" s="568" t="str">
        <f>IFERROR(INDEX('[3]Annex 2'!$J$110:$J$122,MATCH('[3]Annex 3 (''MEF)'!AF351,'[3]Annex 2'!$G$110:$G$122,0)),"")</f>
        <v>MAFF-GDA</v>
      </c>
      <c r="AI322" s="882" t="str">
        <f t="shared" si="278"/>
        <v>MAFF</v>
      </c>
      <c r="AK322" s="1382"/>
      <c r="AL322" s="1382"/>
    </row>
    <row r="323" spans="1:39" s="542" customFormat="1" outlineLevel="1">
      <c r="A323" s="102"/>
      <c r="B323" s="374" t="s">
        <v>36</v>
      </c>
      <c r="C323" s="1115" t="s">
        <v>36</v>
      </c>
      <c r="D323" s="78"/>
      <c r="E323" s="97" t="s">
        <v>694</v>
      </c>
      <c r="F323" s="364"/>
      <c r="G323" s="722" t="s">
        <v>89</v>
      </c>
      <c r="H323" s="538" t="s">
        <v>172</v>
      </c>
      <c r="I323" s="584">
        <f>50000/1000</f>
        <v>50</v>
      </c>
      <c r="J323" s="665">
        <v>0</v>
      </c>
      <c r="K323" s="666">
        <v>0</v>
      </c>
      <c r="L323" s="666">
        <v>0</v>
      </c>
      <c r="M323" s="666">
        <v>0</v>
      </c>
      <c r="N323" s="667">
        <f>SUM(J323:M323)</f>
        <v>0</v>
      </c>
      <c r="O323" s="1103">
        <f t="shared" si="330"/>
        <v>0</v>
      </c>
      <c r="P323" s="689">
        <f t="shared" si="331"/>
        <v>0</v>
      </c>
      <c r="Q323" s="689">
        <f t="shared" si="329"/>
        <v>0</v>
      </c>
      <c r="R323" s="689">
        <f t="shared" si="329"/>
        <v>0</v>
      </c>
      <c r="S323" s="145">
        <f>SUM(O323:R323)</f>
        <v>0</v>
      </c>
      <c r="T323" s="618">
        <f>IFERROR(INDEX('Annex 2_Code'!I$8:I$33,MATCH('Annex 3_MAFF'!$AG323,'Annex 2_Code'!$G$8:$G$33,0)),"")</f>
        <v>1</v>
      </c>
      <c r="U323" s="618">
        <f>IFERROR(INDEX('Annex 2_Code'!J$8:J$33,MATCH('Annex 3_MAFF'!$AG323,'Annex 2_Code'!$G$8:$G$33,0)),"")</f>
        <v>0</v>
      </c>
      <c r="V323" s="618">
        <f>IFERROR(INDEX('Annex 2_Code'!K$8:K$33,MATCH('Annex 3_MAFF'!$AG323,'Annex 2_Code'!$G$8:$G$33,0)),"")</f>
        <v>0</v>
      </c>
      <c r="W323" s="618">
        <f>IFERROR(INDEX('Annex 2_Code'!L$8:L$33,MATCH('Annex 3_MAFF'!$AG323,'Annex 2_Code'!$G$8:$G$33,0)),"")</f>
        <v>0</v>
      </c>
      <c r="X323" s="618">
        <f>IFERROR(INDEX('Annex 2_Code'!M$8:M$33,MATCH('Annex 3_MAFF'!$AG323,'Annex 2_Code'!$G$8:$G$33,0)),"")</f>
        <v>0</v>
      </c>
      <c r="Y323" s="1533">
        <f t="shared" si="268"/>
        <v>0</v>
      </c>
      <c r="Z323" s="717">
        <f t="shared" si="268"/>
        <v>0</v>
      </c>
      <c r="AA323" s="717">
        <f t="shared" si="268"/>
        <v>0</v>
      </c>
      <c r="AB323" s="717">
        <f t="shared" si="268"/>
        <v>0</v>
      </c>
      <c r="AC323" s="718">
        <f t="shared" si="268"/>
        <v>0</v>
      </c>
      <c r="AD323" s="626">
        <f t="shared" si="312"/>
        <v>0</v>
      </c>
      <c r="AE323" s="627">
        <f t="shared" si="313"/>
        <v>0</v>
      </c>
      <c r="AF323" s="568" t="s">
        <v>496</v>
      </c>
      <c r="AG323" s="568" t="s">
        <v>370</v>
      </c>
      <c r="AH323" s="568" t="str">
        <f>IFERROR(INDEX('[3]Annex 2'!$J$110:$J$122,MATCH('[3]Annex 3 (''MEF)'!AF352,'[3]Annex 2'!$G$110:$G$122,0)),"")</f>
        <v>MAFF-GDA</v>
      </c>
      <c r="AI323" s="882" t="str">
        <f t="shared" si="278"/>
        <v>MAFF</v>
      </c>
      <c r="AK323" s="1382"/>
      <c r="AL323" s="1382"/>
    </row>
    <row r="324" spans="1:39" s="542" customFormat="1" outlineLevel="1">
      <c r="A324" s="102"/>
      <c r="B324" s="374" t="s">
        <v>36</v>
      </c>
      <c r="C324" s="1115" t="s">
        <v>36</v>
      </c>
      <c r="D324" s="78"/>
      <c r="E324" s="97" t="s">
        <v>695</v>
      </c>
      <c r="F324" s="364"/>
      <c r="G324" s="722" t="s">
        <v>90</v>
      </c>
      <c r="H324" s="538" t="s">
        <v>172</v>
      </c>
      <c r="I324" s="566">
        <f>436800/1000</f>
        <v>436.8</v>
      </c>
      <c r="J324" s="665">
        <v>0</v>
      </c>
      <c r="K324" s="666">
        <v>0</v>
      </c>
      <c r="L324" s="666">
        <v>0</v>
      </c>
      <c r="M324" s="666">
        <v>0</v>
      </c>
      <c r="N324" s="667">
        <f>SUM(J324:M324)</f>
        <v>0</v>
      </c>
      <c r="O324" s="1103">
        <f t="shared" si="330"/>
        <v>0</v>
      </c>
      <c r="P324" s="689">
        <f t="shared" si="331"/>
        <v>0</v>
      </c>
      <c r="Q324" s="689">
        <f t="shared" si="329"/>
        <v>0</v>
      </c>
      <c r="R324" s="689">
        <f t="shared" si="329"/>
        <v>0</v>
      </c>
      <c r="S324" s="145">
        <f>SUM(O324:R324)</f>
        <v>0</v>
      </c>
      <c r="T324" s="618">
        <f>IFERROR(INDEX('Annex 2_Code'!I$8:I$33,MATCH('Annex 3_MAFF'!$AG324,'Annex 2_Code'!$G$8:$G$33,0)),"")</f>
        <v>0</v>
      </c>
      <c r="U324" s="618">
        <f>IFERROR(INDEX('Annex 2_Code'!J$8:J$33,MATCH('Annex 3_MAFF'!$AG324,'Annex 2_Code'!$G$8:$G$33,0)),"")</f>
        <v>0</v>
      </c>
      <c r="V324" s="618">
        <f>IFERROR(INDEX('Annex 2_Code'!K$8:K$33,MATCH('Annex 3_MAFF'!$AG324,'Annex 2_Code'!$G$8:$G$33,0)),"")</f>
        <v>1</v>
      </c>
      <c r="W324" s="618">
        <f>IFERROR(INDEX('Annex 2_Code'!L$8:L$33,MATCH('Annex 3_MAFF'!$AG324,'Annex 2_Code'!$G$8:$G$33,0)),"")</f>
        <v>0</v>
      </c>
      <c r="X324" s="618">
        <f>IFERROR(INDEX('Annex 2_Code'!M$8:M$33,MATCH('Annex 3_MAFF'!$AG324,'Annex 2_Code'!$G$8:$G$33,0)),"")</f>
        <v>0</v>
      </c>
      <c r="Y324" s="1533">
        <f t="shared" si="268"/>
        <v>0</v>
      </c>
      <c r="Z324" s="717">
        <f t="shared" si="268"/>
        <v>0</v>
      </c>
      <c r="AA324" s="717">
        <f t="shared" si="268"/>
        <v>0</v>
      </c>
      <c r="AB324" s="717">
        <f t="shared" si="268"/>
        <v>0</v>
      </c>
      <c r="AC324" s="718">
        <f t="shared" si="268"/>
        <v>0</v>
      </c>
      <c r="AD324" s="626">
        <f t="shared" si="312"/>
        <v>0</v>
      </c>
      <c r="AE324" s="627">
        <f t="shared" si="313"/>
        <v>0</v>
      </c>
      <c r="AF324" s="568" t="s">
        <v>496</v>
      </c>
      <c r="AG324" s="568" t="s">
        <v>408</v>
      </c>
      <c r="AH324" s="568" t="str">
        <f>IFERROR(INDEX('[3]Annex 2'!$J$110:$J$122,MATCH('[3]Annex 3 (''MEF)'!AF353,'[3]Annex 2'!$G$110:$G$122,0)),"")</f>
        <v>MAFF-GDA</v>
      </c>
      <c r="AI324" s="882" t="str">
        <f t="shared" si="278"/>
        <v>MAFF</v>
      </c>
      <c r="AK324" s="1382"/>
      <c r="AL324" s="1382"/>
    </row>
    <row r="325" spans="1:39" s="542" customFormat="1" outlineLevel="1">
      <c r="A325" s="102"/>
      <c r="B325" s="76" t="s">
        <v>173</v>
      </c>
      <c r="C325" s="1071"/>
      <c r="D325" s="1464"/>
      <c r="E325" s="1440" t="s">
        <v>41</v>
      </c>
      <c r="F325" s="1441"/>
      <c r="G325" s="1428"/>
      <c r="H325" s="1429" t="s">
        <v>14</v>
      </c>
      <c r="I325" s="1455"/>
      <c r="J325" s="1456"/>
      <c r="K325" s="1457"/>
      <c r="L325" s="1457"/>
      <c r="M325" s="1457"/>
      <c r="N325" s="1458"/>
      <c r="O325" s="1434">
        <f>SUM(O321:O324)</f>
        <v>0</v>
      </c>
      <c r="P325" s="1435">
        <f>SUM(P321:P324)</f>
        <v>0</v>
      </c>
      <c r="Q325" s="1435">
        <f>SUM(Q321:Q324)</f>
        <v>61.2</v>
      </c>
      <c r="R325" s="1435">
        <f>SUM(R321:R324)</f>
        <v>1.2000000000000002</v>
      </c>
      <c r="S325" s="1436">
        <f>SUM(S321:S324)</f>
        <v>62.4</v>
      </c>
      <c r="T325" s="618" t="str">
        <f>IFERROR(INDEX('Annex 2_Code'!I$8:I$33,MATCH('Annex 3_MAFF'!$AG325,'Annex 2_Code'!$G$8:$G$33,0)),"")</f>
        <v/>
      </c>
      <c r="U325" s="618" t="str">
        <f>IFERROR(INDEX('Annex 2_Code'!J$8:J$33,MATCH('Annex 3_MAFF'!$AG325,'Annex 2_Code'!$G$8:$G$33,0)),"")</f>
        <v/>
      </c>
      <c r="V325" s="618" t="str">
        <f>IFERROR(INDEX('Annex 2_Code'!K$8:K$33,MATCH('Annex 3_MAFF'!$AG325,'Annex 2_Code'!$G$8:$G$33,0)),"")</f>
        <v/>
      </c>
      <c r="W325" s="618" t="str">
        <f>IFERROR(INDEX('Annex 2_Code'!L$8:L$33,MATCH('Annex 3_MAFF'!$AG325,'Annex 2_Code'!$G$8:$G$33,0)),"")</f>
        <v/>
      </c>
      <c r="X325" s="618" t="str">
        <f>IFERROR(INDEX('Annex 2_Code'!M$8:M$33,MATCH('Annex 3_MAFF'!$AG325,'Annex 2_Code'!$G$8:$G$33,0)),"")</f>
        <v/>
      </c>
      <c r="Y325" s="716" t="str">
        <f t="shared" si="268"/>
        <v/>
      </c>
      <c r="Z325" s="717" t="str">
        <f t="shared" si="269"/>
        <v/>
      </c>
      <c r="AA325" s="717" t="str">
        <f t="shared" si="268"/>
        <v/>
      </c>
      <c r="AB325" s="717" t="str">
        <f t="shared" si="270"/>
        <v/>
      </c>
      <c r="AC325" s="718" t="str">
        <f t="shared" si="271"/>
        <v/>
      </c>
      <c r="AD325" s="626">
        <f t="shared" si="312"/>
        <v>0</v>
      </c>
      <c r="AE325" s="627">
        <f t="shared" si="313"/>
        <v>-62.4</v>
      </c>
      <c r="AF325" s="568"/>
      <c r="AG325" s="568"/>
      <c r="AH325" s="568" t="str">
        <f>IFERROR(INDEX('Annex 2_Code'!$J$110:$J$122,MATCH('Annex 3_MAFF'!AF325,'Annex 2_Code'!$G$110:$G$122,0)),"")</f>
        <v/>
      </c>
      <c r="AI325" s="882" t="str">
        <f t="shared" si="278"/>
        <v/>
      </c>
      <c r="AK325" s="1389">
        <f>SUM(S320:S324)</f>
        <v>62.4</v>
      </c>
      <c r="AL325" s="1389" t="s">
        <v>1015</v>
      </c>
      <c r="AM325" s="1387"/>
    </row>
    <row r="326" spans="1:39" s="542" customFormat="1" outlineLevel="1">
      <c r="A326" s="102"/>
      <c r="B326" s="76" t="s">
        <v>173</v>
      </c>
      <c r="C326" s="1071"/>
      <c r="D326" s="78"/>
      <c r="E326" s="122"/>
      <c r="F326" s="364"/>
      <c r="G326" s="722"/>
      <c r="H326" s="588"/>
      <c r="I326" s="566"/>
      <c r="J326" s="665"/>
      <c r="K326" s="666"/>
      <c r="L326" s="666"/>
      <c r="M326" s="666"/>
      <c r="N326" s="667"/>
      <c r="O326" s="688"/>
      <c r="P326" s="692"/>
      <c r="Q326" s="692"/>
      <c r="R326" s="692"/>
      <c r="S326" s="624"/>
      <c r="T326" s="618"/>
      <c r="U326" s="618"/>
      <c r="V326" s="618"/>
      <c r="W326" s="618"/>
      <c r="X326" s="618"/>
      <c r="Y326" s="716"/>
      <c r="Z326" s="717"/>
      <c r="AA326" s="717">
        <f t="shared" si="268"/>
        <v>0</v>
      </c>
      <c r="AB326" s="717"/>
      <c r="AC326" s="718"/>
      <c r="AD326" s="626"/>
      <c r="AE326" s="627"/>
      <c r="AF326" s="568"/>
      <c r="AG326" s="568"/>
      <c r="AH326" s="568"/>
      <c r="AI326" s="882"/>
      <c r="AK326" s="1382"/>
      <c r="AL326" s="1382"/>
    </row>
    <row r="327" spans="1:39" s="95" customFormat="1" outlineLevel="1">
      <c r="A327" s="102"/>
      <c r="B327" s="76" t="s">
        <v>173</v>
      </c>
      <c r="C327" s="1071"/>
      <c r="D327" s="78"/>
      <c r="E327" s="97" t="s">
        <v>1150</v>
      </c>
      <c r="F327" s="283"/>
      <c r="G327" s="722"/>
      <c r="H327" s="96" t="s">
        <v>14</v>
      </c>
      <c r="I327" s="1083"/>
      <c r="J327" s="665"/>
      <c r="K327" s="666"/>
      <c r="L327" s="666"/>
      <c r="M327" s="666"/>
      <c r="N327" s="1073"/>
      <c r="O327" s="877"/>
      <c r="P327" s="281"/>
      <c r="Q327" s="281"/>
      <c r="R327" s="281"/>
      <c r="S327" s="145"/>
      <c r="T327" s="618" t="str">
        <f>IFERROR(INDEX('[5]Annex 2'!I$8:I$33,MATCH('[5]Annex 3'!$AF202,'[5]Annex 2'!$G$8:$G$33,0)),"")</f>
        <v/>
      </c>
      <c r="U327" s="618" t="str">
        <f>IFERROR(INDEX('[5]Annex 2'!J$8:J$33,MATCH('[5]Annex 3'!$AF202,'[5]Annex 2'!$G$8:$G$33,0)),"")</f>
        <v/>
      </c>
      <c r="V327" s="618" t="str">
        <f>IFERROR(INDEX('[5]Annex 2'!K$8:K$33,MATCH('[5]Annex 3'!$AF202,'[5]Annex 2'!$G$8:$G$33,0)),"")</f>
        <v/>
      </c>
      <c r="W327" s="618" t="str">
        <f>IFERROR(INDEX('[5]Annex 2'!L$8:L$33,MATCH('[5]Annex 3'!$AF202,'[5]Annex 2'!$G$8:$G$33,0)),"")</f>
        <v/>
      </c>
      <c r="X327" s="618" t="str">
        <f>IFERROR(INDEX('[5]Annex 2'!M$8:M$33,MATCH('[5]Annex 3'!$AF202,'[5]Annex 2'!$G$8:$G$33,0)),"")</f>
        <v/>
      </c>
      <c r="Y327" s="716" t="str">
        <f t="shared" ref="Y327:AC339" si="332">IFERROR($S327*T327,"")</f>
        <v/>
      </c>
      <c r="Z327" s="717" t="str">
        <f t="shared" ref="Z327:Z328" si="333">IFERROR($S327*U327,"")</f>
        <v/>
      </c>
      <c r="AA327" s="717" t="str">
        <f t="shared" si="268"/>
        <v/>
      </c>
      <c r="AB327" s="717" t="str">
        <f t="shared" ref="AB327:AB328" si="334">IFERROR($S327*W327,"")</f>
        <v/>
      </c>
      <c r="AC327" s="718" t="str">
        <f t="shared" ref="AC327:AC328" si="335">IFERROR($S327*X327,"")</f>
        <v/>
      </c>
      <c r="AD327" s="626">
        <f t="shared" ref="AD327:AD339" si="336">SUM(Y327:AC327)</f>
        <v>0</v>
      </c>
      <c r="AE327" s="627">
        <f t="shared" ref="AE327:AE339" si="337">AD327-S327</f>
        <v>0</v>
      </c>
      <c r="AF327" s="1069"/>
      <c r="AG327" s="1069"/>
      <c r="AH327" s="1069"/>
      <c r="AI327" s="1070"/>
      <c r="AK327" s="1393"/>
      <c r="AL327" s="1393"/>
    </row>
    <row r="328" spans="1:39" s="95" customFormat="1" outlineLevel="1">
      <c r="A328" s="102"/>
      <c r="B328" s="76" t="s">
        <v>36</v>
      </c>
      <c r="C328" s="1071" t="s">
        <v>36</v>
      </c>
      <c r="D328" s="1095"/>
      <c r="E328" s="97" t="s">
        <v>696</v>
      </c>
      <c r="F328" s="283"/>
      <c r="G328" s="721" t="s">
        <v>676</v>
      </c>
      <c r="H328" s="1930" t="s">
        <v>184</v>
      </c>
      <c r="I328" s="1931">
        <v>10</v>
      </c>
      <c r="J328" s="1932">
        <v>0</v>
      </c>
      <c r="K328" s="1929">
        <v>2</v>
      </c>
      <c r="L328" s="1745">
        <v>2</v>
      </c>
      <c r="M328" s="666">
        <v>0</v>
      </c>
      <c r="N328" s="1073">
        <f t="shared" ref="N328:N339" si="338">SUM(J328:M328)</f>
        <v>4</v>
      </c>
      <c r="O328" s="877">
        <f>($I328*J328)</f>
        <v>0</v>
      </c>
      <c r="P328" s="281">
        <f>($I328*K328)</f>
        <v>20</v>
      </c>
      <c r="Q328" s="281">
        <f t="shared" ref="Q328:R339" si="339">($I328*L328)</f>
        <v>20</v>
      </c>
      <c r="R328" s="281">
        <f t="shared" si="339"/>
        <v>0</v>
      </c>
      <c r="S328" s="145">
        <f t="shared" ref="S328:S339" si="340">SUM(O328:R328)</f>
        <v>40</v>
      </c>
      <c r="T328" s="618">
        <f>IFERROR(INDEX('Annex 2_Code'!I$8:I$33,MATCH('Annex 3_MAFF'!$AG328,'Annex 2_Code'!$G$8:$G$33,0)),"")</f>
        <v>0</v>
      </c>
      <c r="U328" s="618">
        <f>IFERROR(INDEX('Annex 2_Code'!J$8:J$33,MATCH('Annex 3_MAFF'!$AG328,'Annex 2_Code'!$G$8:$G$33,0)),"")</f>
        <v>0</v>
      </c>
      <c r="V328" s="618">
        <f>IFERROR(INDEX('Annex 2_Code'!K$8:K$33,MATCH('Annex 3_MAFF'!$AG328,'Annex 2_Code'!$G$8:$G$33,0)),"")</f>
        <v>1</v>
      </c>
      <c r="W328" s="618">
        <f>IFERROR(INDEX('Annex 2_Code'!L$8:L$33,MATCH('Annex 3_MAFF'!$AG328,'Annex 2_Code'!$G$8:$G$33,0)),"")</f>
        <v>0</v>
      </c>
      <c r="X328" s="618">
        <f>IFERROR(INDEX('Annex 2_Code'!M$8:M$33,MATCH('Annex 3_MAFF'!$AG328,'Annex 2_Code'!$G$8:$G$33,0)),"")</f>
        <v>0</v>
      </c>
      <c r="Y328" s="1536">
        <f t="shared" ref="Y328" si="341">IFERROR($S328*T328,"")</f>
        <v>0</v>
      </c>
      <c r="Z328" s="717">
        <f t="shared" si="333"/>
        <v>0</v>
      </c>
      <c r="AA328" s="717">
        <f t="shared" si="268"/>
        <v>40</v>
      </c>
      <c r="AB328" s="717">
        <f t="shared" si="334"/>
        <v>0</v>
      </c>
      <c r="AC328" s="718">
        <f t="shared" si="335"/>
        <v>0</v>
      </c>
      <c r="AD328" s="626">
        <f t="shared" si="336"/>
        <v>40</v>
      </c>
      <c r="AE328" s="627">
        <f t="shared" si="337"/>
        <v>0</v>
      </c>
      <c r="AF328" s="1069" t="s">
        <v>496</v>
      </c>
      <c r="AG328" s="1069" t="s">
        <v>384</v>
      </c>
      <c r="AH328" s="568" t="str">
        <f>IFERROR(INDEX('[3]Annex 2'!$J$110:$J$122,MATCH('[3]Annex 3 (''MEF)'!AF357,'[3]Annex 2'!$G$110:$G$122,0)),"")</f>
        <v>MAFF-GDA</v>
      </c>
      <c r="AI328" s="1070" t="str">
        <f t="shared" ref="AI328:AI339" si="342">IF(ISNUMBER(FIND("-",AH328,1))=FALSE,LEFT(AH328,LEN(AH328)),LEFT(AH328,(FIND("-",AH328,1))-1))</f>
        <v>MAFF</v>
      </c>
      <c r="AK328" s="1393"/>
      <c r="AL328" s="1393"/>
    </row>
    <row r="329" spans="1:39" s="95" customFormat="1" outlineLevel="1">
      <c r="A329" s="102"/>
      <c r="B329" s="374" t="s">
        <v>57</v>
      </c>
      <c r="C329" s="374" t="s">
        <v>57</v>
      </c>
      <c r="D329" s="1095"/>
      <c r="E329" s="97" t="s">
        <v>697</v>
      </c>
      <c r="F329" s="283"/>
      <c r="G329" s="722" t="s">
        <v>899</v>
      </c>
      <c r="H329" s="1029" t="s">
        <v>677</v>
      </c>
      <c r="I329" s="1072">
        <v>8</v>
      </c>
      <c r="J329" s="665">
        <v>0</v>
      </c>
      <c r="K329" s="666">
        <v>2</v>
      </c>
      <c r="L329" s="666">
        <v>2</v>
      </c>
      <c r="M329" s="666">
        <v>1</v>
      </c>
      <c r="N329" s="1073">
        <f t="shared" si="338"/>
        <v>5</v>
      </c>
      <c r="O329" s="877">
        <f t="shared" ref="O329:O339" si="343">($I329*J329)</f>
        <v>0</v>
      </c>
      <c r="P329" s="281">
        <f t="shared" ref="P329:P339" si="344">($I329*K329)</f>
        <v>16</v>
      </c>
      <c r="Q329" s="281">
        <f t="shared" si="339"/>
        <v>16</v>
      </c>
      <c r="R329" s="281">
        <f t="shared" si="339"/>
        <v>8</v>
      </c>
      <c r="S329" s="145">
        <f>SUM(O329:R329)</f>
        <v>40</v>
      </c>
      <c r="T329" s="618">
        <f>IFERROR(INDEX('Annex 2_Code'!I$8:I$33,MATCH('Annex 3_MAFF'!$AG329,'Annex 2_Code'!$G$8:$G$33,0)),"")</f>
        <v>0</v>
      </c>
      <c r="U329" s="618">
        <f>IFERROR(INDEX('Annex 2_Code'!J$8:J$33,MATCH('Annex 3_MAFF'!$AG329,'Annex 2_Code'!$G$8:$G$33,0)),"")</f>
        <v>0</v>
      </c>
      <c r="V329" s="618">
        <f>IFERROR(INDEX('Annex 2_Code'!K$8:K$33,MATCH('Annex 3_MAFF'!$AG329,'Annex 2_Code'!$G$8:$G$33,0)),"")</f>
        <v>1</v>
      </c>
      <c r="W329" s="618">
        <f>IFERROR(INDEX('Annex 2_Code'!L$8:L$33,MATCH('Annex 3_MAFF'!$AG329,'Annex 2_Code'!$G$8:$G$33,0)),"")</f>
        <v>0</v>
      </c>
      <c r="X329" s="618">
        <f>IFERROR(INDEX('Annex 2_Code'!M$8:M$33,MATCH('Annex 3_MAFF'!$AG329,'Annex 2_Code'!$G$8:$G$33,0)),"")</f>
        <v>0</v>
      </c>
      <c r="Y329" s="1536">
        <f t="shared" si="332"/>
        <v>0</v>
      </c>
      <c r="Z329" s="717">
        <f t="shared" si="332"/>
        <v>0</v>
      </c>
      <c r="AA329" s="717">
        <f t="shared" si="268"/>
        <v>40</v>
      </c>
      <c r="AB329" s="717">
        <f t="shared" si="332"/>
        <v>0</v>
      </c>
      <c r="AC329" s="718">
        <f t="shared" si="332"/>
        <v>0</v>
      </c>
      <c r="AD329" s="626">
        <f t="shared" si="336"/>
        <v>40</v>
      </c>
      <c r="AE329" s="627">
        <f t="shared" si="337"/>
        <v>0</v>
      </c>
      <c r="AF329" s="1069" t="s">
        <v>496</v>
      </c>
      <c r="AG329" s="1069" t="s">
        <v>386</v>
      </c>
      <c r="AH329" s="1069" t="str">
        <f>IFERROR(INDEX('[5]Annex 2'!$J$110:$J$122,MATCH('[5]Annex 3'!AE204,'[5]Annex 2'!$G$110:$G$122,0)),"")</f>
        <v>MAFF-GDA</v>
      </c>
      <c r="AI329" s="1070" t="str">
        <f t="shared" si="342"/>
        <v>MAFF</v>
      </c>
      <c r="AK329" s="1393"/>
      <c r="AL329" s="1393"/>
    </row>
    <row r="330" spans="1:39" s="95" customFormat="1" outlineLevel="1">
      <c r="A330" s="102"/>
      <c r="B330" s="374" t="s">
        <v>57</v>
      </c>
      <c r="C330" s="374" t="s">
        <v>57</v>
      </c>
      <c r="D330" s="1095"/>
      <c r="E330" s="97" t="s">
        <v>698</v>
      </c>
      <c r="F330" s="283"/>
      <c r="G330" s="722" t="s">
        <v>678</v>
      </c>
      <c r="H330" s="1029" t="s">
        <v>677</v>
      </c>
      <c r="I330" s="1072">
        <v>4</v>
      </c>
      <c r="J330" s="665">
        <v>0</v>
      </c>
      <c r="K330" s="666">
        <v>0</v>
      </c>
      <c r="L330" s="666">
        <v>1</v>
      </c>
      <c r="M330" s="666">
        <v>0</v>
      </c>
      <c r="N330" s="1073">
        <f t="shared" si="338"/>
        <v>1</v>
      </c>
      <c r="O330" s="877">
        <f t="shared" si="343"/>
        <v>0</v>
      </c>
      <c r="P330" s="281">
        <f t="shared" si="344"/>
        <v>0</v>
      </c>
      <c r="Q330" s="281">
        <f t="shared" si="339"/>
        <v>4</v>
      </c>
      <c r="R330" s="281">
        <f t="shared" si="339"/>
        <v>0</v>
      </c>
      <c r="S330" s="145">
        <f t="shared" si="340"/>
        <v>4</v>
      </c>
      <c r="T330" s="618">
        <f>IFERROR(INDEX('Annex 2_Code'!I$8:I$33,MATCH('Annex 3_MAFF'!$AG330,'Annex 2_Code'!$G$8:$G$33,0)),"")</f>
        <v>0</v>
      </c>
      <c r="U330" s="618">
        <f>IFERROR(INDEX('Annex 2_Code'!J$8:J$33,MATCH('Annex 3_MAFF'!$AG330,'Annex 2_Code'!$G$8:$G$33,0)),"")</f>
        <v>0</v>
      </c>
      <c r="V330" s="618">
        <f>IFERROR(INDEX('Annex 2_Code'!K$8:K$33,MATCH('Annex 3_MAFF'!$AG330,'Annex 2_Code'!$G$8:$G$33,0)),"")</f>
        <v>1</v>
      </c>
      <c r="W330" s="618">
        <f>IFERROR(INDEX('Annex 2_Code'!L$8:L$33,MATCH('Annex 3_MAFF'!$AG330,'Annex 2_Code'!$G$8:$G$33,0)),"")</f>
        <v>0</v>
      </c>
      <c r="X330" s="618">
        <f>IFERROR(INDEX('Annex 2_Code'!M$8:M$33,MATCH('Annex 3_MAFF'!$AG330,'Annex 2_Code'!$G$8:$G$33,0)),"")</f>
        <v>0</v>
      </c>
      <c r="Y330" s="1536">
        <f t="shared" si="332"/>
        <v>0</v>
      </c>
      <c r="Z330" s="717">
        <f t="shared" si="332"/>
        <v>0</v>
      </c>
      <c r="AA330" s="717">
        <f t="shared" si="268"/>
        <v>4</v>
      </c>
      <c r="AB330" s="717">
        <f t="shared" si="332"/>
        <v>0</v>
      </c>
      <c r="AC330" s="718">
        <f t="shared" si="332"/>
        <v>0</v>
      </c>
      <c r="AD330" s="626">
        <f t="shared" si="336"/>
        <v>4</v>
      </c>
      <c r="AE330" s="627">
        <f t="shared" si="337"/>
        <v>0</v>
      </c>
      <c r="AF330" s="1069" t="s">
        <v>496</v>
      </c>
      <c r="AG330" s="1069" t="s">
        <v>386</v>
      </c>
      <c r="AH330" s="568" t="str">
        <f>IFERROR(INDEX('[3]Annex 2'!$J$110:$J$122,MATCH('[3]Annex 3 (''MEF)'!AF359,'[3]Annex 2'!$G$110:$G$122,0)),"")</f>
        <v>MAFF-GDA</v>
      </c>
      <c r="AI330" s="882" t="str">
        <f t="shared" si="342"/>
        <v>MAFF</v>
      </c>
      <c r="AK330" s="1393"/>
      <c r="AL330" s="1393"/>
    </row>
    <row r="331" spans="1:39" s="95" customFormat="1" outlineLevel="1">
      <c r="A331" s="102"/>
      <c r="B331" s="374" t="s">
        <v>57</v>
      </c>
      <c r="C331" s="374" t="s">
        <v>57</v>
      </c>
      <c r="D331" s="1095"/>
      <c r="E331" s="97" t="s">
        <v>699</v>
      </c>
      <c r="F331" s="283"/>
      <c r="G331" s="722" t="s">
        <v>1149</v>
      </c>
      <c r="H331" s="1029" t="s">
        <v>640</v>
      </c>
      <c r="I331" s="1072">
        <v>1</v>
      </c>
      <c r="J331" s="665">
        <v>0</v>
      </c>
      <c r="K331" s="666">
        <v>0</v>
      </c>
      <c r="L331" s="666">
        <v>1</v>
      </c>
      <c r="M331" s="666">
        <v>1</v>
      </c>
      <c r="N331" s="1073">
        <f t="shared" si="338"/>
        <v>2</v>
      </c>
      <c r="O331" s="877">
        <f t="shared" si="343"/>
        <v>0</v>
      </c>
      <c r="P331" s="281">
        <f t="shared" si="344"/>
        <v>0</v>
      </c>
      <c r="Q331" s="281">
        <f t="shared" si="339"/>
        <v>1</v>
      </c>
      <c r="R331" s="281">
        <f t="shared" si="339"/>
        <v>1</v>
      </c>
      <c r="S331" s="145">
        <f t="shared" si="340"/>
        <v>2</v>
      </c>
      <c r="T331" s="618">
        <f>IFERROR(INDEX('Annex 2_Code'!I$8:I$33,MATCH('Annex 3_MAFF'!$AG331,'Annex 2_Code'!$G$8:$G$33,0)),"")</f>
        <v>0</v>
      </c>
      <c r="U331" s="618">
        <f>IFERROR(INDEX('Annex 2_Code'!J$8:J$33,MATCH('Annex 3_MAFF'!$AG331,'Annex 2_Code'!$G$8:$G$33,0)),"")</f>
        <v>0</v>
      </c>
      <c r="V331" s="618">
        <f>IFERROR(INDEX('Annex 2_Code'!K$8:K$33,MATCH('Annex 3_MAFF'!$AG331,'Annex 2_Code'!$G$8:$G$33,0)),"")</f>
        <v>1</v>
      </c>
      <c r="W331" s="618">
        <f>IFERROR(INDEX('Annex 2_Code'!L$8:L$33,MATCH('Annex 3_MAFF'!$AG331,'Annex 2_Code'!$G$8:$G$33,0)),"")</f>
        <v>0</v>
      </c>
      <c r="X331" s="618">
        <f>IFERROR(INDEX('Annex 2_Code'!M$8:M$33,MATCH('Annex 3_MAFF'!$AG331,'Annex 2_Code'!$G$8:$G$33,0)),"")</f>
        <v>0</v>
      </c>
      <c r="Y331" s="1536">
        <f t="shared" si="332"/>
        <v>0</v>
      </c>
      <c r="Z331" s="717">
        <f t="shared" si="332"/>
        <v>0</v>
      </c>
      <c r="AA331" s="717">
        <f t="shared" si="268"/>
        <v>2</v>
      </c>
      <c r="AB331" s="717">
        <f t="shared" si="332"/>
        <v>0</v>
      </c>
      <c r="AC331" s="718">
        <f t="shared" si="332"/>
        <v>0</v>
      </c>
      <c r="AD331" s="626">
        <f t="shared" si="336"/>
        <v>2</v>
      </c>
      <c r="AE331" s="627">
        <f t="shared" si="337"/>
        <v>0</v>
      </c>
      <c r="AF331" s="1069" t="s">
        <v>496</v>
      </c>
      <c r="AG331" s="1069" t="s">
        <v>386</v>
      </c>
      <c r="AH331" s="568" t="str">
        <f>IFERROR(INDEX('[3]Annex 2'!$J$110:$J$122,MATCH('[3]Annex 3 (''MEF)'!AF360,'[3]Annex 2'!$G$110:$G$122,0)),"")</f>
        <v>MAFF-GDA</v>
      </c>
      <c r="AI331" s="882" t="str">
        <f t="shared" si="342"/>
        <v>MAFF</v>
      </c>
      <c r="AK331" s="1393"/>
      <c r="AL331" s="1393"/>
    </row>
    <row r="332" spans="1:39" s="95" customFormat="1" ht="25.5" outlineLevel="1">
      <c r="A332" s="102"/>
      <c r="B332" s="374" t="s">
        <v>57</v>
      </c>
      <c r="C332" s="374" t="s">
        <v>57</v>
      </c>
      <c r="D332" s="1095"/>
      <c r="E332" s="97" t="s">
        <v>700</v>
      </c>
      <c r="F332" s="283"/>
      <c r="G332" s="722" t="s">
        <v>900</v>
      </c>
      <c r="H332" s="1029" t="s">
        <v>640</v>
      </c>
      <c r="I332" s="1072">
        <v>1</v>
      </c>
      <c r="J332" s="665">
        <v>0</v>
      </c>
      <c r="K332" s="666">
        <v>0</v>
      </c>
      <c r="L332" s="666">
        <v>1</v>
      </c>
      <c r="M332" s="666">
        <v>1</v>
      </c>
      <c r="N332" s="1073">
        <f t="shared" si="338"/>
        <v>2</v>
      </c>
      <c r="O332" s="877">
        <f t="shared" si="343"/>
        <v>0</v>
      </c>
      <c r="P332" s="281">
        <f t="shared" si="344"/>
        <v>0</v>
      </c>
      <c r="Q332" s="281">
        <f t="shared" si="339"/>
        <v>1</v>
      </c>
      <c r="R332" s="281">
        <f t="shared" si="339"/>
        <v>1</v>
      </c>
      <c r="S332" s="145">
        <f t="shared" si="340"/>
        <v>2</v>
      </c>
      <c r="T332" s="618">
        <f>IFERROR(INDEX('Annex 2_Code'!I$8:I$33,MATCH('Annex 3_MAFF'!$AG332,'Annex 2_Code'!$G$8:$G$33,0)),"")</f>
        <v>0</v>
      </c>
      <c r="U332" s="618">
        <f>IFERROR(INDEX('Annex 2_Code'!J$8:J$33,MATCH('Annex 3_MAFF'!$AG332,'Annex 2_Code'!$G$8:$G$33,0)),"")</f>
        <v>0</v>
      </c>
      <c r="V332" s="618">
        <f>IFERROR(INDEX('Annex 2_Code'!K$8:K$33,MATCH('Annex 3_MAFF'!$AG332,'Annex 2_Code'!$G$8:$G$33,0)),"")</f>
        <v>1</v>
      </c>
      <c r="W332" s="618">
        <f>IFERROR(INDEX('Annex 2_Code'!L$8:L$33,MATCH('Annex 3_MAFF'!$AG332,'Annex 2_Code'!$G$8:$G$33,0)),"")</f>
        <v>0</v>
      </c>
      <c r="X332" s="618">
        <f>IFERROR(INDEX('Annex 2_Code'!M$8:M$33,MATCH('Annex 3_MAFF'!$AG332,'Annex 2_Code'!$G$8:$G$33,0)),"")</f>
        <v>0</v>
      </c>
      <c r="Y332" s="1536">
        <f t="shared" si="332"/>
        <v>0</v>
      </c>
      <c r="Z332" s="717">
        <f t="shared" si="332"/>
        <v>0</v>
      </c>
      <c r="AA332" s="717">
        <f t="shared" si="268"/>
        <v>2</v>
      </c>
      <c r="AB332" s="717">
        <f t="shared" si="332"/>
        <v>0</v>
      </c>
      <c r="AC332" s="718">
        <f t="shared" si="332"/>
        <v>0</v>
      </c>
      <c r="AD332" s="626">
        <f t="shared" si="336"/>
        <v>2</v>
      </c>
      <c r="AE332" s="627">
        <f t="shared" si="337"/>
        <v>0</v>
      </c>
      <c r="AF332" s="1069" t="s">
        <v>496</v>
      </c>
      <c r="AG332" s="1069" t="s">
        <v>386</v>
      </c>
      <c r="AH332" s="568" t="str">
        <f>IFERROR(INDEX('[3]Annex 2'!$J$110:$J$122,MATCH('[3]Annex 3 (''MEF)'!AF361,'[3]Annex 2'!$G$110:$G$122,0)),"")</f>
        <v>MAFF-GDA</v>
      </c>
      <c r="AI332" s="882" t="str">
        <f t="shared" si="342"/>
        <v>MAFF</v>
      </c>
      <c r="AK332" s="1393"/>
      <c r="AL332" s="1393"/>
    </row>
    <row r="333" spans="1:39" s="95" customFormat="1" outlineLevel="1">
      <c r="A333" s="102"/>
      <c r="B333" s="374" t="s">
        <v>57</v>
      </c>
      <c r="C333" s="374" t="s">
        <v>57</v>
      </c>
      <c r="D333" s="1095"/>
      <c r="E333" s="97" t="s">
        <v>701</v>
      </c>
      <c r="F333" s="283"/>
      <c r="G333" s="731" t="s">
        <v>679</v>
      </c>
      <c r="H333" s="1029" t="s">
        <v>640</v>
      </c>
      <c r="I333" s="1072">
        <v>1</v>
      </c>
      <c r="J333" s="665">
        <v>0</v>
      </c>
      <c r="K333" s="666">
        <v>0</v>
      </c>
      <c r="L333" s="666">
        <v>2</v>
      </c>
      <c r="M333" s="666">
        <v>2</v>
      </c>
      <c r="N333" s="1073">
        <f t="shared" si="338"/>
        <v>4</v>
      </c>
      <c r="O333" s="877">
        <f t="shared" si="343"/>
        <v>0</v>
      </c>
      <c r="P333" s="281">
        <f t="shared" si="344"/>
        <v>0</v>
      </c>
      <c r="Q333" s="281">
        <f t="shared" si="339"/>
        <v>2</v>
      </c>
      <c r="R333" s="281">
        <f t="shared" si="339"/>
        <v>2</v>
      </c>
      <c r="S333" s="145">
        <f t="shared" si="340"/>
        <v>4</v>
      </c>
      <c r="T333" s="618">
        <f>IFERROR(INDEX('Annex 2_Code'!I$8:I$33,MATCH('Annex 3_MAFF'!$AG333,'Annex 2_Code'!$G$8:$G$33,0)),"")</f>
        <v>0</v>
      </c>
      <c r="U333" s="618">
        <f>IFERROR(INDEX('Annex 2_Code'!J$8:J$33,MATCH('Annex 3_MAFF'!$AG333,'Annex 2_Code'!$G$8:$G$33,0)),"")</f>
        <v>0</v>
      </c>
      <c r="V333" s="618">
        <f>IFERROR(INDEX('Annex 2_Code'!K$8:K$33,MATCH('Annex 3_MAFF'!$AG333,'Annex 2_Code'!$G$8:$G$33,0)),"")</f>
        <v>1</v>
      </c>
      <c r="W333" s="618">
        <f>IFERROR(INDEX('Annex 2_Code'!L$8:L$33,MATCH('Annex 3_MAFF'!$AG333,'Annex 2_Code'!$G$8:$G$33,0)),"")</f>
        <v>0</v>
      </c>
      <c r="X333" s="618">
        <f>IFERROR(INDEX('Annex 2_Code'!M$8:M$33,MATCH('Annex 3_MAFF'!$AG333,'Annex 2_Code'!$G$8:$G$33,0)),"")</f>
        <v>0</v>
      </c>
      <c r="Y333" s="1536">
        <f t="shared" si="332"/>
        <v>0</v>
      </c>
      <c r="Z333" s="717">
        <f t="shared" si="332"/>
        <v>0</v>
      </c>
      <c r="AA333" s="717">
        <f t="shared" si="268"/>
        <v>4</v>
      </c>
      <c r="AB333" s="717">
        <f t="shared" si="332"/>
        <v>0</v>
      </c>
      <c r="AC333" s="718">
        <f t="shared" si="332"/>
        <v>0</v>
      </c>
      <c r="AD333" s="626">
        <f t="shared" si="336"/>
        <v>4</v>
      </c>
      <c r="AE333" s="627">
        <f t="shared" si="337"/>
        <v>0</v>
      </c>
      <c r="AF333" s="1069" t="s">
        <v>496</v>
      </c>
      <c r="AG333" s="1069" t="s">
        <v>386</v>
      </c>
      <c r="AH333" s="568" t="str">
        <f>IFERROR(INDEX('[3]Annex 2'!$J$110:$J$122,MATCH('[3]Annex 3 (''MEF)'!AF362,'[3]Annex 2'!$G$110:$G$122,0)),"")</f>
        <v>MAFF-GDA</v>
      </c>
      <c r="AI333" s="882" t="str">
        <f t="shared" si="342"/>
        <v>MAFF</v>
      </c>
      <c r="AK333" s="1393"/>
      <c r="AL333" s="1393"/>
    </row>
    <row r="334" spans="1:39" s="95" customFormat="1" outlineLevel="1">
      <c r="A334" s="102"/>
      <c r="B334" s="374" t="s">
        <v>57</v>
      </c>
      <c r="C334" s="374" t="s">
        <v>57</v>
      </c>
      <c r="D334" s="1095"/>
      <c r="E334" s="97" t="s">
        <v>702</v>
      </c>
      <c r="F334" s="283"/>
      <c r="G334" s="731" t="s">
        <v>901</v>
      </c>
      <c r="H334" s="1029" t="s">
        <v>677</v>
      </c>
      <c r="I334" s="1072">
        <v>2.5</v>
      </c>
      <c r="J334" s="665">
        <v>0</v>
      </c>
      <c r="K334" s="666">
        <v>0</v>
      </c>
      <c r="L334" s="666">
        <v>1</v>
      </c>
      <c r="M334" s="666">
        <v>0</v>
      </c>
      <c r="N334" s="1073">
        <f t="shared" si="338"/>
        <v>1</v>
      </c>
      <c r="O334" s="877">
        <f t="shared" si="343"/>
        <v>0</v>
      </c>
      <c r="P334" s="281">
        <f t="shared" si="344"/>
        <v>0</v>
      </c>
      <c r="Q334" s="281">
        <f t="shared" si="339"/>
        <v>2.5</v>
      </c>
      <c r="R334" s="281">
        <f t="shared" si="339"/>
        <v>0</v>
      </c>
      <c r="S334" s="145">
        <f t="shared" si="340"/>
        <v>2.5</v>
      </c>
      <c r="T334" s="618">
        <f>IFERROR(INDEX('Annex 2_Code'!I$8:I$33,MATCH('Annex 3_MAFF'!$AG334,'Annex 2_Code'!$G$8:$G$33,0)),"")</f>
        <v>0</v>
      </c>
      <c r="U334" s="618">
        <f>IFERROR(INDEX('Annex 2_Code'!J$8:J$33,MATCH('Annex 3_MAFF'!$AG334,'Annex 2_Code'!$G$8:$G$33,0)),"")</f>
        <v>0</v>
      </c>
      <c r="V334" s="618">
        <f>IFERROR(INDEX('Annex 2_Code'!K$8:K$33,MATCH('Annex 3_MAFF'!$AG334,'Annex 2_Code'!$G$8:$G$33,0)),"")</f>
        <v>1</v>
      </c>
      <c r="W334" s="618">
        <f>IFERROR(INDEX('Annex 2_Code'!L$8:L$33,MATCH('Annex 3_MAFF'!$AG334,'Annex 2_Code'!$G$8:$G$33,0)),"")</f>
        <v>0</v>
      </c>
      <c r="X334" s="618">
        <f>IFERROR(INDEX('Annex 2_Code'!M$8:M$33,MATCH('Annex 3_MAFF'!$AG334,'Annex 2_Code'!$G$8:$G$33,0)),"")</f>
        <v>0</v>
      </c>
      <c r="Y334" s="1536">
        <f t="shared" si="332"/>
        <v>0</v>
      </c>
      <c r="Z334" s="717">
        <f t="shared" si="332"/>
        <v>0</v>
      </c>
      <c r="AA334" s="717">
        <f t="shared" si="268"/>
        <v>2.5</v>
      </c>
      <c r="AB334" s="717">
        <f t="shared" si="332"/>
        <v>0</v>
      </c>
      <c r="AC334" s="718">
        <f t="shared" si="332"/>
        <v>0</v>
      </c>
      <c r="AD334" s="626">
        <f t="shared" si="336"/>
        <v>2.5</v>
      </c>
      <c r="AE334" s="627">
        <f t="shared" si="337"/>
        <v>0</v>
      </c>
      <c r="AF334" s="1069" t="s">
        <v>496</v>
      </c>
      <c r="AG334" s="1069" t="s">
        <v>386</v>
      </c>
      <c r="AH334" s="568" t="str">
        <f>IFERROR(INDEX('[3]Annex 2'!$J$110:$J$122,MATCH('[3]Annex 3 (''MEF)'!AF363,'[3]Annex 2'!$G$110:$G$122,0)),"")</f>
        <v>MAFF-GDA</v>
      </c>
      <c r="AI334" s="882" t="str">
        <f t="shared" si="342"/>
        <v>MAFF</v>
      </c>
      <c r="AK334" s="1393"/>
      <c r="AL334" s="1393"/>
    </row>
    <row r="335" spans="1:39" s="95" customFormat="1" outlineLevel="1">
      <c r="A335" s="102"/>
      <c r="B335" s="374" t="s">
        <v>57</v>
      </c>
      <c r="C335" s="374" t="s">
        <v>57</v>
      </c>
      <c r="D335" s="1095"/>
      <c r="E335" s="97" t="s">
        <v>783</v>
      </c>
      <c r="F335" s="283"/>
      <c r="G335" s="722" t="s">
        <v>117</v>
      </c>
      <c r="H335" s="1029" t="s">
        <v>179</v>
      </c>
      <c r="I335" s="1072">
        <v>1.82</v>
      </c>
      <c r="J335" s="665">
        <v>0</v>
      </c>
      <c r="K335" s="666">
        <v>1</v>
      </c>
      <c r="L335" s="666">
        <v>0</v>
      </c>
      <c r="M335" s="666">
        <v>1</v>
      </c>
      <c r="N335" s="1073">
        <f t="shared" si="338"/>
        <v>2</v>
      </c>
      <c r="O335" s="877">
        <f t="shared" si="343"/>
        <v>0</v>
      </c>
      <c r="P335" s="281">
        <f t="shared" si="344"/>
        <v>1.82</v>
      </c>
      <c r="Q335" s="281">
        <f t="shared" si="339"/>
        <v>0</v>
      </c>
      <c r="R335" s="281">
        <f t="shared" si="339"/>
        <v>1.82</v>
      </c>
      <c r="S335" s="145">
        <f t="shared" si="340"/>
        <v>3.64</v>
      </c>
      <c r="T335" s="618">
        <f>IFERROR(INDEX('Annex 2_Code'!I$8:I$33,MATCH('Annex 3_MAFF'!$AG335,'Annex 2_Code'!$G$8:$G$33,0)),"")</f>
        <v>0</v>
      </c>
      <c r="U335" s="618">
        <f>IFERROR(INDEX('Annex 2_Code'!J$8:J$33,MATCH('Annex 3_MAFF'!$AG335,'Annex 2_Code'!$G$8:$G$33,0)),"")</f>
        <v>0</v>
      </c>
      <c r="V335" s="618">
        <f>IFERROR(INDEX('Annex 2_Code'!K$8:K$33,MATCH('Annex 3_MAFF'!$AG335,'Annex 2_Code'!$G$8:$G$33,0)),"")</f>
        <v>1</v>
      </c>
      <c r="W335" s="618">
        <f>IFERROR(INDEX('Annex 2_Code'!L$8:L$33,MATCH('Annex 3_MAFF'!$AG335,'Annex 2_Code'!$G$8:$G$33,0)),"")</f>
        <v>0</v>
      </c>
      <c r="X335" s="618">
        <f>IFERROR(INDEX('Annex 2_Code'!M$8:M$33,MATCH('Annex 3_MAFF'!$AG335,'Annex 2_Code'!$G$8:$G$33,0)),"")</f>
        <v>0</v>
      </c>
      <c r="Y335" s="1536">
        <f t="shared" si="332"/>
        <v>0</v>
      </c>
      <c r="Z335" s="717">
        <f t="shared" si="332"/>
        <v>0</v>
      </c>
      <c r="AA335" s="717">
        <f t="shared" si="268"/>
        <v>3.64</v>
      </c>
      <c r="AB335" s="717">
        <f t="shared" si="332"/>
        <v>0</v>
      </c>
      <c r="AC335" s="718">
        <f t="shared" si="332"/>
        <v>0</v>
      </c>
      <c r="AD335" s="626">
        <f t="shared" si="336"/>
        <v>3.64</v>
      </c>
      <c r="AE335" s="627">
        <f t="shared" si="337"/>
        <v>0</v>
      </c>
      <c r="AF335" s="1069" t="s">
        <v>496</v>
      </c>
      <c r="AG335" s="1069" t="s">
        <v>386</v>
      </c>
      <c r="AH335" s="568" t="str">
        <f>IFERROR(INDEX('[3]Annex 2'!$J$110:$J$122,MATCH('[3]Annex 3 (''MEF)'!AF364,'[3]Annex 2'!$G$110:$G$122,0)),"")</f>
        <v>MAFF-GDA</v>
      </c>
      <c r="AI335" s="1070" t="str">
        <f t="shared" si="342"/>
        <v>MAFF</v>
      </c>
      <c r="AK335" s="1393"/>
      <c r="AL335" s="1393"/>
    </row>
    <row r="336" spans="1:39" s="95" customFormat="1" outlineLevel="1">
      <c r="A336" s="102"/>
      <c r="B336" s="374" t="s">
        <v>57</v>
      </c>
      <c r="C336" s="374" t="s">
        <v>57</v>
      </c>
      <c r="D336" s="1095"/>
      <c r="E336" s="97" t="s">
        <v>784</v>
      </c>
      <c r="F336" s="283"/>
      <c r="G336" s="722" t="s">
        <v>118</v>
      </c>
      <c r="H336" s="1029" t="s">
        <v>179</v>
      </c>
      <c r="I336" s="1072">
        <v>2.73</v>
      </c>
      <c r="J336" s="665">
        <v>0</v>
      </c>
      <c r="K336" s="666">
        <v>0</v>
      </c>
      <c r="L336" s="666">
        <v>1</v>
      </c>
      <c r="M336" s="666">
        <v>1</v>
      </c>
      <c r="N336" s="1073">
        <f t="shared" si="338"/>
        <v>2</v>
      </c>
      <c r="O336" s="877">
        <f t="shared" si="343"/>
        <v>0</v>
      </c>
      <c r="P336" s="281">
        <f t="shared" si="344"/>
        <v>0</v>
      </c>
      <c r="Q336" s="281">
        <f t="shared" si="339"/>
        <v>2.73</v>
      </c>
      <c r="R336" s="281">
        <f t="shared" si="339"/>
        <v>2.73</v>
      </c>
      <c r="S336" s="145">
        <f t="shared" si="340"/>
        <v>5.46</v>
      </c>
      <c r="T336" s="618">
        <f>IFERROR(INDEX('Annex 2_Code'!I$8:I$33,MATCH('Annex 3_MAFF'!$AG336,'Annex 2_Code'!$G$8:$G$33,0)),"")</f>
        <v>0</v>
      </c>
      <c r="U336" s="618">
        <f>IFERROR(INDEX('Annex 2_Code'!J$8:J$33,MATCH('Annex 3_MAFF'!$AG336,'Annex 2_Code'!$G$8:$G$33,0)),"")</f>
        <v>0</v>
      </c>
      <c r="V336" s="618">
        <f>IFERROR(INDEX('Annex 2_Code'!K$8:K$33,MATCH('Annex 3_MAFF'!$AG336,'Annex 2_Code'!$G$8:$G$33,0)),"")</f>
        <v>1</v>
      </c>
      <c r="W336" s="618">
        <f>IFERROR(INDEX('Annex 2_Code'!L$8:L$33,MATCH('Annex 3_MAFF'!$AG336,'Annex 2_Code'!$G$8:$G$33,0)),"")</f>
        <v>0</v>
      </c>
      <c r="X336" s="618">
        <f>IFERROR(INDEX('Annex 2_Code'!M$8:M$33,MATCH('Annex 3_MAFF'!$AG336,'Annex 2_Code'!$G$8:$G$33,0)),"")</f>
        <v>0</v>
      </c>
      <c r="Y336" s="1536">
        <f t="shared" si="332"/>
        <v>0</v>
      </c>
      <c r="Z336" s="717">
        <f t="shared" si="332"/>
        <v>0</v>
      </c>
      <c r="AA336" s="717">
        <f t="shared" si="268"/>
        <v>5.46</v>
      </c>
      <c r="AB336" s="717">
        <f t="shared" si="332"/>
        <v>0</v>
      </c>
      <c r="AC336" s="718">
        <f t="shared" si="332"/>
        <v>0</v>
      </c>
      <c r="AD336" s="626">
        <f t="shared" si="336"/>
        <v>5.46</v>
      </c>
      <c r="AE336" s="627">
        <f t="shared" si="337"/>
        <v>0</v>
      </c>
      <c r="AF336" s="1069" t="s">
        <v>496</v>
      </c>
      <c r="AG336" s="1069" t="s">
        <v>386</v>
      </c>
      <c r="AH336" s="568" t="str">
        <f>IFERROR(INDEX('[3]Annex 2'!$J$110:$J$122,MATCH('[3]Annex 3 (''MEF)'!AF365,'[3]Annex 2'!$G$110:$G$122,0)),"")</f>
        <v>MAFF-GDA</v>
      </c>
      <c r="AI336" s="1070" t="str">
        <f t="shared" si="342"/>
        <v>MAFF</v>
      </c>
      <c r="AK336" s="1393"/>
      <c r="AL336" s="1393"/>
    </row>
    <row r="337" spans="1:39" s="95" customFormat="1" outlineLevel="1">
      <c r="A337" s="102"/>
      <c r="B337" s="374" t="s">
        <v>57</v>
      </c>
      <c r="C337" s="374" t="s">
        <v>57</v>
      </c>
      <c r="D337" s="1095"/>
      <c r="E337" s="97" t="s">
        <v>785</v>
      </c>
      <c r="F337" s="283"/>
      <c r="G337" s="722" t="s">
        <v>680</v>
      </c>
      <c r="H337" s="1029" t="s">
        <v>681</v>
      </c>
      <c r="I337" s="1072">
        <v>5</v>
      </c>
      <c r="J337" s="665">
        <v>0</v>
      </c>
      <c r="K337" s="666">
        <v>0</v>
      </c>
      <c r="L337" s="666">
        <v>1</v>
      </c>
      <c r="M337" s="666">
        <v>0</v>
      </c>
      <c r="N337" s="1073">
        <f t="shared" si="338"/>
        <v>1</v>
      </c>
      <c r="O337" s="877">
        <f t="shared" si="343"/>
        <v>0</v>
      </c>
      <c r="P337" s="281">
        <f t="shared" si="344"/>
        <v>0</v>
      </c>
      <c r="Q337" s="281">
        <f t="shared" si="339"/>
        <v>5</v>
      </c>
      <c r="R337" s="281">
        <f t="shared" si="339"/>
        <v>0</v>
      </c>
      <c r="S337" s="145">
        <f t="shared" si="340"/>
        <v>5</v>
      </c>
      <c r="T337" s="618">
        <f>IFERROR(INDEX('Annex 2_Code'!I$8:I$33,MATCH('Annex 3_MAFF'!$AG337,'Annex 2_Code'!$G$8:$G$33,0)),"")</f>
        <v>0</v>
      </c>
      <c r="U337" s="618">
        <f>IFERROR(INDEX('Annex 2_Code'!J$8:J$33,MATCH('Annex 3_MAFF'!$AG337,'Annex 2_Code'!$G$8:$G$33,0)),"")</f>
        <v>0</v>
      </c>
      <c r="V337" s="618">
        <f>IFERROR(INDEX('Annex 2_Code'!K$8:K$33,MATCH('Annex 3_MAFF'!$AG337,'Annex 2_Code'!$G$8:$G$33,0)),"")</f>
        <v>1</v>
      </c>
      <c r="W337" s="618">
        <f>IFERROR(INDEX('Annex 2_Code'!L$8:L$33,MATCH('Annex 3_MAFF'!$AG337,'Annex 2_Code'!$G$8:$G$33,0)),"")</f>
        <v>0</v>
      </c>
      <c r="X337" s="618">
        <f>IFERROR(INDEX('Annex 2_Code'!M$8:M$33,MATCH('Annex 3_MAFF'!$AG337,'Annex 2_Code'!$G$8:$G$33,0)),"")</f>
        <v>0</v>
      </c>
      <c r="Y337" s="1536">
        <f t="shared" si="332"/>
        <v>0</v>
      </c>
      <c r="Z337" s="717">
        <f t="shared" si="332"/>
        <v>0</v>
      </c>
      <c r="AA337" s="717">
        <f t="shared" si="268"/>
        <v>5</v>
      </c>
      <c r="AB337" s="717">
        <f t="shared" si="332"/>
        <v>0</v>
      </c>
      <c r="AC337" s="718">
        <f t="shared" si="332"/>
        <v>0</v>
      </c>
      <c r="AD337" s="626">
        <f t="shared" si="336"/>
        <v>5</v>
      </c>
      <c r="AE337" s="627">
        <f t="shared" si="337"/>
        <v>0</v>
      </c>
      <c r="AF337" s="1069" t="s">
        <v>496</v>
      </c>
      <c r="AG337" s="1069" t="s">
        <v>386</v>
      </c>
      <c r="AH337" s="1069" t="str">
        <f>IFERROR(INDEX('[5]Annex 2'!$J$110:$J$122,MATCH('[5]Annex 3'!AE217,'[5]Annex 2'!$G$110:$G$122,0)),"")</f>
        <v>MAFF-GDA</v>
      </c>
      <c r="AI337" s="1070" t="str">
        <f t="shared" si="342"/>
        <v>MAFF</v>
      </c>
      <c r="AK337" s="1393"/>
      <c r="AL337" s="1393"/>
    </row>
    <row r="338" spans="1:39" s="95" customFormat="1" outlineLevel="1">
      <c r="A338" s="102"/>
      <c r="B338" s="374" t="s">
        <v>57</v>
      </c>
      <c r="C338" s="374" t="s">
        <v>57</v>
      </c>
      <c r="D338" s="1095"/>
      <c r="E338" s="97" t="s">
        <v>786</v>
      </c>
      <c r="F338" s="283"/>
      <c r="G338" s="722" t="s">
        <v>682</v>
      </c>
      <c r="H338" s="1029" t="s">
        <v>175</v>
      </c>
      <c r="I338" s="1072">
        <v>0.3</v>
      </c>
      <c r="J338" s="665">
        <v>0</v>
      </c>
      <c r="K338" s="666">
        <v>2</v>
      </c>
      <c r="L338" s="666">
        <v>2</v>
      </c>
      <c r="M338" s="666">
        <v>1</v>
      </c>
      <c r="N338" s="1073">
        <f t="shared" si="338"/>
        <v>5</v>
      </c>
      <c r="O338" s="877">
        <f t="shared" si="343"/>
        <v>0</v>
      </c>
      <c r="P338" s="281">
        <f t="shared" si="344"/>
        <v>0.6</v>
      </c>
      <c r="Q338" s="281">
        <f t="shared" si="339"/>
        <v>0.6</v>
      </c>
      <c r="R338" s="281">
        <f t="shared" si="339"/>
        <v>0.3</v>
      </c>
      <c r="S338" s="145">
        <f t="shared" si="340"/>
        <v>1.5</v>
      </c>
      <c r="T338" s="618">
        <f>IFERROR(INDEX('Annex 2_Code'!I$8:I$33,MATCH('Annex 3_MAFF'!$AG338,'Annex 2_Code'!$G$8:$G$33,0)),"")</f>
        <v>0</v>
      </c>
      <c r="U338" s="618">
        <f>IFERROR(INDEX('Annex 2_Code'!J$8:J$33,MATCH('Annex 3_MAFF'!$AG338,'Annex 2_Code'!$G$8:$G$33,0)),"")</f>
        <v>0</v>
      </c>
      <c r="V338" s="618">
        <f>IFERROR(INDEX('Annex 2_Code'!K$8:K$33,MATCH('Annex 3_MAFF'!$AG338,'Annex 2_Code'!$G$8:$G$33,0)),"")</f>
        <v>1</v>
      </c>
      <c r="W338" s="618">
        <f>IFERROR(INDEX('Annex 2_Code'!L$8:L$33,MATCH('Annex 3_MAFF'!$AG338,'Annex 2_Code'!$G$8:$G$33,0)),"")</f>
        <v>0</v>
      </c>
      <c r="X338" s="618">
        <f>IFERROR(INDEX('Annex 2_Code'!M$8:M$33,MATCH('Annex 3_MAFF'!$AG338,'Annex 2_Code'!$G$8:$G$33,0)),"")</f>
        <v>0</v>
      </c>
      <c r="Y338" s="1536">
        <f t="shared" si="332"/>
        <v>0</v>
      </c>
      <c r="Z338" s="717">
        <f t="shared" si="332"/>
        <v>0</v>
      </c>
      <c r="AA338" s="717">
        <f t="shared" si="268"/>
        <v>1.5</v>
      </c>
      <c r="AB338" s="717">
        <f t="shared" si="332"/>
        <v>0</v>
      </c>
      <c r="AC338" s="718">
        <f t="shared" si="332"/>
        <v>0</v>
      </c>
      <c r="AD338" s="626">
        <f t="shared" si="336"/>
        <v>1.5</v>
      </c>
      <c r="AE338" s="627">
        <f t="shared" si="337"/>
        <v>0</v>
      </c>
      <c r="AF338" s="1069" t="s">
        <v>496</v>
      </c>
      <c r="AG338" s="1069" t="s">
        <v>386</v>
      </c>
      <c r="AH338" s="1069" t="str">
        <f>IFERROR(INDEX('[5]Annex 2'!$J$110:$J$122,MATCH('[5]Annex 3'!AE218,'[5]Annex 2'!$G$110:$G$122,0)),"")</f>
        <v>MAFF-GDA</v>
      </c>
      <c r="AI338" s="1070" t="str">
        <f t="shared" si="342"/>
        <v>MAFF</v>
      </c>
      <c r="AK338" s="1393"/>
      <c r="AL338" s="1393"/>
    </row>
    <row r="339" spans="1:39" s="95" customFormat="1" outlineLevel="1">
      <c r="A339" s="102"/>
      <c r="B339" s="374" t="s">
        <v>57</v>
      </c>
      <c r="C339" s="374" t="s">
        <v>57</v>
      </c>
      <c r="D339" s="1095"/>
      <c r="E339" s="97" t="s">
        <v>787</v>
      </c>
      <c r="F339" s="283"/>
      <c r="G339" s="721" t="s">
        <v>119</v>
      </c>
      <c r="H339" s="1029" t="s">
        <v>187</v>
      </c>
      <c r="I339" s="1072">
        <v>25</v>
      </c>
      <c r="J339" s="665">
        <v>0</v>
      </c>
      <c r="K339" s="666">
        <v>1</v>
      </c>
      <c r="L339" s="666">
        <v>1</v>
      </c>
      <c r="M339" s="666">
        <v>0</v>
      </c>
      <c r="N339" s="1073">
        <f t="shared" si="338"/>
        <v>2</v>
      </c>
      <c r="O339" s="877">
        <f t="shared" si="343"/>
        <v>0</v>
      </c>
      <c r="P339" s="281">
        <f t="shared" si="344"/>
        <v>25</v>
      </c>
      <c r="Q339" s="281">
        <f t="shared" si="339"/>
        <v>25</v>
      </c>
      <c r="R339" s="281">
        <f t="shared" si="339"/>
        <v>0</v>
      </c>
      <c r="S339" s="145">
        <f t="shared" si="340"/>
        <v>50</v>
      </c>
      <c r="T339" s="618">
        <f>IFERROR(INDEX('Annex 2_Code'!I$8:I$33,MATCH('Annex 3_MAFF'!$AG339,'Annex 2_Code'!$G$8:$G$33,0)),"")</f>
        <v>0</v>
      </c>
      <c r="U339" s="618">
        <f>IFERROR(INDEX('Annex 2_Code'!J$8:J$33,MATCH('Annex 3_MAFF'!$AG339,'Annex 2_Code'!$G$8:$G$33,0)),"")</f>
        <v>0</v>
      </c>
      <c r="V339" s="618">
        <f>IFERROR(INDEX('Annex 2_Code'!K$8:K$33,MATCH('Annex 3_MAFF'!$AG339,'Annex 2_Code'!$G$8:$G$33,0)),"")</f>
        <v>1</v>
      </c>
      <c r="W339" s="618">
        <f>IFERROR(INDEX('Annex 2_Code'!L$8:L$33,MATCH('Annex 3_MAFF'!$AG339,'Annex 2_Code'!$G$8:$G$33,0)),"")</f>
        <v>0</v>
      </c>
      <c r="X339" s="618">
        <f>IFERROR(INDEX('Annex 2_Code'!M$8:M$33,MATCH('Annex 3_MAFF'!$AG339,'Annex 2_Code'!$G$8:$G$33,0)),"")</f>
        <v>0</v>
      </c>
      <c r="Y339" s="1536">
        <f t="shared" si="332"/>
        <v>0</v>
      </c>
      <c r="Z339" s="717">
        <f t="shared" si="332"/>
        <v>0</v>
      </c>
      <c r="AA339" s="717">
        <f t="shared" si="268"/>
        <v>50</v>
      </c>
      <c r="AB339" s="717">
        <f t="shared" si="332"/>
        <v>0</v>
      </c>
      <c r="AC339" s="718">
        <f t="shared" si="332"/>
        <v>0</v>
      </c>
      <c r="AD339" s="626">
        <f t="shared" si="336"/>
        <v>50</v>
      </c>
      <c r="AE339" s="627">
        <f t="shared" si="337"/>
        <v>0</v>
      </c>
      <c r="AF339" s="1069" t="s">
        <v>496</v>
      </c>
      <c r="AG339" s="1069" t="s">
        <v>384</v>
      </c>
      <c r="AH339" s="568" t="str">
        <f>IFERROR(INDEX('[3]Annex 2'!$J$110:$J$122,MATCH('[3]Annex 3 (''MEF)'!AF368,'[3]Annex 2'!$G$110:$G$122,0)),"")</f>
        <v>MAFF-GDA</v>
      </c>
      <c r="AI339" s="1070" t="str">
        <f t="shared" si="342"/>
        <v>MAFF</v>
      </c>
      <c r="AK339" s="1393"/>
      <c r="AL339" s="1393"/>
    </row>
    <row r="340" spans="1:39" s="95" customFormat="1" outlineLevel="1">
      <c r="A340" s="102"/>
      <c r="B340" s="76" t="s">
        <v>173</v>
      </c>
      <c r="C340" s="1071"/>
      <c r="D340" s="1464"/>
      <c r="E340" s="1440" t="s">
        <v>41</v>
      </c>
      <c r="F340" s="1444"/>
      <c r="G340" s="1428"/>
      <c r="H340" s="1465"/>
      <c r="I340" s="635"/>
      <c r="J340" s="1456"/>
      <c r="K340" s="1457"/>
      <c r="L340" s="1457"/>
      <c r="M340" s="1457"/>
      <c r="N340" s="1542"/>
      <c r="O340" s="1434">
        <f>SUM(O328:O339)</f>
        <v>0</v>
      </c>
      <c r="P340" s="1435">
        <f>SUM(P328:P339)</f>
        <v>63.42</v>
      </c>
      <c r="Q340" s="1435">
        <f>SUM(Q328:Q339)</f>
        <v>79.83</v>
      </c>
      <c r="R340" s="1435">
        <f>SUM(R328:R339)</f>
        <v>16.850000000000001</v>
      </c>
      <c r="S340" s="1436">
        <f>SUM(S328:S339)</f>
        <v>160.1</v>
      </c>
      <c r="T340" s="618"/>
      <c r="U340" s="618"/>
      <c r="V340" s="618"/>
      <c r="W340" s="618"/>
      <c r="X340" s="618"/>
      <c r="Y340" s="716"/>
      <c r="Z340" s="717"/>
      <c r="AA340" s="717">
        <f t="shared" si="268"/>
        <v>0</v>
      </c>
      <c r="AB340" s="717"/>
      <c r="AC340" s="718"/>
      <c r="AD340" s="626"/>
      <c r="AE340" s="627"/>
      <c r="AF340" s="1069"/>
      <c r="AG340" s="1069"/>
      <c r="AH340" s="1069"/>
      <c r="AI340" s="1070"/>
      <c r="AK340" s="1389">
        <f>SUM(S327:S339)</f>
        <v>160.1</v>
      </c>
      <c r="AL340" s="1389" t="s">
        <v>1016</v>
      </c>
      <c r="AM340" s="1387"/>
    </row>
    <row r="341" spans="1:39" s="95" customFormat="1" outlineLevel="1">
      <c r="A341" s="102"/>
      <c r="B341" s="76" t="s">
        <v>173</v>
      </c>
      <c r="C341" s="1071"/>
      <c r="D341" s="78"/>
      <c r="E341" s="122"/>
      <c r="F341" s="283"/>
      <c r="G341" s="722"/>
      <c r="H341" s="96"/>
      <c r="I341" s="1083"/>
      <c r="J341" s="665"/>
      <c r="K341" s="666"/>
      <c r="L341" s="666"/>
      <c r="M341" s="666"/>
      <c r="N341" s="1096"/>
      <c r="O341" s="691"/>
      <c r="P341" s="1204"/>
      <c r="Q341" s="1205"/>
      <c r="R341" s="425"/>
      <c r="S341" s="624"/>
      <c r="T341" s="618"/>
      <c r="U341" s="618"/>
      <c r="V341" s="618"/>
      <c r="W341" s="618"/>
      <c r="X341" s="618"/>
      <c r="Y341" s="716"/>
      <c r="Z341" s="717"/>
      <c r="AA341" s="717">
        <f t="shared" si="268"/>
        <v>0</v>
      </c>
      <c r="AB341" s="717"/>
      <c r="AC341" s="718"/>
      <c r="AD341" s="626"/>
      <c r="AE341" s="627"/>
      <c r="AF341" s="1069"/>
      <c r="AG341" s="1069"/>
      <c r="AH341" s="1069"/>
      <c r="AI341" s="1070"/>
      <c r="AK341" s="1393"/>
      <c r="AL341" s="1393"/>
    </row>
    <row r="342" spans="1:39" s="542" customFormat="1" outlineLevel="1">
      <c r="A342" s="102"/>
      <c r="B342" s="76" t="s">
        <v>173</v>
      </c>
      <c r="C342" s="1071"/>
      <c r="D342" s="106" t="s">
        <v>771</v>
      </c>
      <c r="E342" s="307"/>
      <c r="F342" s="291"/>
      <c r="G342" s="1138"/>
      <c r="H342" s="1139"/>
      <c r="I342" s="1140"/>
      <c r="J342" s="1141"/>
      <c r="K342" s="666"/>
      <c r="L342" s="666"/>
      <c r="M342" s="666"/>
      <c r="N342" s="667"/>
      <c r="O342" s="688"/>
      <c r="P342" s="692"/>
      <c r="Q342" s="692"/>
      <c r="R342" s="692"/>
      <c r="S342" s="624"/>
      <c r="T342" s="618"/>
      <c r="U342" s="618"/>
      <c r="V342" s="618"/>
      <c r="W342" s="618"/>
      <c r="X342" s="618"/>
      <c r="Y342" s="716"/>
      <c r="Z342" s="717"/>
      <c r="AA342" s="717">
        <f t="shared" si="268"/>
        <v>0</v>
      </c>
      <c r="AB342" s="717"/>
      <c r="AC342" s="718"/>
      <c r="AD342" s="626"/>
      <c r="AE342" s="627"/>
      <c r="AF342" s="568"/>
      <c r="AG342" s="568"/>
      <c r="AH342" s="568"/>
      <c r="AI342" s="882"/>
      <c r="AK342" s="1382"/>
      <c r="AL342" s="1382"/>
    </row>
    <row r="343" spans="1:39" s="542" customFormat="1" outlineLevel="1">
      <c r="A343" s="102"/>
      <c r="B343" s="76" t="s">
        <v>173</v>
      </c>
      <c r="C343" s="1071"/>
      <c r="D343" s="484"/>
      <c r="E343" s="97"/>
      <c r="F343" s="364" t="s">
        <v>91</v>
      </c>
      <c r="G343" s="722"/>
      <c r="H343" s="588" t="s">
        <v>14</v>
      </c>
      <c r="I343" s="566"/>
      <c r="J343" s="665"/>
      <c r="K343" s="666"/>
      <c r="L343" s="666"/>
      <c r="M343" s="666"/>
      <c r="N343" s="667"/>
      <c r="O343" s="688"/>
      <c r="P343" s="689"/>
      <c r="Q343" s="689"/>
      <c r="R343" s="689"/>
      <c r="S343" s="145" t="s">
        <v>14</v>
      </c>
      <c r="T343" s="618" t="str">
        <f>IFERROR(INDEX('Annex 2_Code'!I$8:I$33,MATCH('Annex 3_MAFF'!$AG343,'Annex 2_Code'!$G$8:$G$33,0)),"")</f>
        <v/>
      </c>
      <c r="U343" s="618" t="str">
        <f>IFERROR(INDEX('Annex 2_Code'!J$8:J$33,MATCH('Annex 3_MAFF'!$AG343,'Annex 2_Code'!$G$8:$G$33,0)),"")</f>
        <v/>
      </c>
      <c r="V343" s="618" t="str">
        <f>IFERROR(INDEX('Annex 2_Code'!K$8:K$33,MATCH('Annex 3_MAFF'!$AG343,'Annex 2_Code'!$G$8:$G$33,0)),"")</f>
        <v/>
      </c>
      <c r="W343" s="618" t="str">
        <f>IFERROR(INDEX('Annex 2_Code'!L$8:L$33,MATCH('Annex 3_MAFF'!$AG343,'Annex 2_Code'!$G$8:$G$33,0)),"")</f>
        <v/>
      </c>
      <c r="X343" s="618" t="str">
        <f>IFERROR(INDEX('Annex 2_Code'!M$8:M$33,MATCH('Annex 3_MAFF'!$AG343,'Annex 2_Code'!$G$8:$G$33,0)),"")</f>
        <v/>
      </c>
      <c r="Y343" s="716" t="str">
        <f t="shared" si="268"/>
        <v/>
      </c>
      <c r="Z343" s="717" t="str">
        <f t="shared" si="269"/>
        <v/>
      </c>
      <c r="AA343" s="717" t="str">
        <f t="shared" si="268"/>
        <v/>
      </c>
      <c r="AB343" s="717" t="str">
        <f t="shared" si="270"/>
        <v/>
      </c>
      <c r="AC343" s="718" t="str">
        <f t="shared" si="271"/>
        <v/>
      </c>
      <c r="AD343" s="626">
        <f t="shared" si="312"/>
        <v>0</v>
      </c>
      <c r="AE343" s="627"/>
      <c r="AF343" s="568"/>
      <c r="AG343" s="568"/>
      <c r="AH343" s="568" t="str">
        <f>IFERROR(INDEX('Annex 2_Code'!$J$110:$J$122,MATCH('Annex 3_MAFF'!AF343,'Annex 2_Code'!$G$110:$G$122,0)),"")</f>
        <v/>
      </c>
      <c r="AI343" s="882" t="str">
        <f t="shared" si="278"/>
        <v/>
      </c>
      <c r="AK343" s="1382"/>
      <c r="AL343" s="1382"/>
    </row>
    <row r="344" spans="1:39" s="542" customFormat="1" outlineLevel="1">
      <c r="A344" s="102"/>
      <c r="B344" s="374" t="s">
        <v>25</v>
      </c>
      <c r="C344" s="1115" t="s">
        <v>302</v>
      </c>
      <c r="D344" s="484"/>
      <c r="E344" s="97"/>
      <c r="F344" s="364"/>
      <c r="G344" s="722" t="s">
        <v>92</v>
      </c>
      <c r="H344" s="588" t="s">
        <v>588</v>
      </c>
      <c r="I344" s="566">
        <f>37500/1000</f>
        <v>37.5</v>
      </c>
      <c r="J344" s="1932">
        <v>0</v>
      </c>
      <c r="K344" s="1929">
        <v>0</v>
      </c>
      <c r="L344" s="666">
        <v>1</v>
      </c>
      <c r="M344" s="666">
        <v>1</v>
      </c>
      <c r="N344" s="667">
        <f>SUM(J344:M344)</f>
        <v>2</v>
      </c>
      <c r="O344" s="1103">
        <f>I$344*J344</f>
        <v>0</v>
      </c>
      <c r="P344" s="689">
        <f>$I344*K344</f>
        <v>0</v>
      </c>
      <c r="Q344" s="689">
        <f>$I344*L344</f>
        <v>37.5</v>
      </c>
      <c r="R344" s="689">
        <f>$I344*M344</f>
        <v>37.5</v>
      </c>
      <c r="S344" s="145">
        <f>SUM(O344:R344)</f>
        <v>75</v>
      </c>
      <c r="T344" s="618">
        <f>IFERROR(INDEX('Annex 2_Code'!I$8:I$33,MATCH('Annex 3_MAFF'!$AG344,'Annex 2_Code'!$G$8:$G$33,0)),"")</f>
        <v>0</v>
      </c>
      <c r="U344" s="618">
        <f>IFERROR(INDEX('Annex 2_Code'!J$8:J$33,MATCH('Annex 3_MAFF'!$AG344,'Annex 2_Code'!$G$8:$G$33,0)),"")</f>
        <v>0</v>
      </c>
      <c r="V344" s="618">
        <f>IFERROR(INDEX('Annex 2_Code'!K$8:K$33,MATCH('Annex 3_MAFF'!$AG344,'Annex 2_Code'!$G$8:$G$33,0)),"")</f>
        <v>1</v>
      </c>
      <c r="W344" s="618">
        <f>IFERROR(INDEX('Annex 2_Code'!L$8:L$33,MATCH('Annex 3_MAFF'!$AG344,'Annex 2_Code'!$G$8:$G$33,0)),"")</f>
        <v>0</v>
      </c>
      <c r="X344" s="618">
        <f>IFERROR(INDEX('Annex 2_Code'!M$8:M$33,MATCH('Annex 3_MAFF'!$AG344,'Annex 2_Code'!$G$8:$G$33,0)),"")</f>
        <v>0</v>
      </c>
      <c r="Y344" s="1533">
        <f t="shared" si="268"/>
        <v>0</v>
      </c>
      <c r="Z344" s="717">
        <f t="shared" si="269"/>
        <v>0</v>
      </c>
      <c r="AA344" s="717">
        <f t="shared" si="268"/>
        <v>75</v>
      </c>
      <c r="AB344" s="717">
        <f t="shared" si="270"/>
        <v>0</v>
      </c>
      <c r="AC344" s="718">
        <f t="shared" si="271"/>
        <v>0</v>
      </c>
      <c r="AD344" s="626">
        <f t="shared" si="312"/>
        <v>75</v>
      </c>
      <c r="AE344" s="627">
        <f t="shared" si="313"/>
        <v>0</v>
      </c>
      <c r="AF344" s="568" t="s">
        <v>445</v>
      </c>
      <c r="AG344" s="568" t="s">
        <v>378</v>
      </c>
      <c r="AH344" s="568" t="str">
        <f>IFERROR(INDEX('Annex 2_Code'!$J$110:$J$122,MATCH('Annex 3_MAFF'!AF344,'Annex 2_Code'!$G$110:$G$122,0)),"")</f>
        <v>MAFF-GDA</v>
      </c>
      <c r="AI344" s="882" t="str">
        <f t="shared" si="278"/>
        <v>MAFF</v>
      </c>
      <c r="AK344" s="1382"/>
      <c r="AL344" s="1382"/>
    </row>
    <row r="345" spans="1:39" s="542" customFormat="1" outlineLevel="1">
      <c r="A345" s="102"/>
      <c r="B345" s="374" t="s">
        <v>25</v>
      </c>
      <c r="C345" s="1115" t="s">
        <v>302</v>
      </c>
      <c r="D345" s="484"/>
      <c r="E345" s="97"/>
      <c r="F345" s="364"/>
      <c r="G345" s="722" t="s">
        <v>93</v>
      </c>
      <c r="H345" s="588" t="s">
        <v>588</v>
      </c>
      <c r="I345" s="566">
        <f>8750/1000</f>
        <v>8.75</v>
      </c>
      <c r="J345" s="1932">
        <v>0</v>
      </c>
      <c r="K345" s="1929">
        <v>0</v>
      </c>
      <c r="L345" s="666">
        <v>1</v>
      </c>
      <c r="M345" s="666">
        <v>1</v>
      </c>
      <c r="N345" s="667">
        <f>SUM(J345:M345)</f>
        <v>2</v>
      </c>
      <c r="O345" s="1103">
        <f t="shared" ref="O345:O348" si="345">I$344*J345</f>
        <v>0</v>
      </c>
      <c r="P345" s="689">
        <f t="shared" ref="P345:R348" si="346">$I345*K345</f>
        <v>0</v>
      </c>
      <c r="Q345" s="689">
        <f t="shared" si="346"/>
        <v>8.75</v>
      </c>
      <c r="R345" s="689">
        <f t="shared" si="346"/>
        <v>8.75</v>
      </c>
      <c r="S345" s="145">
        <f>SUM(O345:R345)</f>
        <v>17.5</v>
      </c>
      <c r="T345" s="618">
        <f>IFERROR(INDEX('Annex 2_Code'!I$8:I$33,MATCH('Annex 3_MAFF'!$AG345,'Annex 2_Code'!$G$8:$G$33,0)),"")</f>
        <v>0</v>
      </c>
      <c r="U345" s="618">
        <f>IFERROR(INDEX('Annex 2_Code'!J$8:J$33,MATCH('Annex 3_MAFF'!$AG345,'Annex 2_Code'!$G$8:$G$33,0)),"")</f>
        <v>0</v>
      </c>
      <c r="V345" s="618">
        <f>IFERROR(INDEX('Annex 2_Code'!K$8:K$33,MATCH('Annex 3_MAFF'!$AG345,'Annex 2_Code'!$G$8:$G$33,0)),"")</f>
        <v>1</v>
      </c>
      <c r="W345" s="618">
        <f>IFERROR(INDEX('Annex 2_Code'!L$8:L$33,MATCH('Annex 3_MAFF'!$AG345,'Annex 2_Code'!$G$8:$G$33,0)),"")</f>
        <v>0</v>
      </c>
      <c r="X345" s="618">
        <f>IFERROR(INDEX('Annex 2_Code'!M$8:M$33,MATCH('Annex 3_MAFF'!$AG345,'Annex 2_Code'!$G$8:$G$33,0)),"")</f>
        <v>0</v>
      </c>
      <c r="Y345" s="1533">
        <f t="shared" si="268"/>
        <v>0</v>
      </c>
      <c r="Z345" s="717">
        <f t="shared" si="269"/>
        <v>0</v>
      </c>
      <c r="AA345" s="717">
        <f t="shared" si="268"/>
        <v>17.5</v>
      </c>
      <c r="AB345" s="717">
        <f t="shared" si="270"/>
        <v>0</v>
      </c>
      <c r="AC345" s="718">
        <f t="shared" si="271"/>
        <v>0</v>
      </c>
      <c r="AD345" s="626">
        <f t="shared" si="312"/>
        <v>17.5</v>
      </c>
      <c r="AE345" s="627">
        <f t="shared" si="313"/>
        <v>0</v>
      </c>
      <c r="AF345" s="568" t="s">
        <v>445</v>
      </c>
      <c r="AG345" s="568" t="s">
        <v>378</v>
      </c>
      <c r="AH345" s="568" t="str">
        <f>IFERROR(INDEX('Annex 2_Code'!$J$110:$J$122,MATCH('Annex 3_MAFF'!AF345,'Annex 2_Code'!$G$110:$G$122,0)),"")</f>
        <v>MAFF-GDA</v>
      </c>
      <c r="AI345" s="882" t="str">
        <f t="shared" si="278"/>
        <v>MAFF</v>
      </c>
      <c r="AK345" s="1382"/>
      <c r="AL345" s="1382"/>
    </row>
    <row r="346" spans="1:39" s="542" customFormat="1" outlineLevel="1">
      <c r="A346" s="102"/>
      <c r="B346" s="374" t="s">
        <v>25</v>
      </c>
      <c r="C346" s="1115" t="s">
        <v>302</v>
      </c>
      <c r="D346" s="484"/>
      <c r="E346" s="97"/>
      <c r="F346" s="364"/>
      <c r="G346" s="722" t="s">
        <v>94</v>
      </c>
      <c r="H346" s="588" t="s">
        <v>588</v>
      </c>
      <c r="I346" s="566">
        <f>12600/1000</f>
        <v>12.6</v>
      </c>
      <c r="J346" s="1932">
        <v>0</v>
      </c>
      <c r="K346" s="1929">
        <v>0</v>
      </c>
      <c r="L346" s="666">
        <v>1</v>
      </c>
      <c r="M346" s="666">
        <v>1</v>
      </c>
      <c r="N346" s="667">
        <f>SUM(J346:M346)</f>
        <v>2</v>
      </c>
      <c r="O346" s="1103">
        <f t="shared" si="345"/>
        <v>0</v>
      </c>
      <c r="P346" s="689">
        <f t="shared" si="346"/>
        <v>0</v>
      </c>
      <c r="Q346" s="689">
        <f t="shared" si="346"/>
        <v>12.6</v>
      </c>
      <c r="R346" s="689">
        <f t="shared" si="346"/>
        <v>12.6</v>
      </c>
      <c r="S346" s="145">
        <f>SUM(O346:R346)</f>
        <v>25.2</v>
      </c>
      <c r="T346" s="618">
        <f>IFERROR(INDEX('Annex 2_Code'!I$8:I$33,MATCH('Annex 3_MAFF'!$AG346,'Annex 2_Code'!$G$8:$G$33,0)),"")</f>
        <v>0</v>
      </c>
      <c r="U346" s="618">
        <f>IFERROR(INDEX('Annex 2_Code'!J$8:J$33,MATCH('Annex 3_MAFF'!$AG346,'Annex 2_Code'!$G$8:$G$33,0)),"")</f>
        <v>0</v>
      </c>
      <c r="V346" s="618">
        <f>IFERROR(INDEX('Annex 2_Code'!K$8:K$33,MATCH('Annex 3_MAFF'!$AG346,'Annex 2_Code'!$G$8:$G$33,0)),"")</f>
        <v>1</v>
      </c>
      <c r="W346" s="618">
        <f>IFERROR(INDEX('Annex 2_Code'!L$8:L$33,MATCH('Annex 3_MAFF'!$AG346,'Annex 2_Code'!$G$8:$G$33,0)),"")</f>
        <v>0</v>
      </c>
      <c r="X346" s="618">
        <f>IFERROR(INDEX('Annex 2_Code'!M$8:M$33,MATCH('Annex 3_MAFF'!$AG346,'Annex 2_Code'!$G$8:$G$33,0)),"")</f>
        <v>0</v>
      </c>
      <c r="Y346" s="1533">
        <f t="shared" si="268"/>
        <v>0</v>
      </c>
      <c r="Z346" s="717">
        <f t="shared" si="269"/>
        <v>0</v>
      </c>
      <c r="AA346" s="717">
        <f t="shared" si="268"/>
        <v>25.2</v>
      </c>
      <c r="AB346" s="717">
        <f t="shared" si="270"/>
        <v>0</v>
      </c>
      <c r="AC346" s="718">
        <f t="shared" si="271"/>
        <v>0</v>
      </c>
      <c r="AD346" s="626">
        <f t="shared" si="312"/>
        <v>25.2</v>
      </c>
      <c r="AE346" s="627">
        <f t="shared" si="313"/>
        <v>0</v>
      </c>
      <c r="AF346" s="568" t="s">
        <v>445</v>
      </c>
      <c r="AG346" s="568" t="s">
        <v>378</v>
      </c>
      <c r="AH346" s="568" t="str">
        <f>IFERROR(INDEX('Annex 2_Code'!$J$110:$J$122,MATCH('Annex 3_MAFF'!AF346,'Annex 2_Code'!$G$110:$G$122,0)),"")</f>
        <v>MAFF-GDA</v>
      </c>
      <c r="AI346" s="882" t="str">
        <f t="shared" si="278"/>
        <v>MAFF</v>
      </c>
      <c r="AK346" s="1382"/>
      <c r="AL346" s="1382"/>
    </row>
    <row r="347" spans="1:39" s="542" customFormat="1" outlineLevel="1">
      <c r="A347" s="102"/>
      <c r="B347" s="374" t="s">
        <v>25</v>
      </c>
      <c r="C347" s="1115" t="s">
        <v>302</v>
      </c>
      <c r="D347" s="484"/>
      <c r="E347" s="97"/>
      <c r="F347" s="364"/>
      <c r="G347" s="722" t="s">
        <v>95</v>
      </c>
      <c r="H347" s="588" t="s">
        <v>588</v>
      </c>
      <c r="I347" s="566">
        <f>2050/1000</f>
        <v>2.0499999999999998</v>
      </c>
      <c r="J347" s="1932">
        <v>0</v>
      </c>
      <c r="K347" s="1929">
        <v>0</v>
      </c>
      <c r="L347" s="666">
        <v>1</v>
      </c>
      <c r="M347" s="666">
        <v>1</v>
      </c>
      <c r="N347" s="667">
        <f>SUM(J347:M347)</f>
        <v>2</v>
      </c>
      <c r="O347" s="1103">
        <f t="shared" si="345"/>
        <v>0</v>
      </c>
      <c r="P347" s="689">
        <f>$I347*K347</f>
        <v>0</v>
      </c>
      <c r="Q347" s="689">
        <f>$I347*L347</f>
        <v>2.0499999999999998</v>
      </c>
      <c r="R347" s="689">
        <f>$I347*M347</f>
        <v>2.0499999999999998</v>
      </c>
      <c r="S347" s="145">
        <f>SUM(O347:R347)</f>
        <v>4.0999999999999996</v>
      </c>
      <c r="T347" s="618">
        <f>IFERROR(INDEX('Annex 2_Code'!I$8:I$33,MATCH('Annex 3_MAFF'!$AG347,'Annex 2_Code'!$G$8:$G$33,0)),"")</f>
        <v>0</v>
      </c>
      <c r="U347" s="618">
        <f>IFERROR(INDEX('Annex 2_Code'!J$8:J$33,MATCH('Annex 3_MAFF'!$AG347,'Annex 2_Code'!$G$8:$G$33,0)),"")</f>
        <v>0</v>
      </c>
      <c r="V347" s="618">
        <f>IFERROR(INDEX('Annex 2_Code'!K$8:K$33,MATCH('Annex 3_MAFF'!$AG347,'Annex 2_Code'!$G$8:$G$33,0)),"")</f>
        <v>1</v>
      </c>
      <c r="W347" s="618">
        <f>IFERROR(INDEX('Annex 2_Code'!L$8:L$33,MATCH('Annex 3_MAFF'!$AG347,'Annex 2_Code'!$G$8:$G$33,0)),"")</f>
        <v>0</v>
      </c>
      <c r="X347" s="618">
        <f>IFERROR(INDEX('Annex 2_Code'!M$8:M$33,MATCH('Annex 3_MAFF'!$AG347,'Annex 2_Code'!$G$8:$G$33,0)),"")</f>
        <v>0</v>
      </c>
      <c r="Y347" s="1533">
        <f t="shared" si="268"/>
        <v>0</v>
      </c>
      <c r="Z347" s="717">
        <f t="shared" si="269"/>
        <v>0</v>
      </c>
      <c r="AA347" s="717">
        <f t="shared" si="268"/>
        <v>4.0999999999999996</v>
      </c>
      <c r="AB347" s="717">
        <f t="shared" si="270"/>
        <v>0</v>
      </c>
      <c r="AC347" s="718">
        <f t="shared" si="271"/>
        <v>0</v>
      </c>
      <c r="AD347" s="626">
        <f t="shared" si="312"/>
        <v>4.0999999999999996</v>
      </c>
      <c r="AE347" s="627">
        <f t="shared" si="313"/>
        <v>0</v>
      </c>
      <c r="AF347" s="568" t="s">
        <v>445</v>
      </c>
      <c r="AG347" s="568" t="s">
        <v>378</v>
      </c>
      <c r="AH347" s="568" t="str">
        <f>IFERROR(INDEX('Annex 2_Code'!$J$110:$J$122,MATCH('Annex 3_MAFF'!AF347,'Annex 2_Code'!$G$110:$G$122,0)),"")</f>
        <v>MAFF-GDA</v>
      </c>
      <c r="AI347" s="882" t="str">
        <f t="shared" si="278"/>
        <v>MAFF</v>
      </c>
      <c r="AK347" s="1382"/>
      <c r="AL347" s="1382"/>
    </row>
    <row r="348" spans="1:39" s="542" customFormat="1" outlineLevel="1">
      <c r="A348" s="102"/>
      <c r="B348" s="374" t="s">
        <v>25</v>
      </c>
      <c r="C348" s="1115" t="s">
        <v>302</v>
      </c>
      <c r="D348" s="484"/>
      <c r="E348" s="97"/>
      <c r="F348" s="364"/>
      <c r="G348" s="722" t="s">
        <v>96</v>
      </c>
      <c r="H348" s="588" t="s">
        <v>588</v>
      </c>
      <c r="I348" s="566">
        <f>200/1000</f>
        <v>0.2</v>
      </c>
      <c r="J348" s="1932">
        <v>0</v>
      </c>
      <c r="K348" s="1929">
        <v>0</v>
      </c>
      <c r="L348" s="666">
        <v>1</v>
      </c>
      <c r="M348" s="666">
        <v>1</v>
      </c>
      <c r="N348" s="667">
        <f>SUM(J348:M348)</f>
        <v>2</v>
      </c>
      <c r="O348" s="1103">
        <f t="shared" si="345"/>
        <v>0</v>
      </c>
      <c r="P348" s="689">
        <f t="shared" si="346"/>
        <v>0</v>
      </c>
      <c r="Q348" s="689">
        <f t="shared" si="346"/>
        <v>0.2</v>
      </c>
      <c r="R348" s="689">
        <f t="shared" si="346"/>
        <v>0.2</v>
      </c>
      <c r="S348" s="145">
        <f>SUM(O348:R348)</f>
        <v>0.4</v>
      </c>
      <c r="T348" s="618">
        <f>IFERROR(INDEX('Annex 2_Code'!I$8:I$33,MATCH('Annex 3_MAFF'!$AG348,'Annex 2_Code'!$G$8:$G$33,0)),"")</f>
        <v>0</v>
      </c>
      <c r="U348" s="618">
        <f>IFERROR(INDEX('Annex 2_Code'!J$8:J$33,MATCH('Annex 3_MAFF'!$AG348,'Annex 2_Code'!$G$8:$G$33,0)),"")</f>
        <v>0</v>
      </c>
      <c r="V348" s="618">
        <f>IFERROR(INDEX('Annex 2_Code'!K$8:K$33,MATCH('Annex 3_MAFF'!$AG348,'Annex 2_Code'!$G$8:$G$33,0)),"")</f>
        <v>1</v>
      </c>
      <c r="W348" s="618">
        <f>IFERROR(INDEX('Annex 2_Code'!L$8:L$33,MATCH('Annex 3_MAFF'!$AG348,'Annex 2_Code'!$G$8:$G$33,0)),"")</f>
        <v>0</v>
      </c>
      <c r="X348" s="618">
        <f>IFERROR(INDEX('Annex 2_Code'!M$8:M$33,MATCH('Annex 3_MAFF'!$AG348,'Annex 2_Code'!$G$8:$G$33,0)),"")</f>
        <v>0</v>
      </c>
      <c r="Y348" s="1533">
        <f t="shared" si="268"/>
        <v>0</v>
      </c>
      <c r="Z348" s="717">
        <f t="shared" si="269"/>
        <v>0</v>
      </c>
      <c r="AA348" s="717">
        <f t="shared" si="268"/>
        <v>0.4</v>
      </c>
      <c r="AB348" s="717">
        <f t="shared" si="270"/>
        <v>0</v>
      </c>
      <c r="AC348" s="718">
        <f t="shared" si="271"/>
        <v>0</v>
      </c>
      <c r="AD348" s="626">
        <f t="shared" si="312"/>
        <v>0.4</v>
      </c>
      <c r="AE348" s="627">
        <f t="shared" si="313"/>
        <v>0</v>
      </c>
      <c r="AF348" s="568" t="s">
        <v>445</v>
      </c>
      <c r="AG348" s="568" t="s">
        <v>378</v>
      </c>
      <c r="AH348" s="568" t="str">
        <f>IFERROR(INDEX('Annex 2_Code'!$J$110:$J$122,MATCH('Annex 3_MAFF'!AF348,'Annex 2_Code'!$G$110:$G$122,0)),"")</f>
        <v>MAFF-GDA</v>
      </c>
      <c r="AI348" s="882" t="str">
        <f t="shared" si="278"/>
        <v>MAFF</v>
      </c>
      <c r="AK348" s="1382"/>
      <c r="AL348" s="1382"/>
    </row>
    <row r="349" spans="1:39" s="542" customFormat="1" outlineLevel="1">
      <c r="A349" s="102"/>
      <c r="B349" s="374" t="s">
        <v>173</v>
      </c>
      <c r="C349" s="1115"/>
      <c r="D349" s="1425"/>
      <c r="E349" s="1451"/>
      <c r="F349" s="1441" t="s">
        <v>41</v>
      </c>
      <c r="G349" s="1428"/>
      <c r="H349" s="1429"/>
      <c r="I349" s="1455"/>
      <c r="J349" s="1456"/>
      <c r="K349" s="1457"/>
      <c r="L349" s="1457"/>
      <c r="M349" s="1457"/>
      <c r="N349" s="1458"/>
      <c r="O349" s="1434">
        <f>SUM(O344:O348)</f>
        <v>0</v>
      </c>
      <c r="P349" s="1435">
        <f>SUM(P344:P348)</f>
        <v>0</v>
      </c>
      <c r="Q349" s="1435">
        <f>SUM(Q344:Q348)</f>
        <v>61.1</v>
      </c>
      <c r="R349" s="1435">
        <f>SUM(R344:R348)</f>
        <v>61.1</v>
      </c>
      <c r="S349" s="1423">
        <f>SUM(S344:S348)</f>
        <v>122.2</v>
      </c>
      <c r="T349" s="618" t="str">
        <f>IFERROR(INDEX('Annex 2_Code'!I$8:I$33,MATCH('Annex 3_MAFF'!$AG349,'Annex 2_Code'!$G$8:$G$33,0)),"")</f>
        <v/>
      </c>
      <c r="U349" s="618" t="str">
        <f>IFERROR(INDEX('Annex 2_Code'!J$8:J$33,MATCH('Annex 3_MAFF'!$AG349,'Annex 2_Code'!$G$8:$G$33,0)),"")</f>
        <v/>
      </c>
      <c r="V349" s="618" t="str">
        <f>IFERROR(INDEX('Annex 2_Code'!K$8:K$33,MATCH('Annex 3_MAFF'!$AG349,'Annex 2_Code'!$G$8:$G$33,0)),"")</f>
        <v/>
      </c>
      <c r="W349" s="618" t="str">
        <f>IFERROR(INDEX('Annex 2_Code'!L$8:L$33,MATCH('Annex 3_MAFF'!$AG349,'Annex 2_Code'!$G$8:$G$33,0)),"")</f>
        <v/>
      </c>
      <c r="X349" s="618" t="str">
        <f>IFERROR(INDEX('Annex 2_Code'!M$8:M$33,MATCH('Annex 3_MAFF'!$AG349,'Annex 2_Code'!$G$8:$G$33,0)),"")</f>
        <v/>
      </c>
      <c r="Y349" s="1533" t="str">
        <f t="shared" si="268"/>
        <v/>
      </c>
      <c r="Z349" s="717" t="str">
        <f t="shared" si="269"/>
        <v/>
      </c>
      <c r="AA349" s="717" t="str">
        <f t="shared" si="268"/>
        <v/>
      </c>
      <c r="AB349" s="717" t="str">
        <f t="shared" si="270"/>
        <v/>
      </c>
      <c r="AC349" s="718" t="str">
        <f t="shared" si="271"/>
        <v/>
      </c>
      <c r="AD349" s="626">
        <f t="shared" si="312"/>
        <v>0</v>
      </c>
      <c r="AE349" s="627">
        <f t="shared" si="313"/>
        <v>-122.2</v>
      </c>
      <c r="AF349" s="568"/>
      <c r="AG349" s="568"/>
      <c r="AH349" s="568" t="str">
        <f>IFERROR(INDEX('Annex 2_Code'!$J$110:$J$122,MATCH('Annex 3_MAFF'!AF349,'Annex 2_Code'!$G$110:$G$122,0)),"")</f>
        <v/>
      </c>
      <c r="AI349" s="882" t="str">
        <f t="shared" si="278"/>
        <v/>
      </c>
      <c r="AK349" s="1382"/>
      <c r="AL349" s="1382"/>
    </row>
    <row r="350" spans="1:39" s="542" customFormat="1" outlineLevel="1">
      <c r="A350" s="102"/>
      <c r="B350" s="374" t="s">
        <v>173</v>
      </c>
      <c r="C350" s="1115"/>
      <c r="D350" s="484"/>
      <c r="E350" s="97"/>
      <c r="F350" s="364" t="s">
        <v>97</v>
      </c>
      <c r="G350" s="722"/>
      <c r="H350" s="588" t="s">
        <v>14</v>
      </c>
      <c r="I350" s="566"/>
      <c r="J350" s="665"/>
      <c r="K350" s="666"/>
      <c r="L350" s="666"/>
      <c r="M350" s="666"/>
      <c r="N350" s="667"/>
      <c r="O350" s="688"/>
      <c r="P350" s="689"/>
      <c r="Q350" s="689"/>
      <c r="R350" s="689"/>
      <c r="S350" s="145" t="s">
        <v>14</v>
      </c>
      <c r="T350" s="618" t="str">
        <f>IFERROR(INDEX('Annex 2_Code'!I$8:I$33,MATCH('Annex 3_MAFF'!$AG350,'Annex 2_Code'!$G$8:$G$33,0)),"")</f>
        <v/>
      </c>
      <c r="U350" s="618" t="str">
        <f>IFERROR(INDEX('Annex 2_Code'!J$8:J$33,MATCH('Annex 3_MAFF'!$AG350,'Annex 2_Code'!$G$8:$G$33,0)),"")</f>
        <v/>
      </c>
      <c r="V350" s="618" t="str">
        <f>IFERROR(INDEX('Annex 2_Code'!K$8:K$33,MATCH('Annex 3_MAFF'!$AG350,'Annex 2_Code'!$G$8:$G$33,0)),"")</f>
        <v/>
      </c>
      <c r="W350" s="618" t="str">
        <f>IFERROR(INDEX('Annex 2_Code'!L$8:L$33,MATCH('Annex 3_MAFF'!$AG350,'Annex 2_Code'!$G$8:$G$33,0)),"")</f>
        <v/>
      </c>
      <c r="X350" s="618" t="str">
        <f>IFERROR(INDEX('Annex 2_Code'!M$8:M$33,MATCH('Annex 3_MAFF'!$AG350,'Annex 2_Code'!$G$8:$G$33,0)),"")</f>
        <v/>
      </c>
      <c r="Y350" s="1533" t="str">
        <f t="shared" si="268"/>
        <v/>
      </c>
      <c r="Z350" s="717" t="str">
        <f t="shared" si="269"/>
        <v/>
      </c>
      <c r="AA350" s="717" t="str">
        <f t="shared" si="268"/>
        <v/>
      </c>
      <c r="AB350" s="717" t="str">
        <f t="shared" si="270"/>
        <v/>
      </c>
      <c r="AC350" s="718" t="str">
        <f t="shared" si="271"/>
        <v/>
      </c>
      <c r="AD350" s="626">
        <f t="shared" si="312"/>
        <v>0</v>
      </c>
      <c r="AE350" s="627"/>
      <c r="AF350" s="568"/>
      <c r="AG350" s="568"/>
      <c r="AH350" s="568" t="str">
        <f>IFERROR(INDEX('Annex 2_Code'!$J$110:$J$122,MATCH('Annex 3_MAFF'!AF350,'Annex 2_Code'!$G$110:$G$122,0)),"")</f>
        <v/>
      </c>
      <c r="AI350" s="882" t="str">
        <f t="shared" si="278"/>
        <v/>
      </c>
      <c r="AK350" s="1382"/>
      <c r="AL350" s="1382"/>
    </row>
    <row r="351" spans="1:39" s="542" customFormat="1" outlineLevel="1">
      <c r="A351" s="102"/>
      <c r="B351" s="374" t="s">
        <v>25</v>
      </c>
      <c r="C351" s="1115" t="s">
        <v>302</v>
      </c>
      <c r="D351" s="484"/>
      <c r="E351" s="97"/>
      <c r="F351" s="364"/>
      <c r="G351" s="722" t="s">
        <v>98</v>
      </c>
      <c r="H351" s="588" t="s">
        <v>172</v>
      </c>
      <c r="I351" s="566">
        <f>77500/1000</f>
        <v>77.5</v>
      </c>
      <c r="J351" s="665">
        <v>0</v>
      </c>
      <c r="K351" s="666">
        <v>0</v>
      </c>
      <c r="L351" s="666">
        <v>1</v>
      </c>
      <c r="M351" s="666">
        <v>1</v>
      </c>
      <c r="N351" s="667">
        <f>SUM(J351:M351)</f>
        <v>2</v>
      </c>
      <c r="O351" s="1103">
        <f>$I351*J351</f>
        <v>0</v>
      </c>
      <c r="P351" s="689">
        <f>$I351*K351</f>
        <v>0</v>
      </c>
      <c r="Q351" s="689">
        <f t="shared" ref="Q351:R353" si="347">$I351*L351</f>
        <v>77.5</v>
      </c>
      <c r="R351" s="689">
        <f t="shared" si="347"/>
        <v>77.5</v>
      </c>
      <c r="S351" s="145">
        <f>SUM(O351:R351)</f>
        <v>155</v>
      </c>
      <c r="T351" s="618">
        <f>IFERROR(INDEX('Annex 2_Code'!I$8:I$33,MATCH('Annex 3_MAFF'!$AG351,'Annex 2_Code'!$G$8:$G$33,0)),"")</f>
        <v>0</v>
      </c>
      <c r="U351" s="618">
        <f>IFERROR(INDEX('Annex 2_Code'!J$8:J$33,MATCH('Annex 3_MAFF'!$AG351,'Annex 2_Code'!$G$8:$G$33,0)),"")</f>
        <v>0</v>
      </c>
      <c r="V351" s="618">
        <f>IFERROR(INDEX('Annex 2_Code'!K$8:K$33,MATCH('Annex 3_MAFF'!$AG351,'Annex 2_Code'!$G$8:$G$33,0)),"")</f>
        <v>1</v>
      </c>
      <c r="W351" s="618">
        <f>IFERROR(INDEX('Annex 2_Code'!L$8:L$33,MATCH('Annex 3_MAFF'!$AG351,'Annex 2_Code'!$G$8:$G$33,0)),"")</f>
        <v>0</v>
      </c>
      <c r="X351" s="618">
        <f>IFERROR(INDEX('Annex 2_Code'!M$8:M$33,MATCH('Annex 3_MAFF'!$AG351,'Annex 2_Code'!$G$8:$G$33,0)),"")</f>
        <v>0</v>
      </c>
      <c r="Y351" s="1533">
        <f t="shared" si="268"/>
        <v>0</v>
      </c>
      <c r="Z351" s="717">
        <f t="shared" si="269"/>
        <v>0</v>
      </c>
      <c r="AA351" s="717">
        <f t="shared" si="268"/>
        <v>155</v>
      </c>
      <c r="AB351" s="717">
        <f t="shared" si="270"/>
        <v>0</v>
      </c>
      <c r="AC351" s="718">
        <f t="shared" si="271"/>
        <v>0</v>
      </c>
      <c r="AD351" s="626">
        <f t="shared" si="312"/>
        <v>155</v>
      </c>
      <c r="AE351" s="627">
        <f t="shared" si="313"/>
        <v>0</v>
      </c>
      <c r="AF351" s="568" t="s">
        <v>445</v>
      </c>
      <c r="AG351" s="568" t="s">
        <v>378</v>
      </c>
      <c r="AH351" s="568" t="str">
        <f>IFERROR(INDEX('Annex 2_Code'!$J$110:$J$122,MATCH('Annex 3_MAFF'!AF351,'Annex 2_Code'!$G$110:$G$122,0)),"")</f>
        <v>MAFF-GDA</v>
      </c>
      <c r="AI351" s="882" t="str">
        <f t="shared" si="278"/>
        <v>MAFF</v>
      </c>
      <c r="AK351" s="1382"/>
      <c r="AL351" s="1382"/>
    </row>
    <row r="352" spans="1:39" s="542" customFormat="1" outlineLevel="1">
      <c r="A352" s="102"/>
      <c r="B352" s="374" t="s">
        <v>25</v>
      </c>
      <c r="C352" s="1115" t="s">
        <v>302</v>
      </c>
      <c r="D352" s="484"/>
      <c r="E352" s="97"/>
      <c r="F352" s="364"/>
      <c r="G352" s="722" t="s">
        <v>99</v>
      </c>
      <c r="H352" s="588" t="s">
        <v>172</v>
      </c>
      <c r="I352" s="566">
        <f>87500/1000</f>
        <v>87.5</v>
      </c>
      <c r="J352" s="665">
        <v>0</v>
      </c>
      <c r="K352" s="666">
        <v>0</v>
      </c>
      <c r="L352" s="666">
        <v>1</v>
      </c>
      <c r="M352" s="666">
        <v>1</v>
      </c>
      <c r="N352" s="667">
        <f>SUM(J352:M352)</f>
        <v>2</v>
      </c>
      <c r="O352" s="1103">
        <f t="shared" ref="O352" si="348">$I352*J352</f>
        <v>0</v>
      </c>
      <c r="P352" s="689">
        <f t="shared" ref="P352:P353" si="349">$I352*K352</f>
        <v>0</v>
      </c>
      <c r="Q352" s="689">
        <f t="shared" si="347"/>
        <v>87.5</v>
      </c>
      <c r="R352" s="689">
        <f t="shared" si="347"/>
        <v>87.5</v>
      </c>
      <c r="S352" s="145">
        <f>SUM(O352:R352)</f>
        <v>175</v>
      </c>
      <c r="T352" s="618">
        <f>IFERROR(INDEX('Annex 2_Code'!I$8:I$33,MATCH('Annex 3_MAFF'!$AG352,'Annex 2_Code'!$G$8:$G$33,0)),"")</f>
        <v>0</v>
      </c>
      <c r="U352" s="618">
        <f>IFERROR(INDEX('Annex 2_Code'!J$8:J$33,MATCH('Annex 3_MAFF'!$AG352,'Annex 2_Code'!$G$8:$G$33,0)),"")</f>
        <v>0</v>
      </c>
      <c r="V352" s="618">
        <f>IFERROR(INDEX('Annex 2_Code'!K$8:K$33,MATCH('Annex 3_MAFF'!$AG352,'Annex 2_Code'!$G$8:$G$33,0)),"")</f>
        <v>1</v>
      </c>
      <c r="W352" s="618">
        <f>IFERROR(INDEX('Annex 2_Code'!L$8:L$33,MATCH('Annex 3_MAFF'!$AG352,'Annex 2_Code'!$G$8:$G$33,0)),"")</f>
        <v>0</v>
      </c>
      <c r="X352" s="618">
        <f>IFERROR(INDEX('Annex 2_Code'!M$8:M$33,MATCH('Annex 3_MAFF'!$AG352,'Annex 2_Code'!$G$8:$G$33,0)),"")</f>
        <v>0</v>
      </c>
      <c r="Y352" s="1533">
        <f t="shared" si="268"/>
        <v>0</v>
      </c>
      <c r="Z352" s="717">
        <f t="shared" si="269"/>
        <v>0</v>
      </c>
      <c r="AA352" s="717">
        <f t="shared" si="268"/>
        <v>175</v>
      </c>
      <c r="AB352" s="717">
        <f t="shared" si="270"/>
        <v>0</v>
      </c>
      <c r="AC352" s="718">
        <f t="shared" si="271"/>
        <v>0</v>
      </c>
      <c r="AD352" s="626">
        <f t="shared" si="312"/>
        <v>175</v>
      </c>
      <c r="AE352" s="627">
        <f t="shared" si="313"/>
        <v>0</v>
      </c>
      <c r="AF352" s="568" t="s">
        <v>445</v>
      </c>
      <c r="AG352" s="568" t="s">
        <v>378</v>
      </c>
      <c r="AH352" s="568" t="str">
        <f>IFERROR(INDEX('Annex 2_Code'!$J$110:$J$122,MATCH('Annex 3_MAFF'!AF352,'Annex 2_Code'!$G$110:$G$122,0)),"")</f>
        <v>MAFF-GDA</v>
      </c>
      <c r="AI352" s="882" t="str">
        <f t="shared" si="278"/>
        <v>MAFF</v>
      </c>
      <c r="AK352" s="1382"/>
      <c r="AL352" s="1382"/>
    </row>
    <row r="353" spans="1:39" s="542" customFormat="1" outlineLevel="1">
      <c r="A353" s="102"/>
      <c r="B353" s="374" t="s">
        <v>25</v>
      </c>
      <c r="C353" s="1115" t="s">
        <v>302</v>
      </c>
      <c r="D353" s="484"/>
      <c r="E353" s="97"/>
      <c r="F353" s="364"/>
      <c r="G353" s="722" t="s">
        <v>100</v>
      </c>
      <c r="H353" s="588" t="s">
        <v>172</v>
      </c>
      <c r="I353" s="566">
        <f>45000/1000</f>
        <v>45</v>
      </c>
      <c r="J353" s="665">
        <v>0</v>
      </c>
      <c r="K353" s="666">
        <v>0</v>
      </c>
      <c r="L353" s="666">
        <v>1</v>
      </c>
      <c r="M353" s="666">
        <v>1</v>
      </c>
      <c r="N353" s="667">
        <f>SUM(J353:M353)</f>
        <v>2</v>
      </c>
      <c r="O353" s="1103">
        <f>$I353*J353</f>
        <v>0</v>
      </c>
      <c r="P353" s="689">
        <f t="shared" si="349"/>
        <v>0</v>
      </c>
      <c r="Q353" s="689">
        <f t="shared" si="347"/>
        <v>45</v>
      </c>
      <c r="R353" s="689">
        <f t="shared" si="347"/>
        <v>45</v>
      </c>
      <c r="S353" s="145">
        <f>SUM(O353:R353)</f>
        <v>90</v>
      </c>
      <c r="T353" s="618">
        <f>IFERROR(INDEX('Annex 2_Code'!I$8:I$33,MATCH('Annex 3_MAFF'!$AG353,'Annex 2_Code'!$G$8:$G$33,0)),"")</f>
        <v>0</v>
      </c>
      <c r="U353" s="618">
        <f>IFERROR(INDEX('Annex 2_Code'!J$8:J$33,MATCH('Annex 3_MAFF'!$AG353,'Annex 2_Code'!$G$8:$G$33,0)),"")</f>
        <v>0</v>
      </c>
      <c r="V353" s="618">
        <f>IFERROR(INDEX('Annex 2_Code'!K$8:K$33,MATCH('Annex 3_MAFF'!$AG353,'Annex 2_Code'!$G$8:$G$33,0)),"")</f>
        <v>1</v>
      </c>
      <c r="W353" s="618">
        <f>IFERROR(INDEX('Annex 2_Code'!L$8:L$33,MATCH('Annex 3_MAFF'!$AG353,'Annex 2_Code'!$G$8:$G$33,0)),"")</f>
        <v>0</v>
      </c>
      <c r="X353" s="618">
        <f>IFERROR(INDEX('Annex 2_Code'!M$8:M$33,MATCH('Annex 3_MAFF'!$AG353,'Annex 2_Code'!$G$8:$G$33,0)),"")</f>
        <v>0</v>
      </c>
      <c r="Y353" s="1533">
        <f t="shared" si="268"/>
        <v>0</v>
      </c>
      <c r="Z353" s="717">
        <f t="shared" si="269"/>
        <v>0</v>
      </c>
      <c r="AA353" s="717">
        <f t="shared" si="268"/>
        <v>90</v>
      </c>
      <c r="AB353" s="717">
        <f t="shared" si="270"/>
        <v>0</v>
      </c>
      <c r="AC353" s="718">
        <f t="shared" si="271"/>
        <v>0</v>
      </c>
      <c r="AD353" s="626">
        <f t="shared" si="312"/>
        <v>90</v>
      </c>
      <c r="AE353" s="627">
        <f t="shared" si="313"/>
        <v>0</v>
      </c>
      <c r="AF353" s="568" t="s">
        <v>445</v>
      </c>
      <c r="AG353" s="568" t="s">
        <v>378</v>
      </c>
      <c r="AH353" s="568" t="str">
        <f>IFERROR(INDEX('Annex 2_Code'!$J$110:$J$122,MATCH('Annex 3_MAFF'!AF353,'Annex 2_Code'!$G$110:$G$122,0)),"")</f>
        <v>MAFF-GDA</v>
      </c>
      <c r="AI353" s="882" t="str">
        <f t="shared" si="278"/>
        <v>MAFF</v>
      </c>
      <c r="AK353" s="1382"/>
      <c r="AL353" s="1382"/>
    </row>
    <row r="354" spans="1:39" s="542" customFormat="1" outlineLevel="1">
      <c r="A354" s="102"/>
      <c r="B354" s="76" t="s">
        <v>173</v>
      </c>
      <c r="C354" s="1071"/>
      <c r="D354" s="1425"/>
      <c r="E354" s="1451"/>
      <c r="F354" s="1441" t="s">
        <v>41</v>
      </c>
      <c r="G354" s="1428"/>
      <c r="H354" s="1429"/>
      <c r="I354" s="1455"/>
      <c r="J354" s="1456"/>
      <c r="K354" s="1457"/>
      <c r="L354" s="1457"/>
      <c r="M354" s="1457"/>
      <c r="N354" s="1458"/>
      <c r="O354" s="1434">
        <f>SUM(O351:O353)</f>
        <v>0</v>
      </c>
      <c r="P354" s="1435">
        <f>SUM(P351:P353)</f>
        <v>0</v>
      </c>
      <c r="Q354" s="1435">
        <f>SUM(Q351:Q353)</f>
        <v>210</v>
      </c>
      <c r="R354" s="1435">
        <f>SUM(R351:R353)</f>
        <v>210</v>
      </c>
      <c r="S354" s="1423">
        <f>SUM(S351:S353)</f>
        <v>420</v>
      </c>
      <c r="T354" s="618" t="str">
        <f>IFERROR(INDEX('Annex 2_Code'!I$8:I$33,MATCH('Annex 3_MAFF'!$AG354,'Annex 2_Code'!$G$8:$G$33,0)),"")</f>
        <v/>
      </c>
      <c r="U354" s="618" t="str">
        <f>IFERROR(INDEX('Annex 2_Code'!J$8:J$33,MATCH('Annex 3_MAFF'!$AG354,'Annex 2_Code'!$G$8:$G$33,0)),"")</f>
        <v/>
      </c>
      <c r="V354" s="618" t="str">
        <f>IFERROR(INDEX('Annex 2_Code'!K$8:K$33,MATCH('Annex 3_MAFF'!$AG354,'Annex 2_Code'!$G$8:$G$33,0)),"")</f>
        <v/>
      </c>
      <c r="W354" s="618" t="str">
        <f>IFERROR(INDEX('Annex 2_Code'!L$8:L$33,MATCH('Annex 3_MAFF'!$AG354,'Annex 2_Code'!$G$8:$G$33,0)),"")</f>
        <v/>
      </c>
      <c r="X354" s="618" t="str">
        <f>IFERROR(INDEX('Annex 2_Code'!M$8:M$33,MATCH('Annex 3_MAFF'!$AG354,'Annex 2_Code'!$G$8:$G$33,0)),"")</f>
        <v/>
      </c>
      <c r="Y354" s="716" t="str">
        <f t="shared" si="268"/>
        <v/>
      </c>
      <c r="Z354" s="717" t="str">
        <f t="shared" si="269"/>
        <v/>
      </c>
      <c r="AA354" s="717" t="str">
        <f t="shared" si="268"/>
        <v/>
      </c>
      <c r="AB354" s="717" t="str">
        <f t="shared" si="270"/>
        <v/>
      </c>
      <c r="AC354" s="718" t="str">
        <f t="shared" si="271"/>
        <v/>
      </c>
      <c r="AD354" s="626">
        <f t="shared" si="312"/>
        <v>0</v>
      </c>
      <c r="AE354" s="627">
        <f t="shared" si="313"/>
        <v>-420</v>
      </c>
      <c r="AF354" s="568"/>
      <c r="AG354" s="568"/>
      <c r="AH354" s="568" t="str">
        <f>IFERROR(INDEX('Annex 2_Code'!$J$110:$J$122,MATCH('Annex 3_MAFF'!AF354,'Annex 2_Code'!$G$110:$G$122,0)),"")</f>
        <v/>
      </c>
      <c r="AI354" s="882" t="str">
        <f t="shared" si="278"/>
        <v/>
      </c>
      <c r="AK354" s="1389">
        <f>SUM(S351:S353)+SUM(S344:S348)</f>
        <v>542.20000000000005</v>
      </c>
      <c r="AL354" s="1389" t="s">
        <v>445</v>
      </c>
      <c r="AM354" s="1389"/>
    </row>
    <row r="355" spans="1:39" s="542" customFormat="1" outlineLevel="1">
      <c r="A355" s="102"/>
      <c r="B355" s="76" t="s">
        <v>173</v>
      </c>
      <c r="C355" s="1071"/>
      <c r="D355" s="484"/>
      <c r="E355" s="97"/>
      <c r="F355" s="364" t="s">
        <v>102</v>
      </c>
      <c r="G355" s="722"/>
      <c r="H355" s="588" t="s">
        <v>14</v>
      </c>
      <c r="I355" s="566"/>
      <c r="J355" s="665"/>
      <c r="K355" s="666"/>
      <c r="L355" s="666"/>
      <c r="M355" s="666"/>
      <c r="N355" s="667"/>
      <c r="O355" s="688"/>
      <c r="P355" s="689"/>
      <c r="Q355" s="689"/>
      <c r="R355" s="689"/>
      <c r="S355" s="145" t="s">
        <v>14</v>
      </c>
      <c r="T355" s="618" t="str">
        <f>IFERROR(INDEX('Annex 2_Code'!I$8:I$33,MATCH('Annex 3_MAFF'!$AG355,'Annex 2_Code'!$G$8:$G$33,0)),"")</f>
        <v/>
      </c>
      <c r="U355" s="618" t="str">
        <f>IFERROR(INDEX('Annex 2_Code'!J$8:J$33,MATCH('Annex 3_MAFF'!$AG355,'Annex 2_Code'!$G$8:$G$33,0)),"")</f>
        <v/>
      </c>
      <c r="V355" s="618" t="str">
        <f>IFERROR(INDEX('Annex 2_Code'!K$8:K$33,MATCH('Annex 3_MAFF'!$AG355,'Annex 2_Code'!$G$8:$G$33,0)),"")</f>
        <v/>
      </c>
      <c r="W355" s="618" t="str">
        <f>IFERROR(INDEX('Annex 2_Code'!L$8:L$33,MATCH('Annex 3_MAFF'!$AG355,'Annex 2_Code'!$G$8:$G$33,0)),"")</f>
        <v/>
      </c>
      <c r="X355" s="618" t="str">
        <f>IFERROR(INDEX('Annex 2_Code'!M$8:M$33,MATCH('Annex 3_MAFF'!$AG355,'Annex 2_Code'!$G$8:$G$33,0)),"")</f>
        <v/>
      </c>
      <c r="Y355" s="716" t="str">
        <f t="shared" ref="Y355:Y413" si="350">IFERROR($S355*T355,"")</f>
        <v/>
      </c>
      <c r="Z355" s="717" t="str">
        <f t="shared" ref="Z355:AA413" si="351">IFERROR($S355*U355,"")</f>
        <v/>
      </c>
      <c r="AA355" s="717" t="str">
        <f t="shared" si="351"/>
        <v/>
      </c>
      <c r="AB355" s="717" t="str">
        <f t="shared" ref="AB355:AB413" si="352">IFERROR($S355*W355,"")</f>
        <v/>
      </c>
      <c r="AC355" s="718" t="str">
        <f t="shared" ref="AC355:AC413" si="353">IFERROR($S355*X355,"")</f>
        <v/>
      </c>
      <c r="AD355" s="626">
        <f t="shared" si="312"/>
        <v>0</v>
      </c>
      <c r="AE355" s="627"/>
      <c r="AF355" s="568"/>
      <c r="AG355" s="568"/>
      <c r="AH355" s="568" t="str">
        <f>IFERROR(INDEX('Annex 2_Code'!$J$110:$J$122,MATCH('Annex 3_MAFF'!AF355,'Annex 2_Code'!$G$110:$G$122,0)),"")</f>
        <v/>
      </c>
      <c r="AI355" s="882" t="str">
        <f t="shared" si="278"/>
        <v/>
      </c>
      <c r="AK355" s="1382"/>
      <c r="AL355" s="1382"/>
    </row>
    <row r="356" spans="1:39" s="542" customFormat="1" outlineLevel="1">
      <c r="A356" s="102"/>
      <c r="B356" s="76" t="s">
        <v>25</v>
      </c>
      <c r="C356" s="1071" t="s">
        <v>302</v>
      </c>
      <c r="D356" s="484"/>
      <c r="E356" s="97"/>
      <c r="F356" s="364"/>
      <c r="G356" s="722" t="s">
        <v>103</v>
      </c>
      <c r="H356" s="588" t="s">
        <v>172</v>
      </c>
      <c r="I356" s="566">
        <v>2.5</v>
      </c>
      <c r="J356" s="665">
        <v>0</v>
      </c>
      <c r="K356" s="666">
        <v>0</v>
      </c>
      <c r="L356" s="666">
        <v>1</v>
      </c>
      <c r="M356" s="666">
        <v>1</v>
      </c>
      <c r="N356" s="667">
        <f>SUM(J356:M356)</f>
        <v>2</v>
      </c>
      <c r="O356" s="688">
        <f>$I356*J356</f>
        <v>0</v>
      </c>
      <c r="P356" s="689">
        <f>$I356*K356</f>
        <v>0</v>
      </c>
      <c r="Q356" s="689">
        <f t="shared" ref="Q356:R358" si="354">$I356*L356</f>
        <v>2.5</v>
      </c>
      <c r="R356" s="689">
        <f t="shared" si="354"/>
        <v>2.5</v>
      </c>
      <c r="S356" s="145">
        <f>SUM(O356:R356)</f>
        <v>5</v>
      </c>
      <c r="T356" s="618">
        <f>IFERROR(INDEX('Annex 2_Code'!I$8:I$33,MATCH('Annex 3_MAFF'!$AG356,'Annex 2_Code'!$G$8:$G$33,0)),"")</f>
        <v>0</v>
      </c>
      <c r="U356" s="618">
        <f>IFERROR(INDEX('Annex 2_Code'!J$8:J$33,MATCH('Annex 3_MAFF'!$AG356,'Annex 2_Code'!$G$8:$G$33,0)),"")</f>
        <v>0</v>
      </c>
      <c r="V356" s="618">
        <f>IFERROR(INDEX('Annex 2_Code'!K$8:K$33,MATCH('Annex 3_MAFF'!$AG356,'Annex 2_Code'!$G$8:$G$33,0)),"")</f>
        <v>1</v>
      </c>
      <c r="W356" s="618">
        <f>IFERROR(INDEX('Annex 2_Code'!L$8:L$33,MATCH('Annex 3_MAFF'!$AG356,'Annex 2_Code'!$G$8:$G$33,0)),"")</f>
        <v>0</v>
      </c>
      <c r="X356" s="618">
        <f>IFERROR(INDEX('Annex 2_Code'!M$8:M$33,MATCH('Annex 3_MAFF'!$AG356,'Annex 2_Code'!$G$8:$G$33,0)),"")</f>
        <v>0</v>
      </c>
      <c r="Y356" s="1536">
        <f t="shared" si="350"/>
        <v>0</v>
      </c>
      <c r="Z356" s="717">
        <f t="shared" si="351"/>
        <v>0</v>
      </c>
      <c r="AA356" s="717">
        <f t="shared" si="351"/>
        <v>5</v>
      </c>
      <c r="AB356" s="717">
        <f t="shared" si="352"/>
        <v>0</v>
      </c>
      <c r="AC356" s="718">
        <f t="shared" si="353"/>
        <v>0</v>
      </c>
      <c r="AD356" s="626">
        <f t="shared" si="312"/>
        <v>5</v>
      </c>
      <c r="AE356" s="627">
        <f t="shared" si="313"/>
        <v>0</v>
      </c>
      <c r="AF356" s="568" t="s">
        <v>562</v>
      </c>
      <c r="AG356" s="568" t="s">
        <v>404</v>
      </c>
      <c r="AH356" s="568" t="str">
        <f>IFERROR(INDEX('Annex 2_Code'!$J$110:$J$127,MATCH('Annex 3_MAFF'!AF356,'Annex 2_Code'!$G$110:$G$127,0)),"")</f>
        <v>MAFF</v>
      </c>
      <c r="AI356" s="882" t="str">
        <f t="shared" si="278"/>
        <v>MAFF</v>
      </c>
      <c r="AK356" s="1382"/>
      <c r="AL356" s="1382"/>
    </row>
    <row r="357" spans="1:39" s="542" customFormat="1" outlineLevel="1">
      <c r="A357" s="102"/>
      <c r="B357" s="76" t="s">
        <v>25</v>
      </c>
      <c r="C357" s="1071" t="s">
        <v>302</v>
      </c>
      <c r="D357" s="484"/>
      <c r="E357" s="97"/>
      <c r="F357" s="364"/>
      <c r="G357" s="722" t="s">
        <v>104</v>
      </c>
      <c r="H357" s="588" t="s">
        <v>172</v>
      </c>
      <c r="I357" s="566">
        <f>5690/1000</f>
        <v>5.69</v>
      </c>
      <c r="J357" s="665">
        <v>0</v>
      </c>
      <c r="K357" s="666">
        <v>0</v>
      </c>
      <c r="L357" s="666">
        <v>1</v>
      </c>
      <c r="M357" s="666">
        <v>1</v>
      </c>
      <c r="N357" s="667">
        <f>SUM(J357:M357)</f>
        <v>2</v>
      </c>
      <c r="O357" s="688">
        <f t="shared" ref="O357:P358" si="355">$I357*J357</f>
        <v>0</v>
      </c>
      <c r="P357" s="689">
        <f t="shared" si="355"/>
        <v>0</v>
      </c>
      <c r="Q357" s="689">
        <f t="shared" si="354"/>
        <v>5.69</v>
      </c>
      <c r="R357" s="689">
        <f t="shared" si="354"/>
        <v>5.69</v>
      </c>
      <c r="S357" s="145">
        <f>SUM(O357:R357)</f>
        <v>11.38</v>
      </c>
      <c r="T357" s="618">
        <f>IFERROR(INDEX('Annex 2_Code'!I$8:I$33,MATCH('Annex 3_MAFF'!$AG357,'Annex 2_Code'!$G$8:$G$33,0)),"")</f>
        <v>0</v>
      </c>
      <c r="U357" s="618">
        <f>IFERROR(INDEX('Annex 2_Code'!J$8:J$33,MATCH('Annex 3_MAFF'!$AG357,'Annex 2_Code'!$G$8:$G$33,0)),"")</f>
        <v>0</v>
      </c>
      <c r="V357" s="618">
        <f>IFERROR(INDEX('Annex 2_Code'!K$8:K$33,MATCH('Annex 3_MAFF'!$AG357,'Annex 2_Code'!$G$8:$G$33,0)),"")</f>
        <v>1</v>
      </c>
      <c r="W357" s="618">
        <f>IFERROR(INDEX('Annex 2_Code'!L$8:L$33,MATCH('Annex 3_MAFF'!$AG357,'Annex 2_Code'!$G$8:$G$33,0)),"")</f>
        <v>0</v>
      </c>
      <c r="X357" s="618">
        <f>IFERROR(INDEX('Annex 2_Code'!M$8:M$33,MATCH('Annex 3_MAFF'!$AG357,'Annex 2_Code'!$G$8:$G$33,0)),"")</f>
        <v>0</v>
      </c>
      <c r="Y357" s="1536">
        <f t="shared" si="350"/>
        <v>0</v>
      </c>
      <c r="Z357" s="717">
        <f t="shared" si="351"/>
        <v>0</v>
      </c>
      <c r="AA357" s="717">
        <f t="shared" si="351"/>
        <v>11.38</v>
      </c>
      <c r="AB357" s="717">
        <f t="shared" si="352"/>
        <v>0</v>
      </c>
      <c r="AC357" s="718">
        <f t="shared" si="353"/>
        <v>0</v>
      </c>
      <c r="AD357" s="626">
        <f t="shared" si="312"/>
        <v>11.38</v>
      </c>
      <c r="AE357" s="627">
        <f t="shared" si="313"/>
        <v>0</v>
      </c>
      <c r="AF357" s="568" t="s">
        <v>562</v>
      </c>
      <c r="AG357" s="568" t="s">
        <v>404</v>
      </c>
      <c r="AH357" s="568" t="str">
        <f>IFERROR(INDEX('Annex 2_Code'!$J$110:$J$127,MATCH('Annex 3_MAFF'!AF357,'Annex 2_Code'!$G$110:$G$127,0)),"")</f>
        <v>MAFF</v>
      </c>
      <c r="AI357" s="882" t="str">
        <f t="shared" si="278"/>
        <v>MAFF</v>
      </c>
      <c r="AK357" s="1382"/>
      <c r="AL357" s="1382"/>
    </row>
    <row r="358" spans="1:39" s="542" customFormat="1" outlineLevel="1">
      <c r="A358" s="102"/>
      <c r="B358" s="76" t="s">
        <v>25</v>
      </c>
      <c r="C358" s="1071" t="s">
        <v>302</v>
      </c>
      <c r="D358" s="484"/>
      <c r="E358" s="97"/>
      <c r="F358" s="364"/>
      <c r="G358" s="722" t="s">
        <v>105</v>
      </c>
      <c r="H358" s="588" t="s">
        <v>172</v>
      </c>
      <c r="I358" s="566">
        <f>4550/1000</f>
        <v>4.55</v>
      </c>
      <c r="J358" s="665">
        <v>0</v>
      </c>
      <c r="K358" s="666">
        <v>0</v>
      </c>
      <c r="L358" s="666">
        <v>1</v>
      </c>
      <c r="M358" s="666">
        <v>1</v>
      </c>
      <c r="N358" s="667">
        <f>SUM(J358:M358)</f>
        <v>2</v>
      </c>
      <c r="O358" s="1946">
        <f t="shared" si="355"/>
        <v>0</v>
      </c>
      <c r="P358" s="1947">
        <f t="shared" si="355"/>
        <v>0</v>
      </c>
      <c r="Q358" s="1947">
        <f t="shared" si="354"/>
        <v>4.55</v>
      </c>
      <c r="R358" s="1947">
        <f>$I358*M358</f>
        <v>4.55</v>
      </c>
      <c r="S358" s="145">
        <f>SUM(O358:R358)</f>
        <v>9.1</v>
      </c>
      <c r="T358" s="618">
        <f>IFERROR(INDEX('Annex 2_Code'!I$8:I$33,MATCH('Annex 3_MAFF'!$AG358,'Annex 2_Code'!$G$8:$G$33,0)),"")</f>
        <v>0</v>
      </c>
      <c r="U358" s="618">
        <f>IFERROR(INDEX('Annex 2_Code'!J$8:J$33,MATCH('Annex 3_MAFF'!$AG358,'Annex 2_Code'!$G$8:$G$33,0)),"")</f>
        <v>0</v>
      </c>
      <c r="V358" s="618">
        <f>IFERROR(INDEX('Annex 2_Code'!K$8:K$33,MATCH('Annex 3_MAFF'!$AG358,'Annex 2_Code'!$G$8:$G$33,0)),"")</f>
        <v>1</v>
      </c>
      <c r="W358" s="618">
        <f>IFERROR(INDEX('Annex 2_Code'!L$8:L$33,MATCH('Annex 3_MAFF'!$AG358,'Annex 2_Code'!$G$8:$G$33,0)),"")</f>
        <v>0</v>
      </c>
      <c r="X358" s="618">
        <f>IFERROR(INDEX('Annex 2_Code'!M$8:M$33,MATCH('Annex 3_MAFF'!$AG358,'Annex 2_Code'!$G$8:$G$33,0)),"")</f>
        <v>0</v>
      </c>
      <c r="Y358" s="1536">
        <f t="shared" si="350"/>
        <v>0</v>
      </c>
      <c r="Z358" s="717">
        <f t="shared" si="351"/>
        <v>0</v>
      </c>
      <c r="AA358" s="717">
        <f t="shared" si="351"/>
        <v>9.1</v>
      </c>
      <c r="AB358" s="717">
        <f t="shared" si="352"/>
        <v>0</v>
      </c>
      <c r="AC358" s="718">
        <f t="shared" si="353"/>
        <v>0</v>
      </c>
      <c r="AD358" s="626">
        <f t="shared" si="312"/>
        <v>9.1</v>
      </c>
      <c r="AE358" s="627">
        <f t="shared" si="313"/>
        <v>0</v>
      </c>
      <c r="AF358" s="568" t="s">
        <v>562</v>
      </c>
      <c r="AG358" s="568" t="s">
        <v>404</v>
      </c>
      <c r="AH358" s="568" t="str">
        <f>IFERROR(INDEX('Annex 2_Code'!$J$110:$J$127,MATCH('Annex 3_MAFF'!AF358,'Annex 2_Code'!$G$110:$G$127,0)),"")</f>
        <v>MAFF</v>
      </c>
      <c r="AI358" s="882" t="str">
        <f t="shared" ref="AI358" si="356">IF(ISNUMBER(FIND("-",AH358,1))=FALSE,LEFT(AH358,LEN(AH358)),LEFT(AH358,(FIND("-",AH358,1))-1))</f>
        <v>MAFF</v>
      </c>
      <c r="AK358" s="1382"/>
      <c r="AL358" s="1382"/>
    </row>
    <row r="359" spans="1:39" s="542" customFormat="1" outlineLevel="1">
      <c r="A359" s="102"/>
      <c r="B359" s="76" t="s">
        <v>173</v>
      </c>
      <c r="C359" s="1071"/>
      <c r="D359" s="1425"/>
      <c r="E359" s="1451"/>
      <c r="F359" s="1441" t="s">
        <v>41</v>
      </c>
      <c r="G359" s="1428"/>
      <c r="H359" s="1429"/>
      <c r="I359" s="1455"/>
      <c r="J359" s="1456"/>
      <c r="K359" s="1457"/>
      <c r="L359" s="1457"/>
      <c r="M359" s="1457"/>
      <c r="N359" s="1458"/>
      <c r="O359" s="1434">
        <f>SUM(O356:O358)</f>
        <v>0</v>
      </c>
      <c r="P359" s="1435">
        <f>SUM(P356:P358)</f>
        <v>0</v>
      </c>
      <c r="Q359" s="1435">
        <f>SUM(Q356:Q358)</f>
        <v>12.740000000000002</v>
      </c>
      <c r="R359" s="1435">
        <f>SUM(R356:R358)</f>
        <v>12.740000000000002</v>
      </c>
      <c r="S359" s="1423">
        <f>SUM(S356:S358)</f>
        <v>25.480000000000004</v>
      </c>
      <c r="T359" s="618" t="str">
        <f>IFERROR(INDEX('Annex 2_Code'!I$8:I$33,MATCH('Annex 3_MAFF'!$AG359,'Annex 2_Code'!$G$8:$G$33,0)),"")</f>
        <v/>
      </c>
      <c r="U359" s="618" t="str">
        <f>IFERROR(INDEX('Annex 2_Code'!J$8:J$33,MATCH('Annex 3_MAFF'!$AG359,'Annex 2_Code'!$G$8:$G$33,0)),"")</f>
        <v/>
      </c>
      <c r="V359" s="618" t="str">
        <f>IFERROR(INDEX('Annex 2_Code'!K$8:K$33,MATCH('Annex 3_MAFF'!$AG359,'Annex 2_Code'!$G$8:$G$33,0)),"")</f>
        <v/>
      </c>
      <c r="W359" s="618" t="str">
        <f>IFERROR(INDEX('Annex 2_Code'!L$8:L$33,MATCH('Annex 3_MAFF'!$AG359,'Annex 2_Code'!$G$8:$G$33,0)),"")</f>
        <v/>
      </c>
      <c r="X359" s="618" t="str">
        <f>IFERROR(INDEX('Annex 2_Code'!M$8:M$33,MATCH('Annex 3_MAFF'!$AG359,'Annex 2_Code'!$G$8:$G$33,0)),"")</f>
        <v/>
      </c>
      <c r="Y359" s="1536" t="str">
        <f t="shared" si="350"/>
        <v/>
      </c>
      <c r="Z359" s="717" t="str">
        <f t="shared" si="351"/>
        <v/>
      </c>
      <c r="AA359" s="717" t="str">
        <f t="shared" si="351"/>
        <v/>
      </c>
      <c r="AB359" s="717" t="str">
        <f t="shared" si="352"/>
        <v/>
      </c>
      <c r="AC359" s="718" t="str">
        <f t="shared" si="353"/>
        <v/>
      </c>
      <c r="AD359" s="626">
        <f t="shared" si="312"/>
        <v>0</v>
      </c>
      <c r="AE359" s="627">
        <f t="shared" si="313"/>
        <v>-25.480000000000004</v>
      </c>
      <c r="AF359" s="568"/>
      <c r="AG359" s="568"/>
      <c r="AH359" s="568" t="str">
        <f>IFERROR(INDEX('Annex 2_Code'!$J$110:$J$122,MATCH('Annex 3_MAFF'!AF359,'Annex 2_Code'!$G$110:$G$122,0)),"")</f>
        <v/>
      </c>
      <c r="AI359" s="882" t="str">
        <f t="shared" ref="AI359:AI416" si="357">IF(ISNUMBER(FIND("-",AH359,1))=FALSE,LEFT(AH359,LEN(AH359)),LEFT(AH359,(FIND("-",AH359,1))-1))</f>
        <v/>
      </c>
      <c r="AK359" s="1382"/>
      <c r="AL359" s="1382"/>
    </row>
    <row r="360" spans="1:39" s="542" customFormat="1" outlineLevel="1">
      <c r="A360" s="102"/>
      <c r="B360" s="76" t="s">
        <v>173</v>
      </c>
      <c r="C360" s="1071"/>
      <c r="D360" s="484"/>
      <c r="E360" s="97"/>
      <c r="F360" s="364" t="s">
        <v>106</v>
      </c>
      <c r="G360" s="722"/>
      <c r="H360" s="588" t="s">
        <v>14</v>
      </c>
      <c r="I360" s="566"/>
      <c r="J360" s="665"/>
      <c r="K360" s="666"/>
      <c r="L360" s="666"/>
      <c r="M360" s="666"/>
      <c r="N360" s="667"/>
      <c r="O360" s="688"/>
      <c r="P360" s="689"/>
      <c r="Q360" s="689"/>
      <c r="R360" s="689"/>
      <c r="S360" s="145" t="s">
        <v>14</v>
      </c>
      <c r="T360" s="618" t="str">
        <f>IFERROR(INDEX('Annex 2_Code'!I$8:I$33,MATCH('Annex 3_MAFF'!$AG360,'Annex 2_Code'!$G$8:$G$33,0)),"")</f>
        <v/>
      </c>
      <c r="U360" s="618" t="str">
        <f>IFERROR(INDEX('Annex 2_Code'!J$8:J$33,MATCH('Annex 3_MAFF'!$AG360,'Annex 2_Code'!$G$8:$G$33,0)),"")</f>
        <v/>
      </c>
      <c r="V360" s="618" t="str">
        <f>IFERROR(INDEX('Annex 2_Code'!K$8:K$33,MATCH('Annex 3_MAFF'!$AG360,'Annex 2_Code'!$G$8:$G$33,0)),"")</f>
        <v/>
      </c>
      <c r="W360" s="618" t="str">
        <f>IFERROR(INDEX('Annex 2_Code'!L$8:L$33,MATCH('Annex 3_MAFF'!$AG360,'Annex 2_Code'!$G$8:$G$33,0)),"")</f>
        <v/>
      </c>
      <c r="X360" s="618" t="str">
        <f>IFERROR(INDEX('Annex 2_Code'!M$8:M$33,MATCH('Annex 3_MAFF'!$AG360,'Annex 2_Code'!$G$8:$G$33,0)),"")</f>
        <v/>
      </c>
      <c r="Y360" s="1536" t="str">
        <f t="shared" si="350"/>
        <v/>
      </c>
      <c r="Z360" s="717" t="str">
        <f t="shared" si="351"/>
        <v/>
      </c>
      <c r="AA360" s="717" t="str">
        <f t="shared" si="351"/>
        <v/>
      </c>
      <c r="AB360" s="717" t="str">
        <f t="shared" si="352"/>
        <v/>
      </c>
      <c r="AC360" s="718" t="str">
        <f t="shared" si="353"/>
        <v/>
      </c>
      <c r="AD360" s="626">
        <f t="shared" si="312"/>
        <v>0</v>
      </c>
      <c r="AE360" s="627"/>
      <c r="AF360" s="568"/>
      <c r="AG360" s="568"/>
      <c r="AH360" s="568" t="str">
        <f>IFERROR(INDEX('Annex 2_Code'!$J$110:$J$122,MATCH('Annex 3_MAFF'!AF360,'Annex 2_Code'!$G$110:$G$122,0)),"")</f>
        <v/>
      </c>
      <c r="AI360" s="882" t="str">
        <f t="shared" si="357"/>
        <v/>
      </c>
      <c r="AK360" s="1382"/>
      <c r="AL360" s="1382"/>
    </row>
    <row r="361" spans="1:39" s="542" customFormat="1" outlineLevel="1">
      <c r="A361" s="102"/>
      <c r="B361" s="76" t="s">
        <v>25</v>
      </c>
      <c r="C361" s="1071" t="s">
        <v>302</v>
      </c>
      <c r="D361" s="484"/>
      <c r="E361" s="97"/>
      <c r="F361" s="364"/>
      <c r="G361" s="731" t="s">
        <v>107</v>
      </c>
      <c r="H361" s="588" t="s">
        <v>172</v>
      </c>
      <c r="I361" s="566">
        <f>12500/1000</f>
        <v>12.5</v>
      </c>
      <c r="J361" s="665">
        <v>0</v>
      </c>
      <c r="K361" s="666">
        <v>0</v>
      </c>
      <c r="L361" s="666">
        <v>0</v>
      </c>
      <c r="M361" s="666">
        <v>0</v>
      </c>
      <c r="N361" s="667">
        <f>SUM(J361:M361)</f>
        <v>0</v>
      </c>
      <c r="O361" s="1103">
        <f>$I$361*J361</f>
        <v>0</v>
      </c>
      <c r="P361" s="689">
        <f>$I$361*K361</f>
        <v>0</v>
      </c>
      <c r="Q361" s="689">
        <f>$I$361*L361</f>
        <v>0</v>
      </c>
      <c r="R361" s="689">
        <f>$I$361*M361</f>
        <v>0</v>
      </c>
      <c r="S361" s="145">
        <f>SUM(O361:R361)</f>
        <v>0</v>
      </c>
      <c r="T361" s="621">
        <f>IFERROR(INDEX('Annex 2_Code'!I$8:I$33,MATCH('Annex 3_MAFF'!$AG361,'Annex 2_Code'!$G$8:$G$33,0)),"")</f>
        <v>1</v>
      </c>
      <c r="U361" s="618">
        <f>IFERROR(INDEX('Annex 2_Code'!J$8:J$33,MATCH('Annex 3_MAFF'!$AG361,'Annex 2_Code'!$G$8:$G$33,0)),"")</f>
        <v>0</v>
      </c>
      <c r="V361" s="618">
        <f>IFERROR(INDEX('Annex 2_Code'!K$8:K$33,MATCH('Annex 3_MAFF'!$AG361,'Annex 2_Code'!$G$8:$G$33,0)),"")</f>
        <v>0</v>
      </c>
      <c r="W361" s="618">
        <f>IFERROR(INDEX('Annex 2_Code'!L$8:L$33,MATCH('Annex 3_MAFF'!$AG361,'Annex 2_Code'!$G$8:$G$33,0)),"")</f>
        <v>0</v>
      </c>
      <c r="X361" s="618">
        <f>IFERROR(INDEX('Annex 2_Code'!M$8:M$33,MATCH('Annex 3_MAFF'!$AG361,'Annex 2_Code'!$G$8:$G$33,0)),"")</f>
        <v>0</v>
      </c>
      <c r="Y361" s="1536">
        <f t="shared" si="350"/>
        <v>0</v>
      </c>
      <c r="Z361" s="717">
        <f t="shared" si="351"/>
        <v>0</v>
      </c>
      <c r="AA361" s="717">
        <f t="shared" si="351"/>
        <v>0</v>
      </c>
      <c r="AB361" s="717">
        <f t="shared" si="352"/>
        <v>0</v>
      </c>
      <c r="AC361" s="718">
        <f t="shared" si="353"/>
        <v>0</v>
      </c>
      <c r="AD361" s="626">
        <f t="shared" si="312"/>
        <v>0</v>
      </c>
      <c r="AE361" s="627">
        <f t="shared" si="313"/>
        <v>0</v>
      </c>
      <c r="AF361" s="568" t="s">
        <v>562</v>
      </c>
      <c r="AG361" s="569" t="s">
        <v>370</v>
      </c>
      <c r="AH361" s="568" t="str">
        <f>IFERROR(INDEX('Annex 2_Code'!$J$110:$J$127,MATCH('Annex 3_MAFF'!AF361,'Annex 2_Code'!$G$110:$G$127,0)),"")</f>
        <v>MAFF</v>
      </c>
      <c r="AI361" s="882" t="str">
        <f t="shared" si="357"/>
        <v>MAFF</v>
      </c>
      <c r="AK361" s="1382"/>
      <c r="AL361" s="1382"/>
    </row>
    <row r="362" spans="1:39" s="542" customFormat="1" outlineLevel="1">
      <c r="A362" s="102"/>
      <c r="B362" s="76" t="s">
        <v>25</v>
      </c>
      <c r="C362" s="1071" t="s">
        <v>302</v>
      </c>
      <c r="D362" s="484"/>
      <c r="E362" s="97"/>
      <c r="F362" s="364"/>
      <c r="G362" s="731" t="s">
        <v>108</v>
      </c>
      <c r="H362" s="588" t="s">
        <v>172</v>
      </c>
      <c r="I362" s="566">
        <f>12500/1000</f>
        <v>12.5</v>
      </c>
      <c r="J362" s="665">
        <v>0</v>
      </c>
      <c r="K362" s="666">
        <v>0</v>
      </c>
      <c r="L362" s="666">
        <v>1</v>
      </c>
      <c r="M362" s="666">
        <v>1</v>
      </c>
      <c r="N362" s="667">
        <f>SUM(J362:M362)</f>
        <v>2</v>
      </c>
      <c r="O362" s="688">
        <f>$I$362*J362</f>
        <v>0</v>
      </c>
      <c r="P362" s="689">
        <f>$I$362*K362</f>
        <v>0</v>
      </c>
      <c r="Q362" s="689">
        <f>$I$362*L362</f>
        <v>12.5</v>
      </c>
      <c r="R362" s="689">
        <f>$I$362*M362</f>
        <v>12.5</v>
      </c>
      <c r="S362" s="145">
        <f>SUM(O362:R362)</f>
        <v>25</v>
      </c>
      <c r="T362" s="621">
        <f>IFERROR(INDEX('Annex 2_Code'!I$8:I$33,MATCH('Annex 3_MAFF'!$AG362,'Annex 2_Code'!$G$8:$G$33,0)),"")</f>
        <v>1</v>
      </c>
      <c r="U362" s="618">
        <f>IFERROR(INDEX('Annex 2_Code'!J$8:J$33,MATCH('Annex 3_MAFF'!$AG362,'Annex 2_Code'!$G$8:$G$33,0)),"")</f>
        <v>0</v>
      </c>
      <c r="V362" s="618">
        <f>IFERROR(INDEX('Annex 2_Code'!K$8:K$33,MATCH('Annex 3_MAFF'!$AG362,'Annex 2_Code'!$G$8:$G$33,0)),"")</f>
        <v>0</v>
      </c>
      <c r="W362" s="618">
        <f>IFERROR(INDEX('Annex 2_Code'!L$8:L$33,MATCH('Annex 3_MAFF'!$AG362,'Annex 2_Code'!$G$8:$G$33,0)),"")</f>
        <v>0</v>
      </c>
      <c r="X362" s="618">
        <f>IFERROR(INDEX('Annex 2_Code'!M$8:M$33,MATCH('Annex 3_MAFF'!$AG362,'Annex 2_Code'!$G$8:$G$33,0)),"")</f>
        <v>0</v>
      </c>
      <c r="Y362" s="1536">
        <f t="shared" si="350"/>
        <v>25</v>
      </c>
      <c r="Z362" s="717">
        <f t="shared" si="351"/>
        <v>0</v>
      </c>
      <c r="AA362" s="717">
        <f t="shared" si="351"/>
        <v>0</v>
      </c>
      <c r="AB362" s="717">
        <f t="shared" si="352"/>
        <v>0</v>
      </c>
      <c r="AC362" s="718">
        <f t="shared" si="353"/>
        <v>0</v>
      </c>
      <c r="AD362" s="626">
        <f t="shared" si="312"/>
        <v>25</v>
      </c>
      <c r="AE362" s="627">
        <f t="shared" si="313"/>
        <v>0</v>
      </c>
      <c r="AF362" s="568" t="s">
        <v>562</v>
      </c>
      <c r="AG362" s="568" t="s">
        <v>370</v>
      </c>
      <c r="AH362" s="568" t="str">
        <f>IFERROR(INDEX('Annex 2_Code'!$J$110:$J$127,MATCH('Annex 3_MAFF'!AF362,'Annex 2_Code'!$G$110:$G$127,0)),"")</f>
        <v>MAFF</v>
      </c>
      <c r="AI362" s="882" t="str">
        <f t="shared" si="357"/>
        <v>MAFF</v>
      </c>
      <c r="AK362" s="1382"/>
      <c r="AL362" s="1382"/>
    </row>
    <row r="363" spans="1:39" s="542" customFormat="1" outlineLevel="1">
      <c r="A363" s="102"/>
      <c r="B363" s="76" t="s">
        <v>173</v>
      </c>
      <c r="C363" s="1071"/>
      <c r="D363" s="1425"/>
      <c r="E363" s="1451"/>
      <c r="F363" s="1441" t="s">
        <v>41</v>
      </c>
      <c r="G363" s="1428"/>
      <c r="H363" s="1429"/>
      <c r="I363" s="1455"/>
      <c r="J363" s="1456"/>
      <c r="K363" s="1457"/>
      <c r="L363" s="1457"/>
      <c r="M363" s="1457"/>
      <c r="N363" s="1458"/>
      <c r="O363" s="1434">
        <f>SUM(O361:O362)</f>
        <v>0</v>
      </c>
      <c r="P363" s="1435">
        <f>SUM(P361:P362)</f>
        <v>0</v>
      </c>
      <c r="Q363" s="1435">
        <f>SUM(Q361:Q362)</f>
        <v>12.5</v>
      </c>
      <c r="R363" s="1435">
        <f>SUM(R361:R362)</f>
        <v>12.5</v>
      </c>
      <c r="S363" s="1423">
        <f>SUM(S361:S362)</f>
        <v>25</v>
      </c>
      <c r="T363" s="618" t="str">
        <f>IFERROR(INDEX('Annex 2_Code'!I$8:I$33,MATCH('Annex 3_MAFF'!$AG363,'Annex 2_Code'!$G$8:$G$33,0)),"")</f>
        <v/>
      </c>
      <c r="U363" s="618" t="str">
        <f>IFERROR(INDEX('Annex 2_Code'!J$8:J$33,MATCH('Annex 3_MAFF'!$AG363,'Annex 2_Code'!$G$8:$G$33,0)),"")</f>
        <v/>
      </c>
      <c r="V363" s="618" t="str">
        <f>IFERROR(INDEX('Annex 2_Code'!K$8:K$33,MATCH('Annex 3_MAFF'!$AG363,'Annex 2_Code'!$G$8:$G$33,0)),"")</f>
        <v/>
      </c>
      <c r="W363" s="618" t="str">
        <f>IFERROR(INDEX('Annex 2_Code'!L$8:L$33,MATCH('Annex 3_MAFF'!$AG363,'Annex 2_Code'!$G$8:$G$33,0)),"")</f>
        <v/>
      </c>
      <c r="X363" s="618" t="str">
        <f>IFERROR(INDEX('Annex 2_Code'!M$8:M$33,MATCH('Annex 3_MAFF'!$AG363,'Annex 2_Code'!$G$8:$G$33,0)),"")</f>
        <v/>
      </c>
      <c r="Y363" s="1536" t="str">
        <f t="shared" si="350"/>
        <v/>
      </c>
      <c r="Z363" s="717" t="str">
        <f t="shared" si="351"/>
        <v/>
      </c>
      <c r="AA363" s="717" t="str">
        <f t="shared" si="351"/>
        <v/>
      </c>
      <c r="AB363" s="717" t="str">
        <f t="shared" si="352"/>
        <v/>
      </c>
      <c r="AC363" s="718" t="str">
        <f t="shared" si="353"/>
        <v/>
      </c>
      <c r="AD363" s="626">
        <f t="shared" si="312"/>
        <v>0</v>
      </c>
      <c r="AE363" s="627">
        <f t="shared" si="313"/>
        <v>-25</v>
      </c>
      <c r="AF363" s="568"/>
      <c r="AG363" s="568"/>
      <c r="AH363" s="568" t="str">
        <f>IFERROR(INDEX('Annex 2_Code'!$J$110:$J$122,MATCH('Annex 3_MAFF'!AF363,'Annex 2_Code'!$G$110:$G$122,0)),"")</f>
        <v/>
      </c>
      <c r="AI363" s="882" t="str">
        <f t="shared" si="357"/>
        <v/>
      </c>
      <c r="AK363" s="1382"/>
      <c r="AL363" s="1382"/>
    </row>
    <row r="364" spans="1:39" s="542" customFormat="1" outlineLevel="1">
      <c r="A364" s="102"/>
      <c r="B364" s="76" t="s">
        <v>173</v>
      </c>
      <c r="C364" s="1071"/>
      <c r="D364" s="484"/>
      <c r="E364" s="97"/>
      <c r="F364" s="364" t="s">
        <v>109</v>
      </c>
      <c r="G364" s="722"/>
      <c r="H364" s="588" t="s">
        <v>14</v>
      </c>
      <c r="I364" s="566"/>
      <c r="J364" s="665"/>
      <c r="K364" s="666"/>
      <c r="L364" s="666"/>
      <c r="M364" s="666"/>
      <c r="N364" s="667"/>
      <c r="O364" s="688"/>
      <c r="P364" s="689"/>
      <c r="Q364" s="689"/>
      <c r="R364" s="689"/>
      <c r="S364" s="145" t="s">
        <v>14</v>
      </c>
      <c r="T364" s="618" t="str">
        <f>IFERROR(INDEX('Annex 2_Code'!I$8:I$33,MATCH('Annex 3_MAFF'!$AG364,'Annex 2_Code'!$G$8:$G$33,0)),"")</f>
        <v/>
      </c>
      <c r="U364" s="618" t="str">
        <f>IFERROR(INDEX('Annex 2_Code'!J$8:J$33,MATCH('Annex 3_MAFF'!$AG364,'Annex 2_Code'!$G$8:$G$33,0)),"")</f>
        <v/>
      </c>
      <c r="V364" s="618" t="str">
        <f>IFERROR(INDEX('Annex 2_Code'!K$8:K$33,MATCH('Annex 3_MAFF'!$AG364,'Annex 2_Code'!$G$8:$G$33,0)),"")</f>
        <v/>
      </c>
      <c r="W364" s="618" t="str">
        <f>IFERROR(INDEX('Annex 2_Code'!L$8:L$33,MATCH('Annex 3_MAFF'!$AG364,'Annex 2_Code'!$G$8:$G$33,0)),"")</f>
        <v/>
      </c>
      <c r="X364" s="618" t="str">
        <f>IFERROR(INDEX('Annex 2_Code'!M$8:M$33,MATCH('Annex 3_MAFF'!$AG364,'Annex 2_Code'!$G$8:$G$33,0)),"")</f>
        <v/>
      </c>
      <c r="Y364" s="1536" t="str">
        <f t="shared" si="350"/>
        <v/>
      </c>
      <c r="Z364" s="717" t="str">
        <f t="shared" si="351"/>
        <v/>
      </c>
      <c r="AA364" s="717" t="str">
        <f t="shared" si="351"/>
        <v/>
      </c>
      <c r="AB364" s="717" t="str">
        <f t="shared" si="352"/>
        <v/>
      </c>
      <c r="AC364" s="718" t="str">
        <f t="shared" si="353"/>
        <v/>
      </c>
      <c r="AD364" s="626">
        <f t="shared" si="312"/>
        <v>0</v>
      </c>
      <c r="AE364" s="627"/>
      <c r="AF364" s="568"/>
      <c r="AG364" s="568"/>
      <c r="AH364" s="568" t="str">
        <f>IFERROR(INDEX('Annex 2_Code'!$J$110:$J$122,MATCH('Annex 3_MAFF'!AF364,'Annex 2_Code'!$G$110:$G$122,0)),"")</f>
        <v/>
      </c>
      <c r="AI364" s="882" t="str">
        <f t="shared" si="357"/>
        <v/>
      </c>
      <c r="AK364" s="1382"/>
      <c r="AL364" s="1382"/>
    </row>
    <row r="365" spans="1:39" s="542" customFormat="1" outlineLevel="1">
      <c r="A365" s="102"/>
      <c r="B365" s="76" t="s">
        <v>25</v>
      </c>
      <c r="C365" s="1071" t="s">
        <v>302</v>
      </c>
      <c r="D365" s="484"/>
      <c r="E365" s="97"/>
      <c r="F365" s="364"/>
      <c r="G365" s="722" t="s">
        <v>110</v>
      </c>
      <c r="H365" s="588" t="s">
        <v>172</v>
      </c>
      <c r="I365" s="566">
        <f>6250/1000</f>
        <v>6.25</v>
      </c>
      <c r="J365" s="665">
        <v>0</v>
      </c>
      <c r="K365" s="666">
        <v>0</v>
      </c>
      <c r="L365" s="666">
        <v>1</v>
      </c>
      <c r="M365" s="666">
        <v>1</v>
      </c>
      <c r="N365" s="667">
        <f>SUM(J365:M365)</f>
        <v>2</v>
      </c>
      <c r="O365" s="688">
        <f>$I365*J365</f>
        <v>0</v>
      </c>
      <c r="P365" s="689">
        <f>$I365*K365</f>
        <v>0</v>
      </c>
      <c r="Q365" s="689">
        <f t="shared" ref="Q365:R368" si="358">$I365*L365</f>
        <v>6.25</v>
      </c>
      <c r="R365" s="689">
        <f t="shared" si="358"/>
        <v>6.25</v>
      </c>
      <c r="S365" s="145">
        <f>SUM(O365:R365)</f>
        <v>12.5</v>
      </c>
      <c r="T365" s="618">
        <f>IFERROR(INDEX('Annex 2_Code'!I$8:I$33,MATCH('Annex 3_MAFF'!$AG365,'Annex 2_Code'!$G$8:$G$33,0)),"")</f>
        <v>0</v>
      </c>
      <c r="U365" s="618">
        <f>IFERROR(INDEX('Annex 2_Code'!J$8:J$33,MATCH('Annex 3_MAFF'!$AG365,'Annex 2_Code'!$G$8:$G$33,0)),"")</f>
        <v>0</v>
      </c>
      <c r="V365" s="618">
        <f>IFERROR(INDEX('Annex 2_Code'!K$8:K$33,MATCH('Annex 3_MAFF'!$AG365,'Annex 2_Code'!$G$8:$G$33,0)),"")</f>
        <v>1</v>
      </c>
      <c r="W365" s="618">
        <f>IFERROR(INDEX('Annex 2_Code'!L$8:L$33,MATCH('Annex 3_MAFF'!$AG365,'Annex 2_Code'!$G$8:$G$33,0)),"")</f>
        <v>0</v>
      </c>
      <c r="X365" s="618">
        <f>IFERROR(INDEX('Annex 2_Code'!M$8:M$33,MATCH('Annex 3_MAFF'!$AG365,'Annex 2_Code'!$G$8:$G$33,0)),"")</f>
        <v>0</v>
      </c>
      <c r="Y365" s="1536">
        <f t="shared" si="350"/>
        <v>0</v>
      </c>
      <c r="Z365" s="717">
        <f t="shared" si="351"/>
        <v>0</v>
      </c>
      <c r="AA365" s="717">
        <f t="shared" si="351"/>
        <v>12.5</v>
      </c>
      <c r="AB365" s="717">
        <f t="shared" si="352"/>
        <v>0</v>
      </c>
      <c r="AC365" s="718">
        <f t="shared" si="353"/>
        <v>0</v>
      </c>
      <c r="AD365" s="626">
        <f t="shared" si="312"/>
        <v>12.5</v>
      </c>
      <c r="AE365" s="627">
        <f t="shared" si="313"/>
        <v>0</v>
      </c>
      <c r="AF365" s="568" t="s">
        <v>562</v>
      </c>
      <c r="AG365" s="568" t="s">
        <v>404</v>
      </c>
      <c r="AH365" s="568" t="str">
        <f>IFERROR(INDEX('Annex 2_Code'!$J$110:$J$127,MATCH('Annex 3_MAFF'!AF365,'Annex 2_Code'!$G$110:$G$127,0)),"")</f>
        <v>MAFF</v>
      </c>
      <c r="AI365" s="882" t="str">
        <f t="shared" si="357"/>
        <v>MAFF</v>
      </c>
      <c r="AK365" s="1382"/>
      <c r="AL365" s="1382"/>
    </row>
    <row r="366" spans="1:39" s="542" customFormat="1" outlineLevel="1">
      <c r="A366" s="102"/>
      <c r="B366" s="76" t="s">
        <v>25</v>
      </c>
      <c r="C366" s="1071" t="s">
        <v>302</v>
      </c>
      <c r="D366" s="484"/>
      <c r="E366" s="97"/>
      <c r="F366" s="364"/>
      <c r="G366" s="722" t="s">
        <v>53</v>
      </c>
      <c r="H366" s="588" t="s">
        <v>172</v>
      </c>
      <c r="I366" s="566">
        <f>2000/1000</f>
        <v>2</v>
      </c>
      <c r="J366" s="665">
        <v>0</v>
      </c>
      <c r="K366" s="666">
        <v>0</v>
      </c>
      <c r="L366" s="666">
        <v>1</v>
      </c>
      <c r="M366" s="666">
        <v>1</v>
      </c>
      <c r="N366" s="667">
        <f>SUM(J366:M366)</f>
        <v>2</v>
      </c>
      <c r="O366" s="688">
        <f t="shared" ref="O366:O368" si="359">$I366*J366</f>
        <v>0</v>
      </c>
      <c r="P366" s="689">
        <f t="shared" ref="P366:P368" si="360">$I366*K366</f>
        <v>0</v>
      </c>
      <c r="Q366" s="689">
        <f t="shared" si="358"/>
        <v>2</v>
      </c>
      <c r="R366" s="689">
        <f t="shared" si="358"/>
        <v>2</v>
      </c>
      <c r="S366" s="145">
        <f>SUM(O366:R366)</f>
        <v>4</v>
      </c>
      <c r="T366" s="618">
        <f>IFERROR(INDEX('Annex 2_Code'!I$8:I$33,MATCH('Annex 3_MAFF'!$AG366,'Annex 2_Code'!$G$8:$G$33,0)),"")</f>
        <v>0</v>
      </c>
      <c r="U366" s="618">
        <f>IFERROR(INDEX('Annex 2_Code'!J$8:J$33,MATCH('Annex 3_MAFF'!$AG366,'Annex 2_Code'!$G$8:$G$33,0)),"")</f>
        <v>0</v>
      </c>
      <c r="V366" s="618">
        <f>IFERROR(INDEX('Annex 2_Code'!K$8:K$33,MATCH('Annex 3_MAFF'!$AG366,'Annex 2_Code'!$G$8:$G$33,0)),"")</f>
        <v>1</v>
      </c>
      <c r="W366" s="618">
        <f>IFERROR(INDEX('Annex 2_Code'!L$8:L$33,MATCH('Annex 3_MAFF'!$AG366,'Annex 2_Code'!$G$8:$G$33,0)),"")</f>
        <v>0</v>
      </c>
      <c r="X366" s="618">
        <f>IFERROR(INDEX('Annex 2_Code'!M$8:M$33,MATCH('Annex 3_MAFF'!$AG366,'Annex 2_Code'!$G$8:$G$33,0)),"")</f>
        <v>0</v>
      </c>
      <c r="Y366" s="1536">
        <f t="shared" si="350"/>
        <v>0</v>
      </c>
      <c r="Z366" s="717">
        <f t="shared" si="351"/>
        <v>0</v>
      </c>
      <c r="AA366" s="717">
        <f t="shared" si="351"/>
        <v>4</v>
      </c>
      <c r="AB366" s="717">
        <f t="shared" si="352"/>
        <v>0</v>
      </c>
      <c r="AC366" s="718">
        <f t="shared" si="353"/>
        <v>0</v>
      </c>
      <c r="AD366" s="626">
        <f t="shared" si="312"/>
        <v>4</v>
      </c>
      <c r="AE366" s="627">
        <f t="shared" si="313"/>
        <v>0</v>
      </c>
      <c r="AF366" s="568" t="s">
        <v>562</v>
      </c>
      <c r="AG366" s="568" t="s">
        <v>404</v>
      </c>
      <c r="AH366" s="568" t="str">
        <f>IFERROR(INDEX('Annex 2_Code'!$J$110:$J$127,MATCH('Annex 3_MAFF'!AF366,'Annex 2_Code'!$G$110:$G$127,0)),"")</f>
        <v>MAFF</v>
      </c>
      <c r="AI366" s="882" t="str">
        <f t="shared" si="357"/>
        <v>MAFF</v>
      </c>
      <c r="AK366" s="1382"/>
      <c r="AL366" s="1382"/>
    </row>
    <row r="367" spans="1:39" s="542" customFormat="1" outlineLevel="1">
      <c r="A367" s="102"/>
      <c r="B367" s="76" t="s">
        <v>25</v>
      </c>
      <c r="C367" s="1071" t="s">
        <v>302</v>
      </c>
      <c r="D367" s="484"/>
      <c r="E367" s="97"/>
      <c r="F367" s="364"/>
      <c r="G367" s="722" t="s">
        <v>111</v>
      </c>
      <c r="H367" s="588" t="s">
        <v>172</v>
      </c>
      <c r="I367" s="566">
        <f>11380/1000</f>
        <v>11.38</v>
      </c>
      <c r="J367" s="665">
        <v>0</v>
      </c>
      <c r="K367" s="666">
        <v>0</v>
      </c>
      <c r="L367" s="666">
        <v>1</v>
      </c>
      <c r="M367" s="666">
        <v>1</v>
      </c>
      <c r="N367" s="667">
        <f>SUM(J367:M367)</f>
        <v>2</v>
      </c>
      <c r="O367" s="688">
        <f t="shared" si="359"/>
        <v>0</v>
      </c>
      <c r="P367" s="689">
        <f t="shared" si="360"/>
        <v>0</v>
      </c>
      <c r="Q367" s="689">
        <f t="shared" si="358"/>
        <v>11.38</v>
      </c>
      <c r="R367" s="689">
        <f t="shared" si="358"/>
        <v>11.38</v>
      </c>
      <c r="S367" s="145">
        <f>SUM(O367:R367)</f>
        <v>22.76</v>
      </c>
      <c r="T367" s="618">
        <f>IFERROR(INDEX('Annex 2_Code'!I$8:I$33,MATCH('Annex 3_MAFF'!$AG367,'Annex 2_Code'!$G$8:$G$33,0)),"")</f>
        <v>0</v>
      </c>
      <c r="U367" s="618">
        <f>IFERROR(INDEX('Annex 2_Code'!J$8:J$33,MATCH('Annex 3_MAFF'!$AG367,'Annex 2_Code'!$G$8:$G$33,0)),"")</f>
        <v>0</v>
      </c>
      <c r="V367" s="618">
        <f>IFERROR(INDEX('Annex 2_Code'!K$8:K$33,MATCH('Annex 3_MAFF'!$AG367,'Annex 2_Code'!$G$8:$G$33,0)),"")</f>
        <v>1</v>
      </c>
      <c r="W367" s="618">
        <f>IFERROR(INDEX('Annex 2_Code'!L$8:L$33,MATCH('Annex 3_MAFF'!$AG367,'Annex 2_Code'!$G$8:$G$33,0)),"")</f>
        <v>0</v>
      </c>
      <c r="X367" s="618">
        <f>IFERROR(INDEX('Annex 2_Code'!M$8:M$33,MATCH('Annex 3_MAFF'!$AG367,'Annex 2_Code'!$G$8:$G$33,0)),"")</f>
        <v>0</v>
      </c>
      <c r="Y367" s="1536">
        <f t="shared" si="350"/>
        <v>0</v>
      </c>
      <c r="Z367" s="717">
        <f t="shared" si="351"/>
        <v>0</v>
      </c>
      <c r="AA367" s="717">
        <f t="shared" si="351"/>
        <v>22.76</v>
      </c>
      <c r="AB367" s="717">
        <f t="shared" si="352"/>
        <v>0</v>
      </c>
      <c r="AC367" s="718">
        <f t="shared" si="353"/>
        <v>0</v>
      </c>
      <c r="AD367" s="626">
        <f t="shared" si="312"/>
        <v>22.76</v>
      </c>
      <c r="AE367" s="627">
        <f t="shared" si="313"/>
        <v>0</v>
      </c>
      <c r="AF367" s="568" t="s">
        <v>562</v>
      </c>
      <c r="AG367" s="568" t="s">
        <v>404</v>
      </c>
      <c r="AH367" s="568" t="str">
        <f>IFERROR(INDEX('Annex 2_Code'!$J$110:$J$127,MATCH('Annex 3_MAFF'!AF367,'Annex 2_Code'!$G$110:$G$127,0)),"")</f>
        <v>MAFF</v>
      </c>
      <c r="AI367" s="882" t="str">
        <f t="shared" si="357"/>
        <v>MAFF</v>
      </c>
      <c r="AK367" s="1382"/>
      <c r="AL367" s="1382"/>
    </row>
    <row r="368" spans="1:39" s="542" customFormat="1" outlineLevel="1">
      <c r="A368" s="102"/>
      <c r="B368" s="76" t="s">
        <v>25</v>
      </c>
      <c r="C368" s="1071" t="s">
        <v>302</v>
      </c>
      <c r="D368" s="484"/>
      <c r="E368" s="97"/>
      <c r="F368" s="364"/>
      <c r="G368" s="722" t="s">
        <v>112</v>
      </c>
      <c r="H368" s="588" t="s">
        <v>172</v>
      </c>
      <c r="I368" s="566">
        <v>0</v>
      </c>
      <c r="J368" s="665">
        <v>0</v>
      </c>
      <c r="K368" s="666">
        <v>0</v>
      </c>
      <c r="L368" s="666">
        <v>0</v>
      </c>
      <c r="M368" s="666">
        <v>0</v>
      </c>
      <c r="N368" s="667">
        <v>0</v>
      </c>
      <c r="O368" s="688">
        <f t="shared" si="359"/>
        <v>0</v>
      </c>
      <c r="P368" s="689">
        <f t="shared" si="360"/>
        <v>0</v>
      </c>
      <c r="Q368" s="689">
        <f t="shared" si="358"/>
        <v>0</v>
      </c>
      <c r="R368" s="689">
        <f t="shared" si="358"/>
        <v>0</v>
      </c>
      <c r="S368" s="145">
        <f>SUM(O368:R368)</f>
        <v>0</v>
      </c>
      <c r="T368" s="618">
        <f>IFERROR(INDEX('Annex 2_Code'!I$8:I$33,MATCH('Annex 3_MAFF'!$AG368,'Annex 2_Code'!$G$8:$G$33,0)),"")</f>
        <v>0</v>
      </c>
      <c r="U368" s="618">
        <f>IFERROR(INDEX('Annex 2_Code'!J$8:J$33,MATCH('Annex 3_MAFF'!$AG368,'Annex 2_Code'!$G$8:$G$33,0)),"")</f>
        <v>0</v>
      </c>
      <c r="V368" s="618">
        <f>IFERROR(INDEX('Annex 2_Code'!K$8:K$33,MATCH('Annex 3_MAFF'!$AG368,'Annex 2_Code'!$G$8:$G$33,0)),"")</f>
        <v>1</v>
      </c>
      <c r="W368" s="618">
        <f>IFERROR(INDEX('Annex 2_Code'!L$8:L$33,MATCH('Annex 3_MAFF'!$AG368,'Annex 2_Code'!$G$8:$G$33,0)),"")</f>
        <v>0</v>
      </c>
      <c r="X368" s="618">
        <f>IFERROR(INDEX('Annex 2_Code'!M$8:M$33,MATCH('Annex 3_MAFF'!$AG368,'Annex 2_Code'!$G$8:$G$33,0)),"")</f>
        <v>0</v>
      </c>
      <c r="Y368" s="1536">
        <f t="shared" si="350"/>
        <v>0</v>
      </c>
      <c r="Z368" s="717">
        <f t="shared" si="351"/>
        <v>0</v>
      </c>
      <c r="AA368" s="717">
        <f t="shared" si="351"/>
        <v>0</v>
      </c>
      <c r="AB368" s="717">
        <f t="shared" si="352"/>
        <v>0</v>
      </c>
      <c r="AC368" s="718">
        <f t="shared" si="353"/>
        <v>0</v>
      </c>
      <c r="AD368" s="626">
        <f t="shared" si="312"/>
        <v>0</v>
      </c>
      <c r="AE368" s="627">
        <f t="shared" si="313"/>
        <v>0</v>
      </c>
      <c r="AF368" s="568" t="s">
        <v>562</v>
      </c>
      <c r="AG368" s="569" t="s">
        <v>378</v>
      </c>
      <c r="AH368" s="568" t="str">
        <f>IFERROR(INDEX('Annex 2_Code'!$J$110:$J$127,MATCH('Annex 3_MAFF'!AF368,'Annex 2_Code'!$G$110:$G$127,0)),"")</f>
        <v>MAFF</v>
      </c>
      <c r="AI368" s="882" t="str">
        <f t="shared" si="357"/>
        <v>MAFF</v>
      </c>
      <c r="AK368" s="1382"/>
      <c r="AL368" s="1382"/>
    </row>
    <row r="369" spans="1:41" s="542" customFormat="1" outlineLevel="1">
      <c r="A369" s="102"/>
      <c r="B369" s="76" t="s">
        <v>173</v>
      </c>
      <c r="C369" s="1071"/>
      <c r="D369" s="1425"/>
      <c r="E369" s="1451"/>
      <c r="F369" s="1441" t="s">
        <v>41</v>
      </c>
      <c r="G369" s="1428"/>
      <c r="H369" s="1429"/>
      <c r="I369" s="1455"/>
      <c r="J369" s="1456">
        <f>SUM(J365:J368)</f>
        <v>0</v>
      </c>
      <c r="K369" s="1457">
        <f>SUM(K365:K368)</f>
        <v>0</v>
      </c>
      <c r="L369" s="1457">
        <f>SUM(L365:L368)</f>
        <v>3</v>
      </c>
      <c r="M369" s="1457">
        <f>SUM(M365:M368)</f>
        <v>3</v>
      </c>
      <c r="N369" s="1458">
        <f t="shared" ref="N369" si="361">SUM(N365:N368)</f>
        <v>6</v>
      </c>
      <c r="O369" s="1434">
        <f>SUM(O365:O368)</f>
        <v>0</v>
      </c>
      <c r="P369" s="1435">
        <f>SUM(P365:P368)</f>
        <v>0</v>
      </c>
      <c r="Q369" s="1435">
        <f>SUM(Q365:Q368)</f>
        <v>19.630000000000003</v>
      </c>
      <c r="R369" s="1435">
        <f>SUM(R365:R368)</f>
        <v>19.630000000000003</v>
      </c>
      <c r="S369" s="1423">
        <f>SUM(S365:S368)</f>
        <v>39.260000000000005</v>
      </c>
      <c r="T369" s="618" t="str">
        <f>IFERROR(INDEX('Annex 2_Code'!I$8:I$33,MATCH('Annex 3_MAFF'!$AG369,'Annex 2_Code'!$G$8:$G$33,0)),"")</f>
        <v/>
      </c>
      <c r="U369" s="618" t="str">
        <f>IFERROR(INDEX('Annex 2_Code'!J$8:J$33,MATCH('Annex 3_MAFF'!$AG369,'Annex 2_Code'!$G$8:$G$33,0)),"")</f>
        <v/>
      </c>
      <c r="V369" s="618" t="str">
        <f>IFERROR(INDEX('Annex 2_Code'!K$8:K$33,MATCH('Annex 3_MAFF'!$AG369,'Annex 2_Code'!$G$8:$G$33,0)),"")</f>
        <v/>
      </c>
      <c r="W369" s="618" t="str">
        <f>IFERROR(INDEX('Annex 2_Code'!L$8:L$33,MATCH('Annex 3_MAFF'!$AG369,'Annex 2_Code'!$G$8:$G$33,0)),"")</f>
        <v/>
      </c>
      <c r="X369" s="618" t="str">
        <f>IFERROR(INDEX('Annex 2_Code'!M$8:M$33,MATCH('Annex 3_MAFF'!$AG369,'Annex 2_Code'!$G$8:$G$33,0)),"")</f>
        <v/>
      </c>
      <c r="Y369" s="1536" t="str">
        <f t="shared" si="350"/>
        <v/>
      </c>
      <c r="Z369" s="717" t="str">
        <f t="shared" si="351"/>
        <v/>
      </c>
      <c r="AA369" s="717" t="str">
        <f t="shared" si="351"/>
        <v/>
      </c>
      <c r="AB369" s="717" t="str">
        <f t="shared" si="352"/>
        <v/>
      </c>
      <c r="AC369" s="718" t="str">
        <f t="shared" si="353"/>
        <v/>
      </c>
      <c r="AD369" s="626">
        <f t="shared" si="312"/>
        <v>0</v>
      </c>
      <c r="AE369" s="627">
        <f t="shared" si="313"/>
        <v>-39.260000000000005</v>
      </c>
      <c r="AF369" s="568"/>
      <c r="AG369" s="568"/>
      <c r="AH369" s="568" t="str">
        <f>IFERROR(INDEX('Annex 2_Code'!$J$110:$J$122,MATCH('Annex 3_MAFF'!AF369,'Annex 2_Code'!$G$110:$G$122,0)),"")</f>
        <v/>
      </c>
      <c r="AI369" s="882" t="str">
        <f t="shared" si="357"/>
        <v/>
      </c>
      <c r="AK369" s="1382"/>
      <c r="AL369" s="1382"/>
    </row>
    <row r="370" spans="1:41" s="542" customFormat="1" outlineLevel="1">
      <c r="A370" s="102"/>
      <c r="B370" s="76" t="s">
        <v>173</v>
      </c>
      <c r="C370" s="1071"/>
      <c r="D370" s="484"/>
      <c r="E370" s="97"/>
      <c r="F370" s="364" t="s">
        <v>113</v>
      </c>
      <c r="G370" s="722"/>
      <c r="H370" s="588" t="s">
        <v>14</v>
      </c>
      <c r="I370" s="566"/>
      <c r="J370" s="665"/>
      <c r="K370" s="666"/>
      <c r="L370" s="666"/>
      <c r="M370" s="666"/>
      <c r="N370" s="667"/>
      <c r="O370" s="688"/>
      <c r="P370" s="689"/>
      <c r="Q370" s="689"/>
      <c r="R370" s="689"/>
      <c r="S370" s="145" t="s">
        <v>14</v>
      </c>
      <c r="T370" s="618" t="str">
        <f>IFERROR(INDEX('Annex 2_Code'!I$8:I$33,MATCH('Annex 3_MAFF'!$AG370,'Annex 2_Code'!$G$8:$G$33,0)),"")</f>
        <v/>
      </c>
      <c r="U370" s="618" t="str">
        <f>IFERROR(INDEX('Annex 2_Code'!J$8:J$33,MATCH('Annex 3_MAFF'!$AG370,'Annex 2_Code'!$G$8:$G$33,0)),"")</f>
        <v/>
      </c>
      <c r="V370" s="618" t="str">
        <f>IFERROR(INDEX('Annex 2_Code'!K$8:K$33,MATCH('Annex 3_MAFF'!$AG370,'Annex 2_Code'!$G$8:$G$33,0)),"")</f>
        <v/>
      </c>
      <c r="W370" s="618" t="str">
        <f>IFERROR(INDEX('Annex 2_Code'!L$8:L$33,MATCH('Annex 3_MAFF'!$AG370,'Annex 2_Code'!$G$8:$G$33,0)),"")</f>
        <v/>
      </c>
      <c r="X370" s="618" t="str">
        <f>IFERROR(INDEX('Annex 2_Code'!M$8:M$33,MATCH('Annex 3_MAFF'!$AG370,'Annex 2_Code'!$G$8:$G$33,0)),"")</f>
        <v/>
      </c>
      <c r="Y370" s="1536" t="str">
        <f t="shared" si="350"/>
        <v/>
      </c>
      <c r="Z370" s="717" t="str">
        <f t="shared" si="351"/>
        <v/>
      </c>
      <c r="AA370" s="717" t="str">
        <f t="shared" si="351"/>
        <v/>
      </c>
      <c r="AB370" s="717" t="str">
        <f t="shared" si="352"/>
        <v/>
      </c>
      <c r="AC370" s="718" t="str">
        <f t="shared" si="353"/>
        <v/>
      </c>
      <c r="AD370" s="626">
        <f t="shared" si="312"/>
        <v>0</v>
      </c>
      <c r="AE370" s="627"/>
      <c r="AF370" s="568"/>
      <c r="AG370" s="568"/>
      <c r="AH370" s="568" t="str">
        <f>IFERROR(INDEX('Annex 2_Code'!$J$110:$J$122,MATCH('Annex 3_MAFF'!AF370,'Annex 2_Code'!$G$110:$G$122,0)),"")</f>
        <v/>
      </c>
      <c r="AI370" s="882" t="str">
        <f t="shared" si="357"/>
        <v/>
      </c>
      <c r="AK370" s="1382"/>
      <c r="AL370" s="1382"/>
    </row>
    <row r="371" spans="1:41" s="542" customFormat="1" outlineLevel="1">
      <c r="A371" s="102"/>
      <c r="B371" s="76" t="s">
        <v>25</v>
      </c>
      <c r="C371" s="1071" t="s">
        <v>302</v>
      </c>
      <c r="D371" s="484"/>
      <c r="E371" s="97"/>
      <c r="F371" s="364"/>
      <c r="G371" s="722" t="s">
        <v>114</v>
      </c>
      <c r="H371" s="588" t="s">
        <v>172</v>
      </c>
      <c r="I371" s="566">
        <f>6000/1000</f>
        <v>6</v>
      </c>
      <c r="J371" s="665">
        <v>0</v>
      </c>
      <c r="K371" s="666">
        <v>0</v>
      </c>
      <c r="L371" s="666">
        <v>1</v>
      </c>
      <c r="M371" s="666">
        <v>1</v>
      </c>
      <c r="N371" s="667">
        <f>SUM(J371:M371)</f>
        <v>2</v>
      </c>
      <c r="O371" s="1103">
        <f>($I371*J371)</f>
        <v>0</v>
      </c>
      <c r="P371" s="689">
        <f>($I371*K371)</f>
        <v>0</v>
      </c>
      <c r="Q371" s="689">
        <f t="shared" ref="Q371:R374" si="362">($I371*L371)</f>
        <v>6</v>
      </c>
      <c r="R371" s="689">
        <f t="shared" si="362"/>
        <v>6</v>
      </c>
      <c r="S371" s="145">
        <f>SUM(O371:R371)</f>
        <v>12</v>
      </c>
      <c r="T371" s="618">
        <f>IFERROR(INDEX('Annex 2_Code'!I$8:I$33,MATCH('Annex 3_MAFF'!$AG371,'Annex 2_Code'!$G$8:$G$33,0)),"")</f>
        <v>0</v>
      </c>
      <c r="U371" s="618">
        <f>IFERROR(INDEX('Annex 2_Code'!J$8:J$33,MATCH('Annex 3_MAFF'!$AG371,'Annex 2_Code'!$G$8:$G$33,0)),"")</f>
        <v>0</v>
      </c>
      <c r="V371" s="618">
        <f>IFERROR(INDEX('Annex 2_Code'!K$8:K$33,MATCH('Annex 3_MAFF'!$AG371,'Annex 2_Code'!$G$8:$G$33,0)),"")</f>
        <v>1</v>
      </c>
      <c r="W371" s="618">
        <f>IFERROR(INDEX('Annex 2_Code'!L$8:L$33,MATCH('Annex 3_MAFF'!$AG371,'Annex 2_Code'!$G$8:$G$33,0)),"")</f>
        <v>0</v>
      </c>
      <c r="X371" s="618">
        <f>IFERROR(INDEX('Annex 2_Code'!M$8:M$33,MATCH('Annex 3_MAFF'!$AG371,'Annex 2_Code'!$G$8:$G$33,0)),"")</f>
        <v>0</v>
      </c>
      <c r="Y371" s="1536">
        <f t="shared" si="350"/>
        <v>0</v>
      </c>
      <c r="Z371" s="717">
        <f t="shared" si="351"/>
        <v>0</v>
      </c>
      <c r="AA371" s="717">
        <f t="shared" si="351"/>
        <v>12</v>
      </c>
      <c r="AB371" s="717">
        <f t="shared" si="352"/>
        <v>0</v>
      </c>
      <c r="AC371" s="718">
        <f t="shared" si="353"/>
        <v>0</v>
      </c>
      <c r="AD371" s="626">
        <f t="shared" si="312"/>
        <v>12</v>
      </c>
      <c r="AE371" s="627">
        <f t="shared" si="313"/>
        <v>0</v>
      </c>
      <c r="AF371" s="568" t="s">
        <v>562</v>
      </c>
      <c r="AG371" s="568" t="s">
        <v>404</v>
      </c>
      <c r="AH371" s="568" t="str">
        <f>IFERROR(INDEX('Annex 2_Code'!$J$110:$J$127,MATCH('Annex 3_MAFF'!AF371,'Annex 2_Code'!$G$110:$G$127,0)),"")</f>
        <v>MAFF</v>
      </c>
      <c r="AI371" s="882" t="str">
        <f t="shared" si="357"/>
        <v>MAFF</v>
      </c>
      <c r="AK371" s="1382"/>
      <c r="AL371" s="1382"/>
    </row>
    <row r="372" spans="1:41" s="542" customFormat="1" outlineLevel="1">
      <c r="A372" s="102"/>
      <c r="B372" s="76" t="s">
        <v>25</v>
      </c>
      <c r="C372" s="1071" t="s">
        <v>302</v>
      </c>
      <c r="D372" s="484"/>
      <c r="E372" s="97"/>
      <c r="F372" s="364"/>
      <c r="G372" s="722" t="s">
        <v>115</v>
      </c>
      <c r="H372" s="588" t="s">
        <v>172</v>
      </c>
      <c r="I372" s="566">
        <f>3000/1000</f>
        <v>3</v>
      </c>
      <c r="J372" s="665">
        <v>0</v>
      </c>
      <c r="K372" s="666">
        <v>0</v>
      </c>
      <c r="L372" s="666">
        <v>1</v>
      </c>
      <c r="M372" s="666">
        <v>1</v>
      </c>
      <c r="N372" s="667">
        <f>SUM(J372:M372)</f>
        <v>2</v>
      </c>
      <c r="O372" s="1103">
        <f t="shared" ref="O372:O374" si="363">($I372*J372)</f>
        <v>0</v>
      </c>
      <c r="P372" s="689">
        <f t="shared" ref="P372:P374" si="364">($I372*K372)</f>
        <v>0</v>
      </c>
      <c r="Q372" s="689">
        <f t="shared" si="362"/>
        <v>3</v>
      </c>
      <c r="R372" s="689">
        <f t="shared" si="362"/>
        <v>3</v>
      </c>
      <c r="S372" s="145">
        <f>SUM(O372:R372)</f>
        <v>6</v>
      </c>
      <c r="T372" s="618">
        <f>IFERROR(INDEX('Annex 2_Code'!I$8:I$33,MATCH('Annex 3_MAFF'!$AG372,'Annex 2_Code'!$G$8:$G$33,0)),"")</f>
        <v>0</v>
      </c>
      <c r="U372" s="618">
        <f>IFERROR(INDEX('Annex 2_Code'!J$8:J$33,MATCH('Annex 3_MAFF'!$AG372,'Annex 2_Code'!$G$8:$G$33,0)),"")</f>
        <v>0</v>
      </c>
      <c r="V372" s="618">
        <f>IFERROR(INDEX('Annex 2_Code'!K$8:K$33,MATCH('Annex 3_MAFF'!$AG372,'Annex 2_Code'!$G$8:$G$33,0)),"")</f>
        <v>1</v>
      </c>
      <c r="W372" s="618">
        <f>IFERROR(INDEX('Annex 2_Code'!L$8:L$33,MATCH('Annex 3_MAFF'!$AG372,'Annex 2_Code'!$G$8:$G$33,0)),"")</f>
        <v>0</v>
      </c>
      <c r="X372" s="618">
        <f>IFERROR(INDEX('Annex 2_Code'!M$8:M$33,MATCH('Annex 3_MAFF'!$AG372,'Annex 2_Code'!$G$8:$G$33,0)),"")</f>
        <v>0</v>
      </c>
      <c r="Y372" s="1536">
        <f t="shared" si="350"/>
        <v>0</v>
      </c>
      <c r="Z372" s="717">
        <f t="shared" si="351"/>
        <v>0</v>
      </c>
      <c r="AA372" s="717">
        <f t="shared" si="351"/>
        <v>6</v>
      </c>
      <c r="AB372" s="717">
        <f t="shared" si="352"/>
        <v>0</v>
      </c>
      <c r="AC372" s="718">
        <f t="shared" si="353"/>
        <v>0</v>
      </c>
      <c r="AD372" s="626">
        <f t="shared" si="312"/>
        <v>6</v>
      </c>
      <c r="AE372" s="627">
        <f t="shared" si="313"/>
        <v>0</v>
      </c>
      <c r="AF372" s="568" t="s">
        <v>562</v>
      </c>
      <c r="AG372" s="568" t="s">
        <v>404</v>
      </c>
      <c r="AH372" s="568" t="str">
        <f>IFERROR(INDEX('Annex 2_Code'!$J$110:$J$127,MATCH('Annex 3_MAFF'!AF372,'Annex 2_Code'!$G$110:$G$127,0)),"")</f>
        <v>MAFF</v>
      </c>
      <c r="AI372" s="882" t="str">
        <f t="shared" si="357"/>
        <v>MAFF</v>
      </c>
      <c r="AK372" s="1382"/>
      <c r="AL372" s="1382"/>
    </row>
    <row r="373" spans="1:41" s="542" customFormat="1" outlineLevel="1">
      <c r="A373" s="102"/>
      <c r="B373" s="76" t="s">
        <v>25</v>
      </c>
      <c r="C373" s="1071" t="s">
        <v>302</v>
      </c>
      <c r="D373" s="484"/>
      <c r="E373" s="97"/>
      <c r="F373" s="364"/>
      <c r="G373" s="722" t="s">
        <v>101</v>
      </c>
      <c r="H373" s="588" t="s">
        <v>172</v>
      </c>
      <c r="I373" s="566">
        <f>39600/1000</f>
        <v>39.6</v>
      </c>
      <c r="J373" s="665">
        <v>0</v>
      </c>
      <c r="K373" s="666">
        <v>0</v>
      </c>
      <c r="L373" s="666">
        <v>1</v>
      </c>
      <c r="M373" s="666">
        <v>1</v>
      </c>
      <c r="N373" s="667">
        <f>SUM(J373:M373)</f>
        <v>2</v>
      </c>
      <c r="O373" s="1103">
        <f t="shared" si="363"/>
        <v>0</v>
      </c>
      <c r="P373" s="689">
        <f t="shared" si="364"/>
        <v>0</v>
      </c>
      <c r="Q373" s="689">
        <f t="shared" si="362"/>
        <v>39.6</v>
      </c>
      <c r="R373" s="689">
        <f t="shared" si="362"/>
        <v>39.6</v>
      </c>
      <c r="S373" s="145">
        <f>SUM(O373:R373)</f>
        <v>79.2</v>
      </c>
      <c r="T373" s="618">
        <f>IFERROR(INDEX('Annex 2_Code'!I$8:I$33,MATCH('Annex 3_MAFF'!$AG373,'Annex 2_Code'!$G$8:$G$33,0)),"")</f>
        <v>0</v>
      </c>
      <c r="U373" s="618">
        <f>IFERROR(INDEX('Annex 2_Code'!J$8:J$33,MATCH('Annex 3_MAFF'!$AG373,'Annex 2_Code'!$G$8:$G$33,0)),"")</f>
        <v>0</v>
      </c>
      <c r="V373" s="618">
        <f>IFERROR(INDEX('Annex 2_Code'!K$8:K$33,MATCH('Annex 3_MAFF'!$AG373,'Annex 2_Code'!$G$8:$G$33,0)),"")</f>
        <v>1</v>
      </c>
      <c r="W373" s="618">
        <f>IFERROR(INDEX('Annex 2_Code'!L$8:L$33,MATCH('Annex 3_MAFF'!$AG373,'Annex 2_Code'!$G$8:$G$33,0)),"")</f>
        <v>0</v>
      </c>
      <c r="X373" s="618">
        <f>IFERROR(INDEX('Annex 2_Code'!M$8:M$33,MATCH('Annex 3_MAFF'!$AG373,'Annex 2_Code'!$G$8:$G$33,0)),"")</f>
        <v>0</v>
      </c>
      <c r="Y373" s="1536">
        <f t="shared" si="350"/>
        <v>0</v>
      </c>
      <c r="Z373" s="717">
        <f t="shared" si="351"/>
        <v>0</v>
      </c>
      <c r="AA373" s="717">
        <f t="shared" si="351"/>
        <v>79.2</v>
      </c>
      <c r="AB373" s="717">
        <f t="shared" si="352"/>
        <v>0</v>
      </c>
      <c r="AC373" s="718">
        <f t="shared" si="353"/>
        <v>0</v>
      </c>
      <c r="AD373" s="626">
        <f t="shared" si="312"/>
        <v>79.2</v>
      </c>
      <c r="AE373" s="627">
        <f t="shared" si="313"/>
        <v>0</v>
      </c>
      <c r="AF373" s="568" t="s">
        <v>562</v>
      </c>
      <c r="AG373" s="568" t="s">
        <v>404</v>
      </c>
      <c r="AH373" s="568" t="str">
        <f>IFERROR(INDEX('Annex 2_Code'!$J$110:$J$127,MATCH('Annex 3_MAFF'!AF373,'Annex 2_Code'!$G$110:$G$127,0)),"")</f>
        <v>MAFF</v>
      </c>
      <c r="AI373" s="882" t="str">
        <f t="shared" si="357"/>
        <v>MAFF</v>
      </c>
      <c r="AK373" s="1382"/>
      <c r="AL373" s="1382"/>
    </row>
    <row r="374" spans="1:41" s="542" customFormat="1" outlineLevel="1">
      <c r="A374" s="102"/>
      <c r="B374" s="76" t="s">
        <v>25</v>
      </c>
      <c r="C374" s="1071" t="s">
        <v>302</v>
      </c>
      <c r="D374" s="484"/>
      <c r="E374" s="97"/>
      <c r="F374" s="364"/>
      <c r="G374" s="722" t="s">
        <v>116</v>
      </c>
      <c r="H374" s="588" t="s">
        <v>172</v>
      </c>
      <c r="I374" s="566">
        <f>10800/1000</f>
        <v>10.8</v>
      </c>
      <c r="J374" s="665">
        <v>0</v>
      </c>
      <c r="K374" s="666">
        <v>0</v>
      </c>
      <c r="L374" s="666">
        <v>1</v>
      </c>
      <c r="M374" s="666">
        <v>1</v>
      </c>
      <c r="N374" s="667">
        <f>SUM(J374:M374)</f>
        <v>2</v>
      </c>
      <c r="O374" s="1103">
        <f t="shared" si="363"/>
        <v>0</v>
      </c>
      <c r="P374" s="689">
        <f t="shared" si="364"/>
        <v>0</v>
      </c>
      <c r="Q374" s="689">
        <f t="shared" si="362"/>
        <v>10.8</v>
      </c>
      <c r="R374" s="689">
        <f t="shared" si="362"/>
        <v>10.8</v>
      </c>
      <c r="S374" s="145">
        <f>SUM(O374:R374)</f>
        <v>21.6</v>
      </c>
      <c r="T374" s="618">
        <f>IFERROR(INDEX('Annex 2_Code'!I$8:I$33,MATCH('Annex 3_MAFF'!$AG374,'Annex 2_Code'!$G$8:$G$33,0)),"")</f>
        <v>0</v>
      </c>
      <c r="U374" s="618">
        <f>IFERROR(INDEX('Annex 2_Code'!J$8:J$33,MATCH('Annex 3_MAFF'!$AG374,'Annex 2_Code'!$G$8:$G$33,0)),"")</f>
        <v>0</v>
      </c>
      <c r="V374" s="618">
        <f>IFERROR(INDEX('Annex 2_Code'!K$8:K$33,MATCH('Annex 3_MAFF'!$AG374,'Annex 2_Code'!$G$8:$G$33,0)),"")</f>
        <v>1</v>
      </c>
      <c r="W374" s="618">
        <f>IFERROR(INDEX('Annex 2_Code'!L$8:L$33,MATCH('Annex 3_MAFF'!$AG374,'Annex 2_Code'!$G$8:$G$33,0)),"")</f>
        <v>0</v>
      </c>
      <c r="X374" s="618">
        <f>IFERROR(INDEX('Annex 2_Code'!M$8:M$33,MATCH('Annex 3_MAFF'!$AG374,'Annex 2_Code'!$G$8:$G$33,0)),"")</f>
        <v>0</v>
      </c>
      <c r="Y374" s="1536">
        <f t="shared" si="350"/>
        <v>0</v>
      </c>
      <c r="Z374" s="717">
        <f t="shared" si="351"/>
        <v>0</v>
      </c>
      <c r="AA374" s="717">
        <f t="shared" si="351"/>
        <v>21.6</v>
      </c>
      <c r="AB374" s="717">
        <f t="shared" si="352"/>
        <v>0</v>
      </c>
      <c r="AC374" s="718">
        <f t="shared" si="353"/>
        <v>0</v>
      </c>
      <c r="AD374" s="626">
        <f t="shared" si="312"/>
        <v>21.6</v>
      </c>
      <c r="AE374" s="627">
        <f t="shared" si="313"/>
        <v>0</v>
      </c>
      <c r="AF374" s="568" t="s">
        <v>562</v>
      </c>
      <c r="AG374" s="568" t="s">
        <v>404</v>
      </c>
      <c r="AH374" s="568" t="str">
        <f>IFERROR(INDEX('Annex 2_Code'!$J$110:$J$127,MATCH('Annex 3_MAFF'!AF374,'Annex 2_Code'!$G$110:$G$127,0)),"")</f>
        <v>MAFF</v>
      </c>
      <c r="AI374" s="882" t="str">
        <f t="shared" si="357"/>
        <v>MAFF</v>
      </c>
      <c r="AK374" s="1382"/>
      <c r="AL374" s="1382"/>
    </row>
    <row r="375" spans="1:41" s="542" customFormat="1" outlineLevel="1">
      <c r="A375" s="102"/>
      <c r="B375" s="76" t="s">
        <v>173</v>
      </c>
      <c r="C375" s="77"/>
      <c r="D375" s="1425"/>
      <c r="E375" s="1451"/>
      <c r="F375" s="1441" t="s">
        <v>41</v>
      </c>
      <c r="G375" s="1428"/>
      <c r="H375" s="1429"/>
      <c r="I375" s="1455"/>
      <c r="J375" s="1456"/>
      <c r="K375" s="1457"/>
      <c r="L375" s="1457"/>
      <c r="M375" s="1457"/>
      <c r="N375" s="1458"/>
      <c r="O375" s="1434">
        <f>SUM(O371:O374)</f>
        <v>0</v>
      </c>
      <c r="P375" s="1435">
        <f>SUM(P371:P374)</f>
        <v>0</v>
      </c>
      <c r="Q375" s="1435">
        <f>SUM(Q371:Q374)</f>
        <v>59.400000000000006</v>
      </c>
      <c r="R375" s="1435">
        <f>SUM(R371:R374)</f>
        <v>59.400000000000006</v>
      </c>
      <c r="S375" s="1423">
        <f>SUM(S371:S374)</f>
        <v>118.80000000000001</v>
      </c>
      <c r="T375" s="618" t="str">
        <f>IFERROR(INDEX('Annex 2_Code'!I$8:I$33,MATCH('Annex 3_MAFF'!$AG375,'Annex 2_Code'!$G$8:$G$33,0)),"")</f>
        <v/>
      </c>
      <c r="U375" s="618" t="str">
        <f>IFERROR(INDEX('Annex 2_Code'!J$8:J$33,MATCH('Annex 3_MAFF'!$AG375,'Annex 2_Code'!$G$8:$G$33,0)),"")</f>
        <v/>
      </c>
      <c r="V375" s="618" t="str">
        <f>IFERROR(INDEX('Annex 2_Code'!K$8:K$33,MATCH('Annex 3_MAFF'!$AG375,'Annex 2_Code'!$G$8:$G$33,0)),"")</f>
        <v/>
      </c>
      <c r="W375" s="618" t="str">
        <f>IFERROR(INDEX('Annex 2_Code'!L$8:L$33,MATCH('Annex 3_MAFF'!$AG375,'Annex 2_Code'!$G$8:$G$33,0)),"")</f>
        <v/>
      </c>
      <c r="X375" s="618" t="str">
        <f>IFERROR(INDEX('Annex 2_Code'!M$8:M$33,MATCH('Annex 3_MAFF'!$AG375,'Annex 2_Code'!$G$8:$G$33,0)),"")</f>
        <v/>
      </c>
      <c r="Y375" s="716" t="str">
        <f t="shared" si="350"/>
        <v/>
      </c>
      <c r="Z375" s="717" t="str">
        <f t="shared" si="351"/>
        <v/>
      </c>
      <c r="AA375" s="717" t="str">
        <f t="shared" si="351"/>
        <v/>
      </c>
      <c r="AB375" s="717" t="str">
        <f t="shared" si="352"/>
        <v/>
      </c>
      <c r="AC375" s="718" t="str">
        <f t="shared" si="353"/>
        <v/>
      </c>
      <c r="AD375" s="626">
        <f t="shared" si="312"/>
        <v>0</v>
      </c>
      <c r="AE375" s="627">
        <f t="shared" si="313"/>
        <v>-118.80000000000001</v>
      </c>
      <c r="AF375" s="568"/>
      <c r="AG375" s="568"/>
      <c r="AH375" s="568" t="str">
        <f>IFERROR(INDEX('Annex 2_Code'!$J$110:$J$122,MATCH('Annex 3_MAFF'!AF375,'Annex 2_Code'!$G$110:$G$122,0)),"")</f>
        <v/>
      </c>
      <c r="AI375" s="882" t="str">
        <f t="shared" si="357"/>
        <v/>
      </c>
      <c r="AK375" s="1389">
        <f>SUM(S371:S374)+SUM(S365:S368)+SUM(S361:S362)+SUM(S356:S358)</f>
        <v>208.54000000000002</v>
      </c>
      <c r="AL375" s="1389" t="s">
        <v>302</v>
      </c>
      <c r="AN375" s="366" t="s">
        <v>1024</v>
      </c>
    </row>
    <row r="376" spans="1:41" s="542" customFormat="1">
      <c r="A376" s="102"/>
      <c r="B376" s="361" t="s">
        <v>173</v>
      </c>
      <c r="C376" s="361"/>
      <c r="D376" s="1459" t="s">
        <v>737</v>
      </c>
      <c r="E376" s="1460"/>
      <c r="F376" s="1463"/>
      <c r="G376" s="1461"/>
      <c r="H376" s="1957" t="s">
        <v>14</v>
      </c>
      <c r="I376" s="1958"/>
      <c r="J376" s="1959"/>
      <c r="K376" s="1960"/>
      <c r="L376" s="1960"/>
      <c r="M376" s="1960"/>
      <c r="N376" s="1961"/>
      <c r="O376" s="1962">
        <f>SUM(O375,O369,O363,O359,O354,O349,O340,O325)</f>
        <v>0</v>
      </c>
      <c r="P376" s="1963">
        <f>SUM(P375,P369,P363,P359,P354,P349,P340,P325)</f>
        <v>63.42</v>
      </c>
      <c r="Q376" s="1963">
        <f>SUM(Q375,Q369,Q363,Q359,Q354,Q349,Q340,Q325)</f>
        <v>516.4</v>
      </c>
      <c r="R376" s="1963">
        <f>SUM(R375,R369,R363,R359,R354,R349,R340,R325)</f>
        <v>393.42</v>
      </c>
      <c r="S376" s="1964">
        <f>SUM(S375,S369,S363,S359,S354,S349,S340,S325)</f>
        <v>973.24</v>
      </c>
      <c r="T376" s="618" t="str">
        <f>IFERROR(INDEX('Annex 2_Code'!I$8:I$33,MATCH('Annex 3_MAFF'!$AG376,'Annex 2_Code'!$G$8:$G$33,0)),"")</f>
        <v/>
      </c>
      <c r="U376" s="618" t="str">
        <f>IFERROR(INDEX('Annex 2_Code'!J$8:J$33,MATCH('Annex 3_MAFF'!$AG376,'Annex 2_Code'!$G$8:$G$33,0)),"")</f>
        <v/>
      </c>
      <c r="V376" s="618" t="str">
        <f>IFERROR(INDEX('Annex 2_Code'!K$8:K$33,MATCH('Annex 3_MAFF'!$AG376,'Annex 2_Code'!$G$8:$G$33,0)),"")</f>
        <v/>
      </c>
      <c r="W376" s="618" t="str">
        <f>IFERROR(INDEX('Annex 2_Code'!L$8:L$33,MATCH('Annex 3_MAFF'!$AG376,'Annex 2_Code'!$G$8:$G$33,0)),"")</f>
        <v/>
      </c>
      <c r="X376" s="618" t="str">
        <f>IFERROR(INDEX('Annex 2_Code'!M$8:M$33,MATCH('Annex 3_MAFF'!$AG376,'Annex 2_Code'!$G$8:$G$33,0)),"")</f>
        <v/>
      </c>
      <c r="Y376" s="716" t="str">
        <f t="shared" si="350"/>
        <v/>
      </c>
      <c r="Z376" s="717" t="str">
        <f t="shared" si="351"/>
        <v/>
      </c>
      <c r="AA376" s="717" t="str">
        <f t="shared" si="351"/>
        <v/>
      </c>
      <c r="AB376" s="717" t="str">
        <f t="shared" si="352"/>
        <v/>
      </c>
      <c r="AC376" s="718" t="str">
        <f t="shared" si="353"/>
        <v/>
      </c>
      <c r="AD376" s="626">
        <f t="shared" ref="AD376:AD437" si="365">SUM(Y376:AC376)</f>
        <v>0</v>
      </c>
      <c r="AE376" s="627">
        <f t="shared" ref="AE376:AE437" si="366">AD376-S376</f>
        <v>-973.24</v>
      </c>
      <c r="AF376" s="568"/>
      <c r="AG376" s="568"/>
      <c r="AH376" s="568" t="str">
        <f>IFERROR(INDEX('Annex 2_Code'!$J$110:$J$122,MATCH('Annex 3_MAFF'!AF376,'Annex 2_Code'!$G$110:$G$122,0)),"")</f>
        <v/>
      </c>
      <c r="AI376" s="882" t="str">
        <f t="shared" si="357"/>
        <v/>
      </c>
      <c r="AK376" s="1382"/>
      <c r="AL376" s="1382"/>
      <c r="AN376" s="366" t="s">
        <v>1025</v>
      </c>
    </row>
    <row r="377" spans="1:41" s="542" customFormat="1">
      <c r="A377" s="102"/>
      <c r="B377" s="77" t="s">
        <v>173</v>
      </c>
      <c r="C377" s="77"/>
      <c r="D377" s="423"/>
      <c r="E377" s="1122"/>
      <c r="F377" s="1123"/>
      <c r="G377" s="1024"/>
      <c r="H377" s="557"/>
      <c r="I377" s="558"/>
      <c r="J377" s="668"/>
      <c r="K377" s="669"/>
      <c r="L377" s="669"/>
      <c r="M377" s="669"/>
      <c r="N377" s="680"/>
      <c r="O377" s="559"/>
      <c r="P377" s="165"/>
      <c r="Q377" s="165"/>
      <c r="R377" s="165"/>
      <c r="S377" s="304"/>
      <c r="T377" s="618"/>
      <c r="U377" s="618"/>
      <c r="V377" s="618"/>
      <c r="W377" s="618"/>
      <c r="X377" s="618"/>
      <c r="Y377" s="716"/>
      <c r="Z377" s="717"/>
      <c r="AA377" s="717">
        <f t="shared" si="351"/>
        <v>0</v>
      </c>
      <c r="AB377" s="717"/>
      <c r="AC377" s="718"/>
      <c r="AD377" s="626"/>
      <c r="AE377" s="655">
        <f>SUM(AD318:AD374)</f>
        <v>973.24000000000012</v>
      </c>
      <c r="AF377" s="568"/>
      <c r="AG377" s="568"/>
      <c r="AH377" s="568"/>
      <c r="AI377" s="882"/>
      <c r="AK377" s="1382"/>
      <c r="AL377" s="1382"/>
      <c r="AN377" s="366"/>
    </row>
    <row r="378" spans="1:41">
      <c r="A378" s="102"/>
      <c r="B378" s="1923" t="s">
        <v>294</v>
      </c>
      <c r="C378" s="1923" t="s">
        <v>549</v>
      </c>
      <c r="D378" s="1735" t="s">
        <v>1089</v>
      </c>
      <c r="E378" s="1427"/>
      <c r="F378" s="1949"/>
      <c r="G378" s="1483"/>
      <c r="H378" s="1950" t="s">
        <v>1025</v>
      </c>
      <c r="I378" s="1750">
        <v>40</v>
      </c>
      <c r="J378" s="1468"/>
      <c r="K378" s="1469">
        <v>2</v>
      </c>
      <c r="L378" s="1469"/>
      <c r="M378" s="1469"/>
      <c r="N378" s="1498"/>
      <c r="O378" s="1951">
        <f>$I378*J378</f>
        <v>0</v>
      </c>
      <c r="P378" s="1952">
        <f>$I378*K378</f>
        <v>80</v>
      </c>
      <c r="Q378" s="1952">
        <f t="shared" ref="Q378:R378" si="367">$I378*L378</f>
        <v>0</v>
      </c>
      <c r="R378" s="1952">
        <f t="shared" si="367"/>
        <v>0</v>
      </c>
      <c r="S378" s="1953">
        <f>SUM(O378:R378)</f>
        <v>80</v>
      </c>
      <c r="T378" s="618">
        <f>IFERROR(INDEX('Annex 2_Code'!I$8:I$33,MATCH('Annex 3_MAFF'!$AG378,'Annex 2_Code'!$G$8:$G$33,0)),"")</f>
        <v>1</v>
      </c>
      <c r="U378" s="618">
        <f>IFERROR(INDEX('Annex 2_Code'!J$8:J$33,MATCH('Annex 3_MAFF'!$AG378,'Annex 2_Code'!$G$8:$G$33,0)),"")</f>
        <v>0</v>
      </c>
      <c r="V378" s="618">
        <f>IFERROR(INDEX('Annex 2_Code'!K$8:K$33,MATCH('Annex 3_MAFF'!$AG378,'Annex 2_Code'!$G$8:$G$33,0)),"")</f>
        <v>0</v>
      </c>
      <c r="W378" s="618">
        <f>IFERROR(INDEX('Annex 2_Code'!L$8:L$33,MATCH('Annex 3_MAFF'!$AG378,'Annex 2_Code'!$G$8:$G$33,0)),"")</f>
        <v>0</v>
      </c>
      <c r="X378" s="618">
        <f>IFERROR(INDEX('Annex 2_Code'!M$8:M$33,MATCH('Annex 3_MAFF'!$AG378,'Annex 2_Code'!$G$8:$G$33,0)),"")</f>
        <v>0</v>
      </c>
      <c r="Y378" s="716">
        <f t="shared" ref="Y378" si="368">IFERROR($S378*T378,"")</f>
        <v>80</v>
      </c>
      <c r="Z378" s="717">
        <f t="shared" ref="Z378" si="369">IFERROR($S378*U378,"")</f>
        <v>0</v>
      </c>
      <c r="AA378" s="717">
        <f t="shared" si="351"/>
        <v>0</v>
      </c>
      <c r="AB378" s="717">
        <f t="shared" ref="AB378" si="370">IFERROR($S378*W378,"")</f>
        <v>0</v>
      </c>
      <c r="AC378" s="718">
        <f t="shared" ref="AC378" si="371">IFERROR($S378*X378,"")</f>
        <v>0</v>
      </c>
      <c r="AD378" s="626">
        <f t="shared" ref="AD378" si="372">SUM(Y378:AC378)</f>
        <v>80</v>
      </c>
      <c r="AE378" s="627">
        <f t="shared" ref="AE378" si="373">AD378-S378</f>
        <v>0</v>
      </c>
      <c r="AF378" s="568" t="s">
        <v>562</v>
      </c>
      <c r="AG378" s="568" t="s">
        <v>380</v>
      </c>
      <c r="AH378" s="568" t="str">
        <f>IFERROR(INDEX('Annex 2_Code'!$J$110:$J$127,MATCH('Annex 3_MAFF'!AF378,'Annex 2_Code'!$G$110:$G$127,0)),"")</f>
        <v>MAFF</v>
      </c>
      <c r="AI378" s="882" t="str">
        <f t="shared" ref="AI378" si="374">IF(ISNUMBER(FIND("-",AH378,1))=FALSE,LEFT(AH378,LEN(AH378)),LEFT(AH378,(FIND("-",AH378,1))-1))</f>
        <v>MAFF</v>
      </c>
      <c r="AN378" s="575"/>
    </row>
    <row r="379" spans="1:41">
      <c r="A379" s="102"/>
      <c r="B379" s="1923" t="s">
        <v>294</v>
      </c>
      <c r="C379" s="1923" t="s">
        <v>550</v>
      </c>
      <c r="D379" s="2281" t="s">
        <v>67</v>
      </c>
      <c r="E379" s="2282"/>
      <c r="F379" s="2283"/>
      <c r="G379" s="2284"/>
      <c r="H379" s="2285" t="s">
        <v>1191</v>
      </c>
      <c r="I379" s="2286">
        <v>2.2000000000000002</v>
      </c>
      <c r="J379" s="2287">
        <v>16</v>
      </c>
      <c r="K379" s="2288"/>
      <c r="L379" s="2288"/>
      <c r="M379" s="2288"/>
      <c r="N379" s="2289"/>
      <c r="O379" s="1951">
        <f>$I379*J379</f>
        <v>35.200000000000003</v>
      </c>
      <c r="P379" s="1952">
        <f>$I379*K379</f>
        <v>0</v>
      </c>
      <c r="Q379" s="1952">
        <f t="shared" ref="Q379" si="375">$I379*L379</f>
        <v>0</v>
      </c>
      <c r="R379" s="1952">
        <f t="shared" ref="R379" si="376">$I379*M379</f>
        <v>0</v>
      </c>
      <c r="S379" s="1953">
        <f>SUM(O379:R379)</f>
        <v>35.200000000000003</v>
      </c>
      <c r="T379" s="618">
        <f>IFERROR(INDEX('Annex 2_Code'!I$8:I$33,MATCH('Annex 3_MAFF'!$AG379,'Annex 2_Code'!$G$8:$G$33,0)),"")</f>
        <v>1</v>
      </c>
      <c r="U379" s="618">
        <f>IFERROR(INDEX('Annex 2_Code'!J$8:J$33,MATCH('Annex 3_MAFF'!$AG379,'Annex 2_Code'!$G$8:$G$33,0)),"")</f>
        <v>0</v>
      </c>
      <c r="V379" s="618">
        <f>IFERROR(INDEX('Annex 2_Code'!K$8:K$33,MATCH('Annex 3_MAFF'!$AG379,'Annex 2_Code'!$G$8:$G$33,0)),"")</f>
        <v>0</v>
      </c>
      <c r="W379" s="618">
        <f>IFERROR(INDEX('Annex 2_Code'!L$8:L$33,MATCH('Annex 3_MAFF'!$AG379,'Annex 2_Code'!$G$8:$G$33,0)),"")</f>
        <v>0</v>
      </c>
      <c r="X379" s="618">
        <f>IFERROR(INDEX('Annex 2_Code'!M$8:M$33,MATCH('Annex 3_MAFF'!$AG379,'Annex 2_Code'!$G$8:$G$33,0)),"")</f>
        <v>0</v>
      </c>
      <c r="Y379" s="716">
        <f t="shared" ref="Y379" si="377">IFERROR($S379*T379,"")</f>
        <v>35.200000000000003</v>
      </c>
      <c r="Z379" s="717">
        <f t="shared" ref="Z379" si="378">IFERROR($S379*U379,"")</f>
        <v>0</v>
      </c>
      <c r="AA379" s="717">
        <f t="shared" ref="AA379" si="379">IFERROR($S379*V379,"")</f>
        <v>0</v>
      </c>
      <c r="AB379" s="717">
        <f t="shared" ref="AB379" si="380">IFERROR($S379*W379,"")</f>
        <v>0</v>
      </c>
      <c r="AC379" s="718">
        <f t="shared" ref="AC379" si="381">IFERROR($S379*X379,"")</f>
        <v>0</v>
      </c>
      <c r="AD379" s="626">
        <f t="shared" ref="AD379:AD380" si="382">SUM(Y379:AC379)</f>
        <v>35.200000000000003</v>
      </c>
      <c r="AE379" s="627">
        <f t="shared" ref="AE379:AE380" si="383">AD379-S379</f>
        <v>0</v>
      </c>
      <c r="AF379" s="2212" t="s">
        <v>562</v>
      </c>
      <c r="AG379" s="2212" t="s">
        <v>380</v>
      </c>
      <c r="AH379" s="2212" t="str">
        <f>IFERROR(INDEX('Annex 2_Code'!$J$110:$J$127,MATCH('Annex 3_MAFF'!AF379,'Annex 2_Code'!$G$110:$G$127,0)),"")</f>
        <v>MAFF</v>
      </c>
      <c r="AI379" s="882" t="str">
        <f t="shared" ref="AI379" si="384">IF(ISNUMBER(FIND("-",AH379,1))=FALSE,LEFT(AH379,LEN(AH379)),LEFT(AH379,(FIND("-",AH379,1))-1))</f>
        <v>MAFF</v>
      </c>
      <c r="AN379" s="575"/>
    </row>
    <row r="380" spans="1:41" s="542" customFormat="1">
      <c r="A380" s="102"/>
      <c r="B380" s="361" t="s">
        <v>173</v>
      </c>
      <c r="C380" s="361"/>
      <c r="D380" s="1965" t="s">
        <v>789</v>
      </c>
      <c r="E380" s="1966"/>
      <c r="F380" s="1967"/>
      <c r="G380" s="1968"/>
      <c r="H380" s="1969"/>
      <c r="I380" s="1970"/>
      <c r="J380" s="1971"/>
      <c r="K380" s="1972"/>
      <c r="L380" s="1972"/>
      <c r="M380" s="1972"/>
      <c r="N380" s="1973"/>
      <c r="O380" s="1974">
        <f>O378+O379</f>
        <v>35.200000000000003</v>
      </c>
      <c r="P380" s="1975">
        <f>P378+P379</f>
        <v>80</v>
      </c>
      <c r="Q380" s="1975">
        <f t="shared" ref="Q380:R380" si="385">Q378+Q379</f>
        <v>0</v>
      </c>
      <c r="R380" s="1975">
        <f t="shared" si="385"/>
        <v>0</v>
      </c>
      <c r="S380" s="1976">
        <f>S378+S379</f>
        <v>115.2</v>
      </c>
      <c r="T380" s="618"/>
      <c r="U380" s="618"/>
      <c r="V380" s="618"/>
      <c r="W380" s="618"/>
      <c r="X380" s="618"/>
      <c r="Y380" s="716"/>
      <c r="Z380" s="717"/>
      <c r="AA380" s="717">
        <f t="shared" si="351"/>
        <v>0</v>
      </c>
      <c r="AB380" s="717"/>
      <c r="AC380" s="718"/>
      <c r="AD380" s="626">
        <f t="shared" si="382"/>
        <v>0</v>
      </c>
      <c r="AE380" s="627">
        <f t="shared" si="383"/>
        <v>-115.2</v>
      </c>
      <c r="AF380" s="568"/>
      <c r="AG380" s="568"/>
      <c r="AH380" s="568"/>
      <c r="AI380" s="882"/>
      <c r="AK380" s="1382"/>
      <c r="AL380" s="1382"/>
      <c r="AN380" s="366"/>
    </row>
    <row r="381" spans="1:41" s="542" customFormat="1">
      <c r="A381" s="102"/>
      <c r="B381" s="361" t="s">
        <v>173</v>
      </c>
      <c r="C381" s="361"/>
      <c r="D381" s="423"/>
      <c r="E381" s="1122"/>
      <c r="F381" s="1123"/>
      <c r="G381" s="1024"/>
      <c r="H381" s="557"/>
      <c r="I381" s="558"/>
      <c r="J381" s="668"/>
      <c r="K381" s="669"/>
      <c r="L381" s="669"/>
      <c r="M381" s="669"/>
      <c r="N381" s="680"/>
      <c r="O381" s="559"/>
      <c r="P381" s="165"/>
      <c r="Q381" s="165"/>
      <c r="R381" s="165"/>
      <c r="S381" s="304"/>
      <c r="T381" s="618"/>
      <c r="U381" s="618"/>
      <c r="V381" s="618"/>
      <c r="W381" s="618"/>
      <c r="X381" s="618"/>
      <c r="Y381" s="716"/>
      <c r="Z381" s="717"/>
      <c r="AA381" s="717">
        <f t="shared" si="351"/>
        <v>0</v>
      </c>
      <c r="AB381" s="717"/>
      <c r="AC381" s="718"/>
      <c r="AD381" s="626"/>
      <c r="AE381" s="655">
        <f>SUM(AD378:AD380)</f>
        <v>115.2</v>
      </c>
      <c r="AF381" s="568"/>
      <c r="AG381" s="568"/>
      <c r="AH381" s="568"/>
      <c r="AI381" s="882"/>
      <c r="AK381" s="1382"/>
      <c r="AL381" s="1382"/>
      <c r="AN381" s="366"/>
    </row>
    <row r="382" spans="1:41" s="542" customFormat="1">
      <c r="A382" s="102"/>
      <c r="B382" s="77" t="s">
        <v>173</v>
      </c>
      <c r="C382" s="77"/>
      <c r="D382" s="1124" t="s">
        <v>751</v>
      </c>
      <c r="E382" s="363"/>
      <c r="F382" s="1043"/>
      <c r="G382" s="1024"/>
      <c r="H382" s="557"/>
      <c r="I382" s="558"/>
      <c r="J382" s="668"/>
      <c r="K382" s="669"/>
      <c r="L382" s="669"/>
      <c r="M382" s="669"/>
      <c r="N382" s="670"/>
      <c r="O382" s="559"/>
      <c r="P382" s="165"/>
      <c r="Q382" s="165"/>
      <c r="R382" s="165"/>
      <c r="S382" s="304"/>
      <c r="T382" s="618"/>
      <c r="U382" s="618"/>
      <c r="V382" s="618"/>
      <c r="W382" s="618"/>
      <c r="X382" s="618"/>
      <c r="Y382" s="716"/>
      <c r="Z382" s="717"/>
      <c r="AA382" s="717">
        <f t="shared" si="351"/>
        <v>0</v>
      </c>
      <c r="AB382" s="717"/>
      <c r="AC382" s="718"/>
      <c r="AD382" s="626"/>
      <c r="AE382" s="627"/>
      <c r="AF382" s="568"/>
      <c r="AG382" s="568"/>
      <c r="AH382" s="568"/>
      <c r="AI382" s="882"/>
      <c r="AK382" s="1382"/>
      <c r="AN382" s="542" t="str">
        <f>G388</f>
        <v>Road Taxes (10 Pick-Up Cars)</v>
      </c>
      <c r="AO382" s="1378">
        <f>+S388</f>
        <v>4</v>
      </c>
    </row>
    <row r="383" spans="1:41" s="542" customFormat="1" ht="26.1" customHeight="1">
      <c r="A383" s="102"/>
      <c r="B383" s="76" t="s">
        <v>173</v>
      </c>
      <c r="C383" s="77"/>
      <c r="D383" s="114"/>
      <c r="E383" s="290" t="s">
        <v>120</v>
      </c>
      <c r="F383" s="74"/>
      <c r="G383" s="728"/>
      <c r="H383" s="565"/>
      <c r="I383" s="566"/>
      <c r="J383" s="665"/>
      <c r="K383" s="666"/>
      <c r="L383" s="666"/>
      <c r="M383" s="666"/>
      <c r="N383" s="667"/>
      <c r="O383" s="688"/>
      <c r="P383" s="689"/>
      <c r="Q383" s="689" t="s">
        <v>14</v>
      </c>
      <c r="R383" s="689"/>
      <c r="S383" s="365"/>
      <c r="T383" s="618" t="str">
        <f>IFERROR(INDEX('Annex 2_Code'!I$8:I$33,MATCH('Annex 3_MAFF'!$AG383,'Annex 2_Code'!$G$8:$G$33,0)),"")</f>
        <v/>
      </c>
      <c r="U383" s="618" t="str">
        <f>IFERROR(INDEX('Annex 2_Code'!J$8:J$33,MATCH('Annex 3_MAFF'!$AG383,'Annex 2_Code'!$G$8:$G$33,0)),"")</f>
        <v/>
      </c>
      <c r="V383" s="618" t="str">
        <f>IFERROR(INDEX('Annex 2_Code'!K$8:K$33,MATCH('Annex 3_MAFF'!$AG383,'Annex 2_Code'!$G$8:$G$33,0)),"")</f>
        <v/>
      </c>
      <c r="W383" s="618" t="str">
        <f>IFERROR(INDEX('Annex 2_Code'!L$8:L$33,MATCH('Annex 3_MAFF'!$AG383,'Annex 2_Code'!$G$8:$G$33,0)),"")</f>
        <v/>
      </c>
      <c r="X383" s="618" t="str">
        <f>IFERROR(INDEX('Annex 2_Code'!M$8:M$33,MATCH('Annex 3_MAFF'!$AG383,'Annex 2_Code'!$G$8:$G$33,0)),"")</f>
        <v/>
      </c>
      <c r="Y383" s="716" t="str">
        <f t="shared" si="350"/>
        <v/>
      </c>
      <c r="Z383" s="717" t="str">
        <f t="shared" si="351"/>
        <v/>
      </c>
      <c r="AA383" s="717" t="str">
        <f t="shared" si="351"/>
        <v/>
      </c>
      <c r="AB383" s="717" t="str">
        <f t="shared" si="352"/>
        <v/>
      </c>
      <c r="AC383" s="718" t="str">
        <f t="shared" si="353"/>
        <v/>
      </c>
      <c r="AD383" s="626"/>
      <c r="AE383" s="627"/>
      <c r="AF383" s="568"/>
      <c r="AG383" s="568"/>
      <c r="AH383" s="568" t="str">
        <f>IFERROR(INDEX('Annex 2_Code'!$J$110:$J$122,MATCH('Annex 3_MAFF'!AF383,'Annex 2_Code'!$G$110:$G$122,0)),"")</f>
        <v/>
      </c>
      <c r="AI383" s="882" t="str">
        <f t="shared" si="357"/>
        <v/>
      </c>
      <c r="AK383" s="1382"/>
      <c r="AM383" s="1396" t="s">
        <v>209</v>
      </c>
      <c r="AN383" s="1395" t="str">
        <f>+G391</f>
        <v>Vehicle Operating Costs (13 Vehicles "450$/month/vehicle")</v>
      </c>
      <c r="AO383" s="1397">
        <f>+S391</f>
        <v>70.2</v>
      </c>
    </row>
    <row r="384" spans="1:41" s="542" customFormat="1" ht="20.100000000000001" customHeight="1" outlineLevel="1">
      <c r="A384" s="102"/>
      <c r="B384" s="76" t="s">
        <v>173</v>
      </c>
      <c r="C384" s="77"/>
      <c r="D384" s="86"/>
      <c r="E384" s="97" t="s">
        <v>258</v>
      </c>
      <c r="F384" s="364"/>
      <c r="G384" s="722"/>
      <c r="H384" s="565"/>
      <c r="I384" s="566"/>
      <c r="J384" s="665"/>
      <c r="K384" s="666"/>
      <c r="L384" s="666"/>
      <c r="M384" s="666"/>
      <c r="N384" s="667"/>
      <c r="O384" s="688"/>
      <c r="P384" s="689"/>
      <c r="Q384" s="689"/>
      <c r="R384" s="689"/>
      <c r="S384" s="564"/>
      <c r="T384" s="618" t="str">
        <f>IFERROR(INDEX('Annex 2_Code'!I$8:I$33,MATCH('Annex 3_MAFF'!$AG384,'Annex 2_Code'!$G$8:$G$33,0)),"")</f>
        <v/>
      </c>
      <c r="U384" s="618" t="str">
        <f>IFERROR(INDEX('Annex 2_Code'!J$8:J$33,MATCH('Annex 3_MAFF'!$AG384,'Annex 2_Code'!$G$8:$G$33,0)),"")</f>
        <v/>
      </c>
      <c r="V384" s="618" t="str">
        <f>IFERROR(INDEX('Annex 2_Code'!K$8:K$33,MATCH('Annex 3_MAFF'!$AG384,'Annex 2_Code'!$G$8:$G$33,0)),"")</f>
        <v/>
      </c>
      <c r="W384" s="618" t="str">
        <f>IFERROR(INDEX('Annex 2_Code'!L$8:L$33,MATCH('Annex 3_MAFF'!$AG384,'Annex 2_Code'!$G$8:$G$33,0)),"")</f>
        <v/>
      </c>
      <c r="X384" s="618" t="str">
        <f>IFERROR(INDEX('Annex 2_Code'!M$8:M$33,MATCH('Annex 3_MAFF'!$AG384,'Annex 2_Code'!$G$8:$G$33,0)),"")</f>
        <v/>
      </c>
      <c r="Y384" s="716" t="str">
        <f t="shared" si="350"/>
        <v/>
      </c>
      <c r="Z384" s="717" t="str">
        <f t="shared" si="351"/>
        <v/>
      </c>
      <c r="AA384" s="717" t="str">
        <f t="shared" si="351"/>
        <v/>
      </c>
      <c r="AB384" s="717" t="str">
        <f t="shared" si="352"/>
        <v/>
      </c>
      <c r="AC384" s="718" t="str">
        <f t="shared" si="353"/>
        <v/>
      </c>
      <c r="AD384" s="626">
        <f t="shared" si="365"/>
        <v>0</v>
      </c>
      <c r="AE384" s="627">
        <f t="shared" si="366"/>
        <v>0</v>
      </c>
      <c r="AF384" s="568"/>
      <c r="AG384" s="568"/>
      <c r="AH384" s="568" t="str">
        <f>IFERROR(INDEX('Annex 2_Code'!$J$110:$J$122,MATCH('Annex 3_MAFF'!AF384,'Annex 2_Code'!$G$110:$G$122,0)),"")</f>
        <v/>
      </c>
      <c r="AI384" s="882" t="str">
        <f t="shared" si="357"/>
        <v/>
      </c>
      <c r="AK384" s="1382"/>
      <c r="AM384" s="1396" t="s">
        <v>212</v>
      </c>
      <c r="AN384" s="1395" t="str">
        <f>+G392</f>
        <v>Motorbike fuel and communication allowances</v>
      </c>
      <c r="AO384" s="1397">
        <f>+S392</f>
        <v>50.04</v>
      </c>
    </row>
    <row r="385" spans="1:41" s="542" customFormat="1" ht="20.100000000000001" customHeight="1" outlineLevel="1">
      <c r="A385" s="102"/>
      <c r="B385" s="76" t="s">
        <v>173</v>
      </c>
      <c r="C385" s="77"/>
      <c r="D385" s="86"/>
      <c r="E385" s="97"/>
      <c r="F385" s="364" t="s">
        <v>257</v>
      </c>
      <c r="G385" s="722"/>
      <c r="H385" s="565"/>
      <c r="I385" s="566"/>
      <c r="J385" s="665"/>
      <c r="K385" s="666"/>
      <c r="L385" s="666"/>
      <c r="M385" s="666"/>
      <c r="N385" s="667"/>
      <c r="O385" s="688"/>
      <c r="P385" s="689"/>
      <c r="Q385" s="689"/>
      <c r="R385" s="689"/>
      <c r="S385" s="564"/>
      <c r="T385" s="618" t="str">
        <f>IFERROR(INDEX('Annex 2_Code'!I$8:I$33,MATCH('Annex 3_MAFF'!$AG385,'Annex 2_Code'!$G$8:$G$33,0)),"")</f>
        <v/>
      </c>
      <c r="U385" s="618" t="str">
        <f>IFERROR(INDEX('Annex 2_Code'!J$8:J$33,MATCH('Annex 3_MAFF'!$AG385,'Annex 2_Code'!$G$8:$G$33,0)),"")</f>
        <v/>
      </c>
      <c r="V385" s="618" t="str">
        <f>IFERROR(INDEX('Annex 2_Code'!K$8:K$33,MATCH('Annex 3_MAFF'!$AG385,'Annex 2_Code'!$G$8:$G$33,0)),"")</f>
        <v/>
      </c>
      <c r="W385" s="618" t="str">
        <f>IFERROR(INDEX('Annex 2_Code'!L$8:L$33,MATCH('Annex 3_MAFF'!$AG385,'Annex 2_Code'!$G$8:$G$33,0)),"")</f>
        <v/>
      </c>
      <c r="X385" s="618" t="str">
        <f>IFERROR(INDEX('Annex 2_Code'!M$8:M$33,MATCH('Annex 3_MAFF'!$AG385,'Annex 2_Code'!$G$8:$G$33,0)),"")</f>
        <v/>
      </c>
      <c r="Y385" s="716" t="str">
        <f t="shared" si="350"/>
        <v/>
      </c>
      <c r="Z385" s="717" t="str">
        <f t="shared" si="351"/>
        <v/>
      </c>
      <c r="AA385" s="717" t="str">
        <f t="shared" si="351"/>
        <v/>
      </c>
      <c r="AB385" s="717" t="str">
        <f t="shared" si="352"/>
        <v/>
      </c>
      <c r="AC385" s="718" t="str">
        <f t="shared" si="353"/>
        <v/>
      </c>
      <c r="AD385" s="626">
        <f t="shared" si="365"/>
        <v>0</v>
      </c>
      <c r="AE385" s="627">
        <f t="shared" si="366"/>
        <v>0</v>
      </c>
      <c r="AF385" s="568"/>
      <c r="AG385" s="568"/>
      <c r="AH385" s="568" t="str">
        <f>IFERROR(INDEX('Annex 2_Code'!$J$110:$J$122,MATCH('Annex 3_MAFF'!AF385,'Annex 2_Code'!$G$110:$G$122,0)),"")</f>
        <v/>
      </c>
      <c r="AI385" s="882" t="str">
        <f t="shared" si="357"/>
        <v/>
      </c>
      <c r="AK385" s="1382"/>
      <c r="AL385" s="1396"/>
      <c r="AO385" s="1398">
        <f>SUM(AO382:AO384)</f>
        <v>124.24000000000001</v>
      </c>
    </row>
    <row r="386" spans="1:41" s="542" customFormat="1" ht="20.100000000000001" customHeight="1" outlineLevel="1">
      <c r="A386" s="102"/>
      <c r="B386" s="1115" t="s">
        <v>58</v>
      </c>
      <c r="C386" s="1115" t="s">
        <v>58</v>
      </c>
      <c r="D386" s="86"/>
      <c r="E386" s="97"/>
      <c r="F386" s="364"/>
      <c r="G386" s="722" t="s">
        <v>822</v>
      </c>
      <c r="H386" s="565" t="s">
        <v>174</v>
      </c>
      <c r="I386" s="566">
        <f>(4570 +(180*4))/1000</f>
        <v>5.29</v>
      </c>
      <c r="J386" s="665">
        <v>3</v>
      </c>
      <c r="K386" s="666">
        <v>3</v>
      </c>
      <c r="L386" s="666">
        <v>3</v>
      </c>
      <c r="M386" s="666">
        <v>3</v>
      </c>
      <c r="N386" s="667">
        <f>SUM(J386:M386)</f>
        <v>12</v>
      </c>
      <c r="O386" s="1103">
        <f>($I386*J386)</f>
        <v>15.870000000000001</v>
      </c>
      <c r="P386" s="689">
        <f>($I386*K386)</f>
        <v>15.870000000000001</v>
      </c>
      <c r="Q386" s="689">
        <f t="shared" ref="Q386:R388" si="386">($I386*L386)</f>
        <v>15.870000000000001</v>
      </c>
      <c r="R386" s="689">
        <f t="shared" si="386"/>
        <v>15.870000000000001</v>
      </c>
      <c r="S386" s="145">
        <f>SUM(O386:R386)</f>
        <v>63.480000000000004</v>
      </c>
      <c r="T386" s="618">
        <f>IFERROR(INDEX('Annex 2_Code'!I$8:I$33,MATCH('Annex 3_MAFF'!$AG386,'Annex 2_Code'!$G$8:$G$33,0)),"")</f>
        <v>0</v>
      </c>
      <c r="U386" s="618">
        <f>IFERROR(INDEX('Annex 2_Code'!J$8:J$33,MATCH('Annex 3_MAFF'!$AG386,'Annex 2_Code'!$G$8:$G$33,0)),"")</f>
        <v>0</v>
      </c>
      <c r="V386" s="618">
        <f>IFERROR(INDEX('Annex 2_Code'!K$8:K$33,MATCH('Annex 3_MAFF'!$AG386,'Annex 2_Code'!$G$8:$G$33,0)),"")</f>
        <v>0</v>
      </c>
      <c r="W386" s="618">
        <f>IFERROR(INDEX('Annex 2_Code'!L$8:L$33,MATCH('Annex 3_MAFF'!$AG386,'Annex 2_Code'!$G$8:$G$33,0)),"")</f>
        <v>1</v>
      </c>
      <c r="X386" s="618">
        <f>IFERROR(INDEX('Annex 2_Code'!M$8:M$33,MATCH('Annex 3_MAFF'!$AG386,'Annex 2_Code'!$G$8:$G$33,0)),"")</f>
        <v>0</v>
      </c>
      <c r="Y386" s="716">
        <f t="shared" si="350"/>
        <v>0</v>
      </c>
      <c r="Z386" s="717">
        <f t="shared" si="351"/>
        <v>0</v>
      </c>
      <c r="AA386" s="717">
        <f t="shared" si="351"/>
        <v>0</v>
      </c>
      <c r="AB386" s="717">
        <f t="shared" si="352"/>
        <v>63.480000000000004</v>
      </c>
      <c r="AC386" s="718">
        <f t="shared" si="353"/>
        <v>0</v>
      </c>
      <c r="AD386" s="626">
        <f t="shared" si="365"/>
        <v>63.480000000000004</v>
      </c>
      <c r="AE386" s="627">
        <f t="shared" si="366"/>
        <v>0</v>
      </c>
      <c r="AF386" s="568" t="s">
        <v>562</v>
      </c>
      <c r="AG386" s="568" t="s">
        <v>414</v>
      </c>
      <c r="AH386" s="568" t="str">
        <f>IFERROR(INDEX('Annex 2_Code'!$J$110:$J$127,MATCH('Annex 3_MAFF'!AF386,'Annex 2_Code'!$G$110:$G$127,0)),"")</f>
        <v>MAFF</v>
      </c>
      <c r="AI386" s="882" t="str">
        <f t="shared" si="357"/>
        <v>MAFF</v>
      </c>
      <c r="AK386" s="1382"/>
      <c r="AN386" s="366" t="s">
        <v>1022</v>
      </c>
    </row>
    <row r="387" spans="1:41" s="542" customFormat="1" ht="20.100000000000001" customHeight="1" outlineLevel="1">
      <c r="A387" s="102"/>
      <c r="B387" s="1115" t="s">
        <v>58</v>
      </c>
      <c r="C387" s="1115" t="s">
        <v>58</v>
      </c>
      <c r="D387" s="86"/>
      <c r="E387" s="97"/>
      <c r="F387" s="364"/>
      <c r="G387" s="722" t="s">
        <v>256</v>
      </c>
      <c r="H387" s="565" t="s">
        <v>174</v>
      </c>
      <c r="I387" s="566">
        <f>2760/1000</f>
        <v>2.76</v>
      </c>
      <c r="J387" s="665">
        <v>3</v>
      </c>
      <c r="K387" s="666">
        <v>3</v>
      </c>
      <c r="L387" s="666">
        <v>3</v>
      </c>
      <c r="M387" s="666">
        <v>3</v>
      </c>
      <c r="N387" s="667">
        <f>SUM(J387:M387)</f>
        <v>12</v>
      </c>
      <c r="O387" s="1103">
        <f t="shared" ref="O387:O388" si="387">($I387*J387)</f>
        <v>8.2799999999999994</v>
      </c>
      <c r="P387" s="689">
        <f t="shared" ref="P387:P388" si="388">($I387*K387)</f>
        <v>8.2799999999999994</v>
      </c>
      <c r="Q387" s="689">
        <f t="shared" si="386"/>
        <v>8.2799999999999994</v>
      </c>
      <c r="R387" s="689">
        <f t="shared" si="386"/>
        <v>8.2799999999999994</v>
      </c>
      <c r="S387" s="145">
        <f>SUM(O387:R387)</f>
        <v>33.119999999999997</v>
      </c>
      <c r="T387" s="618">
        <f>IFERROR(INDEX('Annex 2_Code'!I$8:I$33,MATCH('Annex 3_MAFF'!$AG387,'Annex 2_Code'!$G$8:$G$33,0)),"")</f>
        <v>0</v>
      </c>
      <c r="U387" s="618">
        <f>IFERROR(INDEX('Annex 2_Code'!J$8:J$33,MATCH('Annex 3_MAFF'!$AG387,'Annex 2_Code'!$G$8:$G$33,0)),"")</f>
        <v>0</v>
      </c>
      <c r="V387" s="618">
        <f>IFERROR(INDEX('Annex 2_Code'!K$8:K$33,MATCH('Annex 3_MAFF'!$AG387,'Annex 2_Code'!$G$8:$G$33,0)),"")</f>
        <v>0</v>
      </c>
      <c r="W387" s="618">
        <f>IFERROR(INDEX('Annex 2_Code'!L$8:L$33,MATCH('Annex 3_MAFF'!$AG387,'Annex 2_Code'!$G$8:$G$33,0)),"")</f>
        <v>1</v>
      </c>
      <c r="X387" s="618">
        <f>IFERROR(INDEX('Annex 2_Code'!M$8:M$33,MATCH('Annex 3_MAFF'!$AG387,'Annex 2_Code'!$G$8:$G$33,0)),"")</f>
        <v>0</v>
      </c>
      <c r="Y387" s="716">
        <f t="shared" si="350"/>
        <v>0</v>
      </c>
      <c r="Z387" s="717">
        <f t="shared" si="351"/>
        <v>0</v>
      </c>
      <c r="AA387" s="717">
        <f t="shared" si="351"/>
        <v>0</v>
      </c>
      <c r="AB387" s="717">
        <f t="shared" si="352"/>
        <v>33.119999999999997</v>
      </c>
      <c r="AC387" s="718">
        <f t="shared" si="353"/>
        <v>0</v>
      </c>
      <c r="AD387" s="626">
        <f t="shared" si="365"/>
        <v>33.119999999999997</v>
      </c>
      <c r="AE387" s="627">
        <f t="shared" si="366"/>
        <v>0</v>
      </c>
      <c r="AF387" s="568" t="s">
        <v>562</v>
      </c>
      <c r="AG387" s="568" t="s">
        <v>414</v>
      </c>
      <c r="AH387" s="568" t="str">
        <f>IFERROR(INDEX('Annex 2_Code'!$J$110:$J$127,MATCH('Annex 3_MAFF'!AF387,'Annex 2_Code'!$G$110:$G$127,0)),"")</f>
        <v>MAFF</v>
      </c>
      <c r="AI387" s="882" t="str">
        <f t="shared" si="357"/>
        <v>MAFF</v>
      </c>
      <c r="AK387" s="1382"/>
      <c r="AM387" s="1396" t="s">
        <v>214</v>
      </c>
      <c r="AN387" s="1395" t="str">
        <f>+G393</f>
        <v>Per Diems and DSA for PMU, AIs (36 Staffs +9 driver = 45 Persons "34x8=272$/month")</v>
      </c>
      <c r="AO387" s="1397">
        <f>+S393</f>
        <v>143.61600000000001</v>
      </c>
    </row>
    <row r="388" spans="1:41" s="542" customFormat="1" ht="20.100000000000001" customHeight="1" outlineLevel="1">
      <c r="A388" s="102"/>
      <c r="B388" s="1115" t="s">
        <v>58</v>
      </c>
      <c r="C388" s="1115" t="s">
        <v>58</v>
      </c>
      <c r="D388" s="86"/>
      <c r="E388" s="97"/>
      <c r="F388" s="364"/>
      <c r="G388" s="722" t="s">
        <v>215</v>
      </c>
      <c r="H388" s="565" t="s">
        <v>172</v>
      </c>
      <c r="I388" s="566">
        <f>4000/1000</f>
        <v>4</v>
      </c>
      <c r="J388" s="665">
        <v>0</v>
      </c>
      <c r="K388" s="666">
        <v>0</v>
      </c>
      <c r="L388" s="666">
        <v>1</v>
      </c>
      <c r="M388" s="666">
        <v>0</v>
      </c>
      <c r="N388" s="667">
        <f>SUM(J388:M388)</f>
        <v>1</v>
      </c>
      <c r="O388" s="1103">
        <f t="shared" si="387"/>
        <v>0</v>
      </c>
      <c r="P388" s="689">
        <f t="shared" si="388"/>
        <v>0</v>
      </c>
      <c r="Q388" s="689">
        <f t="shared" si="386"/>
        <v>4</v>
      </c>
      <c r="R388" s="689">
        <f t="shared" si="386"/>
        <v>0</v>
      </c>
      <c r="S388" s="145">
        <f>SUM(O388:R388)</f>
        <v>4</v>
      </c>
      <c r="T388" s="618">
        <f>IFERROR(INDEX('Annex 2_Code'!I$8:I$33,MATCH('Annex 3_MAFF'!$AG388,'Annex 2_Code'!$G$8:$G$33,0)),"")</f>
        <v>0</v>
      </c>
      <c r="U388" s="618">
        <f>IFERROR(INDEX('Annex 2_Code'!J$8:J$33,MATCH('Annex 3_MAFF'!$AG388,'Annex 2_Code'!$G$8:$G$33,0)),"")</f>
        <v>0</v>
      </c>
      <c r="V388" s="618">
        <f>IFERROR(INDEX('Annex 2_Code'!K$8:K$33,MATCH('Annex 3_MAFF'!$AG388,'Annex 2_Code'!$G$8:$G$33,0)),"")</f>
        <v>0</v>
      </c>
      <c r="W388" s="618">
        <f>IFERROR(INDEX('Annex 2_Code'!L$8:L$33,MATCH('Annex 3_MAFF'!$AG388,'Annex 2_Code'!$G$8:$G$33,0)),"")</f>
        <v>1</v>
      </c>
      <c r="X388" s="618">
        <f>IFERROR(INDEX('Annex 2_Code'!M$8:M$33,MATCH('Annex 3_MAFF'!$AG388,'Annex 2_Code'!$G$8:$G$33,0)),"")</f>
        <v>0</v>
      </c>
      <c r="Y388" s="716">
        <f t="shared" si="350"/>
        <v>0</v>
      </c>
      <c r="Z388" s="717">
        <f t="shared" si="351"/>
        <v>0</v>
      </c>
      <c r="AA388" s="717">
        <f t="shared" si="351"/>
        <v>0</v>
      </c>
      <c r="AB388" s="717">
        <f t="shared" si="352"/>
        <v>4</v>
      </c>
      <c r="AC388" s="718">
        <f t="shared" si="353"/>
        <v>0</v>
      </c>
      <c r="AD388" s="626">
        <f t="shared" si="365"/>
        <v>4</v>
      </c>
      <c r="AE388" s="627">
        <f t="shared" si="366"/>
        <v>0</v>
      </c>
      <c r="AF388" s="568" t="s">
        <v>562</v>
      </c>
      <c r="AG388" s="568" t="s">
        <v>414</v>
      </c>
      <c r="AH388" s="568" t="str">
        <f>IFERROR(INDEX('Annex 2_Code'!$J$110:$J$127,MATCH('Annex 3_MAFF'!AF388,'Annex 2_Code'!$G$110:$G$127,0)),"")</f>
        <v>MAFF</v>
      </c>
      <c r="AI388" s="882" t="str">
        <f t="shared" si="357"/>
        <v>MAFF</v>
      </c>
      <c r="AK388" s="1382"/>
      <c r="AL388" s="1382"/>
      <c r="AM388" s="1396" t="s">
        <v>221</v>
      </c>
      <c r="AN388" s="1395" t="str">
        <f>+G394</f>
        <v>Per Diems and DSA (PDAFF  40 persons +4 drivers=44persons "34x2+14*8=180$/month")</v>
      </c>
      <c r="AO388" s="1397">
        <f>+S394</f>
        <v>95.039999999999992</v>
      </c>
    </row>
    <row r="389" spans="1:41" s="542" customFormat="1" outlineLevel="1">
      <c r="A389" s="102"/>
      <c r="B389" s="374" t="s">
        <v>173</v>
      </c>
      <c r="C389" s="1115"/>
      <c r="D389" s="1452"/>
      <c r="E389" s="1451"/>
      <c r="F389" s="1441" t="s">
        <v>41</v>
      </c>
      <c r="G389" s="1428"/>
      <c r="H389" s="1454"/>
      <c r="I389" s="1455"/>
      <c r="J389" s="1456"/>
      <c r="K389" s="1457"/>
      <c r="L389" s="1457"/>
      <c r="M389" s="1457"/>
      <c r="N389" s="1458"/>
      <c r="O389" s="1434">
        <f>SUM(O386:O388)</f>
        <v>24.15</v>
      </c>
      <c r="P389" s="1435">
        <f>SUM(P386:P388)</f>
        <v>24.15</v>
      </c>
      <c r="Q389" s="1435">
        <f>SUM(Q386:Q388)</f>
        <v>28.15</v>
      </c>
      <c r="R389" s="1435">
        <f>SUM(R386:R388)</f>
        <v>24.15</v>
      </c>
      <c r="S389" s="1436">
        <f>SUM(S386:S388)</f>
        <v>100.6</v>
      </c>
      <c r="T389" s="618" t="str">
        <f>IFERROR(INDEX('Annex 2_Code'!I$8:I$33,MATCH('Annex 3_MAFF'!$AG389,'Annex 2_Code'!$G$8:$G$33,0)),"")</f>
        <v/>
      </c>
      <c r="U389" s="618" t="str">
        <f>IFERROR(INDEX('Annex 2_Code'!J$8:J$33,MATCH('Annex 3_MAFF'!$AG389,'Annex 2_Code'!$G$8:$G$33,0)),"")</f>
        <v/>
      </c>
      <c r="V389" s="618" t="str">
        <f>IFERROR(INDEX('Annex 2_Code'!K$8:K$33,MATCH('Annex 3_MAFF'!$AG389,'Annex 2_Code'!$G$8:$G$33,0)),"")</f>
        <v/>
      </c>
      <c r="W389" s="618" t="str">
        <f>IFERROR(INDEX('Annex 2_Code'!L$8:L$33,MATCH('Annex 3_MAFF'!$AG389,'Annex 2_Code'!$G$8:$G$33,0)),"")</f>
        <v/>
      </c>
      <c r="X389" s="618" t="str">
        <f>IFERROR(INDEX('Annex 2_Code'!M$8:M$33,MATCH('Annex 3_MAFF'!$AG389,'Annex 2_Code'!$G$8:$G$33,0)),"")</f>
        <v/>
      </c>
      <c r="Y389" s="716" t="str">
        <f t="shared" si="350"/>
        <v/>
      </c>
      <c r="Z389" s="717" t="str">
        <f t="shared" si="351"/>
        <v/>
      </c>
      <c r="AA389" s="717" t="str">
        <f t="shared" si="351"/>
        <v/>
      </c>
      <c r="AB389" s="717" t="str">
        <f t="shared" si="352"/>
        <v/>
      </c>
      <c r="AC389" s="718" t="str">
        <f t="shared" si="353"/>
        <v/>
      </c>
      <c r="AD389" s="626">
        <f t="shared" si="365"/>
        <v>0</v>
      </c>
      <c r="AE389" s="627">
        <f t="shared" si="366"/>
        <v>-100.6</v>
      </c>
      <c r="AF389" s="568"/>
      <c r="AG389" s="568"/>
      <c r="AH389" s="568" t="str">
        <f>IFERROR(INDEX('Annex 2_Code'!$J$110:$J$127,MATCH('Annex 3_MAFF'!AF389,'Annex 2_Code'!$G$110:$G$127,0)),"")</f>
        <v/>
      </c>
      <c r="AI389" s="882" t="str">
        <f t="shared" si="357"/>
        <v/>
      </c>
      <c r="AK389" s="1389" t="e">
        <f>+#REF!</f>
        <v>#REF!</v>
      </c>
      <c r="AL389" s="1389" t="s">
        <v>1020</v>
      </c>
      <c r="AO389" s="1398">
        <f>SUM(AO387:AO388)</f>
        <v>238.65600000000001</v>
      </c>
    </row>
    <row r="390" spans="1:41" s="542" customFormat="1" outlineLevel="1">
      <c r="A390" s="102"/>
      <c r="B390" s="76" t="s">
        <v>173</v>
      </c>
      <c r="C390" s="1071"/>
      <c r="D390" s="86"/>
      <c r="E390" s="97" t="s">
        <v>255</v>
      </c>
      <c r="F390" s="364"/>
      <c r="G390" s="721"/>
      <c r="H390" s="565"/>
      <c r="I390" s="566"/>
      <c r="J390" s="665"/>
      <c r="K390" s="666"/>
      <c r="L390" s="666"/>
      <c r="M390" s="666"/>
      <c r="N390" s="667"/>
      <c r="O390" s="688"/>
      <c r="P390" s="689"/>
      <c r="Q390" s="689"/>
      <c r="R390" s="689"/>
      <c r="S390" s="564"/>
      <c r="T390" s="618" t="str">
        <f>IFERROR(INDEX('Annex 2_Code'!I$8:I$33,MATCH('Annex 3_MAFF'!$AG390,'Annex 2_Code'!$G$8:$G$33,0)),"")</f>
        <v/>
      </c>
      <c r="U390" s="618" t="str">
        <f>IFERROR(INDEX('Annex 2_Code'!J$8:J$33,MATCH('Annex 3_MAFF'!$AG390,'Annex 2_Code'!$G$8:$G$33,0)),"")</f>
        <v/>
      </c>
      <c r="V390" s="618" t="str">
        <f>IFERROR(INDEX('Annex 2_Code'!K$8:K$33,MATCH('Annex 3_MAFF'!$AG390,'Annex 2_Code'!$G$8:$G$33,0)),"")</f>
        <v/>
      </c>
      <c r="W390" s="618" t="str">
        <f>IFERROR(INDEX('Annex 2_Code'!L$8:L$33,MATCH('Annex 3_MAFF'!$AG390,'Annex 2_Code'!$G$8:$G$33,0)),"")</f>
        <v/>
      </c>
      <c r="X390" s="618" t="str">
        <f>IFERROR(INDEX('Annex 2_Code'!M$8:M$33,MATCH('Annex 3_MAFF'!$AG390,'Annex 2_Code'!$G$8:$G$33,0)),"")</f>
        <v/>
      </c>
      <c r="Y390" s="716" t="str">
        <f t="shared" si="350"/>
        <v/>
      </c>
      <c r="Z390" s="717" t="str">
        <f t="shared" si="351"/>
        <v/>
      </c>
      <c r="AA390" s="717" t="str">
        <f t="shared" si="351"/>
        <v/>
      </c>
      <c r="AB390" s="717" t="str">
        <f t="shared" si="352"/>
        <v/>
      </c>
      <c r="AC390" s="718" t="str">
        <f t="shared" si="353"/>
        <v/>
      </c>
      <c r="AD390" s="626">
        <f t="shared" si="365"/>
        <v>0</v>
      </c>
      <c r="AE390" s="627">
        <f t="shared" si="366"/>
        <v>0</v>
      </c>
      <c r="AF390" s="568"/>
      <c r="AG390" s="568"/>
      <c r="AH390" s="568" t="str">
        <f>IFERROR(INDEX('Annex 2_Code'!$J$110:$J$127,MATCH('Annex 3_MAFF'!AF390,'Annex 2_Code'!$G$110:$G$127,0)),"")</f>
        <v/>
      </c>
      <c r="AI390" s="882" t="str">
        <f t="shared" si="357"/>
        <v/>
      </c>
      <c r="AK390" s="1382"/>
      <c r="AN390" s="366" t="s">
        <v>1023</v>
      </c>
    </row>
    <row r="391" spans="1:41" s="542" customFormat="1" ht="15.6" customHeight="1" outlineLevel="1">
      <c r="A391" s="102"/>
      <c r="B391" s="76" t="s">
        <v>261</v>
      </c>
      <c r="C391" s="1071" t="s">
        <v>261</v>
      </c>
      <c r="D391" s="362"/>
      <c r="E391" s="82"/>
      <c r="F391" s="547" t="s">
        <v>209</v>
      </c>
      <c r="G391" s="2268" t="s">
        <v>1192</v>
      </c>
      <c r="H391" s="589" t="s">
        <v>174</v>
      </c>
      <c r="I391" s="1933">
        <f>450/1000</f>
        <v>0.45</v>
      </c>
      <c r="J391" s="1721">
        <f>13*3</f>
        <v>39</v>
      </c>
      <c r="K391" s="1722">
        <f>13*3</f>
        <v>39</v>
      </c>
      <c r="L391" s="1722">
        <f>13*3</f>
        <v>39</v>
      </c>
      <c r="M391" s="1722">
        <f>13*3</f>
        <v>39</v>
      </c>
      <c r="N391" s="1764">
        <f t="shared" ref="N391:N402" si="389">SUM(J391:M391)</f>
        <v>156</v>
      </c>
      <c r="O391" s="1103">
        <f>($I391*J391)</f>
        <v>17.55</v>
      </c>
      <c r="P391" s="689">
        <f>($I391*K391)</f>
        <v>17.55</v>
      </c>
      <c r="Q391" s="689">
        <f t="shared" ref="Q391:R402" si="390">($I391*L391)</f>
        <v>17.55</v>
      </c>
      <c r="R391" s="689">
        <f t="shared" si="390"/>
        <v>17.55</v>
      </c>
      <c r="S391" s="145">
        <f>SUM(O391:R391)</f>
        <v>70.2</v>
      </c>
      <c r="T391" s="618">
        <f>IFERROR(INDEX('Annex 2_Code'!I$8:I$33,MATCH('Annex 3_MAFF'!$AG391,'Annex 2_Code'!$G$8:$G$33,0)),"")</f>
        <v>1</v>
      </c>
      <c r="U391" s="618">
        <f>IFERROR(INDEX('Annex 2_Code'!J$8:J$33,MATCH('Annex 3_MAFF'!$AG391,'Annex 2_Code'!$G$8:$G$33,0)),"")</f>
        <v>0</v>
      </c>
      <c r="V391" s="618">
        <f>IFERROR(INDEX('Annex 2_Code'!K$8:K$33,MATCH('Annex 3_MAFF'!$AG391,'Annex 2_Code'!$G$8:$G$33,0)),"")</f>
        <v>0</v>
      </c>
      <c r="W391" s="618">
        <f>IFERROR(INDEX('Annex 2_Code'!L$8:L$33,MATCH('Annex 3_MAFF'!$AG391,'Annex 2_Code'!$G$8:$G$33,0)),"")</f>
        <v>0</v>
      </c>
      <c r="X391" s="618">
        <f>IFERROR(INDEX('Annex 2_Code'!M$8:M$33,MATCH('Annex 3_MAFF'!$AG391,'Annex 2_Code'!$G$8:$G$33,0)),"")</f>
        <v>0</v>
      </c>
      <c r="Y391" s="1038">
        <f t="shared" si="350"/>
        <v>70.2</v>
      </c>
      <c r="Z391" s="717">
        <f t="shared" si="351"/>
        <v>0</v>
      </c>
      <c r="AA391" s="717">
        <f t="shared" si="351"/>
        <v>0</v>
      </c>
      <c r="AB391" s="717">
        <f t="shared" si="352"/>
        <v>0</v>
      </c>
      <c r="AC391" s="718">
        <f t="shared" si="353"/>
        <v>0</v>
      </c>
      <c r="AD391" s="626">
        <f t="shared" si="365"/>
        <v>70.2</v>
      </c>
      <c r="AE391" s="627">
        <f t="shared" si="366"/>
        <v>0</v>
      </c>
      <c r="AF391" s="568" t="s">
        <v>562</v>
      </c>
      <c r="AG391" s="568" t="s">
        <v>412</v>
      </c>
      <c r="AH391" s="568" t="str">
        <f>IFERROR(INDEX('Annex 2_Code'!$J$110:$J$127,MATCH('Annex 3_MAFF'!AF391,'Annex 2_Code'!$G$110:$G$127,0)),"")</f>
        <v>MAFF</v>
      </c>
      <c r="AI391" s="882" t="str">
        <f t="shared" si="357"/>
        <v>MAFF</v>
      </c>
      <c r="AK391" s="1382"/>
      <c r="AM391" s="542" t="s">
        <v>223</v>
      </c>
      <c r="AN391" s="1395" t="str">
        <f>G395</f>
        <v xml:space="preserve">Office Operating Costs (including salary for 2 cleaners &amp; 10 drivers: 5,750$/month) </v>
      </c>
      <c r="AO391" s="1397">
        <f>+S395</f>
        <v>74.760000000000005</v>
      </c>
    </row>
    <row r="392" spans="1:41" s="542" customFormat="1" outlineLevel="1">
      <c r="A392" s="102"/>
      <c r="B392" s="374" t="s">
        <v>261</v>
      </c>
      <c r="C392" s="1115" t="s">
        <v>261</v>
      </c>
      <c r="D392" s="362"/>
      <c r="E392" s="1019"/>
      <c r="F392" s="547" t="s">
        <v>212</v>
      </c>
      <c r="G392" s="1020" t="s">
        <v>219</v>
      </c>
      <c r="H392" s="589" t="s">
        <v>174</v>
      </c>
      <c r="I392" s="1720">
        <f>((50*53)+(76*20))/1000</f>
        <v>4.17</v>
      </c>
      <c r="J392" s="674">
        <v>3</v>
      </c>
      <c r="K392" s="675">
        <v>3</v>
      </c>
      <c r="L392" s="675">
        <v>3</v>
      </c>
      <c r="M392" s="675">
        <v>3</v>
      </c>
      <c r="N392" s="1763">
        <f t="shared" si="389"/>
        <v>12</v>
      </c>
      <c r="O392" s="1103">
        <f t="shared" ref="O392:O402" si="391">($I392*J392)</f>
        <v>12.51</v>
      </c>
      <c r="P392" s="689">
        <f t="shared" ref="P392:P402" si="392">($I392*K392)</f>
        <v>12.51</v>
      </c>
      <c r="Q392" s="689">
        <f t="shared" si="390"/>
        <v>12.51</v>
      </c>
      <c r="R392" s="689">
        <f t="shared" si="390"/>
        <v>12.51</v>
      </c>
      <c r="S392" s="145">
        <f>SUM(O392:R392)</f>
        <v>50.04</v>
      </c>
      <c r="T392" s="618">
        <f>IFERROR(INDEX('Annex 2_Code'!I$8:I$33,MATCH('Annex 3_MAFF'!$AG392,'Annex 2_Code'!$G$8:$G$33,0)),"")</f>
        <v>1</v>
      </c>
      <c r="U392" s="618">
        <f>IFERROR(INDEX('Annex 2_Code'!J$8:J$33,MATCH('Annex 3_MAFF'!$AG392,'Annex 2_Code'!$G$8:$G$33,0)),"")</f>
        <v>0</v>
      </c>
      <c r="V392" s="618">
        <f>IFERROR(INDEX('Annex 2_Code'!K$8:K$33,MATCH('Annex 3_MAFF'!$AG392,'Annex 2_Code'!$G$8:$G$33,0)),"")</f>
        <v>0</v>
      </c>
      <c r="W392" s="618">
        <f>IFERROR(INDEX('Annex 2_Code'!L$8:L$33,MATCH('Annex 3_MAFF'!$AG392,'Annex 2_Code'!$G$8:$G$33,0)),"")</f>
        <v>0</v>
      </c>
      <c r="X392" s="618">
        <f>IFERROR(INDEX('Annex 2_Code'!M$8:M$33,MATCH('Annex 3_MAFF'!$AG392,'Annex 2_Code'!$G$8:$G$33,0)),"")</f>
        <v>0</v>
      </c>
      <c r="Y392" s="1038">
        <f t="shared" si="350"/>
        <v>50.04</v>
      </c>
      <c r="Z392" s="717">
        <f t="shared" si="351"/>
        <v>0</v>
      </c>
      <c r="AA392" s="717">
        <f t="shared" si="351"/>
        <v>0</v>
      </c>
      <c r="AB392" s="717">
        <f t="shared" si="352"/>
        <v>0</v>
      </c>
      <c r="AC392" s="718">
        <f t="shared" si="353"/>
        <v>0</v>
      </c>
      <c r="AD392" s="626">
        <f t="shared" si="365"/>
        <v>50.04</v>
      </c>
      <c r="AE392" s="627">
        <f t="shared" si="366"/>
        <v>0</v>
      </c>
      <c r="AF392" s="568" t="s">
        <v>562</v>
      </c>
      <c r="AG392" s="568" t="s">
        <v>412</v>
      </c>
      <c r="AH392" s="568" t="str">
        <f>IFERROR(INDEX('Annex 2_Code'!$J$110:$J$127,MATCH('Annex 3_MAFF'!AF392,'Annex 2_Code'!$G$110:$G$127,0)),"")</f>
        <v>MAFF</v>
      </c>
      <c r="AI392" s="882" t="str">
        <f t="shared" si="357"/>
        <v>MAFF</v>
      </c>
      <c r="AK392" s="1389">
        <f>+AO397</f>
        <v>2.8000000000000003</v>
      </c>
      <c r="AL392" s="1389" t="s">
        <v>1035</v>
      </c>
    </row>
    <row r="393" spans="1:41" s="542" customFormat="1" outlineLevel="1">
      <c r="A393" s="102"/>
      <c r="B393" s="76" t="s">
        <v>261</v>
      </c>
      <c r="C393" s="1071" t="s">
        <v>261</v>
      </c>
      <c r="D393" s="86"/>
      <c r="E393" s="82"/>
      <c r="F393" s="1717" t="s">
        <v>214</v>
      </c>
      <c r="G393" s="1718" t="s">
        <v>1193</v>
      </c>
      <c r="H393" s="1719" t="s">
        <v>174</v>
      </c>
      <c r="I393" s="1720">
        <f>(34*8)/1000</f>
        <v>0.27200000000000002</v>
      </c>
      <c r="J393" s="1721">
        <f t="shared" ref="J393:M394" si="393">44*3</f>
        <v>132</v>
      </c>
      <c r="K393" s="1722">
        <f t="shared" si="393"/>
        <v>132</v>
      </c>
      <c r="L393" s="1722">
        <f t="shared" si="393"/>
        <v>132</v>
      </c>
      <c r="M393" s="1722">
        <f t="shared" si="393"/>
        <v>132</v>
      </c>
      <c r="N393" s="1764">
        <f t="shared" si="389"/>
        <v>528</v>
      </c>
      <c r="O393" s="1103">
        <f t="shared" si="391"/>
        <v>35.904000000000003</v>
      </c>
      <c r="P393" s="689">
        <f t="shared" si="392"/>
        <v>35.904000000000003</v>
      </c>
      <c r="Q393" s="689">
        <f t="shared" si="390"/>
        <v>35.904000000000003</v>
      </c>
      <c r="R393" s="689">
        <f t="shared" si="390"/>
        <v>35.904000000000003</v>
      </c>
      <c r="S393" s="1050">
        <f t="shared" ref="S393:S402" si="394">SUM(O393:R393)</f>
        <v>143.61600000000001</v>
      </c>
      <c r="T393" s="618">
        <f>IFERROR(INDEX('Annex 2_Code'!I$8:I$33,MATCH('Annex 3_MAFF'!$AG393,'Annex 2_Code'!$G$8:$G$33,0)),"")</f>
        <v>1</v>
      </c>
      <c r="U393" s="618">
        <f>IFERROR(INDEX('Annex 2_Code'!J$8:J$33,MATCH('Annex 3_MAFF'!$AG393,'Annex 2_Code'!$G$8:$G$33,0)),"")</f>
        <v>0</v>
      </c>
      <c r="V393" s="618">
        <f>IFERROR(INDEX('Annex 2_Code'!K$8:K$33,MATCH('Annex 3_MAFF'!$AG393,'Annex 2_Code'!$G$8:$G$33,0)),"")</f>
        <v>0</v>
      </c>
      <c r="W393" s="618">
        <f>IFERROR(INDEX('Annex 2_Code'!L$8:L$33,MATCH('Annex 3_MAFF'!$AG393,'Annex 2_Code'!$G$8:$G$33,0)),"")</f>
        <v>0</v>
      </c>
      <c r="X393" s="618">
        <f>IFERROR(INDEX('Annex 2_Code'!M$8:M$33,MATCH('Annex 3_MAFF'!$AG393,'Annex 2_Code'!$G$8:$G$33,0)),"")</f>
        <v>0</v>
      </c>
      <c r="Y393" s="1038">
        <f t="shared" si="350"/>
        <v>143.61600000000001</v>
      </c>
      <c r="Z393" s="717">
        <f t="shared" si="351"/>
        <v>0</v>
      </c>
      <c r="AA393" s="717">
        <f t="shared" si="351"/>
        <v>0</v>
      </c>
      <c r="AB393" s="717">
        <f t="shared" si="352"/>
        <v>0</v>
      </c>
      <c r="AC393" s="718">
        <f t="shared" si="353"/>
        <v>0</v>
      </c>
      <c r="AD393" s="626">
        <f t="shared" si="365"/>
        <v>143.61600000000001</v>
      </c>
      <c r="AE393" s="627">
        <f t="shared" si="366"/>
        <v>0</v>
      </c>
      <c r="AF393" s="568" t="s">
        <v>562</v>
      </c>
      <c r="AG393" s="568" t="s">
        <v>412</v>
      </c>
      <c r="AH393" s="568" t="str">
        <f>IFERROR(INDEX('Annex 2_Code'!$J$110:$J$127,MATCH('Annex 3_MAFF'!AF393,'Annex 2_Code'!$G$110:$G$127,0)),"")</f>
        <v>MAFF</v>
      </c>
      <c r="AI393" s="882" t="str">
        <f t="shared" si="357"/>
        <v>MAFF</v>
      </c>
      <c r="AK393" s="1382"/>
      <c r="AN393" s="366" t="s">
        <v>600</v>
      </c>
    </row>
    <row r="394" spans="1:41" s="542" customFormat="1" outlineLevel="1">
      <c r="A394" s="102"/>
      <c r="B394" s="76" t="s">
        <v>261</v>
      </c>
      <c r="C394" s="1071" t="s">
        <v>261</v>
      </c>
      <c r="D394" s="86"/>
      <c r="E394" s="82"/>
      <c r="F394" s="159" t="s">
        <v>221</v>
      </c>
      <c r="G394" s="1718" t="s">
        <v>1100</v>
      </c>
      <c r="H394" s="1719" t="s">
        <v>174</v>
      </c>
      <c r="I394" s="1720">
        <f>((34*2)+(14*8))/1000</f>
        <v>0.18</v>
      </c>
      <c r="J394" s="1721">
        <f t="shared" si="393"/>
        <v>132</v>
      </c>
      <c r="K394" s="1722">
        <f t="shared" si="393"/>
        <v>132</v>
      </c>
      <c r="L394" s="1722">
        <f t="shared" si="393"/>
        <v>132</v>
      </c>
      <c r="M394" s="1722">
        <f t="shared" si="393"/>
        <v>132</v>
      </c>
      <c r="N394" s="1764">
        <f t="shared" si="389"/>
        <v>528</v>
      </c>
      <c r="O394" s="1103">
        <f t="shared" si="391"/>
        <v>23.759999999999998</v>
      </c>
      <c r="P394" s="689">
        <f t="shared" si="392"/>
        <v>23.759999999999998</v>
      </c>
      <c r="Q394" s="689">
        <f t="shared" si="390"/>
        <v>23.759999999999998</v>
      </c>
      <c r="R394" s="689">
        <f t="shared" si="390"/>
        <v>23.759999999999998</v>
      </c>
      <c r="S394" s="145">
        <f t="shared" si="394"/>
        <v>95.039999999999992</v>
      </c>
      <c r="T394" s="618">
        <f>IFERROR(INDEX('Annex 2_Code'!I$8:I$33,MATCH('Annex 3_MAFF'!$AG394,'Annex 2_Code'!$G$8:$G$33,0)),"")</f>
        <v>1</v>
      </c>
      <c r="U394" s="618">
        <f>IFERROR(INDEX('Annex 2_Code'!J$8:J$33,MATCH('Annex 3_MAFF'!$AG394,'Annex 2_Code'!$G$8:$G$33,0)),"")</f>
        <v>0</v>
      </c>
      <c r="V394" s="618">
        <f>IFERROR(INDEX('Annex 2_Code'!K$8:K$33,MATCH('Annex 3_MAFF'!$AG394,'Annex 2_Code'!$G$8:$G$33,0)),"")</f>
        <v>0</v>
      </c>
      <c r="W394" s="618">
        <f>IFERROR(INDEX('Annex 2_Code'!L$8:L$33,MATCH('Annex 3_MAFF'!$AG394,'Annex 2_Code'!$G$8:$G$33,0)),"")</f>
        <v>0</v>
      </c>
      <c r="X394" s="618">
        <f>IFERROR(INDEX('Annex 2_Code'!M$8:M$33,MATCH('Annex 3_MAFF'!$AG394,'Annex 2_Code'!$G$8:$G$33,0)),"")</f>
        <v>0</v>
      </c>
      <c r="Y394" s="1038">
        <f t="shared" si="350"/>
        <v>95.039999999999992</v>
      </c>
      <c r="Z394" s="717">
        <f t="shared" si="351"/>
        <v>0</v>
      </c>
      <c r="AA394" s="717">
        <f t="shared" si="351"/>
        <v>0</v>
      </c>
      <c r="AB394" s="717">
        <f t="shared" si="352"/>
        <v>0</v>
      </c>
      <c r="AC394" s="718">
        <f t="shared" si="353"/>
        <v>0</v>
      </c>
      <c r="AD394" s="626">
        <f t="shared" si="365"/>
        <v>95.039999999999992</v>
      </c>
      <c r="AE394" s="627">
        <f t="shared" si="366"/>
        <v>0</v>
      </c>
      <c r="AF394" s="568" t="s">
        <v>562</v>
      </c>
      <c r="AG394" s="568" t="s">
        <v>412</v>
      </c>
      <c r="AH394" s="568" t="str">
        <f>IFERROR(INDEX('Annex 2_Code'!$J$110:$J$127,MATCH('Annex 3_MAFF'!AF394,'Annex 2_Code'!$G$110:$G$127,0)),"")</f>
        <v>MAFF</v>
      </c>
      <c r="AI394" s="882" t="str">
        <f t="shared" si="357"/>
        <v>MAFF</v>
      </c>
      <c r="AK394" s="1382"/>
      <c r="AM394" s="542" t="s">
        <v>227</v>
      </c>
      <c r="AN394" s="542" t="str">
        <f>+G398</f>
        <v>Eqipment (topographical equipments with DGPS and Drone)</v>
      </c>
      <c r="AO394" s="1378">
        <f>+Y398</f>
        <v>200</v>
      </c>
    </row>
    <row r="395" spans="1:41" s="542" customFormat="1" outlineLevel="1">
      <c r="A395" s="102"/>
      <c r="B395" s="76" t="s">
        <v>261</v>
      </c>
      <c r="C395" s="1071" t="s">
        <v>261</v>
      </c>
      <c r="D395" s="86"/>
      <c r="E395" s="82"/>
      <c r="F395" s="547" t="s">
        <v>223</v>
      </c>
      <c r="G395" s="1934" t="s">
        <v>1194</v>
      </c>
      <c r="H395" s="589" t="s">
        <v>174</v>
      </c>
      <c r="I395" s="1933">
        <f>((2120)+(120*3)+(150*4)+(200*2)+(275*10))/1000</f>
        <v>6.23</v>
      </c>
      <c r="J395" s="674">
        <v>3</v>
      </c>
      <c r="K395" s="675">
        <v>3</v>
      </c>
      <c r="L395" s="675">
        <v>3</v>
      </c>
      <c r="M395" s="675">
        <v>3</v>
      </c>
      <c r="N395" s="1763">
        <f t="shared" si="389"/>
        <v>12</v>
      </c>
      <c r="O395" s="1103">
        <f t="shared" si="391"/>
        <v>18.690000000000001</v>
      </c>
      <c r="P395" s="689">
        <f t="shared" si="392"/>
        <v>18.690000000000001</v>
      </c>
      <c r="Q395" s="689">
        <f t="shared" si="390"/>
        <v>18.690000000000001</v>
      </c>
      <c r="R395" s="689">
        <f t="shared" si="390"/>
        <v>18.690000000000001</v>
      </c>
      <c r="S395" s="145">
        <f t="shared" si="394"/>
        <v>74.760000000000005</v>
      </c>
      <c r="T395" s="618">
        <f>IFERROR(INDEX('Annex 2_Code'!I$8:I$33,MATCH('Annex 3_MAFF'!$AG395,'Annex 2_Code'!$G$8:$G$33,0)),"")</f>
        <v>1</v>
      </c>
      <c r="U395" s="618">
        <f>IFERROR(INDEX('Annex 2_Code'!J$8:J$33,MATCH('Annex 3_MAFF'!$AG395,'Annex 2_Code'!$G$8:$G$33,0)),"")</f>
        <v>0</v>
      </c>
      <c r="V395" s="618">
        <f>IFERROR(INDEX('Annex 2_Code'!K$8:K$33,MATCH('Annex 3_MAFF'!$AG395,'Annex 2_Code'!$G$8:$G$33,0)),"")</f>
        <v>0</v>
      </c>
      <c r="W395" s="618">
        <f>IFERROR(INDEX('Annex 2_Code'!L$8:L$33,MATCH('Annex 3_MAFF'!$AG395,'Annex 2_Code'!$G$8:$G$33,0)),"")</f>
        <v>0</v>
      </c>
      <c r="X395" s="618">
        <f>IFERROR(INDEX('Annex 2_Code'!M$8:M$33,MATCH('Annex 3_MAFF'!$AG395,'Annex 2_Code'!$G$8:$G$33,0)),"")</f>
        <v>0</v>
      </c>
      <c r="Y395" s="1038">
        <f t="shared" si="350"/>
        <v>74.760000000000005</v>
      </c>
      <c r="Z395" s="717">
        <f t="shared" si="351"/>
        <v>0</v>
      </c>
      <c r="AA395" s="717">
        <f t="shared" si="351"/>
        <v>0</v>
      </c>
      <c r="AB395" s="717">
        <f t="shared" si="352"/>
        <v>0</v>
      </c>
      <c r="AC395" s="718">
        <f t="shared" si="353"/>
        <v>0</v>
      </c>
      <c r="AD395" s="626">
        <f t="shared" si="365"/>
        <v>74.760000000000005</v>
      </c>
      <c r="AE395" s="627">
        <f t="shared" si="366"/>
        <v>0</v>
      </c>
      <c r="AF395" s="568" t="s">
        <v>562</v>
      </c>
      <c r="AG395" s="568" t="s">
        <v>412</v>
      </c>
      <c r="AH395" s="568" t="str">
        <f>IFERROR(INDEX('Annex 2_Code'!$J$110:$J$127,MATCH('Annex 3_MAFF'!AF395,'Annex 2_Code'!$G$110:$G$127,0)),"")</f>
        <v>MAFF</v>
      </c>
      <c r="AI395" s="882" t="str">
        <f t="shared" si="357"/>
        <v>MAFF</v>
      </c>
      <c r="AK395" s="1389">
        <f>+AO385</f>
        <v>124.24000000000001</v>
      </c>
      <c r="AL395" s="1389" t="s">
        <v>379</v>
      </c>
      <c r="AN395" s="366" t="s">
        <v>1028</v>
      </c>
    </row>
    <row r="396" spans="1:41" s="542" customFormat="1" outlineLevel="1">
      <c r="A396" s="102"/>
      <c r="B396" s="1921" t="s">
        <v>261</v>
      </c>
      <c r="C396" s="1923" t="s">
        <v>261</v>
      </c>
      <c r="D396" s="362"/>
      <c r="E396" s="1019"/>
      <c r="F396" s="546" t="s">
        <v>225</v>
      </c>
      <c r="G396" s="1020" t="s">
        <v>1084</v>
      </c>
      <c r="H396" s="589" t="s">
        <v>172</v>
      </c>
      <c r="I396" s="586">
        <v>37</v>
      </c>
      <c r="J396" s="674">
        <v>0.5</v>
      </c>
      <c r="K396" s="675">
        <v>1</v>
      </c>
      <c r="L396" s="675">
        <v>0.5</v>
      </c>
      <c r="M396" s="675"/>
      <c r="N396" s="1763">
        <f t="shared" si="389"/>
        <v>2</v>
      </c>
      <c r="O396" s="1103">
        <f t="shared" si="391"/>
        <v>18.5</v>
      </c>
      <c r="P396" s="689">
        <f t="shared" si="392"/>
        <v>37</v>
      </c>
      <c r="Q396" s="689">
        <f t="shared" si="390"/>
        <v>18.5</v>
      </c>
      <c r="R396" s="689">
        <f t="shared" si="390"/>
        <v>0</v>
      </c>
      <c r="S396" s="145">
        <f>SUM(O396:R396)</f>
        <v>74</v>
      </c>
      <c r="T396" s="618">
        <f>IFERROR(INDEX('Annex 2_Code'!I$8:I$33,MATCH('Annex 3_MAFF'!$AG396,'Annex 2_Code'!$G$8:$G$33,0)),"")</f>
        <v>1</v>
      </c>
      <c r="U396" s="618">
        <f>IFERROR(INDEX('Annex 2_Code'!J$8:J$33,MATCH('Annex 3_MAFF'!$AG396,'Annex 2_Code'!$G$8:$G$33,0)),"")</f>
        <v>0</v>
      </c>
      <c r="V396" s="618">
        <f>IFERROR(INDEX('Annex 2_Code'!K$8:K$33,MATCH('Annex 3_MAFF'!$AG396,'Annex 2_Code'!$G$8:$G$33,0)),"")</f>
        <v>0</v>
      </c>
      <c r="W396" s="618">
        <f>IFERROR(INDEX('Annex 2_Code'!L$8:L$33,MATCH('Annex 3_MAFF'!$AG396,'Annex 2_Code'!$G$8:$G$33,0)),"")</f>
        <v>0</v>
      </c>
      <c r="X396" s="618">
        <f>IFERROR(INDEX('Annex 2_Code'!M$8:M$33,MATCH('Annex 3_MAFF'!$AG396,'Annex 2_Code'!$G$8:$G$33,0)),"")</f>
        <v>0</v>
      </c>
      <c r="Y396" s="1038">
        <f t="shared" ref="Y396" si="395">IFERROR($S396*T396,"")</f>
        <v>74</v>
      </c>
      <c r="Z396" s="717"/>
      <c r="AA396" s="717">
        <f t="shared" si="351"/>
        <v>0</v>
      </c>
      <c r="AB396" s="717"/>
      <c r="AC396" s="718"/>
      <c r="AD396" s="626">
        <f t="shared" ref="AD396" si="396">SUM(Y396:AC396)</f>
        <v>74</v>
      </c>
      <c r="AE396" s="627">
        <f t="shared" ref="AE396" si="397">AD396-S396</f>
        <v>0</v>
      </c>
      <c r="AF396" s="568" t="s">
        <v>562</v>
      </c>
      <c r="AG396" s="568" t="s">
        <v>412</v>
      </c>
      <c r="AH396" s="568" t="str">
        <f>IFERROR(INDEX('Annex 2_Code'!$J$110:$J$127,MATCH('Annex 3_MAFF'!AF396,'Annex 2_Code'!$G$110:$G$127,0)),"")</f>
        <v>MAFF</v>
      </c>
      <c r="AI396" s="882" t="str">
        <f t="shared" ref="AI396" si="398">IF(ISNUMBER(FIND("-",AH396,1))=FALSE,LEFT(AH396,LEN(AH396)),LEFT(AH396,(FIND("-",AH396,1))-1))</f>
        <v>MAFF</v>
      </c>
      <c r="AK396" s="1603"/>
      <c r="AL396" s="1603"/>
      <c r="AN396" s="366"/>
    </row>
    <row r="397" spans="1:41" s="542" customFormat="1" outlineLevel="1">
      <c r="A397" s="102"/>
      <c r="B397" s="76" t="s">
        <v>261</v>
      </c>
      <c r="C397" s="1071" t="s">
        <v>261</v>
      </c>
      <c r="D397" s="86"/>
      <c r="E397" s="82"/>
      <c r="F397" s="159" t="s">
        <v>227</v>
      </c>
      <c r="G397" s="2280" t="s">
        <v>1203</v>
      </c>
      <c r="H397" s="1719" t="s">
        <v>172</v>
      </c>
      <c r="I397" s="1720">
        <f>(12*2000+7*2000)/1000</f>
        <v>38</v>
      </c>
      <c r="J397" s="1721">
        <v>1</v>
      </c>
      <c r="K397" s="1722">
        <v>0</v>
      </c>
      <c r="L397" s="1722">
        <v>0</v>
      </c>
      <c r="M397" s="1722">
        <v>0</v>
      </c>
      <c r="N397" s="1764">
        <f t="shared" si="389"/>
        <v>1</v>
      </c>
      <c r="O397" s="1103">
        <f t="shared" si="391"/>
        <v>38</v>
      </c>
      <c r="P397" s="689">
        <f t="shared" si="392"/>
        <v>0</v>
      </c>
      <c r="Q397" s="689">
        <f t="shared" si="390"/>
        <v>0</v>
      </c>
      <c r="R397" s="689">
        <f t="shared" si="390"/>
        <v>0</v>
      </c>
      <c r="S397" s="145">
        <f t="shared" si="394"/>
        <v>38</v>
      </c>
      <c r="T397" s="618">
        <f>IFERROR(INDEX('Annex 2_Code'!I$8:I$33,MATCH('Annex 3_MAFF'!$AG397,'Annex 2_Code'!$G$8:$G$33,0)),"")</f>
        <v>1</v>
      </c>
      <c r="U397" s="618">
        <f>IFERROR(INDEX('Annex 2_Code'!J$8:J$33,MATCH('Annex 3_MAFF'!$AG397,'Annex 2_Code'!$G$8:$G$33,0)),"")</f>
        <v>0</v>
      </c>
      <c r="V397" s="618">
        <f>IFERROR(INDEX('Annex 2_Code'!K$8:K$33,MATCH('Annex 3_MAFF'!$AG397,'Annex 2_Code'!$G$8:$G$33,0)),"")</f>
        <v>0</v>
      </c>
      <c r="W397" s="618">
        <f>IFERROR(INDEX('Annex 2_Code'!L$8:L$33,MATCH('Annex 3_MAFF'!$AG397,'Annex 2_Code'!$G$8:$G$33,0)),"")</f>
        <v>0</v>
      </c>
      <c r="X397" s="618">
        <f>IFERROR(INDEX('Annex 2_Code'!M$8:M$33,MATCH('Annex 3_MAFF'!$AG397,'Annex 2_Code'!$G$8:$G$33,0)),"")</f>
        <v>0</v>
      </c>
      <c r="Y397" s="716">
        <f t="shared" si="350"/>
        <v>38</v>
      </c>
      <c r="Z397" s="717">
        <f t="shared" si="351"/>
        <v>0</v>
      </c>
      <c r="AA397" s="717">
        <f t="shared" si="351"/>
        <v>0</v>
      </c>
      <c r="AB397" s="717">
        <f t="shared" si="352"/>
        <v>0</v>
      </c>
      <c r="AC397" s="718">
        <f t="shared" si="353"/>
        <v>0</v>
      </c>
      <c r="AD397" s="626">
        <f t="shared" si="365"/>
        <v>38</v>
      </c>
      <c r="AE397" s="627">
        <f t="shared" si="366"/>
        <v>0</v>
      </c>
      <c r="AF397" s="568" t="s">
        <v>562</v>
      </c>
      <c r="AG397" s="568" t="s">
        <v>412</v>
      </c>
      <c r="AH397" s="568" t="str">
        <f>IFERROR(INDEX('Annex 2_Code'!$J$110:$J$127,MATCH('Annex 3_MAFF'!AF397,'Annex 2_Code'!$G$110:$G$127,0)),"")</f>
        <v>MAFF</v>
      </c>
      <c r="AI397" s="882" t="str">
        <f t="shared" si="357"/>
        <v>MAFF</v>
      </c>
      <c r="AK397" s="1389">
        <f>+AO401</f>
        <v>2.88</v>
      </c>
      <c r="AL397" s="1389" t="s">
        <v>640</v>
      </c>
      <c r="AM397" s="542" t="s">
        <v>229</v>
      </c>
      <c r="AN397" s="542" t="str">
        <f>+G399</f>
        <v>Advertisement Charges</v>
      </c>
      <c r="AO397" s="1378">
        <f>S399</f>
        <v>2.8000000000000003</v>
      </c>
    </row>
    <row r="398" spans="1:41" s="542" customFormat="1" outlineLevel="1">
      <c r="A398" s="102"/>
      <c r="B398" s="76" t="s">
        <v>261</v>
      </c>
      <c r="C398" s="1071" t="s">
        <v>261</v>
      </c>
      <c r="D398" s="86"/>
      <c r="E398" s="82"/>
      <c r="F398" s="159" t="s">
        <v>229</v>
      </c>
      <c r="G398" s="2280" t="s">
        <v>1204</v>
      </c>
      <c r="H398" s="1719" t="s">
        <v>172</v>
      </c>
      <c r="I398" s="1720">
        <v>200</v>
      </c>
      <c r="J398" s="1721">
        <v>0</v>
      </c>
      <c r="K398" s="1722">
        <v>1</v>
      </c>
      <c r="L398" s="1722">
        <v>0</v>
      </c>
      <c r="M398" s="1722">
        <v>0</v>
      </c>
      <c r="N398" s="1764">
        <f t="shared" si="389"/>
        <v>1</v>
      </c>
      <c r="O398" s="1103">
        <f t="shared" si="391"/>
        <v>0</v>
      </c>
      <c r="P398" s="689">
        <f t="shared" si="392"/>
        <v>200</v>
      </c>
      <c r="Q398" s="689">
        <f t="shared" si="390"/>
        <v>0</v>
      </c>
      <c r="R398" s="689">
        <f t="shared" si="390"/>
        <v>0</v>
      </c>
      <c r="S398" s="145">
        <f t="shared" si="394"/>
        <v>200</v>
      </c>
      <c r="T398" s="618">
        <f>IFERROR(INDEX('Annex 2_Code'!I$8:I$33,MATCH('Annex 3_MAFF'!$AG398,'Annex 2_Code'!$G$8:$G$33,0)),"")</f>
        <v>1</v>
      </c>
      <c r="U398" s="618">
        <f>IFERROR(INDEX('Annex 2_Code'!J$8:J$33,MATCH('Annex 3_MAFF'!$AG398,'Annex 2_Code'!$G$8:$G$33,0)),"")</f>
        <v>0</v>
      </c>
      <c r="V398" s="618">
        <f>IFERROR(INDEX('Annex 2_Code'!K$8:K$33,MATCH('Annex 3_MAFF'!$AG398,'Annex 2_Code'!$G$8:$G$33,0)),"")</f>
        <v>0</v>
      </c>
      <c r="W398" s="618">
        <f>IFERROR(INDEX('Annex 2_Code'!L$8:L$33,MATCH('Annex 3_MAFF'!$AG398,'Annex 2_Code'!$G$8:$G$33,0)),"")</f>
        <v>0</v>
      </c>
      <c r="X398" s="618">
        <f>IFERROR(INDEX('Annex 2_Code'!M$8:M$33,MATCH('Annex 3_MAFF'!$AG398,'Annex 2_Code'!$G$8:$G$33,0)),"")</f>
        <v>0</v>
      </c>
      <c r="Y398" s="716">
        <f t="shared" si="350"/>
        <v>200</v>
      </c>
      <c r="Z398" s="717">
        <f t="shared" si="351"/>
        <v>0</v>
      </c>
      <c r="AA398" s="717">
        <f t="shared" si="351"/>
        <v>0</v>
      </c>
      <c r="AB398" s="717">
        <f t="shared" si="352"/>
        <v>0</v>
      </c>
      <c r="AC398" s="718">
        <f t="shared" si="353"/>
        <v>0</v>
      </c>
      <c r="AD398" s="626">
        <f t="shared" si="365"/>
        <v>200</v>
      </c>
      <c r="AE398" s="627">
        <f t="shared" si="366"/>
        <v>0</v>
      </c>
      <c r="AF398" s="568" t="s">
        <v>562</v>
      </c>
      <c r="AG398" s="568" t="s">
        <v>412</v>
      </c>
      <c r="AH398" s="568" t="str">
        <f>IFERROR(INDEX('Annex 2_Code'!$J$110:$J$127,MATCH('Annex 3_MAFF'!AF398,'Annex 2_Code'!$G$110:$G$127,0)),"")</f>
        <v>MAFF</v>
      </c>
      <c r="AI398" s="882" t="str">
        <f t="shared" si="357"/>
        <v>MAFF</v>
      </c>
      <c r="AK398" s="1382"/>
      <c r="AN398" s="366" t="s">
        <v>640</v>
      </c>
    </row>
    <row r="399" spans="1:41" s="542" customFormat="1" outlineLevel="1">
      <c r="A399" s="102"/>
      <c r="B399" s="76" t="s">
        <v>261</v>
      </c>
      <c r="C399" s="1071" t="s">
        <v>261</v>
      </c>
      <c r="D399" s="86"/>
      <c r="E399" s="82"/>
      <c r="F399" s="547" t="s">
        <v>1026</v>
      </c>
      <c r="G399" s="1051" t="s">
        <v>254</v>
      </c>
      <c r="H399" s="589" t="s">
        <v>172</v>
      </c>
      <c r="I399" s="586">
        <f>200/1000</f>
        <v>0.2</v>
      </c>
      <c r="J399" s="674">
        <v>3</v>
      </c>
      <c r="K399" s="675">
        <v>3</v>
      </c>
      <c r="L399" s="675">
        <v>3</v>
      </c>
      <c r="M399" s="675">
        <v>5</v>
      </c>
      <c r="N399" s="1763">
        <f t="shared" si="389"/>
        <v>14</v>
      </c>
      <c r="O399" s="1103">
        <f t="shared" si="391"/>
        <v>0.60000000000000009</v>
      </c>
      <c r="P399" s="689">
        <f t="shared" si="392"/>
        <v>0.60000000000000009</v>
      </c>
      <c r="Q399" s="689">
        <f t="shared" si="390"/>
        <v>0.60000000000000009</v>
      </c>
      <c r="R399" s="689">
        <f t="shared" si="390"/>
        <v>1</v>
      </c>
      <c r="S399" s="145">
        <f t="shared" si="394"/>
        <v>2.8000000000000003</v>
      </c>
      <c r="T399" s="618">
        <f>IFERROR(INDEX('Annex 2_Code'!I$8:I$33,MATCH('Annex 3_MAFF'!$AG399,'Annex 2_Code'!$G$8:$G$33,0)),"")</f>
        <v>1</v>
      </c>
      <c r="U399" s="618">
        <f>IFERROR(INDEX('Annex 2_Code'!J$8:J$33,MATCH('Annex 3_MAFF'!$AG399,'Annex 2_Code'!$G$8:$G$33,0)),"")</f>
        <v>0</v>
      </c>
      <c r="V399" s="618">
        <f>IFERROR(INDEX('Annex 2_Code'!K$8:K$33,MATCH('Annex 3_MAFF'!$AG399,'Annex 2_Code'!$G$8:$G$33,0)),"")</f>
        <v>0</v>
      </c>
      <c r="W399" s="618">
        <f>IFERROR(INDEX('Annex 2_Code'!L$8:L$33,MATCH('Annex 3_MAFF'!$AG399,'Annex 2_Code'!$G$8:$G$33,0)),"")</f>
        <v>0</v>
      </c>
      <c r="X399" s="618">
        <f>IFERROR(INDEX('Annex 2_Code'!M$8:M$33,MATCH('Annex 3_MAFF'!$AG399,'Annex 2_Code'!$G$8:$G$33,0)),"")</f>
        <v>0</v>
      </c>
      <c r="Y399" s="716">
        <f t="shared" si="350"/>
        <v>2.8000000000000003</v>
      </c>
      <c r="Z399" s="717">
        <f t="shared" si="351"/>
        <v>0</v>
      </c>
      <c r="AA399" s="717">
        <f t="shared" si="351"/>
        <v>0</v>
      </c>
      <c r="AB399" s="717">
        <f t="shared" si="352"/>
        <v>0</v>
      </c>
      <c r="AC399" s="718">
        <f t="shared" si="353"/>
        <v>0</v>
      </c>
      <c r="AD399" s="626">
        <f t="shared" si="365"/>
        <v>2.8000000000000003</v>
      </c>
      <c r="AE399" s="627">
        <f t="shared" si="366"/>
        <v>0</v>
      </c>
      <c r="AF399" s="568" t="s">
        <v>562</v>
      </c>
      <c r="AG399" s="568" t="s">
        <v>412</v>
      </c>
      <c r="AH399" s="568" t="str">
        <f>IFERROR(INDEX('Annex 2_Code'!$J$110:$J$127,MATCH('Annex 3_MAFF'!AF399,'Annex 2_Code'!$G$110:$G$127,0)),"")</f>
        <v>MAFF</v>
      </c>
      <c r="AI399" s="882" t="str">
        <f t="shared" si="357"/>
        <v>MAFF</v>
      </c>
      <c r="AK399" s="1389">
        <f>+AO389</f>
        <v>238.65600000000001</v>
      </c>
      <c r="AL399" s="1389" t="s">
        <v>1022</v>
      </c>
      <c r="AM399" s="1396" t="s">
        <v>1026</v>
      </c>
      <c r="AN399" s="542" t="str">
        <f>+G400</f>
        <v xml:space="preserve">General Meeting </v>
      </c>
      <c r="AO399" s="1378">
        <f>S400</f>
        <v>2.88</v>
      </c>
    </row>
    <row r="400" spans="1:41" s="542" customFormat="1" outlineLevel="1">
      <c r="A400" s="102"/>
      <c r="B400" s="76" t="s">
        <v>261</v>
      </c>
      <c r="C400" s="1071" t="s">
        <v>261</v>
      </c>
      <c r="D400" s="86"/>
      <c r="E400" s="82"/>
      <c r="F400" s="1052" t="s">
        <v>1027</v>
      </c>
      <c r="G400" s="1020" t="s">
        <v>232</v>
      </c>
      <c r="H400" s="589" t="s">
        <v>174</v>
      </c>
      <c r="I400" s="586">
        <f>(80*3)/1000</f>
        <v>0.24</v>
      </c>
      <c r="J400" s="674">
        <v>3</v>
      </c>
      <c r="K400" s="675">
        <v>3</v>
      </c>
      <c r="L400" s="675">
        <v>3</v>
      </c>
      <c r="M400" s="675">
        <v>3</v>
      </c>
      <c r="N400" s="1763">
        <f t="shared" si="389"/>
        <v>12</v>
      </c>
      <c r="O400" s="1103">
        <f t="shared" si="391"/>
        <v>0.72</v>
      </c>
      <c r="P400" s="689">
        <f>($I400*K400)</f>
        <v>0.72</v>
      </c>
      <c r="Q400" s="689">
        <f t="shared" si="390"/>
        <v>0.72</v>
      </c>
      <c r="R400" s="689">
        <f t="shared" si="390"/>
        <v>0.72</v>
      </c>
      <c r="S400" s="145">
        <f t="shared" si="394"/>
        <v>2.88</v>
      </c>
      <c r="T400" s="618">
        <f>IFERROR(INDEX('Annex 2_Code'!I$8:I$33,MATCH('Annex 3_MAFF'!$AG400,'Annex 2_Code'!$G$8:$G$33,0)),"")</f>
        <v>1</v>
      </c>
      <c r="U400" s="618">
        <f>IFERROR(INDEX('Annex 2_Code'!J$8:J$33,MATCH('Annex 3_MAFF'!$AG400,'Annex 2_Code'!$G$8:$G$33,0)),"")</f>
        <v>0</v>
      </c>
      <c r="V400" s="618">
        <f>IFERROR(INDEX('Annex 2_Code'!K$8:K$33,MATCH('Annex 3_MAFF'!$AG400,'Annex 2_Code'!$G$8:$G$33,0)),"")</f>
        <v>0</v>
      </c>
      <c r="W400" s="618">
        <f>IFERROR(INDEX('Annex 2_Code'!L$8:L$33,MATCH('Annex 3_MAFF'!$AG400,'Annex 2_Code'!$G$8:$G$33,0)),"")</f>
        <v>0</v>
      </c>
      <c r="X400" s="618">
        <f>IFERROR(INDEX('Annex 2_Code'!M$8:M$33,MATCH('Annex 3_MAFF'!$AG400,'Annex 2_Code'!$G$8:$G$33,0)),"")</f>
        <v>0</v>
      </c>
      <c r="Y400" s="716">
        <f t="shared" si="350"/>
        <v>2.88</v>
      </c>
      <c r="Z400" s="717">
        <f t="shared" si="351"/>
        <v>0</v>
      </c>
      <c r="AA400" s="717">
        <f t="shared" si="351"/>
        <v>0</v>
      </c>
      <c r="AB400" s="717">
        <f t="shared" si="352"/>
        <v>0</v>
      </c>
      <c r="AC400" s="718">
        <f t="shared" si="353"/>
        <v>0</v>
      </c>
      <c r="AD400" s="626">
        <f t="shared" si="365"/>
        <v>2.88</v>
      </c>
      <c r="AE400" s="627">
        <f t="shared" si="366"/>
        <v>0</v>
      </c>
      <c r="AF400" s="568" t="s">
        <v>562</v>
      </c>
      <c r="AG400" s="568" t="s">
        <v>412</v>
      </c>
      <c r="AH400" s="568" t="str">
        <f>IFERROR(INDEX('Annex 2_Code'!$J$110:$J$127,MATCH('Annex 3_MAFF'!AF400,'Annex 2_Code'!$G$110:$G$127,0)),"")</f>
        <v>MAFF</v>
      </c>
      <c r="AI400" s="882" t="str">
        <f t="shared" si="357"/>
        <v>MAFF</v>
      </c>
      <c r="AK400" s="1382"/>
      <c r="AL400" s="1382"/>
      <c r="AM400" s="1396" t="s">
        <v>1027</v>
      </c>
      <c r="AN400" s="542" t="str">
        <f>+G401</f>
        <v>Desimination Workshop</v>
      </c>
      <c r="AO400" s="1378">
        <f>S401</f>
        <v>0</v>
      </c>
    </row>
    <row r="401" spans="1:41" s="542" customFormat="1" outlineLevel="1">
      <c r="A401" s="102"/>
      <c r="B401" s="2308" t="s">
        <v>261</v>
      </c>
      <c r="C401" s="2312" t="s">
        <v>261</v>
      </c>
      <c r="D401" s="1652"/>
      <c r="E401" s="1653"/>
      <c r="F401" s="2313" t="s">
        <v>234</v>
      </c>
      <c r="G401" s="2314" t="s">
        <v>1206</v>
      </c>
      <c r="H401" s="2315" t="s">
        <v>172</v>
      </c>
      <c r="I401" s="2316">
        <f>2500/1000</f>
        <v>2.5</v>
      </c>
      <c r="J401" s="2317">
        <v>0</v>
      </c>
      <c r="K401" s="2318">
        <v>0</v>
      </c>
      <c r="L401" s="2318">
        <v>0</v>
      </c>
      <c r="M401" s="2318">
        <v>0</v>
      </c>
      <c r="N401" s="2319">
        <f t="shared" si="389"/>
        <v>0</v>
      </c>
      <c r="O401" s="1103">
        <f t="shared" si="391"/>
        <v>0</v>
      </c>
      <c r="P401" s="689">
        <f t="shared" si="392"/>
        <v>0</v>
      </c>
      <c r="Q401" s="689">
        <f t="shared" si="390"/>
        <v>0</v>
      </c>
      <c r="R401" s="689">
        <f t="shared" si="390"/>
        <v>0</v>
      </c>
      <c r="S401" s="145">
        <f t="shared" si="394"/>
        <v>0</v>
      </c>
      <c r="T401" s="618">
        <f>IFERROR(INDEX('Annex 2_Code'!I$8:I$33,MATCH('Annex 3_MAFF'!$AG401,'Annex 2_Code'!$G$8:$G$33,0)),"")</f>
        <v>1</v>
      </c>
      <c r="U401" s="618">
        <f>IFERROR(INDEX('Annex 2_Code'!J$8:J$33,MATCH('Annex 3_MAFF'!$AG401,'Annex 2_Code'!$G$8:$G$33,0)),"")</f>
        <v>0</v>
      </c>
      <c r="V401" s="618">
        <f>IFERROR(INDEX('Annex 2_Code'!K$8:K$33,MATCH('Annex 3_MAFF'!$AG401,'Annex 2_Code'!$G$8:$G$33,0)),"")</f>
        <v>0</v>
      </c>
      <c r="W401" s="618">
        <f>IFERROR(INDEX('Annex 2_Code'!L$8:L$33,MATCH('Annex 3_MAFF'!$AG401,'Annex 2_Code'!$G$8:$G$33,0)),"")</f>
        <v>0</v>
      </c>
      <c r="X401" s="618">
        <f>IFERROR(INDEX('Annex 2_Code'!M$8:M$33,MATCH('Annex 3_MAFF'!$AG401,'Annex 2_Code'!$G$8:$G$33,0)),"")</f>
        <v>0</v>
      </c>
      <c r="Y401" s="716">
        <f t="shared" si="350"/>
        <v>0</v>
      </c>
      <c r="Z401" s="717">
        <f t="shared" si="351"/>
        <v>0</v>
      </c>
      <c r="AA401" s="717">
        <f t="shared" si="351"/>
        <v>0</v>
      </c>
      <c r="AB401" s="717">
        <f t="shared" si="352"/>
        <v>0</v>
      </c>
      <c r="AC401" s="718">
        <f t="shared" si="353"/>
        <v>0</v>
      </c>
      <c r="AD401" s="626">
        <f t="shared" si="365"/>
        <v>0</v>
      </c>
      <c r="AE401" s="627">
        <f t="shared" si="366"/>
        <v>0</v>
      </c>
      <c r="AF401" s="568" t="s">
        <v>562</v>
      </c>
      <c r="AG401" s="568" t="s">
        <v>412</v>
      </c>
      <c r="AH401" s="568" t="str">
        <f>IFERROR(INDEX('Annex 2_Code'!$J$110:$J$127,MATCH('Annex 3_MAFF'!AF401,'Annex 2_Code'!$G$110:$G$127,0)),"")</f>
        <v>MAFF</v>
      </c>
      <c r="AI401" s="882" t="str">
        <f t="shared" si="357"/>
        <v>MAFF</v>
      </c>
      <c r="AK401" s="1389">
        <f>+AO391</f>
        <v>74.760000000000005</v>
      </c>
      <c r="AL401" s="1389" t="s">
        <v>1021</v>
      </c>
      <c r="AO401" s="1375">
        <f>SUM(AO399:AO400)</f>
        <v>2.88</v>
      </c>
    </row>
    <row r="402" spans="1:41" s="542" customFormat="1" outlineLevel="1">
      <c r="A402" s="102"/>
      <c r="B402" s="76" t="s">
        <v>261</v>
      </c>
      <c r="C402" s="1071" t="s">
        <v>261</v>
      </c>
      <c r="D402" s="86"/>
      <c r="E402" s="82"/>
      <c r="F402" s="547" t="s">
        <v>236</v>
      </c>
      <c r="G402" s="1053" t="s">
        <v>235</v>
      </c>
      <c r="H402" s="590" t="s">
        <v>172</v>
      </c>
      <c r="I402" s="586">
        <f>2500/1000</f>
        <v>2.5</v>
      </c>
      <c r="J402" s="674">
        <v>0</v>
      </c>
      <c r="K402" s="675">
        <v>0</v>
      </c>
      <c r="L402" s="675">
        <v>1</v>
      </c>
      <c r="M402" s="675">
        <v>0</v>
      </c>
      <c r="N402" s="1763">
        <f t="shared" si="389"/>
        <v>1</v>
      </c>
      <c r="O402" s="1103">
        <f t="shared" si="391"/>
        <v>0</v>
      </c>
      <c r="P402" s="689">
        <f t="shared" si="392"/>
        <v>0</v>
      </c>
      <c r="Q402" s="689">
        <f t="shared" si="390"/>
        <v>2.5</v>
      </c>
      <c r="R402" s="689">
        <f t="shared" si="390"/>
        <v>0</v>
      </c>
      <c r="S402" s="145">
        <f t="shared" si="394"/>
        <v>2.5</v>
      </c>
      <c r="T402" s="618">
        <f>IFERROR(INDEX('Annex 2_Code'!I$8:I$33,MATCH('Annex 3_MAFF'!$AG402,'Annex 2_Code'!$G$8:$G$33,0)),"")</f>
        <v>1</v>
      </c>
      <c r="U402" s="618">
        <f>IFERROR(INDEX('Annex 2_Code'!J$8:J$33,MATCH('Annex 3_MAFF'!$AG402,'Annex 2_Code'!$G$8:$G$33,0)),"")</f>
        <v>0</v>
      </c>
      <c r="V402" s="618">
        <f>IFERROR(INDEX('Annex 2_Code'!K$8:K$33,MATCH('Annex 3_MAFF'!$AG402,'Annex 2_Code'!$G$8:$G$33,0)),"")</f>
        <v>0</v>
      </c>
      <c r="W402" s="618">
        <f>IFERROR(INDEX('Annex 2_Code'!L$8:L$33,MATCH('Annex 3_MAFF'!$AG402,'Annex 2_Code'!$G$8:$G$33,0)),"")</f>
        <v>0</v>
      </c>
      <c r="X402" s="618">
        <f>IFERROR(INDEX('Annex 2_Code'!M$8:M$33,MATCH('Annex 3_MAFF'!$AG402,'Annex 2_Code'!$G$8:$G$33,0)),"")</f>
        <v>0</v>
      </c>
      <c r="Y402" s="716">
        <f t="shared" si="350"/>
        <v>2.5</v>
      </c>
      <c r="Z402" s="717">
        <f t="shared" si="351"/>
        <v>0</v>
      </c>
      <c r="AA402" s="717">
        <f t="shared" si="351"/>
        <v>0</v>
      </c>
      <c r="AB402" s="717">
        <f t="shared" si="352"/>
        <v>0</v>
      </c>
      <c r="AC402" s="718">
        <f t="shared" si="353"/>
        <v>0</v>
      </c>
      <c r="AD402" s="626">
        <f t="shared" si="365"/>
        <v>2.5</v>
      </c>
      <c r="AE402" s="627">
        <f t="shared" si="366"/>
        <v>0</v>
      </c>
      <c r="AF402" s="568" t="s">
        <v>562</v>
      </c>
      <c r="AG402" s="568" t="s">
        <v>412</v>
      </c>
      <c r="AH402" s="568" t="str">
        <f>IFERROR(INDEX('Annex 2_Code'!$J$110:$J$127,MATCH('Annex 3_MAFF'!AF402,'Annex 2_Code'!$G$110:$G$127,0)),"")</f>
        <v>MAFF</v>
      </c>
      <c r="AI402" s="882" t="str">
        <f t="shared" si="357"/>
        <v>MAFF</v>
      </c>
      <c r="AK402" s="1389">
        <f>+AO403</f>
        <v>2.5</v>
      </c>
      <c r="AL402" s="1389" t="s">
        <v>596</v>
      </c>
      <c r="AN402" s="1374" t="s">
        <v>596</v>
      </c>
    </row>
    <row r="403" spans="1:41" s="542" customFormat="1" outlineLevel="1">
      <c r="A403" s="102"/>
      <c r="B403" s="76" t="s">
        <v>173</v>
      </c>
      <c r="C403" s="77"/>
      <c r="D403" s="1452"/>
      <c r="E403" s="1440" t="s">
        <v>41</v>
      </c>
      <c r="F403" s="1441"/>
      <c r="G403" s="1453"/>
      <c r="H403" s="1454"/>
      <c r="I403" s="1455"/>
      <c r="J403" s="1456"/>
      <c r="K403" s="1457"/>
      <c r="L403" s="1457"/>
      <c r="M403" s="1457"/>
      <c r="N403" s="1458"/>
      <c r="O403" s="1434">
        <f>SUM(O391:O402)</f>
        <v>166.23399999999998</v>
      </c>
      <c r="P403" s="1435">
        <f>SUM(P391:P402)</f>
        <v>346.73400000000004</v>
      </c>
      <c r="Q403" s="1435">
        <f>SUM(Q391:Q402)</f>
        <v>130.73399999999998</v>
      </c>
      <c r="R403" s="1435">
        <f>SUM(R391:R402)</f>
        <v>110.13399999999999</v>
      </c>
      <c r="S403" s="1436">
        <f>SUM(S391:S402)</f>
        <v>753.8359999999999</v>
      </c>
      <c r="T403" s="618" t="str">
        <f>IFERROR(INDEX('Annex 2_Code'!I$8:I$33,MATCH('Annex 3_MAFF'!$AG403,'Annex 2_Code'!$G$8:$G$33,0)),"")</f>
        <v/>
      </c>
      <c r="U403" s="618" t="str">
        <f>IFERROR(INDEX('Annex 2_Code'!J$8:J$33,MATCH('Annex 3_MAFF'!$AG403,'Annex 2_Code'!$G$8:$G$33,0)),"")</f>
        <v/>
      </c>
      <c r="V403" s="618" t="str">
        <f>IFERROR(INDEX('Annex 2_Code'!K$8:K$33,MATCH('Annex 3_MAFF'!$AG403,'Annex 2_Code'!$G$8:$G$33,0)),"")</f>
        <v/>
      </c>
      <c r="W403" s="618" t="str">
        <f>IFERROR(INDEX('Annex 2_Code'!L$8:L$33,MATCH('Annex 3_MAFF'!$AG403,'Annex 2_Code'!$G$8:$G$33,0)),"")</f>
        <v/>
      </c>
      <c r="X403" s="618" t="str">
        <f>IFERROR(INDEX('Annex 2_Code'!M$8:M$33,MATCH('Annex 3_MAFF'!$AG403,'Annex 2_Code'!$G$8:$G$33,0)),"")</f>
        <v/>
      </c>
      <c r="Y403" s="716" t="str">
        <f t="shared" si="350"/>
        <v/>
      </c>
      <c r="Z403" s="717" t="str">
        <f t="shared" si="351"/>
        <v/>
      </c>
      <c r="AA403" s="717" t="str">
        <f t="shared" si="351"/>
        <v/>
      </c>
      <c r="AB403" s="717" t="str">
        <f t="shared" si="352"/>
        <v/>
      </c>
      <c r="AC403" s="718" t="str">
        <f t="shared" si="353"/>
        <v/>
      </c>
      <c r="AD403" s="626">
        <f t="shared" si="365"/>
        <v>0</v>
      </c>
      <c r="AE403" s="627">
        <f t="shared" si="366"/>
        <v>-753.8359999999999</v>
      </c>
      <c r="AF403" s="568"/>
      <c r="AG403" s="568"/>
      <c r="AH403" s="568" t="str">
        <f>IFERROR(INDEX('Annex 2_Code'!$J$110:$J$127,MATCH('Annex 3_MAFF'!AF403,'Annex 2_Code'!$G$110:$G$127,0)),"")</f>
        <v/>
      </c>
      <c r="AI403" s="882" t="str">
        <f t="shared" si="357"/>
        <v/>
      </c>
      <c r="AK403" s="1419"/>
      <c r="AL403" s="1382"/>
      <c r="AM403" s="542" t="s">
        <v>234</v>
      </c>
      <c r="AN403" s="542" t="str">
        <f>+G402</f>
        <v>Translatation Fees</v>
      </c>
      <c r="AO403" s="1375">
        <f>I402</f>
        <v>2.5</v>
      </c>
    </row>
    <row r="404" spans="1:41">
      <c r="A404" s="102"/>
      <c r="B404" s="76" t="s">
        <v>173</v>
      </c>
      <c r="C404" s="96"/>
      <c r="D404" s="1459" t="s">
        <v>789</v>
      </c>
      <c r="E404" s="1460"/>
      <c r="F404" s="1955"/>
      <c r="G404" s="1461"/>
      <c r="H404" s="2020"/>
      <c r="I404" s="2021"/>
      <c r="J404" s="2022"/>
      <c r="K404" s="2023"/>
      <c r="L404" s="2023"/>
      <c r="M404" s="2023"/>
      <c r="N404" s="2024"/>
      <c r="O404" s="1962">
        <f>SUM(O403,O389)</f>
        <v>190.38399999999999</v>
      </c>
      <c r="P404" s="1963">
        <f>SUM(P403,P389)</f>
        <v>370.88400000000001</v>
      </c>
      <c r="Q404" s="1963">
        <f>SUM(Q403,Q389)</f>
        <v>158.88399999999999</v>
      </c>
      <c r="R404" s="1963">
        <f>SUM(R403,R389)</f>
        <v>134.28399999999999</v>
      </c>
      <c r="S404" s="1964">
        <f>SUM(S403,S389)</f>
        <v>854.43599999999992</v>
      </c>
      <c r="T404" s="2004" t="str">
        <f>IFERROR(INDEX('Annex 2_Code'!I$8:I$33,MATCH('Annex 3_MAFF'!$AG404,'Annex 2_Code'!$G$8:$G$33,0)),"")</f>
        <v/>
      </c>
      <c r="U404" s="2004" t="str">
        <f>IFERROR(INDEX('Annex 2_Code'!J$8:J$33,MATCH('Annex 3_MAFF'!$AG404,'Annex 2_Code'!$G$8:$G$33,0)),"")</f>
        <v/>
      </c>
      <c r="V404" s="2004" t="str">
        <f>IFERROR(INDEX('Annex 2_Code'!K$8:K$33,MATCH('Annex 3_MAFF'!$AG404,'Annex 2_Code'!$G$8:$G$33,0)),"")</f>
        <v/>
      </c>
      <c r="W404" s="2004" t="str">
        <f>IFERROR(INDEX('Annex 2_Code'!L$8:L$33,MATCH('Annex 3_MAFF'!$AG404,'Annex 2_Code'!$G$8:$G$33,0)),"")</f>
        <v/>
      </c>
      <c r="X404" s="2004" t="str">
        <f>IFERROR(INDEX('Annex 2_Code'!M$8:M$33,MATCH('Annex 3_MAFF'!$AG404,'Annex 2_Code'!$G$8:$G$33,0)),"")</f>
        <v/>
      </c>
      <c r="Y404" s="2015"/>
      <c r="Z404" s="2016" t="str">
        <f t="shared" si="351"/>
        <v/>
      </c>
      <c r="AA404" s="717" t="str">
        <f t="shared" si="351"/>
        <v/>
      </c>
      <c r="AB404" s="2016" t="str">
        <f t="shared" si="352"/>
        <v/>
      </c>
      <c r="AC404" s="2017" t="str">
        <f t="shared" si="353"/>
        <v/>
      </c>
      <c r="AD404" s="2008">
        <f t="shared" si="365"/>
        <v>0</v>
      </c>
      <c r="AE404" s="2009">
        <f>AD404-S404</f>
        <v>-854.43599999999992</v>
      </c>
      <c r="AF404" s="2011"/>
      <c r="AG404" s="2011"/>
      <c r="AH404" s="2011" t="str">
        <f>IFERROR(INDEX('Annex 2_Code'!$J$110:$J$127,MATCH('Annex 3_MAFF'!AF404,'Annex 2_Code'!$G$110:$G$127,0)),"")</f>
        <v/>
      </c>
      <c r="AI404" s="2012" t="str">
        <f t="shared" si="357"/>
        <v/>
      </c>
      <c r="AL404" s="1417" t="e">
        <f>SUM(AK389:AK402)</f>
        <v>#REF!</v>
      </c>
    </row>
    <row r="405" spans="1:41">
      <c r="A405" s="102"/>
      <c r="B405" s="76" t="s">
        <v>173</v>
      </c>
      <c r="C405" s="96"/>
      <c r="D405" s="1097"/>
      <c r="E405" s="1098"/>
      <c r="F405" s="1116"/>
      <c r="G405" s="1100"/>
      <c r="H405" s="588"/>
      <c r="I405" s="587"/>
      <c r="J405" s="676"/>
      <c r="K405" s="677"/>
      <c r="L405" s="677"/>
      <c r="M405" s="677"/>
      <c r="N405" s="678"/>
      <c r="O405" s="559"/>
      <c r="P405" s="165"/>
      <c r="Q405" s="165"/>
      <c r="R405" s="165"/>
      <c r="S405" s="1355"/>
      <c r="T405" s="618"/>
      <c r="U405" s="618"/>
      <c r="V405" s="618"/>
      <c r="W405" s="618"/>
      <c r="X405" s="618"/>
      <c r="Y405" s="716"/>
      <c r="Z405" s="717"/>
      <c r="AA405" s="717">
        <f t="shared" si="351"/>
        <v>0</v>
      </c>
      <c r="AB405" s="717"/>
      <c r="AC405" s="718"/>
      <c r="AD405" s="626">
        <f t="shared" si="365"/>
        <v>0</v>
      </c>
      <c r="AE405" s="655">
        <f>SUM(AD383:AD402)</f>
        <v>854.43599999999992</v>
      </c>
      <c r="AF405" s="568"/>
      <c r="AG405" s="568"/>
      <c r="AH405" s="568"/>
      <c r="AI405" s="882"/>
      <c r="AK405" s="1418"/>
    </row>
    <row r="406" spans="1:41">
      <c r="A406" s="102"/>
      <c r="B406" s="76" t="s">
        <v>173</v>
      </c>
      <c r="C406" s="96"/>
      <c r="D406" s="106" t="s">
        <v>130</v>
      </c>
      <c r="E406" s="290"/>
      <c r="F406" s="1954"/>
      <c r="G406" s="728"/>
      <c r="H406" s="557"/>
      <c r="I406" s="558"/>
      <c r="J406" s="679"/>
      <c r="K406" s="680"/>
      <c r="L406" s="677"/>
      <c r="M406" s="677"/>
      <c r="N406" s="678"/>
      <c r="O406" s="688"/>
      <c r="P406" s="689"/>
      <c r="Q406" s="689"/>
      <c r="R406" s="689"/>
      <c r="S406" s="365"/>
      <c r="T406" s="618" t="str">
        <f>IFERROR(INDEX('Annex 2_Code'!I$8:I$33,MATCH('Annex 3_MAFF'!$AG406,'Annex 2_Code'!$G$8:$G$33,0)),"")</f>
        <v/>
      </c>
      <c r="U406" s="618" t="str">
        <f>IFERROR(INDEX('Annex 2_Code'!J$8:J$33,MATCH('Annex 3_MAFF'!$AG406,'Annex 2_Code'!$G$8:$G$33,0)),"")</f>
        <v/>
      </c>
      <c r="V406" s="618" t="str">
        <f>IFERROR(INDEX('Annex 2_Code'!K$8:K$33,MATCH('Annex 3_MAFF'!$AG406,'Annex 2_Code'!$G$8:$G$33,0)),"")</f>
        <v/>
      </c>
      <c r="W406" s="618" t="str">
        <f>IFERROR(INDEX('Annex 2_Code'!L$8:L$33,MATCH('Annex 3_MAFF'!$AG406,'Annex 2_Code'!$G$8:$G$33,0)),"")</f>
        <v/>
      </c>
      <c r="X406" s="618" t="str">
        <f>IFERROR(INDEX('Annex 2_Code'!M$8:M$33,MATCH('Annex 3_MAFF'!$AG406,'Annex 2_Code'!$G$8:$G$33,0)),"")</f>
        <v/>
      </c>
      <c r="Y406" s="716" t="str">
        <f t="shared" si="350"/>
        <v/>
      </c>
      <c r="Z406" s="717" t="str">
        <f t="shared" si="351"/>
        <v/>
      </c>
      <c r="AA406" s="717" t="str">
        <f t="shared" si="351"/>
        <v/>
      </c>
      <c r="AB406" s="717" t="str">
        <f t="shared" si="352"/>
        <v/>
      </c>
      <c r="AC406" s="718" t="str">
        <f t="shared" si="353"/>
        <v/>
      </c>
      <c r="AD406" s="626">
        <f t="shared" si="365"/>
        <v>0</v>
      </c>
      <c r="AE406" s="627">
        <f t="shared" si="366"/>
        <v>0</v>
      </c>
      <c r="AF406" s="568"/>
      <c r="AG406" s="568"/>
      <c r="AH406" s="568" t="str">
        <f>IFERROR(INDEX('Annex 2_Code'!$J$110:$J$127,MATCH('Annex 3_MAFF'!AF406,'Annex 2_Code'!$G$110:$G$127,0)),"")</f>
        <v/>
      </c>
      <c r="AI406" s="882" t="str">
        <f t="shared" si="357"/>
        <v/>
      </c>
      <c r="AK406" s="1417"/>
    </row>
    <row r="407" spans="1:41" outlineLevel="1">
      <c r="A407" s="102"/>
      <c r="B407" s="76" t="s">
        <v>173</v>
      </c>
      <c r="C407" s="96"/>
      <c r="D407" s="78"/>
      <c r="E407" s="131" t="s">
        <v>131</v>
      </c>
      <c r="F407" s="543"/>
      <c r="G407" s="722"/>
      <c r="H407" s="588" t="s">
        <v>14</v>
      </c>
      <c r="I407" s="558"/>
      <c r="J407" s="679"/>
      <c r="K407" s="680"/>
      <c r="L407" s="677"/>
      <c r="M407" s="677"/>
      <c r="N407" s="678"/>
      <c r="O407" s="688"/>
      <c r="P407" s="689"/>
      <c r="Q407" s="689"/>
      <c r="R407" s="689"/>
      <c r="S407" s="564"/>
      <c r="T407" s="618" t="str">
        <f>IFERROR(INDEX('Annex 2_Code'!I$8:I$33,MATCH('Annex 3_MAFF'!$AG407,'Annex 2_Code'!$G$8:$G$33,0)),"")</f>
        <v/>
      </c>
      <c r="U407" s="618" t="str">
        <f>IFERROR(INDEX('Annex 2_Code'!J$8:J$33,MATCH('Annex 3_MAFF'!$AG407,'Annex 2_Code'!$G$8:$G$33,0)),"")</f>
        <v/>
      </c>
      <c r="V407" s="618" t="str">
        <f>IFERROR(INDEX('Annex 2_Code'!K$8:K$33,MATCH('Annex 3_MAFF'!$AG407,'Annex 2_Code'!$G$8:$G$33,0)),"")</f>
        <v/>
      </c>
      <c r="W407" s="618" t="str">
        <f>IFERROR(INDEX('Annex 2_Code'!L$8:L$33,MATCH('Annex 3_MAFF'!$AG407,'Annex 2_Code'!$G$8:$G$33,0)),"")</f>
        <v/>
      </c>
      <c r="X407" s="618" t="str">
        <f>IFERROR(INDEX('Annex 2_Code'!M$8:M$33,MATCH('Annex 3_MAFF'!$AG407,'Annex 2_Code'!$G$8:$G$33,0)),"")</f>
        <v/>
      </c>
      <c r="Y407" s="716" t="str">
        <f t="shared" si="350"/>
        <v/>
      </c>
      <c r="Z407" s="717" t="str">
        <f t="shared" si="351"/>
        <v/>
      </c>
      <c r="AA407" s="717" t="str">
        <f t="shared" si="351"/>
        <v/>
      </c>
      <c r="AB407" s="717" t="str">
        <f t="shared" si="352"/>
        <v/>
      </c>
      <c r="AC407" s="718" t="str">
        <f t="shared" si="353"/>
        <v/>
      </c>
      <c r="AD407" s="626">
        <f t="shared" si="365"/>
        <v>0</v>
      </c>
      <c r="AE407" s="627">
        <f t="shared" si="366"/>
        <v>0</v>
      </c>
      <c r="AF407" s="568"/>
      <c r="AG407" s="568"/>
      <c r="AH407" s="568" t="str">
        <f>IFERROR(INDEX('Annex 2_Code'!$J$110:$J$127,MATCH('Annex 3_MAFF'!AF407,'Annex 2_Code'!$G$110:$G$127,0)),"")</f>
        <v/>
      </c>
      <c r="AI407" s="882" t="str">
        <f t="shared" si="357"/>
        <v/>
      </c>
    </row>
    <row r="408" spans="1:41" outlineLevel="1">
      <c r="A408" s="102"/>
      <c r="B408" s="76" t="s">
        <v>173</v>
      </c>
      <c r="C408" s="96"/>
      <c r="D408" s="484"/>
      <c r="E408" s="97"/>
      <c r="F408" s="543" t="s">
        <v>132</v>
      </c>
      <c r="G408" s="722"/>
      <c r="H408" s="588" t="s">
        <v>14</v>
      </c>
      <c r="I408" s="558"/>
      <c r="J408" s="679"/>
      <c r="K408" s="680"/>
      <c r="L408" s="677"/>
      <c r="M408" s="677"/>
      <c r="N408" s="678"/>
      <c r="O408" s="688"/>
      <c r="P408" s="689"/>
      <c r="Q408" s="689"/>
      <c r="R408" s="689"/>
      <c r="S408" s="564"/>
      <c r="T408" s="618" t="str">
        <f>IFERROR(INDEX('Annex 2_Code'!I$8:I$33,MATCH('Annex 3_MAFF'!$AG408,'Annex 2_Code'!$G$8:$G$33,0)),"")</f>
        <v/>
      </c>
      <c r="U408" s="618" t="str">
        <f>IFERROR(INDEX('Annex 2_Code'!J$8:J$33,MATCH('Annex 3_MAFF'!$AG408,'Annex 2_Code'!$G$8:$G$33,0)),"")</f>
        <v/>
      </c>
      <c r="V408" s="618" t="str">
        <f>IFERROR(INDEX('Annex 2_Code'!K$8:K$33,MATCH('Annex 3_MAFF'!$AG408,'Annex 2_Code'!$G$8:$G$33,0)),"")</f>
        <v/>
      </c>
      <c r="W408" s="618" t="str">
        <f>IFERROR(INDEX('Annex 2_Code'!L$8:L$33,MATCH('Annex 3_MAFF'!$AG408,'Annex 2_Code'!$G$8:$G$33,0)),"")</f>
        <v/>
      </c>
      <c r="X408" s="618" t="str">
        <f>IFERROR(INDEX('Annex 2_Code'!M$8:M$33,MATCH('Annex 3_MAFF'!$AG408,'Annex 2_Code'!$G$8:$G$33,0)),"")</f>
        <v/>
      </c>
      <c r="Y408" s="716" t="str">
        <f t="shared" si="350"/>
        <v/>
      </c>
      <c r="Z408" s="717" t="str">
        <f t="shared" si="351"/>
        <v/>
      </c>
      <c r="AA408" s="717" t="str">
        <f t="shared" si="351"/>
        <v/>
      </c>
      <c r="AB408" s="717" t="str">
        <f t="shared" si="352"/>
        <v/>
      </c>
      <c r="AC408" s="718" t="str">
        <f t="shared" si="353"/>
        <v/>
      </c>
      <c r="AD408" s="626">
        <f t="shared" si="365"/>
        <v>0</v>
      </c>
      <c r="AE408" s="627">
        <f t="shared" si="366"/>
        <v>0</v>
      </c>
      <c r="AF408" s="568"/>
      <c r="AG408" s="568"/>
      <c r="AH408" s="568" t="str">
        <f>IFERROR(INDEX('Annex 2_Code'!$J$110:$J$127,MATCH('Annex 3_MAFF'!AF408,'Annex 2_Code'!$G$110:$G$127,0)),"")</f>
        <v/>
      </c>
      <c r="AI408" s="882" t="str">
        <f t="shared" si="357"/>
        <v/>
      </c>
      <c r="AK408" s="1418"/>
    </row>
    <row r="409" spans="1:41" outlineLevel="1">
      <c r="A409" s="102"/>
      <c r="B409" s="76" t="s">
        <v>25</v>
      </c>
      <c r="C409" s="96" t="s">
        <v>303</v>
      </c>
      <c r="D409" s="484"/>
      <c r="E409" s="97"/>
      <c r="F409" s="543"/>
      <c r="G409" s="722" t="s">
        <v>133</v>
      </c>
      <c r="H409" s="588" t="s">
        <v>174</v>
      </c>
      <c r="I409" s="587">
        <f>13501/1000</f>
        <v>13.500999999999999</v>
      </c>
      <c r="J409" s="1723">
        <v>0.5</v>
      </c>
      <c r="K409" s="1724">
        <v>0.5</v>
      </c>
      <c r="L409" s="1724">
        <v>0.5</v>
      </c>
      <c r="M409" s="1724">
        <v>0.5</v>
      </c>
      <c r="N409" s="678">
        <f>SUM(J409:M409)</f>
        <v>2</v>
      </c>
      <c r="O409" s="1103">
        <f>$I409*J409</f>
        <v>6.7504999999999997</v>
      </c>
      <c r="P409" s="1094">
        <f>$I409*K409</f>
        <v>6.7504999999999997</v>
      </c>
      <c r="Q409" s="1094">
        <f t="shared" ref="Q409:R415" si="399">$I409*L409</f>
        <v>6.7504999999999997</v>
      </c>
      <c r="R409" s="1094">
        <f t="shared" si="399"/>
        <v>6.7504999999999997</v>
      </c>
      <c r="S409" s="145">
        <f t="shared" ref="S409:S414" si="400">SUM(O409:R409)</f>
        <v>27.001999999999999</v>
      </c>
      <c r="T409" s="618">
        <f>IFERROR(INDEX('Annex 2_Code'!I$8:I$33,MATCH('Annex 3_MAFF'!$AG409,'Annex 2_Code'!$G$8:$G$33,0)),"")</f>
        <v>1</v>
      </c>
      <c r="U409" s="618">
        <f>IFERROR(INDEX('Annex 2_Code'!J$8:J$33,MATCH('Annex 3_MAFF'!$AG409,'Annex 2_Code'!$G$8:$G$33,0)),"")</f>
        <v>0</v>
      </c>
      <c r="V409" s="618">
        <f>IFERROR(INDEX('Annex 2_Code'!K$8:K$33,MATCH('Annex 3_MAFF'!$AG409,'Annex 2_Code'!$G$8:$G$33,0)),"")</f>
        <v>0</v>
      </c>
      <c r="W409" s="618">
        <f>IFERROR(INDEX('Annex 2_Code'!L$8:L$33,MATCH('Annex 3_MAFF'!$AG409,'Annex 2_Code'!$G$8:$G$33,0)),"")</f>
        <v>0</v>
      </c>
      <c r="X409" s="618">
        <f>IFERROR(INDEX('Annex 2_Code'!M$8:M$33,MATCH('Annex 3_MAFF'!$AG409,'Annex 2_Code'!$G$8:$G$33,0)),"")</f>
        <v>0</v>
      </c>
      <c r="Y409" s="1533">
        <f t="shared" si="350"/>
        <v>27.001999999999999</v>
      </c>
      <c r="Z409" s="717">
        <f t="shared" si="351"/>
        <v>0</v>
      </c>
      <c r="AA409" s="717">
        <f t="shared" si="351"/>
        <v>0</v>
      </c>
      <c r="AB409" s="717">
        <f t="shared" si="352"/>
        <v>0</v>
      </c>
      <c r="AC409" s="718">
        <f t="shared" si="353"/>
        <v>0</v>
      </c>
      <c r="AD409" s="626">
        <f t="shared" si="365"/>
        <v>27.001999999999999</v>
      </c>
      <c r="AE409" s="627">
        <f t="shared" si="366"/>
        <v>0</v>
      </c>
      <c r="AF409" s="568" t="s">
        <v>562</v>
      </c>
      <c r="AG409" s="568" t="s">
        <v>398</v>
      </c>
      <c r="AH409" s="568" t="str">
        <f>IFERROR(INDEX('Annex 2_Code'!$J$110:$J$127,MATCH('Annex 3_MAFF'!AF409,'Annex 2_Code'!$G$110:$G$127,0)),"")</f>
        <v>MAFF</v>
      </c>
      <c r="AI409" s="882" t="str">
        <f t="shared" si="357"/>
        <v>MAFF</v>
      </c>
    </row>
    <row r="410" spans="1:41" outlineLevel="1">
      <c r="A410" s="102"/>
      <c r="B410" s="76" t="s">
        <v>25</v>
      </c>
      <c r="C410" s="96" t="s">
        <v>303</v>
      </c>
      <c r="D410" s="484"/>
      <c r="E410" s="97"/>
      <c r="F410" s="543"/>
      <c r="G410" s="722" t="s">
        <v>134</v>
      </c>
      <c r="H410" s="588" t="s">
        <v>174</v>
      </c>
      <c r="I410" s="587">
        <f>21533/1000</f>
        <v>21.533000000000001</v>
      </c>
      <c r="J410" s="1723">
        <v>1</v>
      </c>
      <c r="K410" s="1724">
        <v>1</v>
      </c>
      <c r="L410" s="1724">
        <v>1</v>
      </c>
      <c r="M410" s="1724">
        <v>1</v>
      </c>
      <c r="N410" s="678">
        <f t="shared" ref="N410:N415" si="401">SUM(J410:M410)</f>
        <v>4</v>
      </c>
      <c r="O410" s="1103">
        <f t="shared" ref="O410:O415" si="402">$I410*J410</f>
        <v>21.533000000000001</v>
      </c>
      <c r="P410" s="1094">
        <f t="shared" ref="P410:P415" si="403">$I410*K410</f>
        <v>21.533000000000001</v>
      </c>
      <c r="Q410" s="1094">
        <f t="shared" si="399"/>
        <v>21.533000000000001</v>
      </c>
      <c r="R410" s="1094">
        <f t="shared" si="399"/>
        <v>21.533000000000001</v>
      </c>
      <c r="S410" s="145">
        <f t="shared" si="400"/>
        <v>86.132000000000005</v>
      </c>
      <c r="T410" s="618">
        <f>IFERROR(INDEX('Annex 2_Code'!I$8:I$33,MATCH('Annex 3_MAFF'!$AG410,'Annex 2_Code'!$G$8:$G$33,0)),"")</f>
        <v>1</v>
      </c>
      <c r="U410" s="618">
        <f>IFERROR(INDEX('Annex 2_Code'!J$8:J$33,MATCH('Annex 3_MAFF'!$AG410,'Annex 2_Code'!$G$8:$G$33,0)),"")</f>
        <v>0</v>
      </c>
      <c r="V410" s="618">
        <f>IFERROR(INDEX('Annex 2_Code'!K$8:K$33,MATCH('Annex 3_MAFF'!$AG410,'Annex 2_Code'!$G$8:$G$33,0)),"")</f>
        <v>0</v>
      </c>
      <c r="W410" s="618">
        <f>IFERROR(INDEX('Annex 2_Code'!L$8:L$33,MATCH('Annex 3_MAFF'!$AG410,'Annex 2_Code'!$G$8:$G$33,0)),"")</f>
        <v>0</v>
      </c>
      <c r="X410" s="618">
        <f>IFERROR(INDEX('Annex 2_Code'!M$8:M$33,MATCH('Annex 3_MAFF'!$AG410,'Annex 2_Code'!$G$8:$G$33,0)),"")</f>
        <v>0</v>
      </c>
      <c r="Y410" s="1533">
        <f t="shared" si="350"/>
        <v>86.132000000000005</v>
      </c>
      <c r="Z410" s="717">
        <f t="shared" si="351"/>
        <v>0</v>
      </c>
      <c r="AA410" s="717">
        <f t="shared" si="351"/>
        <v>0</v>
      </c>
      <c r="AB410" s="717">
        <f t="shared" si="352"/>
        <v>0</v>
      </c>
      <c r="AC410" s="718">
        <f t="shared" si="353"/>
        <v>0</v>
      </c>
      <c r="AD410" s="626">
        <f t="shared" si="365"/>
        <v>86.132000000000005</v>
      </c>
      <c r="AE410" s="627">
        <f t="shared" si="366"/>
        <v>0</v>
      </c>
      <c r="AF410" s="568" t="s">
        <v>562</v>
      </c>
      <c r="AG410" s="568" t="s">
        <v>398</v>
      </c>
      <c r="AH410" s="568" t="str">
        <f>IFERROR(INDEX('Annex 2_Code'!$J$110:$J$127,MATCH('Annex 3_MAFF'!AF410,'Annex 2_Code'!$G$110:$G$127,0)),"")</f>
        <v>MAFF</v>
      </c>
      <c r="AI410" s="882" t="str">
        <f t="shared" si="357"/>
        <v>MAFF</v>
      </c>
    </row>
    <row r="411" spans="1:41" outlineLevel="1">
      <c r="A411" s="102"/>
      <c r="B411" s="76" t="s">
        <v>25</v>
      </c>
      <c r="C411" s="96" t="s">
        <v>303</v>
      </c>
      <c r="D411" s="484"/>
      <c r="E411" s="97"/>
      <c r="F411" s="543"/>
      <c r="G411" s="722" t="s">
        <v>135</v>
      </c>
      <c r="H411" s="588" t="s">
        <v>174</v>
      </c>
      <c r="I411" s="587">
        <f>15593/1000</f>
        <v>15.593</v>
      </c>
      <c r="J411" s="1723">
        <v>0.375</v>
      </c>
      <c r="K411" s="1724">
        <v>0.375</v>
      </c>
      <c r="L411" s="1724">
        <v>0.375</v>
      </c>
      <c r="M411" s="1724">
        <v>0.375</v>
      </c>
      <c r="N411" s="678">
        <f t="shared" si="401"/>
        <v>1.5</v>
      </c>
      <c r="O411" s="1103">
        <f t="shared" si="402"/>
        <v>5.8473749999999995</v>
      </c>
      <c r="P411" s="1094">
        <f t="shared" si="403"/>
        <v>5.8473749999999995</v>
      </c>
      <c r="Q411" s="1094">
        <f t="shared" si="399"/>
        <v>5.8473749999999995</v>
      </c>
      <c r="R411" s="1094">
        <f t="shared" si="399"/>
        <v>5.8473749999999995</v>
      </c>
      <c r="S411" s="145">
        <f t="shared" si="400"/>
        <v>23.389499999999998</v>
      </c>
      <c r="T411" s="618">
        <f>IFERROR(INDEX('Annex 2_Code'!I$8:I$33,MATCH('Annex 3_MAFF'!$AG411,'Annex 2_Code'!$G$8:$G$33,0)),"")</f>
        <v>1</v>
      </c>
      <c r="U411" s="618">
        <f>IFERROR(INDEX('Annex 2_Code'!J$8:J$33,MATCH('Annex 3_MAFF'!$AG411,'Annex 2_Code'!$G$8:$G$33,0)),"")</f>
        <v>0</v>
      </c>
      <c r="V411" s="618">
        <f>IFERROR(INDEX('Annex 2_Code'!K$8:K$33,MATCH('Annex 3_MAFF'!$AG411,'Annex 2_Code'!$G$8:$G$33,0)),"")</f>
        <v>0</v>
      </c>
      <c r="W411" s="618">
        <f>IFERROR(INDEX('Annex 2_Code'!L$8:L$33,MATCH('Annex 3_MAFF'!$AG411,'Annex 2_Code'!$G$8:$G$33,0)),"")</f>
        <v>0</v>
      </c>
      <c r="X411" s="618">
        <f>IFERROR(INDEX('Annex 2_Code'!M$8:M$33,MATCH('Annex 3_MAFF'!$AG411,'Annex 2_Code'!$G$8:$G$33,0)),"")</f>
        <v>0</v>
      </c>
      <c r="Y411" s="1533">
        <f t="shared" si="350"/>
        <v>23.389499999999998</v>
      </c>
      <c r="Z411" s="717">
        <f t="shared" si="351"/>
        <v>0</v>
      </c>
      <c r="AA411" s="717">
        <f t="shared" si="351"/>
        <v>0</v>
      </c>
      <c r="AB411" s="717">
        <f t="shared" si="352"/>
        <v>0</v>
      </c>
      <c r="AC411" s="718">
        <f t="shared" si="353"/>
        <v>0</v>
      </c>
      <c r="AD411" s="626">
        <f t="shared" si="365"/>
        <v>23.389499999999998</v>
      </c>
      <c r="AE411" s="627">
        <f t="shared" si="366"/>
        <v>0</v>
      </c>
      <c r="AF411" s="568" t="s">
        <v>562</v>
      </c>
      <c r="AG411" s="568" t="s">
        <v>398</v>
      </c>
      <c r="AH411" s="568" t="str">
        <f>IFERROR(INDEX('Annex 2_Code'!$J$110:$J$127,MATCH('Annex 3_MAFF'!AF411,'Annex 2_Code'!$G$110:$G$127,0)),"")</f>
        <v>MAFF</v>
      </c>
      <c r="AI411" s="882" t="str">
        <f t="shared" si="357"/>
        <v>MAFF</v>
      </c>
    </row>
    <row r="412" spans="1:41" outlineLevel="1">
      <c r="A412" s="102"/>
      <c r="B412" s="76" t="s">
        <v>25</v>
      </c>
      <c r="C412" s="96" t="s">
        <v>303</v>
      </c>
      <c r="D412" s="484"/>
      <c r="E412" s="97"/>
      <c r="F412" s="543"/>
      <c r="G412" s="722" t="s">
        <v>136</v>
      </c>
      <c r="H412" s="588" t="s">
        <v>174</v>
      </c>
      <c r="I412" s="587">
        <f>11409/1000</f>
        <v>11.409000000000001</v>
      </c>
      <c r="J412" s="1723">
        <v>0.5</v>
      </c>
      <c r="K412" s="1724">
        <v>0.5</v>
      </c>
      <c r="L412" s="1724">
        <v>0.5</v>
      </c>
      <c r="M412" s="1724">
        <v>0.5</v>
      </c>
      <c r="N412" s="678">
        <f t="shared" si="401"/>
        <v>2</v>
      </c>
      <c r="O412" s="1103">
        <f t="shared" si="402"/>
        <v>5.7045000000000003</v>
      </c>
      <c r="P412" s="1094">
        <f t="shared" si="403"/>
        <v>5.7045000000000003</v>
      </c>
      <c r="Q412" s="1094">
        <f t="shared" si="399"/>
        <v>5.7045000000000003</v>
      </c>
      <c r="R412" s="1094">
        <f t="shared" si="399"/>
        <v>5.7045000000000003</v>
      </c>
      <c r="S412" s="145">
        <f t="shared" si="400"/>
        <v>22.818000000000001</v>
      </c>
      <c r="T412" s="618">
        <f>IFERROR(INDEX('Annex 2_Code'!I$8:I$33,MATCH('Annex 3_MAFF'!$AG412,'Annex 2_Code'!$G$8:$G$33,0)),"")</f>
        <v>1</v>
      </c>
      <c r="U412" s="618">
        <f>IFERROR(INDEX('Annex 2_Code'!J$8:J$33,MATCH('Annex 3_MAFF'!$AG412,'Annex 2_Code'!$G$8:$G$33,0)),"")</f>
        <v>0</v>
      </c>
      <c r="V412" s="618">
        <f>IFERROR(INDEX('Annex 2_Code'!K$8:K$33,MATCH('Annex 3_MAFF'!$AG412,'Annex 2_Code'!$G$8:$G$33,0)),"")</f>
        <v>0</v>
      </c>
      <c r="W412" s="618">
        <f>IFERROR(INDEX('Annex 2_Code'!L$8:L$33,MATCH('Annex 3_MAFF'!$AG412,'Annex 2_Code'!$G$8:$G$33,0)),"")</f>
        <v>0</v>
      </c>
      <c r="X412" s="618">
        <f>IFERROR(INDEX('Annex 2_Code'!M$8:M$33,MATCH('Annex 3_MAFF'!$AG412,'Annex 2_Code'!$G$8:$G$33,0)),"")</f>
        <v>0</v>
      </c>
      <c r="Y412" s="1533">
        <f t="shared" si="350"/>
        <v>22.818000000000001</v>
      </c>
      <c r="Z412" s="717">
        <f t="shared" si="351"/>
        <v>0</v>
      </c>
      <c r="AA412" s="717">
        <f t="shared" si="351"/>
        <v>0</v>
      </c>
      <c r="AB412" s="717">
        <f t="shared" si="352"/>
        <v>0</v>
      </c>
      <c r="AC412" s="718">
        <f t="shared" si="353"/>
        <v>0</v>
      </c>
      <c r="AD412" s="626">
        <f t="shared" si="365"/>
        <v>22.818000000000001</v>
      </c>
      <c r="AE412" s="627">
        <f t="shared" si="366"/>
        <v>0</v>
      </c>
      <c r="AF412" s="568" t="s">
        <v>562</v>
      </c>
      <c r="AG412" s="568" t="s">
        <v>398</v>
      </c>
      <c r="AH412" s="568" t="str">
        <f>IFERROR(INDEX('Annex 2_Code'!$J$110:$J$127,MATCH('Annex 3_MAFF'!AF412,'Annex 2_Code'!$G$110:$G$127,0)),"")</f>
        <v>MAFF</v>
      </c>
      <c r="AI412" s="882" t="str">
        <f t="shared" si="357"/>
        <v>MAFF</v>
      </c>
    </row>
    <row r="413" spans="1:41" outlineLevel="1">
      <c r="A413" s="102"/>
      <c r="B413" s="76" t="s">
        <v>25</v>
      </c>
      <c r="C413" s="96" t="s">
        <v>303</v>
      </c>
      <c r="D413" s="484"/>
      <c r="E413" s="97"/>
      <c r="F413" s="543"/>
      <c r="G413" s="722" t="s">
        <v>137</v>
      </c>
      <c r="H413" s="588" t="s">
        <v>174</v>
      </c>
      <c r="I413" s="587">
        <f>14198/1000</f>
        <v>14.198</v>
      </c>
      <c r="J413" s="676">
        <v>0.25</v>
      </c>
      <c r="K413" s="677">
        <v>0.25</v>
      </c>
      <c r="L413" s="677">
        <v>0.25</v>
      </c>
      <c r="M413" s="677">
        <v>0.25</v>
      </c>
      <c r="N413" s="678">
        <f t="shared" si="401"/>
        <v>1</v>
      </c>
      <c r="O413" s="1103">
        <f t="shared" si="402"/>
        <v>3.5495000000000001</v>
      </c>
      <c r="P413" s="1094">
        <f t="shared" si="403"/>
        <v>3.5495000000000001</v>
      </c>
      <c r="Q413" s="1094">
        <f t="shared" si="399"/>
        <v>3.5495000000000001</v>
      </c>
      <c r="R413" s="1094">
        <f t="shared" si="399"/>
        <v>3.5495000000000001</v>
      </c>
      <c r="S413" s="145">
        <f t="shared" si="400"/>
        <v>14.198</v>
      </c>
      <c r="T413" s="618">
        <f>IFERROR(INDEX('Annex 2_Code'!I$8:I$33,MATCH('Annex 3_MAFF'!$AG413,'Annex 2_Code'!$G$8:$G$33,0)),"")</f>
        <v>1</v>
      </c>
      <c r="U413" s="618">
        <f>IFERROR(INDEX('Annex 2_Code'!J$8:J$33,MATCH('Annex 3_MAFF'!$AG413,'Annex 2_Code'!$G$8:$G$33,0)),"")</f>
        <v>0</v>
      </c>
      <c r="V413" s="618">
        <f>IFERROR(INDEX('Annex 2_Code'!K$8:K$33,MATCH('Annex 3_MAFF'!$AG413,'Annex 2_Code'!$G$8:$G$33,0)),"")</f>
        <v>0</v>
      </c>
      <c r="W413" s="618">
        <f>IFERROR(INDEX('Annex 2_Code'!L$8:L$33,MATCH('Annex 3_MAFF'!$AG413,'Annex 2_Code'!$G$8:$G$33,0)),"")</f>
        <v>0</v>
      </c>
      <c r="X413" s="618">
        <f>IFERROR(INDEX('Annex 2_Code'!M$8:M$33,MATCH('Annex 3_MAFF'!$AG413,'Annex 2_Code'!$G$8:$G$33,0)),"")</f>
        <v>0</v>
      </c>
      <c r="Y413" s="1533">
        <f t="shared" si="350"/>
        <v>14.198</v>
      </c>
      <c r="Z413" s="717">
        <f t="shared" si="351"/>
        <v>0</v>
      </c>
      <c r="AA413" s="717">
        <f t="shared" si="351"/>
        <v>0</v>
      </c>
      <c r="AB413" s="717">
        <f t="shared" si="352"/>
        <v>0</v>
      </c>
      <c r="AC413" s="718">
        <f t="shared" si="353"/>
        <v>0</v>
      </c>
      <c r="AD413" s="626">
        <f t="shared" si="365"/>
        <v>14.198</v>
      </c>
      <c r="AE413" s="627">
        <f t="shared" si="366"/>
        <v>0</v>
      </c>
      <c r="AF413" s="568" t="s">
        <v>562</v>
      </c>
      <c r="AG413" s="568" t="s">
        <v>398</v>
      </c>
      <c r="AH413" s="568" t="str">
        <f>IFERROR(INDEX('Annex 2_Code'!$J$110:$J$127,MATCH('Annex 3_MAFF'!AF413,'Annex 2_Code'!$G$110:$G$127,0)),"")</f>
        <v>MAFF</v>
      </c>
      <c r="AI413" s="882" t="str">
        <f t="shared" si="357"/>
        <v>MAFF</v>
      </c>
    </row>
    <row r="414" spans="1:41" outlineLevel="1">
      <c r="A414" s="102"/>
      <c r="B414" s="76" t="s">
        <v>25</v>
      </c>
      <c r="C414" s="96" t="s">
        <v>303</v>
      </c>
      <c r="D414" s="484"/>
      <c r="E414" s="97"/>
      <c r="F414" s="543"/>
      <c r="G414" s="722" t="s">
        <v>138</v>
      </c>
      <c r="H414" s="588" t="s">
        <v>174</v>
      </c>
      <c r="I414" s="587">
        <f>12803/1000</f>
        <v>12.803000000000001</v>
      </c>
      <c r="J414" s="676">
        <v>0.25</v>
      </c>
      <c r="K414" s="677">
        <v>0.25</v>
      </c>
      <c r="L414" s="677">
        <v>0.25</v>
      </c>
      <c r="M414" s="677">
        <v>0.25</v>
      </c>
      <c r="N414" s="678">
        <f t="shared" si="401"/>
        <v>1</v>
      </c>
      <c r="O414" s="1103">
        <f t="shared" si="402"/>
        <v>3.2007500000000002</v>
      </c>
      <c r="P414" s="1094">
        <f t="shared" si="403"/>
        <v>3.2007500000000002</v>
      </c>
      <c r="Q414" s="1094">
        <f t="shared" si="399"/>
        <v>3.2007500000000002</v>
      </c>
      <c r="R414" s="1094">
        <f t="shared" si="399"/>
        <v>3.2007500000000002</v>
      </c>
      <c r="S414" s="145">
        <f t="shared" si="400"/>
        <v>12.803000000000001</v>
      </c>
      <c r="T414" s="618">
        <f>IFERROR(INDEX('Annex 2_Code'!I$8:I$33,MATCH('Annex 3_MAFF'!$AG414,'Annex 2_Code'!$G$8:$G$33,0)),"")</f>
        <v>1</v>
      </c>
      <c r="U414" s="618">
        <f>IFERROR(INDEX('Annex 2_Code'!J$8:J$33,MATCH('Annex 3_MAFF'!$AG414,'Annex 2_Code'!$G$8:$G$33,0)),"")</f>
        <v>0</v>
      </c>
      <c r="V414" s="618">
        <f>IFERROR(INDEX('Annex 2_Code'!K$8:K$33,MATCH('Annex 3_MAFF'!$AG414,'Annex 2_Code'!$G$8:$G$33,0)),"")</f>
        <v>0</v>
      </c>
      <c r="W414" s="618">
        <f>IFERROR(INDEX('Annex 2_Code'!L$8:L$33,MATCH('Annex 3_MAFF'!$AG414,'Annex 2_Code'!$G$8:$G$33,0)),"")</f>
        <v>0</v>
      </c>
      <c r="X414" s="618">
        <f>IFERROR(INDEX('Annex 2_Code'!M$8:M$33,MATCH('Annex 3_MAFF'!$AG414,'Annex 2_Code'!$G$8:$G$33,0)),"")</f>
        <v>0</v>
      </c>
      <c r="Y414" s="1533">
        <f t="shared" ref="Y414:Y490" si="404">IFERROR($S414*T414,"")</f>
        <v>12.803000000000001</v>
      </c>
      <c r="Z414" s="717">
        <f t="shared" ref="Z414:AA490" si="405">IFERROR($S414*U414,"")</f>
        <v>0</v>
      </c>
      <c r="AA414" s="717">
        <f t="shared" si="405"/>
        <v>0</v>
      </c>
      <c r="AB414" s="717">
        <f t="shared" ref="AB414:AB490" si="406">IFERROR($S414*W414,"")</f>
        <v>0</v>
      </c>
      <c r="AC414" s="718">
        <f t="shared" ref="AC414:AC490" si="407">IFERROR($S414*X414,"")</f>
        <v>0</v>
      </c>
      <c r="AD414" s="626">
        <f t="shared" si="365"/>
        <v>12.803000000000001</v>
      </c>
      <c r="AE414" s="627">
        <f t="shared" si="366"/>
        <v>0</v>
      </c>
      <c r="AF414" s="568" t="s">
        <v>562</v>
      </c>
      <c r="AG414" s="568" t="s">
        <v>398</v>
      </c>
      <c r="AH414" s="568" t="str">
        <f>IFERROR(INDEX('Annex 2_Code'!$J$110:$J$127,MATCH('Annex 3_MAFF'!AF414,'Annex 2_Code'!$G$110:$G$127,0)),"")</f>
        <v>MAFF</v>
      </c>
      <c r="AI414" s="882" t="str">
        <f t="shared" si="357"/>
        <v>MAFF</v>
      </c>
    </row>
    <row r="415" spans="1:41" outlineLevel="1">
      <c r="A415" s="102"/>
      <c r="B415" s="76" t="s">
        <v>25</v>
      </c>
      <c r="C415" s="96" t="s">
        <v>303</v>
      </c>
      <c r="D415" s="484"/>
      <c r="E415" s="97"/>
      <c r="F415" s="543"/>
      <c r="G415" s="722" t="s">
        <v>139</v>
      </c>
      <c r="H415" s="588" t="s">
        <v>174</v>
      </c>
      <c r="I415" s="587">
        <f>12803/1000</f>
        <v>12.803000000000001</v>
      </c>
      <c r="J415" s="676">
        <v>0.25</v>
      </c>
      <c r="K415" s="677">
        <v>0.25</v>
      </c>
      <c r="L415" s="677">
        <v>0.25</v>
      </c>
      <c r="M415" s="677">
        <v>0.25</v>
      </c>
      <c r="N415" s="678">
        <f t="shared" si="401"/>
        <v>1</v>
      </c>
      <c r="O415" s="1103">
        <f t="shared" si="402"/>
        <v>3.2007500000000002</v>
      </c>
      <c r="P415" s="1094">
        <f t="shared" si="403"/>
        <v>3.2007500000000002</v>
      </c>
      <c r="Q415" s="1094">
        <f t="shared" si="399"/>
        <v>3.2007500000000002</v>
      </c>
      <c r="R415" s="1094">
        <f t="shared" si="399"/>
        <v>3.2007500000000002</v>
      </c>
      <c r="S415" s="145">
        <f>SUM(O415:R415)</f>
        <v>12.803000000000001</v>
      </c>
      <c r="T415" s="618">
        <f>IFERROR(INDEX('Annex 2_Code'!I$8:I$33,MATCH('Annex 3_MAFF'!$AG415,'Annex 2_Code'!$G$8:$G$33,0)),"")</f>
        <v>1</v>
      </c>
      <c r="U415" s="618">
        <f>IFERROR(INDEX('Annex 2_Code'!J$8:J$33,MATCH('Annex 3_MAFF'!$AG415,'Annex 2_Code'!$G$8:$G$33,0)),"")</f>
        <v>0</v>
      </c>
      <c r="V415" s="618">
        <f>IFERROR(INDEX('Annex 2_Code'!K$8:K$33,MATCH('Annex 3_MAFF'!$AG415,'Annex 2_Code'!$G$8:$G$33,0)),"")</f>
        <v>0</v>
      </c>
      <c r="W415" s="618">
        <f>IFERROR(INDEX('Annex 2_Code'!L$8:L$33,MATCH('Annex 3_MAFF'!$AG415,'Annex 2_Code'!$G$8:$G$33,0)),"")</f>
        <v>0</v>
      </c>
      <c r="X415" s="618">
        <f>IFERROR(INDEX('Annex 2_Code'!M$8:M$33,MATCH('Annex 3_MAFF'!$AG415,'Annex 2_Code'!$G$8:$G$33,0)),"")</f>
        <v>0</v>
      </c>
      <c r="Y415" s="1533">
        <f t="shared" si="404"/>
        <v>12.803000000000001</v>
      </c>
      <c r="Z415" s="717">
        <f t="shared" si="405"/>
        <v>0</v>
      </c>
      <c r="AA415" s="717">
        <f t="shared" si="405"/>
        <v>0</v>
      </c>
      <c r="AB415" s="717">
        <f t="shared" si="406"/>
        <v>0</v>
      </c>
      <c r="AC415" s="718">
        <f t="shared" si="407"/>
        <v>0</v>
      </c>
      <c r="AD415" s="626">
        <f t="shared" si="365"/>
        <v>12.803000000000001</v>
      </c>
      <c r="AE415" s="627">
        <f t="shared" si="366"/>
        <v>0</v>
      </c>
      <c r="AF415" s="568" t="s">
        <v>562</v>
      </c>
      <c r="AG415" s="568" t="s">
        <v>398</v>
      </c>
      <c r="AH415" s="568" t="str">
        <f>IFERROR(INDEX('Annex 2_Code'!$J$110:$J$127,MATCH('Annex 3_MAFF'!AF415,'Annex 2_Code'!$G$110:$G$127,0)),"")</f>
        <v>MAFF</v>
      </c>
      <c r="AI415" s="882" t="str">
        <f t="shared" si="357"/>
        <v>MAFF</v>
      </c>
    </row>
    <row r="416" spans="1:41" outlineLevel="1">
      <c r="A416" s="102"/>
      <c r="B416" s="76" t="s">
        <v>173</v>
      </c>
      <c r="C416" s="96"/>
      <c r="D416" s="1425"/>
      <c r="E416" s="1451"/>
      <c r="F416" s="1441" t="s">
        <v>41</v>
      </c>
      <c r="G416" s="1428"/>
      <c r="H416" s="1429" t="s">
        <v>14</v>
      </c>
      <c r="I416" s="1437"/>
      <c r="J416" s="1446"/>
      <c r="K416" s="1447"/>
      <c r="L416" s="1432"/>
      <c r="M416" s="1432"/>
      <c r="N416" s="1433"/>
      <c r="O416" s="1422">
        <f>SUM(O409:O415)</f>
        <v>49.786375000000007</v>
      </c>
      <c r="P416" s="1424">
        <f>SUM(P409:P415)</f>
        <v>49.786375000000007</v>
      </c>
      <c r="Q416" s="1424">
        <f>SUM(Q409:Q415)</f>
        <v>49.786375000000007</v>
      </c>
      <c r="R416" s="1424">
        <f>SUM(R409:R415)</f>
        <v>49.786375000000007</v>
      </c>
      <c r="S416" s="1436">
        <f>SUM(S409:S415)</f>
        <v>199.14550000000003</v>
      </c>
      <c r="T416" s="618" t="str">
        <f>IFERROR(INDEX('Annex 2_Code'!I$8:I$33,MATCH('Annex 3_MAFF'!$AG416,'Annex 2_Code'!$G$8:$G$33,0)),"")</f>
        <v/>
      </c>
      <c r="U416" s="618" t="str">
        <f>IFERROR(INDEX('Annex 2_Code'!J$8:J$33,MATCH('Annex 3_MAFF'!$AG416,'Annex 2_Code'!$G$8:$G$33,0)),"")</f>
        <v/>
      </c>
      <c r="V416" s="618" t="str">
        <f>IFERROR(INDEX('Annex 2_Code'!K$8:K$33,MATCH('Annex 3_MAFF'!$AG416,'Annex 2_Code'!$G$8:$G$33,0)),"")</f>
        <v/>
      </c>
      <c r="W416" s="618" t="str">
        <f>IFERROR(INDEX('Annex 2_Code'!L$8:L$33,MATCH('Annex 3_MAFF'!$AG416,'Annex 2_Code'!$G$8:$G$33,0)),"")</f>
        <v/>
      </c>
      <c r="X416" s="618" t="str">
        <f>IFERROR(INDEX('Annex 2_Code'!M$8:M$33,MATCH('Annex 3_MAFF'!$AG416,'Annex 2_Code'!$G$8:$G$33,0)),"")</f>
        <v/>
      </c>
      <c r="Y416" s="1533" t="str">
        <f t="shared" si="404"/>
        <v/>
      </c>
      <c r="Z416" s="717" t="str">
        <f t="shared" si="405"/>
        <v/>
      </c>
      <c r="AA416" s="717" t="str">
        <f t="shared" si="405"/>
        <v/>
      </c>
      <c r="AB416" s="717" t="str">
        <f t="shared" si="406"/>
        <v/>
      </c>
      <c r="AC416" s="718" t="str">
        <f t="shared" si="407"/>
        <v/>
      </c>
      <c r="AD416" s="626">
        <f t="shared" si="365"/>
        <v>0</v>
      </c>
      <c r="AE416" s="627">
        <f t="shared" si="366"/>
        <v>-199.14550000000003</v>
      </c>
      <c r="AF416" s="568"/>
      <c r="AG416" s="568"/>
      <c r="AH416" s="568" t="str">
        <f>IFERROR(INDEX('Annex 2_Code'!$J$110:$J$127,MATCH('Annex 3_MAFF'!AF416,'Annex 2_Code'!$G$110:$G$127,0)),"")</f>
        <v/>
      </c>
      <c r="AI416" s="882" t="str">
        <f t="shared" si="357"/>
        <v/>
      </c>
    </row>
    <row r="417" spans="1:41" outlineLevel="1">
      <c r="A417" s="102"/>
      <c r="B417" s="76" t="s">
        <v>173</v>
      </c>
      <c r="C417" s="96"/>
      <c r="D417" s="484"/>
      <c r="E417" s="97"/>
      <c r="F417" s="543" t="s">
        <v>140</v>
      </c>
      <c r="G417" s="722"/>
      <c r="H417" s="588" t="s">
        <v>14</v>
      </c>
      <c r="I417" s="558"/>
      <c r="J417" s="679"/>
      <c r="K417" s="680"/>
      <c r="L417" s="677"/>
      <c r="M417" s="677"/>
      <c r="N417" s="678"/>
      <c r="O417" s="1103"/>
      <c r="P417" s="1094"/>
      <c r="Q417" s="689"/>
      <c r="R417" s="689"/>
      <c r="S417" s="145"/>
      <c r="T417" s="618" t="str">
        <f>IFERROR(INDEX('Annex 2_Code'!I$8:I$33,MATCH('Annex 3_MAFF'!$AG417,'Annex 2_Code'!$G$8:$G$33,0)),"")</f>
        <v/>
      </c>
      <c r="U417" s="618" t="str">
        <f>IFERROR(INDEX('Annex 2_Code'!J$8:J$33,MATCH('Annex 3_MAFF'!$AG417,'Annex 2_Code'!$G$8:$G$33,0)),"")</f>
        <v/>
      </c>
      <c r="V417" s="618" t="str">
        <f>IFERROR(INDEX('Annex 2_Code'!K$8:K$33,MATCH('Annex 3_MAFF'!$AG417,'Annex 2_Code'!$G$8:$G$33,0)),"")</f>
        <v/>
      </c>
      <c r="W417" s="618" t="str">
        <f>IFERROR(INDEX('Annex 2_Code'!L$8:L$33,MATCH('Annex 3_MAFF'!$AG417,'Annex 2_Code'!$G$8:$G$33,0)),"")</f>
        <v/>
      </c>
      <c r="X417" s="618" t="str">
        <f>IFERROR(INDEX('Annex 2_Code'!M$8:M$33,MATCH('Annex 3_MAFF'!$AG417,'Annex 2_Code'!$G$8:$G$33,0)),"")</f>
        <v/>
      </c>
      <c r="Y417" s="1533" t="str">
        <f t="shared" si="404"/>
        <v/>
      </c>
      <c r="Z417" s="717" t="str">
        <f t="shared" si="405"/>
        <v/>
      </c>
      <c r="AA417" s="717" t="str">
        <f t="shared" si="405"/>
        <v/>
      </c>
      <c r="AB417" s="717" t="str">
        <f t="shared" si="406"/>
        <v/>
      </c>
      <c r="AC417" s="718" t="str">
        <f t="shared" si="407"/>
        <v/>
      </c>
      <c r="AD417" s="626">
        <f t="shared" si="365"/>
        <v>0</v>
      </c>
      <c r="AE417" s="627">
        <f t="shared" si="366"/>
        <v>0</v>
      </c>
      <c r="AF417" s="568"/>
      <c r="AG417" s="568"/>
      <c r="AH417" s="568" t="str">
        <f>IFERROR(INDEX('Annex 2_Code'!$J$110:$J$127,MATCH('Annex 3_MAFF'!AF417,'Annex 2_Code'!$G$110:$G$127,0)),"")</f>
        <v/>
      </c>
      <c r="AI417" s="882" t="str">
        <f t="shared" ref="AI417:AI492" si="408">IF(ISNUMBER(FIND("-",AH417,1))=FALSE,LEFT(AH417,LEN(AH417)),LEFT(AH417,(FIND("-",AH417,1))-1))</f>
        <v/>
      </c>
    </row>
    <row r="418" spans="1:41" outlineLevel="1">
      <c r="A418" s="102"/>
      <c r="B418" s="76" t="s">
        <v>25</v>
      </c>
      <c r="C418" s="96" t="s">
        <v>303</v>
      </c>
      <c r="D418" s="484"/>
      <c r="E418" s="97"/>
      <c r="F418" s="543"/>
      <c r="G418" s="730" t="s">
        <v>141</v>
      </c>
      <c r="H418" s="588" t="s">
        <v>174</v>
      </c>
      <c r="I418" s="1742">
        <f>(4183)/1000</f>
        <v>4.1829999999999998</v>
      </c>
      <c r="J418" s="676">
        <f>2.75*3</f>
        <v>8.25</v>
      </c>
      <c r="K418" s="677">
        <f>2.75*3</f>
        <v>8.25</v>
      </c>
      <c r="L418" s="677">
        <f>2.75*3</f>
        <v>8.25</v>
      </c>
      <c r="M418" s="1725">
        <f>2.75*3</f>
        <v>8.25</v>
      </c>
      <c r="N418" s="1373">
        <f>SUM(J418:M418)</f>
        <v>33</v>
      </c>
      <c r="O418" s="1103">
        <f>$I418*J418</f>
        <v>34.509749999999997</v>
      </c>
      <c r="P418" s="1094">
        <f>$I418*K418</f>
        <v>34.509749999999997</v>
      </c>
      <c r="Q418" s="1094">
        <f t="shared" ref="Q418:R427" si="409">$I418*L418</f>
        <v>34.509749999999997</v>
      </c>
      <c r="R418" s="1094">
        <f t="shared" si="409"/>
        <v>34.509749999999997</v>
      </c>
      <c r="S418" s="145">
        <f>SUM(O418:R418)</f>
        <v>138.03899999999999</v>
      </c>
      <c r="T418" s="618">
        <f>IFERROR(INDEX('Annex 2_Code'!I$8:I$33,MATCH('Annex 3_MAFF'!$AG418,'Annex 2_Code'!$G$8:$G$33,0)),"")</f>
        <v>1</v>
      </c>
      <c r="U418" s="618">
        <f>IFERROR(INDEX('Annex 2_Code'!J$8:J$33,MATCH('Annex 3_MAFF'!$AG418,'Annex 2_Code'!$G$8:$G$33,0)),"")</f>
        <v>0</v>
      </c>
      <c r="V418" s="618">
        <f>IFERROR(INDEX('Annex 2_Code'!K$8:K$33,MATCH('Annex 3_MAFF'!$AG418,'Annex 2_Code'!$G$8:$G$33,0)),"")</f>
        <v>0</v>
      </c>
      <c r="W418" s="618">
        <f>IFERROR(INDEX('Annex 2_Code'!L$8:L$33,MATCH('Annex 3_MAFF'!$AG418,'Annex 2_Code'!$G$8:$G$33,0)),"")</f>
        <v>0</v>
      </c>
      <c r="X418" s="618">
        <f>IFERROR(INDEX('Annex 2_Code'!M$8:M$33,MATCH('Annex 3_MAFF'!$AG418,'Annex 2_Code'!$G$8:$G$33,0)),"")</f>
        <v>0</v>
      </c>
      <c r="Y418" s="1533">
        <f t="shared" si="404"/>
        <v>138.03899999999999</v>
      </c>
      <c r="Z418" s="717">
        <f t="shared" si="405"/>
        <v>0</v>
      </c>
      <c r="AA418" s="717">
        <f t="shared" si="405"/>
        <v>0</v>
      </c>
      <c r="AB418" s="717">
        <f t="shared" si="406"/>
        <v>0</v>
      </c>
      <c r="AC418" s="718">
        <f t="shared" si="407"/>
        <v>0</v>
      </c>
      <c r="AD418" s="626">
        <f t="shared" si="365"/>
        <v>138.03899999999999</v>
      </c>
      <c r="AE418" s="627">
        <f t="shared" si="366"/>
        <v>0</v>
      </c>
      <c r="AF418" s="568" t="s">
        <v>562</v>
      </c>
      <c r="AG418" s="568" t="s">
        <v>400</v>
      </c>
      <c r="AH418" s="568" t="str">
        <f>IFERROR(INDEX('Annex 2_Code'!$J$110:$J$127,MATCH('Annex 3_MAFF'!AF418,'Annex 2_Code'!$G$110:$G$127,0)),"")</f>
        <v>MAFF</v>
      </c>
      <c r="AI418" s="882" t="str">
        <f t="shared" si="408"/>
        <v>MAFF</v>
      </c>
    </row>
    <row r="419" spans="1:41" outlineLevel="1">
      <c r="A419" s="102"/>
      <c r="B419" s="76" t="s">
        <v>25</v>
      </c>
      <c r="C419" s="96" t="s">
        <v>303</v>
      </c>
      <c r="D419" s="484"/>
      <c r="E419" s="97"/>
      <c r="F419" s="543"/>
      <c r="G419" s="730" t="s">
        <v>1005</v>
      </c>
      <c r="H419" s="588" t="s">
        <v>174</v>
      </c>
      <c r="I419" s="1742">
        <f>(2785)/1000</f>
        <v>2.7850000000000001</v>
      </c>
      <c r="J419" s="676">
        <v>5</v>
      </c>
      <c r="K419" s="677">
        <v>5</v>
      </c>
      <c r="L419" s="677">
        <v>5</v>
      </c>
      <c r="M419" s="677">
        <v>5</v>
      </c>
      <c r="N419" s="678">
        <f t="shared" ref="N419:N427" si="410">SUM(J419:M419)</f>
        <v>20</v>
      </c>
      <c r="O419" s="1103">
        <f t="shared" ref="O419:O427" si="411">$I419*J419</f>
        <v>13.925000000000001</v>
      </c>
      <c r="P419" s="1094">
        <f t="shared" ref="P419:P427" si="412">$I419*K419</f>
        <v>13.925000000000001</v>
      </c>
      <c r="Q419" s="1094">
        <f t="shared" si="409"/>
        <v>13.925000000000001</v>
      </c>
      <c r="R419" s="1094">
        <f t="shared" si="409"/>
        <v>13.925000000000001</v>
      </c>
      <c r="S419" s="145">
        <f t="shared" ref="S419:S426" si="413">SUM(O419:R419)</f>
        <v>55.7</v>
      </c>
      <c r="T419" s="618">
        <f>IFERROR(INDEX('Annex 2_Code'!I$8:I$33,MATCH('Annex 3_MAFF'!$AG419,'Annex 2_Code'!$G$8:$G$33,0)),"")</f>
        <v>1</v>
      </c>
      <c r="U419" s="618">
        <f>IFERROR(INDEX('Annex 2_Code'!J$8:J$33,MATCH('Annex 3_MAFF'!$AG419,'Annex 2_Code'!$G$8:$G$33,0)),"")</f>
        <v>0</v>
      </c>
      <c r="V419" s="618">
        <f>IFERROR(INDEX('Annex 2_Code'!K$8:K$33,MATCH('Annex 3_MAFF'!$AG419,'Annex 2_Code'!$G$8:$G$33,0)),"")</f>
        <v>0</v>
      </c>
      <c r="W419" s="618">
        <f>IFERROR(INDEX('Annex 2_Code'!L$8:L$33,MATCH('Annex 3_MAFF'!$AG419,'Annex 2_Code'!$G$8:$G$33,0)),"")</f>
        <v>0</v>
      </c>
      <c r="X419" s="618">
        <f>IFERROR(INDEX('Annex 2_Code'!M$8:M$33,MATCH('Annex 3_MAFF'!$AG419,'Annex 2_Code'!$G$8:$G$33,0)),"")</f>
        <v>0</v>
      </c>
      <c r="Y419" s="1533">
        <f t="shared" si="404"/>
        <v>55.7</v>
      </c>
      <c r="Z419" s="717">
        <f t="shared" si="405"/>
        <v>0</v>
      </c>
      <c r="AA419" s="717">
        <f t="shared" si="405"/>
        <v>0</v>
      </c>
      <c r="AB419" s="717">
        <f t="shared" si="406"/>
        <v>0</v>
      </c>
      <c r="AC419" s="718">
        <f t="shared" si="407"/>
        <v>0</v>
      </c>
      <c r="AD419" s="626">
        <f t="shared" si="365"/>
        <v>55.7</v>
      </c>
      <c r="AE419" s="627">
        <f t="shared" si="366"/>
        <v>0</v>
      </c>
      <c r="AF419" s="568" t="s">
        <v>562</v>
      </c>
      <c r="AG419" s="568" t="s">
        <v>400</v>
      </c>
      <c r="AH419" s="568" t="str">
        <f>IFERROR(INDEX('Annex 2_Code'!$J$110:$J$127,MATCH('Annex 3_MAFF'!AF419,'Annex 2_Code'!$G$110:$G$127,0)),"")</f>
        <v>MAFF</v>
      </c>
      <c r="AI419" s="882" t="str">
        <f t="shared" si="408"/>
        <v>MAFF</v>
      </c>
    </row>
    <row r="420" spans="1:41" outlineLevel="1">
      <c r="A420" s="102"/>
      <c r="B420" s="76" t="s">
        <v>25</v>
      </c>
      <c r="C420" s="96" t="s">
        <v>303</v>
      </c>
      <c r="D420" s="484"/>
      <c r="E420" s="97"/>
      <c r="F420" s="543"/>
      <c r="G420" s="730" t="s">
        <v>1006</v>
      </c>
      <c r="H420" s="588" t="s">
        <v>174</v>
      </c>
      <c r="I420" s="1742">
        <f>(2785)/1000</f>
        <v>2.7850000000000001</v>
      </c>
      <c r="J420" s="676">
        <v>4</v>
      </c>
      <c r="K420" s="677">
        <v>4</v>
      </c>
      <c r="L420" s="677">
        <v>4</v>
      </c>
      <c r="M420" s="677">
        <v>4</v>
      </c>
      <c r="N420" s="678">
        <f t="shared" si="410"/>
        <v>16</v>
      </c>
      <c r="O420" s="1103">
        <f t="shared" si="411"/>
        <v>11.14</v>
      </c>
      <c r="P420" s="1094">
        <f t="shared" si="412"/>
        <v>11.14</v>
      </c>
      <c r="Q420" s="1094">
        <f t="shared" si="409"/>
        <v>11.14</v>
      </c>
      <c r="R420" s="1094">
        <f t="shared" si="409"/>
        <v>11.14</v>
      </c>
      <c r="S420" s="1042">
        <f t="shared" si="413"/>
        <v>44.56</v>
      </c>
      <c r="T420" s="618">
        <f>IFERROR(INDEX('Annex 2_Code'!I$8:I$33,MATCH('Annex 3_MAFF'!$AG420,'Annex 2_Code'!$G$8:$G$33,0)),"")</f>
        <v>1</v>
      </c>
      <c r="U420" s="618">
        <f>IFERROR(INDEX('Annex 2_Code'!J$8:J$33,MATCH('Annex 3_MAFF'!$AG420,'Annex 2_Code'!$G$8:$G$33,0)),"")</f>
        <v>0</v>
      </c>
      <c r="V420" s="618">
        <f>IFERROR(INDEX('Annex 2_Code'!K$8:K$33,MATCH('Annex 3_MAFF'!$AG420,'Annex 2_Code'!$G$8:$G$33,0)),"")</f>
        <v>0</v>
      </c>
      <c r="W420" s="618">
        <f>IFERROR(INDEX('Annex 2_Code'!L$8:L$33,MATCH('Annex 3_MAFF'!$AG420,'Annex 2_Code'!$G$8:$G$33,0)),"")</f>
        <v>0</v>
      </c>
      <c r="X420" s="618">
        <f>IFERROR(INDEX('Annex 2_Code'!M$8:M$33,MATCH('Annex 3_MAFF'!$AG420,'Annex 2_Code'!$G$8:$G$33,0)),"")</f>
        <v>0</v>
      </c>
      <c r="Y420" s="1533">
        <f t="shared" si="404"/>
        <v>44.56</v>
      </c>
      <c r="Z420" s="717">
        <f t="shared" si="405"/>
        <v>0</v>
      </c>
      <c r="AA420" s="717">
        <f t="shared" si="405"/>
        <v>0</v>
      </c>
      <c r="AB420" s="717">
        <f t="shared" si="406"/>
        <v>0</v>
      </c>
      <c r="AC420" s="718">
        <f t="shared" si="407"/>
        <v>0</v>
      </c>
      <c r="AD420" s="626">
        <f t="shared" si="365"/>
        <v>44.56</v>
      </c>
      <c r="AE420" s="627">
        <f t="shared" si="366"/>
        <v>0</v>
      </c>
      <c r="AF420" s="568" t="s">
        <v>562</v>
      </c>
      <c r="AG420" s="568" t="s">
        <v>400</v>
      </c>
      <c r="AH420" s="568" t="str">
        <f>IFERROR(INDEX('Annex 2_Code'!$J$110:$J$127,MATCH('Annex 3_MAFF'!AF420,'Annex 2_Code'!$G$110:$G$127,0)),"")</f>
        <v>MAFF</v>
      </c>
      <c r="AI420" s="882" t="str">
        <f t="shared" si="408"/>
        <v>MAFF</v>
      </c>
    </row>
    <row r="421" spans="1:41" outlineLevel="1">
      <c r="A421" s="102"/>
      <c r="B421" s="374" t="s">
        <v>25</v>
      </c>
      <c r="C421" s="588" t="s">
        <v>303</v>
      </c>
      <c r="D421" s="484"/>
      <c r="E421" s="97"/>
      <c r="F421" s="543"/>
      <c r="G421" s="730" t="s">
        <v>1007</v>
      </c>
      <c r="H421" s="588" t="s">
        <v>174</v>
      </c>
      <c r="I421" s="1742">
        <f>2785/1000</f>
        <v>2.7850000000000001</v>
      </c>
      <c r="J421" s="676">
        <v>3</v>
      </c>
      <c r="K421" s="677">
        <v>3</v>
      </c>
      <c r="L421" s="677">
        <v>3</v>
      </c>
      <c r="M421" s="677">
        <v>3</v>
      </c>
      <c r="N421" s="678">
        <f t="shared" si="410"/>
        <v>12</v>
      </c>
      <c r="O421" s="1103">
        <f t="shared" si="411"/>
        <v>8.3550000000000004</v>
      </c>
      <c r="P421" s="1094">
        <f t="shared" si="412"/>
        <v>8.3550000000000004</v>
      </c>
      <c r="Q421" s="1094">
        <f t="shared" si="409"/>
        <v>8.3550000000000004</v>
      </c>
      <c r="R421" s="1094">
        <f t="shared" si="409"/>
        <v>8.3550000000000004</v>
      </c>
      <c r="S421" s="145">
        <f>SUM(O421:R421)</f>
        <v>33.42</v>
      </c>
      <c r="T421" s="618">
        <f>IFERROR(INDEX('Annex 2_Code'!I$8:I$33,MATCH('Annex 3_MAFF'!$AG421,'Annex 2_Code'!$G$8:$G$33,0)),"")</f>
        <v>1</v>
      </c>
      <c r="U421" s="618">
        <f>IFERROR(INDEX('Annex 2_Code'!J$8:J$33,MATCH('Annex 3_MAFF'!$AG421,'Annex 2_Code'!$G$8:$G$33,0)),"")</f>
        <v>0</v>
      </c>
      <c r="V421" s="618">
        <f>IFERROR(INDEX('Annex 2_Code'!K$8:K$33,MATCH('Annex 3_MAFF'!$AG421,'Annex 2_Code'!$G$8:$G$33,0)),"")</f>
        <v>0</v>
      </c>
      <c r="W421" s="618">
        <f>IFERROR(INDEX('Annex 2_Code'!L$8:L$33,MATCH('Annex 3_MAFF'!$AG421,'Annex 2_Code'!$G$8:$G$33,0)),"")</f>
        <v>0</v>
      </c>
      <c r="X421" s="618">
        <f>IFERROR(INDEX('Annex 2_Code'!M$8:M$33,MATCH('Annex 3_MAFF'!$AG421,'Annex 2_Code'!$G$8:$G$33,0)),"")</f>
        <v>0</v>
      </c>
      <c r="Y421" s="1533">
        <f t="shared" si="404"/>
        <v>33.42</v>
      </c>
      <c r="Z421" s="717">
        <f t="shared" si="405"/>
        <v>0</v>
      </c>
      <c r="AA421" s="717">
        <f t="shared" si="405"/>
        <v>0</v>
      </c>
      <c r="AB421" s="717">
        <f t="shared" si="406"/>
        <v>0</v>
      </c>
      <c r="AC421" s="718">
        <f t="shared" si="407"/>
        <v>0</v>
      </c>
      <c r="AD421" s="626">
        <f t="shared" si="365"/>
        <v>33.42</v>
      </c>
      <c r="AE421" s="627">
        <f t="shared" si="366"/>
        <v>0</v>
      </c>
      <c r="AF421" s="568" t="s">
        <v>562</v>
      </c>
      <c r="AG421" s="568" t="s">
        <v>400</v>
      </c>
      <c r="AH421" s="568" t="str">
        <f>IFERROR(INDEX('Annex 2_Code'!$J$110:$J$127,MATCH('Annex 3_MAFF'!AF421,'Annex 2_Code'!$G$110:$G$127,0)),"")</f>
        <v>MAFF</v>
      </c>
      <c r="AI421" s="882" t="str">
        <f t="shared" si="408"/>
        <v>MAFF</v>
      </c>
    </row>
    <row r="422" spans="1:41" outlineLevel="1">
      <c r="A422" s="102"/>
      <c r="B422" s="374" t="s">
        <v>25</v>
      </c>
      <c r="C422" s="588" t="s">
        <v>303</v>
      </c>
      <c r="D422" s="484"/>
      <c r="E422" s="97"/>
      <c r="F422" s="543"/>
      <c r="G422" s="730" t="s">
        <v>1008</v>
      </c>
      <c r="H422" s="588" t="s">
        <v>174</v>
      </c>
      <c r="I422" s="1742">
        <v>2.79</v>
      </c>
      <c r="J422" s="676">
        <v>3</v>
      </c>
      <c r="K422" s="677">
        <v>3</v>
      </c>
      <c r="L422" s="677">
        <v>3</v>
      </c>
      <c r="M422" s="677">
        <v>3</v>
      </c>
      <c r="N422" s="678">
        <f t="shared" si="410"/>
        <v>12</v>
      </c>
      <c r="O422" s="1103">
        <f t="shared" si="411"/>
        <v>8.370000000000001</v>
      </c>
      <c r="P422" s="1094">
        <f t="shared" si="412"/>
        <v>8.370000000000001</v>
      </c>
      <c r="Q422" s="1094">
        <f t="shared" si="409"/>
        <v>8.370000000000001</v>
      </c>
      <c r="R422" s="1094">
        <f t="shared" si="409"/>
        <v>8.370000000000001</v>
      </c>
      <c r="S422" s="145">
        <f t="shared" si="413"/>
        <v>33.480000000000004</v>
      </c>
      <c r="T422" s="618">
        <f>IFERROR(INDEX('Annex 2_Code'!I$8:I$33,MATCH('Annex 3_MAFF'!$AG422,'Annex 2_Code'!$G$8:$G$33,0)),"")</f>
        <v>1</v>
      </c>
      <c r="U422" s="618">
        <f>IFERROR(INDEX('Annex 2_Code'!J$8:J$33,MATCH('Annex 3_MAFF'!$AG422,'Annex 2_Code'!$G$8:$G$33,0)),"")</f>
        <v>0</v>
      </c>
      <c r="V422" s="618">
        <f>IFERROR(INDEX('Annex 2_Code'!K$8:K$33,MATCH('Annex 3_MAFF'!$AG422,'Annex 2_Code'!$G$8:$G$33,0)),"")</f>
        <v>0</v>
      </c>
      <c r="W422" s="618">
        <f>IFERROR(INDEX('Annex 2_Code'!L$8:L$33,MATCH('Annex 3_MAFF'!$AG422,'Annex 2_Code'!$G$8:$G$33,0)),"")</f>
        <v>0</v>
      </c>
      <c r="X422" s="618">
        <f>IFERROR(INDEX('Annex 2_Code'!M$8:M$33,MATCH('Annex 3_MAFF'!$AG422,'Annex 2_Code'!$G$8:$G$33,0)),"")</f>
        <v>0</v>
      </c>
      <c r="Y422" s="1533">
        <f t="shared" si="404"/>
        <v>33.480000000000004</v>
      </c>
      <c r="Z422" s="717">
        <f t="shared" si="405"/>
        <v>0</v>
      </c>
      <c r="AA422" s="717">
        <f t="shared" si="405"/>
        <v>0</v>
      </c>
      <c r="AB422" s="717">
        <f t="shared" si="406"/>
        <v>0</v>
      </c>
      <c r="AC422" s="718">
        <f t="shared" si="407"/>
        <v>0</v>
      </c>
      <c r="AD422" s="626">
        <f t="shared" si="365"/>
        <v>33.480000000000004</v>
      </c>
      <c r="AE422" s="627">
        <f t="shared" si="366"/>
        <v>0</v>
      </c>
      <c r="AF422" s="568" t="s">
        <v>562</v>
      </c>
      <c r="AG422" s="568" t="s">
        <v>400</v>
      </c>
      <c r="AH422" s="568" t="str">
        <f>IFERROR(INDEX('Annex 2_Code'!$J$110:$J$127,MATCH('Annex 3_MAFF'!AF422,'Annex 2_Code'!$G$110:$G$127,0)),"")</f>
        <v>MAFF</v>
      </c>
      <c r="AI422" s="882" t="str">
        <f t="shared" si="408"/>
        <v>MAFF</v>
      </c>
    </row>
    <row r="423" spans="1:41" outlineLevel="1">
      <c r="A423" s="102"/>
      <c r="B423" s="374" t="s">
        <v>25</v>
      </c>
      <c r="C423" s="588" t="s">
        <v>303</v>
      </c>
      <c r="D423" s="484"/>
      <c r="E423" s="97"/>
      <c r="F423" s="543"/>
      <c r="G423" s="730" t="s">
        <v>135</v>
      </c>
      <c r="H423" s="588" t="s">
        <v>174</v>
      </c>
      <c r="I423" s="1742">
        <f>4184/1000</f>
        <v>4.1840000000000002</v>
      </c>
      <c r="J423" s="676">
        <v>2.75</v>
      </c>
      <c r="K423" s="677">
        <v>2.75</v>
      </c>
      <c r="L423" s="677">
        <v>2.75</v>
      </c>
      <c r="M423" s="677">
        <v>2.75</v>
      </c>
      <c r="N423" s="678">
        <f t="shared" si="410"/>
        <v>11</v>
      </c>
      <c r="O423" s="1103">
        <f t="shared" si="411"/>
        <v>11.506</v>
      </c>
      <c r="P423" s="1094">
        <f t="shared" si="412"/>
        <v>11.506</v>
      </c>
      <c r="Q423" s="1094">
        <f t="shared" si="409"/>
        <v>11.506</v>
      </c>
      <c r="R423" s="1094">
        <f t="shared" si="409"/>
        <v>11.506</v>
      </c>
      <c r="S423" s="145">
        <f t="shared" si="413"/>
        <v>46.024000000000001</v>
      </c>
      <c r="T423" s="618">
        <f>IFERROR(INDEX('Annex 2_Code'!I$8:I$33,MATCH('Annex 3_MAFF'!$AG423,'Annex 2_Code'!$G$8:$G$33,0)),"")</f>
        <v>1</v>
      </c>
      <c r="U423" s="618">
        <f>IFERROR(INDEX('Annex 2_Code'!J$8:J$33,MATCH('Annex 3_MAFF'!$AG423,'Annex 2_Code'!$G$8:$G$33,0)),"")</f>
        <v>0</v>
      </c>
      <c r="V423" s="618">
        <f>IFERROR(INDEX('Annex 2_Code'!K$8:K$33,MATCH('Annex 3_MAFF'!$AG423,'Annex 2_Code'!$G$8:$G$33,0)),"")</f>
        <v>0</v>
      </c>
      <c r="W423" s="618">
        <f>IFERROR(INDEX('Annex 2_Code'!L$8:L$33,MATCH('Annex 3_MAFF'!$AG423,'Annex 2_Code'!$G$8:$G$33,0)),"")</f>
        <v>0</v>
      </c>
      <c r="X423" s="618">
        <f>IFERROR(INDEX('Annex 2_Code'!M$8:M$33,MATCH('Annex 3_MAFF'!$AG423,'Annex 2_Code'!$G$8:$G$33,0)),"")</f>
        <v>0</v>
      </c>
      <c r="Y423" s="1533">
        <f t="shared" si="404"/>
        <v>46.024000000000001</v>
      </c>
      <c r="Z423" s="717">
        <f t="shared" si="405"/>
        <v>0</v>
      </c>
      <c r="AA423" s="717">
        <f t="shared" si="405"/>
        <v>0</v>
      </c>
      <c r="AB423" s="717">
        <f t="shared" si="406"/>
        <v>0</v>
      </c>
      <c r="AC423" s="718">
        <f t="shared" si="407"/>
        <v>0</v>
      </c>
      <c r="AD423" s="626">
        <f t="shared" si="365"/>
        <v>46.024000000000001</v>
      </c>
      <c r="AE423" s="627">
        <f t="shared" si="366"/>
        <v>0</v>
      </c>
      <c r="AF423" s="568" t="s">
        <v>562</v>
      </c>
      <c r="AG423" s="568" t="s">
        <v>400</v>
      </c>
      <c r="AH423" s="568" t="str">
        <f>IFERROR(INDEX('Annex 2_Code'!$J$110:$J$127,MATCH('Annex 3_MAFF'!AF423,'Annex 2_Code'!$G$110:$G$127,0)),"")</f>
        <v>MAFF</v>
      </c>
      <c r="AI423" s="882" t="str">
        <f t="shared" si="408"/>
        <v>MAFF</v>
      </c>
    </row>
    <row r="424" spans="1:41" outlineLevel="1">
      <c r="A424" s="102"/>
      <c r="B424" s="374" t="s">
        <v>25</v>
      </c>
      <c r="C424" s="588" t="s">
        <v>303</v>
      </c>
      <c r="D424" s="484"/>
      <c r="E424" s="97"/>
      <c r="F424" s="543"/>
      <c r="G424" s="730" t="s">
        <v>136</v>
      </c>
      <c r="H424" s="588" t="s">
        <v>174</v>
      </c>
      <c r="I424" s="1742">
        <f>4184/1000</f>
        <v>4.1840000000000002</v>
      </c>
      <c r="J424" s="676">
        <v>2.75</v>
      </c>
      <c r="K424" s="677">
        <v>2.75</v>
      </c>
      <c r="L424" s="677">
        <v>2.75</v>
      </c>
      <c r="M424" s="677">
        <v>2.75</v>
      </c>
      <c r="N424" s="678">
        <f t="shared" si="410"/>
        <v>11</v>
      </c>
      <c r="O424" s="1103">
        <f t="shared" si="411"/>
        <v>11.506</v>
      </c>
      <c r="P424" s="1094">
        <f t="shared" si="412"/>
        <v>11.506</v>
      </c>
      <c r="Q424" s="1094">
        <f t="shared" si="409"/>
        <v>11.506</v>
      </c>
      <c r="R424" s="1094">
        <f t="shared" si="409"/>
        <v>11.506</v>
      </c>
      <c r="S424" s="145">
        <f t="shared" si="413"/>
        <v>46.024000000000001</v>
      </c>
      <c r="T424" s="618">
        <f>IFERROR(INDEX('Annex 2_Code'!I$8:I$33,MATCH('Annex 3_MAFF'!$AG424,'Annex 2_Code'!$G$8:$G$33,0)),"")</f>
        <v>1</v>
      </c>
      <c r="U424" s="618">
        <f>IFERROR(INDEX('Annex 2_Code'!J$8:J$33,MATCH('Annex 3_MAFF'!$AG424,'Annex 2_Code'!$G$8:$G$33,0)),"")</f>
        <v>0</v>
      </c>
      <c r="V424" s="618">
        <f>IFERROR(INDEX('Annex 2_Code'!K$8:K$33,MATCH('Annex 3_MAFF'!$AG424,'Annex 2_Code'!$G$8:$G$33,0)),"")</f>
        <v>0</v>
      </c>
      <c r="W424" s="618">
        <f>IFERROR(INDEX('Annex 2_Code'!L$8:L$33,MATCH('Annex 3_MAFF'!$AG424,'Annex 2_Code'!$G$8:$G$33,0)),"")</f>
        <v>0</v>
      </c>
      <c r="X424" s="618">
        <f>IFERROR(INDEX('Annex 2_Code'!M$8:M$33,MATCH('Annex 3_MAFF'!$AG424,'Annex 2_Code'!$G$8:$G$33,0)),"")</f>
        <v>0</v>
      </c>
      <c r="Y424" s="1533">
        <f t="shared" si="404"/>
        <v>46.024000000000001</v>
      </c>
      <c r="Z424" s="717">
        <f t="shared" si="405"/>
        <v>0</v>
      </c>
      <c r="AA424" s="717">
        <f t="shared" si="405"/>
        <v>0</v>
      </c>
      <c r="AB424" s="717">
        <f t="shared" si="406"/>
        <v>0</v>
      </c>
      <c r="AC424" s="718">
        <f t="shared" si="407"/>
        <v>0</v>
      </c>
      <c r="AD424" s="626">
        <f t="shared" si="365"/>
        <v>46.024000000000001</v>
      </c>
      <c r="AE424" s="627">
        <f t="shared" si="366"/>
        <v>0</v>
      </c>
      <c r="AF424" s="568" t="s">
        <v>562</v>
      </c>
      <c r="AG424" s="568" t="s">
        <v>400</v>
      </c>
      <c r="AH424" s="568" t="str">
        <f>IFERROR(INDEX('Annex 2_Code'!$J$110:$J$127,MATCH('Annex 3_MAFF'!AF424,'Annex 2_Code'!$G$110:$G$127,0)),"")</f>
        <v>MAFF</v>
      </c>
      <c r="AI424" s="882" t="str">
        <f t="shared" si="408"/>
        <v>MAFF</v>
      </c>
    </row>
    <row r="425" spans="1:41" ht="21.6" customHeight="1" outlineLevel="1">
      <c r="A425" s="102"/>
      <c r="B425" s="374" t="s">
        <v>25</v>
      </c>
      <c r="C425" s="588" t="s">
        <v>303</v>
      </c>
      <c r="D425" s="484"/>
      <c r="E425" s="97"/>
      <c r="F425" s="543"/>
      <c r="G425" s="730" t="s">
        <v>137</v>
      </c>
      <c r="H425" s="588" t="s">
        <v>174</v>
      </c>
      <c r="I425" s="1742">
        <v>4.18</v>
      </c>
      <c r="J425" s="676">
        <v>2.75</v>
      </c>
      <c r="K425" s="677">
        <v>2.75</v>
      </c>
      <c r="L425" s="677">
        <v>2.75</v>
      </c>
      <c r="M425" s="677">
        <v>2.75</v>
      </c>
      <c r="N425" s="678">
        <f t="shared" si="410"/>
        <v>11</v>
      </c>
      <c r="O425" s="1103">
        <f t="shared" si="411"/>
        <v>11.494999999999999</v>
      </c>
      <c r="P425" s="1094">
        <f t="shared" si="412"/>
        <v>11.494999999999999</v>
      </c>
      <c r="Q425" s="1094">
        <f t="shared" si="409"/>
        <v>11.494999999999999</v>
      </c>
      <c r="R425" s="1094">
        <f t="shared" si="409"/>
        <v>11.494999999999999</v>
      </c>
      <c r="S425" s="145">
        <f t="shared" si="413"/>
        <v>45.98</v>
      </c>
      <c r="T425" s="618">
        <f>IFERROR(INDEX('Annex 2_Code'!I$8:I$33,MATCH('Annex 3_MAFF'!$AG425,'Annex 2_Code'!$G$8:$G$33,0)),"")</f>
        <v>1</v>
      </c>
      <c r="U425" s="618">
        <f>IFERROR(INDEX('Annex 2_Code'!J$8:J$33,MATCH('Annex 3_MAFF'!$AG425,'Annex 2_Code'!$G$8:$G$33,0)),"")</f>
        <v>0</v>
      </c>
      <c r="V425" s="618">
        <f>IFERROR(INDEX('Annex 2_Code'!K$8:K$33,MATCH('Annex 3_MAFF'!$AG425,'Annex 2_Code'!$G$8:$G$33,0)),"")</f>
        <v>0</v>
      </c>
      <c r="W425" s="618">
        <f>IFERROR(INDEX('Annex 2_Code'!L$8:L$33,MATCH('Annex 3_MAFF'!$AG425,'Annex 2_Code'!$G$8:$G$33,0)),"")</f>
        <v>0</v>
      </c>
      <c r="X425" s="618">
        <f>IFERROR(INDEX('Annex 2_Code'!M$8:M$33,MATCH('Annex 3_MAFF'!$AG425,'Annex 2_Code'!$G$8:$G$33,0)),"")</f>
        <v>0</v>
      </c>
      <c r="Y425" s="1533">
        <f t="shared" si="404"/>
        <v>45.98</v>
      </c>
      <c r="Z425" s="717">
        <f t="shared" si="405"/>
        <v>0</v>
      </c>
      <c r="AA425" s="717">
        <f t="shared" si="405"/>
        <v>0</v>
      </c>
      <c r="AB425" s="717">
        <f t="shared" si="406"/>
        <v>0</v>
      </c>
      <c r="AC425" s="718">
        <f t="shared" si="407"/>
        <v>0</v>
      </c>
      <c r="AD425" s="626">
        <f t="shared" si="365"/>
        <v>45.98</v>
      </c>
      <c r="AE425" s="627">
        <f t="shared" si="366"/>
        <v>0</v>
      </c>
      <c r="AF425" s="568" t="s">
        <v>562</v>
      </c>
      <c r="AG425" s="568" t="s">
        <v>400</v>
      </c>
      <c r="AH425" s="568" t="str">
        <f>IFERROR(INDEX('Annex 2_Code'!$J$110:$J$127,MATCH('Annex 3_MAFF'!AF425,'Annex 2_Code'!$G$110:$G$127,0)),"")</f>
        <v>MAFF</v>
      </c>
      <c r="AI425" s="882" t="str">
        <f t="shared" si="408"/>
        <v>MAFF</v>
      </c>
    </row>
    <row r="426" spans="1:41" ht="25.5" outlineLevel="1">
      <c r="A426" s="102"/>
      <c r="B426" s="374" t="s">
        <v>25</v>
      </c>
      <c r="C426" s="588" t="s">
        <v>303</v>
      </c>
      <c r="D426" s="484"/>
      <c r="E426" s="97"/>
      <c r="F426" s="543"/>
      <c r="G426" s="730" t="s">
        <v>143</v>
      </c>
      <c r="H426" s="588" t="s">
        <v>174</v>
      </c>
      <c r="I426" s="1742">
        <f>(2785)/1000</f>
        <v>2.7850000000000001</v>
      </c>
      <c r="J426" s="676">
        <f>1.875*4</f>
        <v>7.5</v>
      </c>
      <c r="K426" s="677">
        <f t="shared" ref="K426:M426" si="414">1.875*4</f>
        <v>7.5</v>
      </c>
      <c r="L426" s="677">
        <f t="shared" si="414"/>
        <v>7.5</v>
      </c>
      <c r="M426" s="677">
        <f t="shared" si="414"/>
        <v>7.5</v>
      </c>
      <c r="N426" s="678">
        <f t="shared" si="410"/>
        <v>30</v>
      </c>
      <c r="O426" s="1103">
        <f t="shared" si="411"/>
        <v>20.887500000000003</v>
      </c>
      <c r="P426" s="1094">
        <f t="shared" si="412"/>
        <v>20.887500000000003</v>
      </c>
      <c r="Q426" s="1094">
        <f t="shared" si="409"/>
        <v>20.887500000000003</v>
      </c>
      <c r="R426" s="1094">
        <f t="shared" si="409"/>
        <v>20.887500000000003</v>
      </c>
      <c r="S426" s="145">
        <f t="shared" si="413"/>
        <v>83.550000000000011</v>
      </c>
      <c r="T426" s="618">
        <f>IFERROR(INDEX('Annex 2_Code'!I$8:I$33,MATCH('Annex 3_MAFF'!$AG426,'Annex 2_Code'!$G$8:$G$33,0)),"")</f>
        <v>1</v>
      </c>
      <c r="U426" s="618">
        <f>IFERROR(INDEX('Annex 2_Code'!J$8:J$33,MATCH('Annex 3_MAFF'!$AG426,'Annex 2_Code'!$G$8:$G$33,0)),"")</f>
        <v>0</v>
      </c>
      <c r="V426" s="618">
        <f>IFERROR(INDEX('Annex 2_Code'!K$8:K$33,MATCH('Annex 3_MAFF'!$AG426,'Annex 2_Code'!$G$8:$G$33,0)),"")</f>
        <v>0</v>
      </c>
      <c r="W426" s="618">
        <f>IFERROR(INDEX('Annex 2_Code'!L$8:L$33,MATCH('Annex 3_MAFF'!$AG426,'Annex 2_Code'!$G$8:$G$33,0)),"")</f>
        <v>0</v>
      </c>
      <c r="X426" s="618">
        <f>IFERROR(INDEX('Annex 2_Code'!M$8:M$33,MATCH('Annex 3_MAFF'!$AG426,'Annex 2_Code'!$G$8:$G$33,0)),"")</f>
        <v>0</v>
      </c>
      <c r="Y426" s="1533">
        <f t="shared" si="404"/>
        <v>83.550000000000011</v>
      </c>
      <c r="Z426" s="717">
        <f t="shared" si="405"/>
        <v>0</v>
      </c>
      <c r="AA426" s="717">
        <f t="shared" si="405"/>
        <v>0</v>
      </c>
      <c r="AB426" s="717">
        <f t="shared" si="406"/>
        <v>0</v>
      </c>
      <c r="AC426" s="718">
        <f t="shared" si="407"/>
        <v>0</v>
      </c>
      <c r="AD426" s="626">
        <f t="shared" si="365"/>
        <v>83.550000000000011</v>
      </c>
      <c r="AE426" s="627">
        <f t="shared" si="366"/>
        <v>0</v>
      </c>
      <c r="AF426" s="568" t="s">
        <v>562</v>
      </c>
      <c r="AG426" s="568" t="s">
        <v>400</v>
      </c>
      <c r="AH426" s="568" t="str">
        <f>IFERROR(INDEX('Annex 2_Code'!$J$110:$J$127,MATCH('Annex 3_MAFF'!AF426,'Annex 2_Code'!$G$110:$G$127,0)),"")</f>
        <v>MAFF</v>
      </c>
      <c r="AI426" s="882" t="str">
        <f t="shared" si="408"/>
        <v>MAFF</v>
      </c>
    </row>
    <row r="427" spans="1:41" ht="25.5" outlineLevel="1">
      <c r="A427" s="102"/>
      <c r="B427" s="374" t="s">
        <v>25</v>
      </c>
      <c r="C427" s="588" t="s">
        <v>303</v>
      </c>
      <c r="D427" s="484"/>
      <c r="E427" s="485"/>
      <c r="F427" s="543"/>
      <c r="G427" s="730" t="s">
        <v>144</v>
      </c>
      <c r="H427" s="588" t="s">
        <v>174</v>
      </c>
      <c r="I427" s="1742">
        <v>2.7850000000000001</v>
      </c>
      <c r="J427" s="676">
        <v>9</v>
      </c>
      <c r="K427" s="677">
        <v>9</v>
      </c>
      <c r="L427" s="677">
        <v>9</v>
      </c>
      <c r="M427" s="677">
        <v>9</v>
      </c>
      <c r="N427" s="678">
        <f t="shared" si="410"/>
        <v>36</v>
      </c>
      <c r="O427" s="1103">
        <f t="shared" si="411"/>
        <v>25.065000000000001</v>
      </c>
      <c r="P427" s="1094">
        <f t="shared" si="412"/>
        <v>25.065000000000001</v>
      </c>
      <c r="Q427" s="1094">
        <f t="shared" si="409"/>
        <v>25.065000000000001</v>
      </c>
      <c r="R427" s="1094">
        <f t="shared" si="409"/>
        <v>25.065000000000001</v>
      </c>
      <c r="S427" s="145">
        <f>SUM(O427:R427)</f>
        <v>100.26</v>
      </c>
      <c r="T427" s="618">
        <f>IFERROR(INDEX('Annex 2_Code'!I$8:I$33,MATCH('Annex 3_MAFF'!$AG427,'Annex 2_Code'!$G$8:$G$33,0)),"")</f>
        <v>1</v>
      </c>
      <c r="U427" s="618">
        <f>IFERROR(INDEX('Annex 2_Code'!J$8:J$33,MATCH('Annex 3_MAFF'!$AG427,'Annex 2_Code'!$G$8:$G$33,0)),"")</f>
        <v>0</v>
      </c>
      <c r="V427" s="618">
        <f>IFERROR(INDEX('Annex 2_Code'!K$8:K$33,MATCH('Annex 3_MAFF'!$AG427,'Annex 2_Code'!$G$8:$G$33,0)),"")</f>
        <v>0</v>
      </c>
      <c r="W427" s="618">
        <f>IFERROR(INDEX('Annex 2_Code'!L$8:L$33,MATCH('Annex 3_MAFF'!$AG427,'Annex 2_Code'!$G$8:$G$33,0)),"")</f>
        <v>0</v>
      </c>
      <c r="X427" s="618">
        <f>IFERROR(INDEX('Annex 2_Code'!M$8:M$33,MATCH('Annex 3_MAFF'!$AG427,'Annex 2_Code'!$G$8:$G$33,0)),"")</f>
        <v>0</v>
      </c>
      <c r="Y427" s="716">
        <f t="shared" si="404"/>
        <v>100.26</v>
      </c>
      <c r="Z427" s="717">
        <f t="shared" si="405"/>
        <v>0</v>
      </c>
      <c r="AA427" s="717">
        <f t="shared" si="405"/>
        <v>0</v>
      </c>
      <c r="AB427" s="717">
        <f t="shared" si="406"/>
        <v>0</v>
      </c>
      <c r="AC427" s="718">
        <f t="shared" si="407"/>
        <v>0</v>
      </c>
      <c r="AD427" s="626">
        <f t="shared" si="365"/>
        <v>100.26</v>
      </c>
      <c r="AE427" s="627">
        <f t="shared" si="366"/>
        <v>0</v>
      </c>
      <c r="AF427" s="568" t="s">
        <v>562</v>
      </c>
      <c r="AG427" s="568" t="s">
        <v>400</v>
      </c>
      <c r="AH427" s="568" t="str">
        <f>IFERROR(INDEX('Annex 2_Code'!$J$110:$J$127,MATCH('Annex 3_MAFF'!AF427,'Annex 2_Code'!$G$110:$G$127,0)),"")</f>
        <v>MAFF</v>
      </c>
      <c r="AI427" s="882" t="str">
        <f t="shared" si="408"/>
        <v>MAFF</v>
      </c>
    </row>
    <row r="428" spans="1:41" outlineLevel="1">
      <c r="A428" s="102"/>
      <c r="B428" s="76" t="s">
        <v>173</v>
      </c>
      <c r="C428" s="96"/>
      <c r="D428" s="484"/>
      <c r="E428" s="97"/>
      <c r="F428" s="543"/>
      <c r="G428" s="730" t="s">
        <v>145</v>
      </c>
      <c r="H428" s="588"/>
      <c r="I428" s="587"/>
      <c r="J428" s="676"/>
      <c r="K428" s="677"/>
      <c r="L428" s="677"/>
      <c r="M428" s="677"/>
      <c r="N428" s="678"/>
      <c r="O428" s="688"/>
      <c r="P428" s="689"/>
      <c r="Q428" s="689"/>
      <c r="R428" s="689"/>
      <c r="S428" s="145"/>
      <c r="T428" s="618"/>
      <c r="U428" s="618"/>
      <c r="V428" s="618"/>
      <c r="W428" s="618"/>
      <c r="X428" s="618"/>
      <c r="Y428" s="1533"/>
      <c r="Z428" s="717"/>
      <c r="AA428" s="717">
        <f t="shared" si="405"/>
        <v>0</v>
      </c>
      <c r="AB428" s="717"/>
      <c r="AC428" s="718"/>
      <c r="AD428" s="626"/>
      <c r="AE428" s="627"/>
      <c r="AF428" s="568"/>
      <c r="AG428" s="568"/>
      <c r="AH428" s="568"/>
      <c r="AI428" s="882"/>
    </row>
    <row r="429" spans="1:41" outlineLevel="1">
      <c r="A429" s="102"/>
      <c r="B429" s="76" t="s">
        <v>173</v>
      </c>
      <c r="C429" s="96"/>
      <c r="D429" s="1425"/>
      <c r="E429" s="1451"/>
      <c r="F429" s="1441" t="s">
        <v>41</v>
      </c>
      <c r="G429" s="1428"/>
      <c r="H429" s="1429"/>
      <c r="I429" s="1430"/>
      <c r="J429" s="1431"/>
      <c r="K429" s="1432"/>
      <c r="L429" s="1432"/>
      <c r="M429" s="1432"/>
      <c r="N429" s="1433"/>
      <c r="O429" s="1543">
        <f>SUM(O418:O428)</f>
        <v>156.75925000000001</v>
      </c>
      <c r="P429" s="1544">
        <f>SUM(P418:P428)</f>
        <v>156.75925000000001</v>
      </c>
      <c r="Q429" s="1544">
        <f>SUM(Q418:Q428)</f>
        <v>156.75925000000001</v>
      </c>
      <c r="R429" s="1544">
        <f>SUM(R418:R428)</f>
        <v>156.75925000000001</v>
      </c>
      <c r="S429" s="1545">
        <f>SUM(S418:S428)</f>
        <v>627.03700000000003</v>
      </c>
      <c r="T429" s="618" t="str">
        <f>IFERROR(INDEX('Annex 2_Code'!I$8:I$33,MATCH('Annex 3_MAFF'!$AG429,'Annex 2_Code'!$G$8:$G$33,0)),"")</f>
        <v/>
      </c>
      <c r="U429" s="618" t="str">
        <f>IFERROR(INDEX('Annex 2_Code'!J$8:J$33,MATCH('Annex 3_MAFF'!$AG429,'Annex 2_Code'!$G$8:$G$33,0)),"")</f>
        <v/>
      </c>
      <c r="V429" s="618" t="str">
        <f>IFERROR(INDEX('Annex 2_Code'!K$8:K$33,MATCH('Annex 3_MAFF'!$AG429,'Annex 2_Code'!$G$8:$G$33,0)),"")</f>
        <v/>
      </c>
      <c r="W429" s="618" t="str">
        <f>IFERROR(INDEX('Annex 2_Code'!L$8:L$33,MATCH('Annex 3_MAFF'!$AG429,'Annex 2_Code'!$G$8:$G$33,0)),"")</f>
        <v/>
      </c>
      <c r="X429" s="618" t="str">
        <f>IFERROR(INDEX('Annex 2_Code'!M$8:M$33,MATCH('Annex 3_MAFF'!$AG429,'Annex 2_Code'!$G$8:$G$33,0)),"")</f>
        <v/>
      </c>
      <c r="Y429" s="1533" t="str">
        <f t="shared" si="404"/>
        <v/>
      </c>
      <c r="Z429" s="717" t="str">
        <f t="shared" si="405"/>
        <v/>
      </c>
      <c r="AA429" s="717" t="str">
        <f t="shared" si="405"/>
        <v/>
      </c>
      <c r="AB429" s="717" t="str">
        <f t="shared" si="406"/>
        <v/>
      </c>
      <c r="AC429" s="718" t="str">
        <f t="shared" si="407"/>
        <v/>
      </c>
      <c r="AD429" s="626">
        <f t="shared" si="365"/>
        <v>0</v>
      </c>
      <c r="AE429" s="627">
        <f t="shared" si="366"/>
        <v>-627.03700000000003</v>
      </c>
      <c r="AF429" s="568"/>
      <c r="AG429" s="568"/>
      <c r="AH429" s="568" t="str">
        <f>IFERROR(INDEX('Annex 2_Code'!$J$110:$J$127,MATCH('Annex 3_MAFF'!AF429,'Annex 2_Code'!$G$110:$G$127,0)),"")</f>
        <v/>
      </c>
      <c r="AI429" s="882" t="str">
        <f t="shared" si="408"/>
        <v/>
      </c>
      <c r="AL429" s="1386">
        <f>SUM(Y409:Y427)</f>
        <v>826.18250000000012</v>
      </c>
      <c r="AM429" s="1386" t="s">
        <v>1029</v>
      </c>
      <c r="AN429" s="1386"/>
      <c r="AO429" s="1386"/>
    </row>
    <row r="430" spans="1:41" outlineLevel="1">
      <c r="A430" s="102"/>
      <c r="B430" s="76" t="s">
        <v>173</v>
      </c>
      <c r="C430" s="96"/>
      <c r="D430" s="2047"/>
      <c r="E430" s="2048" t="s">
        <v>41</v>
      </c>
      <c r="F430" s="2048"/>
      <c r="G430" s="2049"/>
      <c r="H430" s="2050"/>
      <c r="I430" s="2051"/>
      <c r="J430" s="2052"/>
      <c r="K430" s="2053"/>
      <c r="L430" s="2053"/>
      <c r="M430" s="2053"/>
      <c r="N430" s="2053"/>
      <c r="O430" s="2054">
        <f>O416+O429</f>
        <v>206.54562500000003</v>
      </c>
      <c r="P430" s="2055">
        <f>P416+P429</f>
        <v>206.54562500000003</v>
      </c>
      <c r="Q430" s="2055">
        <f>Q416+Q429</f>
        <v>206.54562500000003</v>
      </c>
      <c r="R430" s="2055">
        <f>R416+R429</f>
        <v>206.54562500000003</v>
      </c>
      <c r="S430" s="2056">
        <f>S416+S429</f>
        <v>826.18250000000012</v>
      </c>
      <c r="T430" s="618" t="str">
        <f>IFERROR(INDEX('Annex 2_Code'!I$8:I$33,MATCH('Annex 3_MAFF'!$AG430,'Annex 2_Code'!$G$8:$G$33,0)),"")</f>
        <v/>
      </c>
      <c r="U430" s="618" t="str">
        <f>IFERROR(INDEX('Annex 2_Code'!J$8:J$33,MATCH('Annex 3_MAFF'!$AG430,'Annex 2_Code'!$G$8:$G$33,0)),"")</f>
        <v/>
      </c>
      <c r="V430" s="618" t="str">
        <f>IFERROR(INDEX('Annex 2_Code'!K$8:K$33,MATCH('Annex 3_MAFF'!$AG430,'Annex 2_Code'!$G$8:$G$33,0)),"")</f>
        <v/>
      </c>
      <c r="W430" s="618" t="str">
        <f>IFERROR(INDEX('Annex 2_Code'!L$8:L$33,MATCH('Annex 3_MAFF'!$AG430,'Annex 2_Code'!$G$8:$G$33,0)),"")</f>
        <v/>
      </c>
      <c r="X430" s="618" t="str">
        <f>IFERROR(INDEX('Annex 2_Code'!M$8:M$33,MATCH('Annex 3_MAFF'!$AG430,'Annex 2_Code'!$G$8:$G$33,0)),"")</f>
        <v/>
      </c>
      <c r="Y430" s="1533" t="str">
        <f t="shared" si="404"/>
        <v/>
      </c>
      <c r="Z430" s="717" t="str">
        <f t="shared" si="405"/>
        <v/>
      </c>
      <c r="AA430" s="717" t="str">
        <f t="shared" si="405"/>
        <v/>
      </c>
      <c r="AB430" s="717" t="str">
        <f t="shared" si="406"/>
        <v/>
      </c>
      <c r="AC430" s="718" t="str">
        <f t="shared" si="407"/>
        <v/>
      </c>
      <c r="AD430" s="626">
        <f t="shared" si="365"/>
        <v>0</v>
      </c>
      <c r="AE430" s="627">
        <f t="shared" si="366"/>
        <v>-826.18250000000012</v>
      </c>
      <c r="AF430" s="568"/>
      <c r="AG430" s="568"/>
      <c r="AH430" s="568" t="str">
        <f>IFERROR(INDEX('Annex 2_Code'!$J$110:$J$127,MATCH('Annex 3_MAFF'!AF430,'Annex 2_Code'!$G$110:$G$127,0)),"")</f>
        <v/>
      </c>
      <c r="AI430" s="882" t="str">
        <f t="shared" si="408"/>
        <v/>
      </c>
      <c r="AM430" s="1380"/>
    </row>
    <row r="431" spans="1:41" outlineLevel="1">
      <c r="A431" s="102"/>
      <c r="B431" s="76" t="s">
        <v>173</v>
      </c>
      <c r="C431" s="96"/>
      <c r="D431" s="484"/>
      <c r="E431" s="122"/>
      <c r="F431" s="122" t="s">
        <v>1154</v>
      </c>
      <c r="G431" s="722"/>
      <c r="H431" s="588"/>
      <c r="I431" s="1715"/>
      <c r="J431" s="1762"/>
      <c r="K431" s="1716"/>
      <c r="L431" s="1747"/>
      <c r="M431" s="677"/>
      <c r="N431" s="678"/>
      <c r="O431" s="691"/>
      <c r="P431" s="692"/>
      <c r="Q431" s="692"/>
      <c r="R431" s="692"/>
      <c r="S431" s="115"/>
      <c r="T431" s="618" t="str">
        <f>IFERROR(INDEX('Annex 2_Code'!I$8:I$33,MATCH('Annex 3_MAFF'!$AG431,'Annex 2_Code'!$G$8:$G$33,0)),"")</f>
        <v/>
      </c>
      <c r="U431" s="618" t="str">
        <f>IFERROR(INDEX('Annex 2_Code'!J$8:J$33,MATCH('Annex 3_MAFF'!$AG431,'Annex 2_Code'!$G$8:$G$33,0)),"")</f>
        <v/>
      </c>
      <c r="V431" s="618" t="str">
        <f>IFERROR(INDEX('Annex 2_Code'!K$8:K$33,MATCH('Annex 3_MAFF'!$AG431,'Annex 2_Code'!$G$8:$G$33,0)),"")</f>
        <v/>
      </c>
      <c r="W431" s="618" t="str">
        <f>IFERROR(INDEX('Annex 2_Code'!L$8:L$33,MATCH('Annex 3_MAFF'!$AG431,'Annex 2_Code'!$G$8:$G$33,0)),"")</f>
        <v/>
      </c>
      <c r="X431" s="618" t="str">
        <f>IFERROR(INDEX('Annex 2_Code'!M$8:M$33,MATCH('Annex 3_MAFF'!$AG431,'Annex 2_Code'!$G$8:$G$33,0)),"")</f>
        <v/>
      </c>
      <c r="Y431" s="1533" t="str">
        <f t="shared" si="404"/>
        <v/>
      </c>
      <c r="Z431" s="717" t="str">
        <f t="shared" si="405"/>
        <v/>
      </c>
      <c r="AA431" s="717" t="str">
        <f t="shared" si="405"/>
        <v/>
      </c>
      <c r="AB431" s="717" t="str">
        <f t="shared" si="406"/>
        <v/>
      </c>
      <c r="AC431" s="718" t="str">
        <f t="shared" si="407"/>
        <v/>
      </c>
      <c r="AD431" s="626">
        <f t="shared" si="365"/>
        <v>0</v>
      </c>
      <c r="AE431" s="627">
        <f t="shared" si="366"/>
        <v>0</v>
      </c>
      <c r="AF431" s="568"/>
      <c r="AG431" s="568"/>
      <c r="AH431" s="568" t="str">
        <f>IFERROR(INDEX('Annex 2_Code'!$J$110:$J$127,MATCH('Annex 3_MAFF'!AF431,'Annex 2_Code'!$G$110:$G$127,0)),"")</f>
        <v/>
      </c>
      <c r="AI431" s="882" t="str">
        <f t="shared" si="408"/>
        <v/>
      </c>
      <c r="AM431" s="1380"/>
    </row>
    <row r="432" spans="1:41" outlineLevel="1">
      <c r="A432" s="102"/>
      <c r="B432" s="76" t="s">
        <v>25</v>
      </c>
      <c r="C432" s="96" t="s">
        <v>303</v>
      </c>
      <c r="D432" s="484"/>
      <c r="E432" s="122"/>
      <c r="F432" s="543"/>
      <c r="G432" s="722" t="s">
        <v>289</v>
      </c>
      <c r="H432" s="588" t="s">
        <v>172</v>
      </c>
      <c r="I432" s="1742">
        <f>117400/1000</f>
        <v>117.4</v>
      </c>
      <c r="J432" s="1746">
        <v>0.25</v>
      </c>
      <c r="K432" s="1747">
        <v>0.25</v>
      </c>
      <c r="L432" s="1747">
        <v>0.25</v>
      </c>
      <c r="M432" s="677">
        <v>0.25</v>
      </c>
      <c r="N432" s="678">
        <f>SUM(J432:M432)</f>
        <v>1</v>
      </c>
      <c r="O432" s="688">
        <f>$I432*J432</f>
        <v>29.35</v>
      </c>
      <c r="P432" s="689">
        <f>$I432*K432</f>
        <v>29.35</v>
      </c>
      <c r="Q432" s="689">
        <f t="shared" ref="Q432:R432" si="415">$I432*L432</f>
        <v>29.35</v>
      </c>
      <c r="R432" s="689">
        <f t="shared" si="415"/>
        <v>29.35</v>
      </c>
      <c r="S432" s="145">
        <f>SUM(O432:R432)</f>
        <v>117.4</v>
      </c>
      <c r="T432" s="618">
        <f>IFERROR(INDEX('Annex 2_Code'!I$8:I$33,MATCH('Annex 3_MAFF'!$AG432,'Annex 2_Code'!$G$8:$G$33,0)),"")</f>
        <v>1</v>
      </c>
      <c r="U432" s="618">
        <f>IFERROR(INDEX('Annex 2_Code'!J$8:J$33,MATCH('Annex 3_MAFF'!$AG432,'Annex 2_Code'!$G$8:$G$33,0)),"")</f>
        <v>0</v>
      </c>
      <c r="V432" s="618">
        <f>IFERROR(INDEX('Annex 2_Code'!K$8:K$33,MATCH('Annex 3_MAFF'!$AG432,'Annex 2_Code'!$G$8:$G$33,0)),"")</f>
        <v>0</v>
      </c>
      <c r="W432" s="618">
        <f>IFERROR(INDEX('Annex 2_Code'!L$8:L$33,MATCH('Annex 3_MAFF'!$AG432,'Annex 2_Code'!$G$8:$G$33,0)),"")</f>
        <v>0</v>
      </c>
      <c r="X432" s="618">
        <f>IFERROR(INDEX('Annex 2_Code'!M$8:M$33,MATCH('Annex 3_MAFF'!$AG432,'Annex 2_Code'!$G$8:$G$33,0)),"")</f>
        <v>0</v>
      </c>
      <c r="Y432" s="1533">
        <f t="shared" si="404"/>
        <v>117.4</v>
      </c>
      <c r="Z432" s="717">
        <f t="shared" si="405"/>
        <v>0</v>
      </c>
      <c r="AA432" s="717">
        <f t="shared" si="405"/>
        <v>0</v>
      </c>
      <c r="AB432" s="717">
        <f t="shared" si="406"/>
        <v>0</v>
      </c>
      <c r="AC432" s="718">
        <f t="shared" si="407"/>
        <v>0</v>
      </c>
      <c r="AD432" s="626">
        <f t="shared" si="365"/>
        <v>117.4</v>
      </c>
      <c r="AE432" s="627">
        <f t="shared" si="366"/>
        <v>0</v>
      </c>
      <c r="AF432" s="568" t="s">
        <v>562</v>
      </c>
      <c r="AG432" s="569" t="s">
        <v>398</v>
      </c>
      <c r="AH432" s="568" t="str">
        <f>IFERROR(INDEX('Annex 2_Code'!$J$110:$J$127,MATCH('Annex 3_MAFF'!AF432,'Annex 2_Code'!$G$110:$G$127,0)),"")</f>
        <v>MAFF</v>
      </c>
      <c r="AI432" s="882" t="str">
        <f t="shared" si="408"/>
        <v>MAFF</v>
      </c>
      <c r="AL432" s="1386">
        <f>SUM(Y432)</f>
        <v>117.4</v>
      </c>
      <c r="AM432" s="1386" t="s">
        <v>1019</v>
      </c>
      <c r="AN432" s="1376"/>
      <c r="AO432" s="1376"/>
    </row>
    <row r="433" spans="1:41" outlineLevel="1">
      <c r="A433" s="102"/>
      <c r="B433" s="76" t="s">
        <v>173</v>
      </c>
      <c r="C433" s="96"/>
      <c r="D433" s="1425"/>
      <c r="E433" s="1426"/>
      <c r="F433" s="1427" t="s">
        <v>41</v>
      </c>
      <c r="G433" s="1428"/>
      <c r="H433" s="1429"/>
      <c r="I433" s="1752"/>
      <c r="J433" s="1753"/>
      <c r="K433" s="1754"/>
      <c r="L433" s="1754"/>
      <c r="M433" s="1432"/>
      <c r="N433" s="1433"/>
      <c r="O433" s="1434">
        <f>SUM(O432)</f>
        <v>29.35</v>
      </c>
      <c r="P433" s="1435">
        <f>SUM(P432)</f>
        <v>29.35</v>
      </c>
      <c r="Q433" s="1435">
        <f>SUM(Q432)</f>
        <v>29.35</v>
      </c>
      <c r="R433" s="1435">
        <f>SUM(R432)</f>
        <v>29.35</v>
      </c>
      <c r="S433" s="1436">
        <f>SUM(S432)</f>
        <v>117.4</v>
      </c>
      <c r="T433" s="618" t="str">
        <f>IFERROR(INDEX('Annex 2_Code'!I$8:I$33,MATCH('Annex 3_MAFF'!$AG433,'Annex 2_Code'!$G$8:$G$33,0)),"")</f>
        <v/>
      </c>
      <c r="U433" s="618" t="str">
        <f>IFERROR(INDEX('Annex 2_Code'!J$8:J$33,MATCH('Annex 3_MAFF'!$AG433,'Annex 2_Code'!$G$8:$G$33,0)),"")</f>
        <v/>
      </c>
      <c r="V433" s="618" t="str">
        <f>IFERROR(INDEX('Annex 2_Code'!K$8:K$33,MATCH('Annex 3_MAFF'!$AG433,'Annex 2_Code'!$G$8:$G$33,0)),"")</f>
        <v/>
      </c>
      <c r="W433" s="618" t="str">
        <f>IFERROR(INDEX('Annex 2_Code'!L$8:L$33,MATCH('Annex 3_MAFF'!$AG433,'Annex 2_Code'!$G$8:$G$33,0)),"")</f>
        <v/>
      </c>
      <c r="X433" s="618" t="str">
        <f>IFERROR(INDEX('Annex 2_Code'!M$8:M$33,MATCH('Annex 3_MAFF'!$AG433,'Annex 2_Code'!$G$8:$G$33,0)),"")</f>
        <v/>
      </c>
      <c r="Y433" s="1533" t="str">
        <f t="shared" si="404"/>
        <v/>
      </c>
      <c r="Z433" s="717" t="str">
        <f t="shared" si="405"/>
        <v/>
      </c>
      <c r="AA433" s="717" t="str">
        <f t="shared" si="405"/>
        <v/>
      </c>
      <c r="AB433" s="717" t="str">
        <f t="shared" si="406"/>
        <v/>
      </c>
      <c r="AC433" s="718" t="str">
        <f t="shared" si="407"/>
        <v/>
      </c>
      <c r="AD433" s="626">
        <f t="shared" si="365"/>
        <v>0</v>
      </c>
      <c r="AE433" s="627">
        <f t="shared" si="366"/>
        <v>-117.4</v>
      </c>
      <c r="AF433" s="568"/>
      <c r="AG433" s="568"/>
      <c r="AH433" s="568" t="str">
        <f>IFERROR(INDEX('Annex 2_Code'!$J$110:$J$127,MATCH('Annex 3_MAFF'!AF433,'Annex 2_Code'!$G$110:$G$127,0)),"")</f>
        <v/>
      </c>
      <c r="AI433" s="882" t="str">
        <f t="shared" si="408"/>
        <v/>
      </c>
      <c r="AM433" s="1380"/>
    </row>
    <row r="434" spans="1:41" outlineLevel="1">
      <c r="A434" s="102"/>
      <c r="B434" s="76" t="s">
        <v>173</v>
      </c>
      <c r="C434" s="96"/>
      <c r="D434" s="484"/>
      <c r="E434" s="424"/>
      <c r="F434" s="424" t="s">
        <v>1155</v>
      </c>
      <c r="G434" s="730"/>
      <c r="H434" s="588"/>
      <c r="I434" s="1742"/>
      <c r="J434" s="1746"/>
      <c r="K434" s="1747"/>
      <c r="L434" s="1747"/>
      <c r="M434" s="677"/>
      <c r="N434" s="678"/>
      <c r="O434" s="691"/>
      <c r="P434" s="692"/>
      <c r="Q434" s="692"/>
      <c r="R434" s="692"/>
      <c r="S434" s="115"/>
      <c r="T434" s="618" t="str">
        <f>IFERROR(INDEX('Annex 2_Code'!I$8:I$33,MATCH('Annex 3_MAFF'!$AG434,'Annex 2_Code'!$G$8:$G$33,0)),"")</f>
        <v/>
      </c>
      <c r="U434" s="618" t="str">
        <f>IFERROR(INDEX('Annex 2_Code'!J$8:J$33,MATCH('Annex 3_MAFF'!$AG434,'Annex 2_Code'!$G$8:$G$33,0)),"")</f>
        <v/>
      </c>
      <c r="V434" s="618" t="str">
        <f>IFERROR(INDEX('Annex 2_Code'!K$8:K$33,MATCH('Annex 3_MAFF'!$AG434,'Annex 2_Code'!$G$8:$G$33,0)),"")</f>
        <v/>
      </c>
      <c r="W434" s="618" t="str">
        <f>IFERROR(INDEX('Annex 2_Code'!L$8:L$33,MATCH('Annex 3_MAFF'!$AG434,'Annex 2_Code'!$G$8:$G$33,0)),"")</f>
        <v/>
      </c>
      <c r="X434" s="618" t="str">
        <f>IFERROR(INDEX('Annex 2_Code'!M$8:M$33,MATCH('Annex 3_MAFF'!$AG434,'Annex 2_Code'!$G$8:$G$33,0)),"")</f>
        <v/>
      </c>
      <c r="Y434" s="1533" t="str">
        <f t="shared" si="404"/>
        <v/>
      </c>
      <c r="Z434" s="717" t="str">
        <f t="shared" si="405"/>
        <v/>
      </c>
      <c r="AA434" s="717" t="str">
        <f t="shared" si="405"/>
        <v/>
      </c>
      <c r="AB434" s="717" t="str">
        <f t="shared" si="406"/>
        <v/>
      </c>
      <c r="AC434" s="718" t="str">
        <f t="shared" si="407"/>
        <v/>
      </c>
      <c r="AD434" s="626">
        <f t="shared" si="365"/>
        <v>0</v>
      </c>
      <c r="AE434" s="627">
        <f t="shared" si="366"/>
        <v>0</v>
      </c>
      <c r="AF434" s="568"/>
      <c r="AG434" s="568"/>
      <c r="AH434" s="568" t="str">
        <f>IFERROR(INDEX('Annex 2_Code'!$J$110:$J$127,MATCH('Annex 3_MAFF'!AF434,'Annex 2_Code'!$G$110:$G$127,0)),"")</f>
        <v/>
      </c>
      <c r="AI434" s="882" t="str">
        <f t="shared" si="408"/>
        <v/>
      </c>
      <c r="AM434" s="1380"/>
    </row>
    <row r="435" spans="1:41" outlineLevel="1">
      <c r="A435" s="102"/>
      <c r="B435" s="374" t="s">
        <v>25</v>
      </c>
      <c r="C435" s="588" t="s">
        <v>303</v>
      </c>
      <c r="D435" s="484"/>
      <c r="E435" s="424"/>
      <c r="F435" s="543"/>
      <c r="G435" s="730" t="s">
        <v>823</v>
      </c>
      <c r="H435" s="588" t="s">
        <v>1151</v>
      </c>
      <c r="I435" s="1742">
        <f>5000/1000</f>
        <v>5</v>
      </c>
      <c r="J435" s="1746">
        <v>0</v>
      </c>
      <c r="K435" s="1747">
        <v>0</v>
      </c>
      <c r="L435" s="1747">
        <v>1</v>
      </c>
      <c r="M435" s="677">
        <v>0</v>
      </c>
      <c r="N435" s="678">
        <f t="shared" ref="N435:N442" si="416">SUM(J435:M435)</f>
        <v>1</v>
      </c>
      <c r="O435" s="688">
        <f>$I435*J435</f>
        <v>0</v>
      </c>
      <c r="P435" s="689">
        <f>$I435*K435</f>
        <v>0</v>
      </c>
      <c r="Q435" s="689">
        <f t="shared" ref="Q435:R442" si="417">$I435*L435</f>
        <v>5</v>
      </c>
      <c r="R435" s="689">
        <f t="shared" si="417"/>
        <v>0</v>
      </c>
      <c r="S435" s="145">
        <f>SUM(O435:R435)</f>
        <v>5</v>
      </c>
      <c r="T435" s="618">
        <f>IFERROR(INDEX('Annex 2_Code'!I$8:I$33,MATCH('Annex 3_MAFF'!$AG435,'Annex 2_Code'!$G$8:$G$33,0)),"")</f>
        <v>1</v>
      </c>
      <c r="U435" s="618">
        <f>IFERROR(INDEX('Annex 2_Code'!J$8:J$33,MATCH('Annex 3_MAFF'!$AG435,'Annex 2_Code'!$G$8:$G$33,0)),"")</f>
        <v>0</v>
      </c>
      <c r="V435" s="618">
        <f>IFERROR(INDEX('Annex 2_Code'!K$8:K$33,MATCH('Annex 3_MAFF'!$AG435,'Annex 2_Code'!$G$8:$G$33,0)),"")</f>
        <v>0</v>
      </c>
      <c r="W435" s="618">
        <f>IFERROR(INDEX('Annex 2_Code'!L$8:L$33,MATCH('Annex 3_MAFF'!$AG435,'Annex 2_Code'!$G$8:$G$33,0)),"")</f>
        <v>0</v>
      </c>
      <c r="X435" s="618">
        <f>IFERROR(INDEX('Annex 2_Code'!M$8:M$33,MATCH('Annex 3_MAFF'!$AG435,'Annex 2_Code'!$G$8:$G$33,0)),"")</f>
        <v>0</v>
      </c>
      <c r="Y435" s="1533">
        <f t="shared" si="404"/>
        <v>5</v>
      </c>
      <c r="Z435" s="717">
        <f t="shared" si="405"/>
        <v>0</v>
      </c>
      <c r="AA435" s="717">
        <f t="shared" si="405"/>
        <v>0</v>
      </c>
      <c r="AB435" s="717">
        <f t="shared" si="406"/>
        <v>0</v>
      </c>
      <c r="AC435" s="718">
        <f t="shared" si="407"/>
        <v>0</v>
      </c>
      <c r="AD435" s="626">
        <f t="shared" si="365"/>
        <v>5</v>
      </c>
      <c r="AE435" s="627">
        <f t="shared" si="366"/>
        <v>0</v>
      </c>
      <c r="AF435" s="568" t="s">
        <v>562</v>
      </c>
      <c r="AG435" s="569" t="s">
        <v>398</v>
      </c>
      <c r="AH435" s="568" t="str">
        <f>IFERROR(INDEX('Annex 2_Code'!$J$110:$J$127,MATCH('Annex 3_MAFF'!AF435,'Annex 2_Code'!$G$110:$G$127,0)),"")</f>
        <v>MAFF</v>
      </c>
      <c r="AI435" s="882" t="str">
        <f t="shared" si="408"/>
        <v>MAFF</v>
      </c>
      <c r="AM435" s="1380"/>
    </row>
    <row r="436" spans="1:41" outlineLevel="1">
      <c r="A436" s="102"/>
      <c r="B436" s="374" t="s">
        <v>25</v>
      </c>
      <c r="C436" s="588" t="s">
        <v>303</v>
      </c>
      <c r="D436" s="484"/>
      <c r="E436" s="424"/>
      <c r="F436" s="543"/>
      <c r="G436" s="730" t="s">
        <v>342</v>
      </c>
      <c r="H436" s="588" t="s">
        <v>607</v>
      </c>
      <c r="I436" s="1742">
        <f>500/1000</f>
        <v>0.5</v>
      </c>
      <c r="J436" s="1746">
        <v>1</v>
      </c>
      <c r="K436" s="1747">
        <v>0</v>
      </c>
      <c r="L436" s="1747">
        <v>0</v>
      </c>
      <c r="M436" s="677">
        <v>0</v>
      </c>
      <c r="N436" s="678">
        <f t="shared" si="416"/>
        <v>1</v>
      </c>
      <c r="O436" s="688">
        <f t="shared" ref="O436:O441" si="418">$I436*J436</f>
        <v>0.5</v>
      </c>
      <c r="P436" s="689">
        <f t="shared" ref="P436:P442" si="419">$I436*K436</f>
        <v>0</v>
      </c>
      <c r="Q436" s="689">
        <f t="shared" si="417"/>
        <v>0</v>
      </c>
      <c r="R436" s="689">
        <f t="shared" si="417"/>
        <v>0</v>
      </c>
      <c r="S436" s="145">
        <f t="shared" ref="S436" si="420">SUM(O436:R436)</f>
        <v>0.5</v>
      </c>
      <c r="T436" s="618">
        <f>IFERROR(INDEX('Annex 2_Code'!I$8:I$33,MATCH('Annex 3_MAFF'!$AG436,'Annex 2_Code'!$G$8:$G$33,0)),"")</f>
        <v>1</v>
      </c>
      <c r="U436" s="618">
        <f>IFERROR(INDEX('Annex 2_Code'!J$8:J$33,MATCH('Annex 3_MAFF'!$AG436,'Annex 2_Code'!$G$8:$G$33,0)),"")</f>
        <v>0</v>
      </c>
      <c r="V436" s="618">
        <f>IFERROR(INDEX('Annex 2_Code'!K$8:K$33,MATCH('Annex 3_MAFF'!$AG436,'Annex 2_Code'!$G$8:$G$33,0)),"")</f>
        <v>0</v>
      </c>
      <c r="W436" s="618">
        <f>IFERROR(INDEX('Annex 2_Code'!L$8:L$33,MATCH('Annex 3_MAFF'!$AG436,'Annex 2_Code'!$G$8:$G$33,0)),"")</f>
        <v>0</v>
      </c>
      <c r="X436" s="618">
        <f>IFERROR(INDEX('Annex 2_Code'!M$8:M$33,MATCH('Annex 3_MAFF'!$AG436,'Annex 2_Code'!$G$8:$G$33,0)),"")</f>
        <v>0</v>
      </c>
      <c r="Y436" s="1533">
        <f t="shared" si="404"/>
        <v>0.5</v>
      </c>
      <c r="Z436" s="717">
        <f t="shared" si="405"/>
        <v>0</v>
      </c>
      <c r="AA436" s="717">
        <f t="shared" si="405"/>
        <v>0</v>
      </c>
      <c r="AB436" s="717">
        <f t="shared" si="406"/>
        <v>0</v>
      </c>
      <c r="AC436" s="718">
        <f t="shared" si="407"/>
        <v>0</v>
      </c>
      <c r="AD436" s="626">
        <f t="shared" si="365"/>
        <v>0.5</v>
      </c>
      <c r="AE436" s="627">
        <f t="shared" si="366"/>
        <v>0</v>
      </c>
      <c r="AF436" s="568" t="s">
        <v>562</v>
      </c>
      <c r="AG436" s="569" t="s">
        <v>398</v>
      </c>
      <c r="AH436" s="568" t="str">
        <f>IFERROR(INDEX('Annex 2_Code'!$J$110:$J$127,MATCH('Annex 3_MAFF'!AF436,'Annex 2_Code'!$G$110:$G$127,0)),"")</f>
        <v>MAFF</v>
      </c>
      <c r="AI436" s="882" t="str">
        <f t="shared" si="408"/>
        <v>MAFF</v>
      </c>
      <c r="AM436" s="1380"/>
    </row>
    <row r="437" spans="1:41" outlineLevel="1">
      <c r="A437" s="102"/>
      <c r="B437" s="374" t="s">
        <v>25</v>
      </c>
      <c r="C437" s="588" t="s">
        <v>303</v>
      </c>
      <c r="D437" s="484"/>
      <c r="E437" s="424"/>
      <c r="F437" s="543"/>
      <c r="G437" s="730" t="s">
        <v>343</v>
      </c>
      <c r="H437" s="588" t="s">
        <v>607</v>
      </c>
      <c r="I437" s="1742">
        <f t="shared" ref="I437:I438" si="421">500/1000</f>
        <v>0.5</v>
      </c>
      <c r="J437" s="1746">
        <v>0</v>
      </c>
      <c r="K437" s="1747">
        <v>1</v>
      </c>
      <c r="L437" s="1747">
        <v>0</v>
      </c>
      <c r="M437" s="677">
        <v>0</v>
      </c>
      <c r="N437" s="678">
        <f t="shared" si="416"/>
        <v>1</v>
      </c>
      <c r="O437" s="688">
        <f t="shared" si="418"/>
        <v>0</v>
      </c>
      <c r="P437" s="689">
        <f t="shared" si="419"/>
        <v>0.5</v>
      </c>
      <c r="Q437" s="689">
        <f t="shared" si="417"/>
        <v>0</v>
      </c>
      <c r="R437" s="689">
        <f t="shared" si="417"/>
        <v>0</v>
      </c>
      <c r="S437" s="145">
        <f t="shared" ref="S437:S442" si="422">SUM(O437:R437)</f>
        <v>0.5</v>
      </c>
      <c r="T437" s="618">
        <f>IFERROR(INDEX('Annex 2_Code'!I$8:I$33,MATCH('Annex 3_MAFF'!$AG437,'Annex 2_Code'!$G$8:$G$33,0)),"")</f>
        <v>1</v>
      </c>
      <c r="U437" s="618">
        <f>IFERROR(INDEX('Annex 2_Code'!J$8:J$33,MATCH('Annex 3_MAFF'!$AG437,'Annex 2_Code'!$G$8:$G$33,0)),"")</f>
        <v>0</v>
      </c>
      <c r="V437" s="618">
        <f>IFERROR(INDEX('Annex 2_Code'!K$8:K$33,MATCH('Annex 3_MAFF'!$AG437,'Annex 2_Code'!$G$8:$G$33,0)),"")</f>
        <v>0</v>
      </c>
      <c r="W437" s="618">
        <f>IFERROR(INDEX('Annex 2_Code'!L$8:L$33,MATCH('Annex 3_MAFF'!$AG437,'Annex 2_Code'!$G$8:$G$33,0)),"")</f>
        <v>0</v>
      </c>
      <c r="X437" s="618">
        <f>IFERROR(INDEX('Annex 2_Code'!M$8:M$33,MATCH('Annex 3_MAFF'!$AG437,'Annex 2_Code'!$G$8:$G$33,0)),"")</f>
        <v>0</v>
      </c>
      <c r="Y437" s="1533">
        <f t="shared" si="404"/>
        <v>0.5</v>
      </c>
      <c r="Z437" s="717">
        <f t="shared" si="405"/>
        <v>0</v>
      </c>
      <c r="AA437" s="717">
        <f t="shared" si="405"/>
        <v>0</v>
      </c>
      <c r="AB437" s="717">
        <f t="shared" si="406"/>
        <v>0</v>
      </c>
      <c r="AC437" s="718">
        <f t="shared" si="407"/>
        <v>0</v>
      </c>
      <c r="AD437" s="626">
        <f t="shared" si="365"/>
        <v>0.5</v>
      </c>
      <c r="AE437" s="627">
        <f t="shared" si="366"/>
        <v>0</v>
      </c>
      <c r="AF437" s="568" t="s">
        <v>562</v>
      </c>
      <c r="AG437" s="569" t="s">
        <v>398</v>
      </c>
      <c r="AH437" s="568" t="str">
        <f>IFERROR(INDEX('Annex 2_Code'!$J$110:$J$127,MATCH('Annex 3_MAFF'!AF437,'Annex 2_Code'!$G$110:$G$127,0)),"")</f>
        <v>MAFF</v>
      </c>
      <c r="AI437" s="882" t="str">
        <f t="shared" si="408"/>
        <v>MAFF</v>
      </c>
      <c r="AM437" s="1380"/>
    </row>
    <row r="438" spans="1:41" outlineLevel="1">
      <c r="A438" s="102"/>
      <c r="B438" s="374" t="s">
        <v>25</v>
      </c>
      <c r="C438" s="588" t="s">
        <v>303</v>
      </c>
      <c r="D438" s="484"/>
      <c r="E438" s="424"/>
      <c r="F438" s="543"/>
      <c r="G438" s="730" t="s">
        <v>344</v>
      </c>
      <c r="H438" s="588" t="s">
        <v>607</v>
      </c>
      <c r="I438" s="1742">
        <f t="shared" si="421"/>
        <v>0.5</v>
      </c>
      <c r="J438" s="1746">
        <v>0</v>
      </c>
      <c r="K438" s="1747">
        <v>0</v>
      </c>
      <c r="L438" s="1747">
        <v>1</v>
      </c>
      <c r="M438" s="677">
        <v>0</v>
      </c>
      <c r="N438" s="678">
        <f t="shared" si="416"/>
        <v>1</v>
      </c>
      <c r="O438" s="688">
        <f t="shared" si="418"/>
        <v>0</v>
      </c>
      <c r="P438" s="689">
        <f t="shared" si="419"/>
        <v>0</v>
      </c>
      <c r="Q438" s="689">
        <f t="shared" si="417"/>
        <v>0.5</v>
      </c>
      <c r="R438" s="689">
        <f t="shared" si="417"/>
        <v>0</v>
      </c>
      <c r="S438" s="145">
        <f t="shared" si="422"/>
        <v>0.5</v>
      </c>
      <c r="T438" s="618">
        <f>IFERROR(INDEX('Annex 2_Code'!I$8:I$33,MATCH('Annex 3_MAFF'!$AG438,'Annex 2_Code'!$G$8:$G$33,0)),"")</f>
        <v>1</v>
      </c>
      <c r="U438" s="618">
        <f>IFERROR(INDEX('Annex 2_Code'!J$8:J$33,MATCH('Annex 3_MAFF'!$AG438,'Annex 2_Code'!$G$8:$G$33,0)),"")</f>
        <v>0</v>
      </c>
      <c r="V438" s="618">
        <f>IFERROR(INDEX('Annex 2_Code'!K$8:K$33,MATCH('Annex 3_MAFF'!$AG438,'Annex 2_Code'!$G$8:$G$33,0)),"")</f>
        <v>0</v>
      </c>
      <c r="W438" s="618">
        <f>IFERROR(INDEX('Annex 2_Code'!L$8:L$33,MATCH('Annex 3_MAFF'!$AG438,'Annex 2_Code'!$G$8:$G$33,0)),"")</f>
        <v>0</v>
      </c>
      <c r="X438" s="618">
        <f>IFERROR(INDEX('Annex 2_Code'!M$8:M$33,MATCH('Annex 3_MAFF'!$AG438,'Annex 2_Code'!$G$8:$G$33,0)),"")</f>
        <v>0</v>
      </c>
      <c r="Y438" s="1533">
        <f t="shared" si="404"/>
        <v>0.5</v>
      </c>
      <c r="Z438" s="717">
        <f t="shared" si="405"/>
        <v>0</v>
      </c>
      <c r="AA438" s="717">
        <f t="shared" si="405"/>
        <v>0</v>
      </c>
      <c r="AB438" s="717">
        <f t="shared" si="406"/>
        <v>0</v>
      </c>
      <c r="AC438" s="718">
        <f t="shared" si="407"/>
        <v>0</v>
      </c>
      <c r="AD438" s="626">
        <f t="shared" ref="AD438:AD504" si="423">SUM(Y438:AC438)</f>
        <v>0.5</v>
      </c>
      <c r="AE438" s="627">
        <f t="shared" ref="AE438:AE504" si="424">AD438-S438</f>
        <v>0</v>
      </c>
      <c r="AF438" s="568" t="s">
        <v>562</v>
      </c>
      <c r="AG438" s="569" t="s">
        <v>398</v>
      </c>
      <c r="AH438" s="568" t="str">
        <f>IFERROR(INDEX('Annex 2_Code'!$J$110:$J$127,MATCH('Annex 3_MAFF'!AF438,'Annex 2_Code'!$G$110:$G$127,0)),"")</f>
        <v>MAFF</v>
      </c>
      <c r="AI438" s="882" t="str">
        <f t="shared" si="408"/>
        <v>MAFF</v>
      </c>
      <c r="AM438" s="1380"/>
    </row>
    <row r="439" spans="1:41" outlineLevel="1">
      <c r="A439" s="102"/>
      <c r="B439" s="374" t="s">
        <v>25</v>
      </c>
      <c r="C439" s="588" t="s">
        <v>303</v>
      </c>
      <c r="D439" s="484"/>
      <c r="E439" s="424"/>
      <c r="F439" s="543"/>
      <c r="G439" s="730" t="s">
        <v>824</v>
      </c>
      <c r="H439" s="588" t="s">
        <v>607</v>
      </c>
      <c r="I439" s="1742">
        <f>6853.88/1000</f>
        <v>6.8538800000000002</v>
      </c>
      <c r="J439" s="1746">
        <v>0</v>
      </c>
      <c r="K439" s="1747">
        <v>0</v>
      </c>
      <c r="L439" s="1747">
        <v>1</v>
      </c>
      <c r="M439" s="677"/>
      <c r="N439" s="678">
        <f t="shared" si="416"/>
        <v>1</v>
      </c>
      <c r="O439" s="688">
        <f t="shared" si="418"/>
        <v>0</v>
      </c>
      <c r="P439" s="689">
        <f t="shared" si="419"/>
        <v>0</v>
      </c>
      <c r="Q439" s="689">
        <f t="shared" si="417"/>
        <v>6.8538800000000002</v>
      </c>
      <c r="R439" s="689">
        <f t="shared" si="417"/>
        <v>0</v>
      </c>
      <c r="S439" s="145">
        <f t="shared" si="422"/>
        <v>6.8538800000000002</v>
      </c>
      <c r="T439" s="618">
        <f>IFERROR(INDEX('Annex 2_Code'!I$8:I$33,MATCH('Annex 3_MAFF'!$AG439,'Annex 2_Code'!$G$8:$G$33,0)),"")</f>
        <v>1</v>
      </c>
      <c r="U439" s="618">
        <f>IFERROR(INDEX('Annex 2_Code'!J$8:J$33,MATCH('Annex 3_MAFF'!$AG439,'Annex 2_Code'!$G$8:$G$33,0)),"")</f>
        <v>0</v>
      </c>
      <c r="V439" s="618">
        <f>IFERROR(INDEX('Annex 2_Code'!K$8:K$33,MATCH('Annex 3_MAFF'!$AG439,'Annex 2_Code'!$G$8:$G$33,0)),"")</f>
        <v>0</v>
      </c>
      <c r="W439" s="618">
        <f>IFERROR(INDEX('Annex 2_Code'!L$8:L$33,MATCH('Annex 3_MAFF'!$AG439,'Annex 2_Code'!$G$8:$G$33,0)),"")</f>
        <v>0</v>
      </c>
      <c r="X439" s="618">
        <f>IFERROR(INDEX('Annex 2_Code'!M$8:M$33,MATCH('Annex 3_MAFF'!$AG439,'Annex 2_Code'!$G$8:$G$33,0)),"")</f>
        <v>0</v>
      </c>
      <c r="Y439" s="1533">
        <f t="shared" ref="Y439" si="425">IFERROR($S439*T439,"")</f>
        <v>6.8538800000000002</v>
      </c>
      <c r="Z439" s="717">
        <f t="shared" ref="Z439" si="426">IFERROR($S439*U439,"")</f>
        <v>0</v>
      </c>
      <c r="AA439" s="717">
        <f t="shared" si="405"/>
        <v>0</v>
      </c>
      <c r="AB439" s="717">
        <f t="shared" ref="AB439" si="427">IFERROR($S439*W439,"")</f>
        <v>0</v>
      </c>
      <c r="AC439" s="718">
        <f t="shared" ref="AC439" si="428">IFERROR($S439*X439,"")</f>
        <v>0</v>
      </c>
      <c r="AD439" s="626">
        <f t="shared" ref="AD439" si="429">SUM(Y439:AC439)</f>
        <v>6.8538800000000002</v>
      </c>
      <c r="AE439" s="627">
        <f t="shared" ref="AE439" si="430">AD439-S439</f>
        <v>0</v>
      </c>
      <c r="AF439" s="568" t="s">
        <v>562</v>
      </c>
      <c r="AG439" s="569" t="s">
        <v>398</v>
      </c>
      <c r="AH439" s="568" t="str">
        <f>IFERROR(INDEX('Annex 2_Code'!$J$110:$J$127,MATCH('Annex 3_MAFF'!AF439,'Annex 2_Code'!$G$110:$G$127,0)),"")</f>
        <v>MAFF</v>
      </c>
      <c r="AI439" s="882" t="str">
        <f t="shared" ref="AI439" si="431">IF(ISNUMBER(FIND("-",AH439,1))=FALSE,LEFT(AH439,LEN(AH439)),LEFT(AH439,(FIND("-",AH439,1))-1))</f>
        <v>MAFF</v>
      </c>
      <c r="AM439" s="1380"/>
    </row>
    <row r="440" spans="1:41" outlineLevel="1">
      <c r="A440" s="102"/>
      <c r="B440" s="374" t="s">
        <v>25</v>
      </c>
      <c r="C440" s="588" t="s">
        <v>303</v>
      </c>
      <c r="D440" s="484"/>
      <c r="E440" s="424"/>
      <c r="F440" s="543"/>
      <c r="G440" s="730" t="s">
        <v>825</v>
      </c>
      <c r="H440" s="588" t="s">
        <v>607</v>
      </c>
      <c r="I440" s="1742">
        <v>5</v>
      </c>
      <c r="J440" s="1746">
        <v>1</v>
      </c>
      <c r="K440" s="1747">
        <v>0</v>
      </c>
      <c r="L440" s="1747">
        <v>0</v>
      </c>
      <c r="M440" s="677">
        <v>0</v>
      </c>
      <c r="N440" s="678">
        <f t="shared" si="416"/>
        <v>1</v>
      </c>
      <c r="O440" s="688">
        <f t="shared" si="418"/>
        <v>5</v>
      </c>
      <c r="P440" s="689">
        <f t="shared" si="419"/>
        <v>0</v>
      </c>
      <c r="Q440" s="689">
        <f t="shared" si="417"/>
        <v>0</v>
      </c>
      <c r="R440" s="689">
        <f t="shared" si="417"/>
        <v>0</v>
      </c>
      <c r="S440" s="145">
        <f t="shared" si="422"/>
        <v>5</v>
      </c>
      <c r="T440" s="618">
        <f>IFERROR(INDEX('Annex 2_Code'!I$8:I$33,MATCH('Annex 3_MAFF'!$AG440,'Annex 2_Code'!$G$8:$G$33,0)),"")</f>
        <v>1</v>
      </c>
      <c r="U440" s="618">
        <f>IFERROR(INDEX('Annex 2_Code'!J$8:J$33,MATCH('Annex 3_MAFF'!$AG440,'Annex 2_Code'!$G$8:$G$33,0)),"")</f>
        <v>0</v>
      </c>
      <c r="V440" s="618">
        <f>IFERROR(INDEX('Annex 2_Code'!K$8:K$33,MATCH('Annex 3_MAFF'!$AG440,'Annex 2_Code'!$G$8:$G$33,0)),"")</f>
        <v>0</v>
      </c>
      <c r="W440" s="618">
        <f>IFERROR(INDEX('Annex 2_Code'!L$8:L$33,MATCH('Annex 3_MAFF'!$AG440,'Annex 2_Code'!$G$8:$G$33,0)),"")</f>
        <v>0</v>
      </c>
      <c r="X440" s="618">
        <f>IFERROR(INDEX('Annex 2_Code'!M$8:M$33,MATCH('Annex 3_MAFF'!$AG440,'Annex 2_Code'!$G$8:$G$33,0)),"")</f>
        <v>0</v>
      </c>
      <c r="Y440" s="1533">
        <f t="shared" si="404"/>
        <v>5</v>
      </c>
      <c r="Z440" s="717">
        <f t="shared" si="405"/>
        <v>0</v>
      </c>
      <c r="AA440" s="717">
        <f t="shared" si="405"/>
        <v>0</v>
      </c>
      <c r="AB440" s="717">
        <f t="shared" si="406"/>
        <v>0</v>
      </c>
      <c r="AC440" s="718">
        <f t="shared" si="407"/>
        <v>0</v>
      </c>
      <c r="AD440" s="626">
        <f t="shared" si="423"/>
        <v>5</v>
      </c>
      <c r="AE440" s="627">
        <f t="shared" si="424"/>
        <v>0</v>
      </c>
      <c r="AF440" s="568" t="s">
        <v>562</v>
      </c>
      <c r="AG440" s="569" t="s">
        <v>398</v>
      </c>
      <c r="AH440" s="568" t="str">
        <f>IFERROR(INDEX('Annex 2_Code'!$J$110:$J$127,MATCH('Annex 3_MAFF'!AF440,'Annex 2_Code'!$G$110:$G$127,0)),"")</f>
        <v>MAFF</v>
      </c>
      <c r="AI440" s="882" t="str">
        <f t="shared" si="408"/>
        <v>MAFF</v>
      </c>
      <c r="AM440" s="1380"/>
    </row>
    <row r="441" spans="1:41" outlineLevel="1">
      <c r="A441" s="102"/>
      <c r="B441" s="374" t="s">
        <v>25</v>
      </c>
      <c r="C441" s="588" t="s">
        <v>303</v>
      </c>
      <c r="D441" s="484"/>
      <c r="E441" s="424"/>
      <c r="F441" s="543"/>
      <c r="G441" s="730" t="s">
        <v>826</v>
      </c>
      <c r="H441" s="588" t="s">
        <v>607</v>
      </c>
      <c r="I441" s="1742">
        <v>5</v>
      </c>
      <c r="J441" s="1746">
        <v>0</v>
      </c>
      <c r="K441" s="1747">
        <v>1</v>
      </c>
      <c r="L441" s="1747">
        <v>0</v>
      </c>
      <c r="M441" s="677">
        <v>0</v>
      </c>
      <c r="N441" s="678">
        <f t="shared" si="416"/>
        <v>1</v>
      </c>
      <c r="O441" s="688">
        <f t="shared" si="418"/>
        <v>0</v>
      </c>
      <c r="P441" s="689">
        <f t="shared" si="419"/>
        <v>5</v>
      </c>
      <c r="Q441" s="689">
        <f t="shared" si="417"/>
        <v>0</v>
      </c>
      <c r="R441" s="689">
        <f t="shared" si="417"/>
        <v>0</v>
      </c>
      <c r="S441" s="145">
        <f t="shared" si="422"/>
        <v>5</v>
      </c>
      <c r="T441" s="618">
        <f>IFERROR(INDEX('Annex 2_Code'!I$8:I$33,MATCH('Annex 3_MAFF'!$AG441,'Annex 2_Code'!$G$8:$G$33,0)),"")</f>
        <v>1</v>
      </c>
      <c r="U441" s="618">
        <f>IFERROR(INDEX('Annex 2_Code'!J$8:J$33,MATCH('Annex 3_MAFF'!$AG441,'Annex 2_Code'!$G$8:$G$33,0)),"")</f>
        <v>0</v>
      </c>
      <c r="V441" s="618">
        <f>IFERROR(INDEX('Annex 2_Code'!K$8:K$33,MATCH('Annex 3_MAFF'!$AG441,'Annex 2_Code'!$G$8:$G$33,0)),"")</f>
        <v>0</v>
      </c>
      <c r="W441" s="618">
        <f>IFERROR(INDEX('Annex 2_Code'!L$8:L$33,MATCH('Annex 3_MAFF'!$AG441,'Annex 2_Code'!$G$8:$G$33,0)),"")</f>
        <v>0</v>
      </c>
      <c r="X441" s="618">
        <f>IFERROR(INDEX('Annex 2_Code'!M$8:M$33,MATCH('Annex 3_MAFF'!$AG441,'Annex 2_Code'!$G$8:$G$33,0)),"")</f>
        <v>0</v>
      </c>
      <c r="Y441" s="1533">
        <f t="shared" si="404"/>
        <v>5</v>
      </c>
      <c r="Z441" s="717">
        <f t="shared" si="405"/>
        <v>0</v>
      </c>
      <c r="AA441" s="717">
        <f t="shared" si="405"/>
        <v>0</v>
      </c>
      <c r="AB441" s="717">
        <f t="shared" si="406"/>
        <v>0</v>
      </c>
      <c r="AC441" s="718">
        <f t="shared" si="407"/>
        <v>0</v>
      </c>
      <c r="AD441" s="626">
        <f t="shared" si="423"/>
        <v>5</v>
      </c>
      <c r="AE441" s="627">
        <f t="shared" si="424"/>
        <v>0</v>
      </c>
      <c r="AF441" s="568" t="s">
        <v>562</v>
      </c>
      <c r="AG441" s="569" t="s">
        <v>398</v>
      </c>
      <c r="AH441" s="568" t="str">
        <f>IFERROR(INDEX('Annex 2_Code'!$J$110:$J$127,MATCH('Annex 3_MAFF'!AF441,'Annex 2_Code'!$G$110:$G$127,0)),"")</f>
        <v>MAFF</v>
      </c>
      <c r="AI441" s="882" t="str">
        <f t="shared" si="408"/>
        <v>MAFF</v>
      </c>
      <c r="AM441" s="1380"/>
    </row>
    <row r="442" spans="1:41" outlineLevel="1">
      <c r="A442" s="102"/>
      <c r="B442" s="374" t="s">
        <v>25</v>
      </c>
      <c r="C442" s="588" t="s">
        <v>303</v>
      </c>
      <c r="D442" s="484"/>
      <c r="E442" s="424"/>
      <c r="F442" s="543"/>
      <c r="G442" s="1748" t="s">
        <v>827</v>
      </c>
      <c r="H442" s="588" t="s">
        <v>172</v>
      </c>
      <c r="I442" s="1742">
        <f>82000/1000</f>
        <v>82</v>
      </c>
      <c r="J442" s="1723">
        <v>0.25</v>
      </c>
      <c r="K442" s="1724">
        <v>0.25</v>
      </c>
      <c r="L442" s="1724">
        <v>0.25</v>
      </c>
      <c r="M442" s="1724">
        <v>0.25</v>
      </c>
      <c r="N442" s="678">
        <f t="shared" si="416"/>
        <v>1</v>
      </c>
      <c r="O442" s="688">
        <f>$I442*J442</f>
        <v>20.5</v>
      </c>
      <c r="P442" s="689">
        <f t="shared" si="419"/>
        <v>20.5</v>
      </c>
      <c r="Q442" s="689">
        <f t="shared" si="417"/>
        <v>20.5</v>
      </c>
      <c r="R442" s="689">
        <f>$I442*M442</f>
        <v>20.5</v>
      </c>
      <c r="S442" s="145">
        <f t="shared" si="422"/>
        <v>82</v>
      </c>
      <c r="T442" s="618">
        <f>IFERROR(INDEX('Annex 2_Code'!I$8:I$33,MATCH('Annex 3_MAFF'!$AG442,'Annex 2_Code'!$G$8:$G$33,0)),"")</f>
        <v>1</v>
      </c>
      <c r="U442" s="618">
        <f>IFERROR(INDEX('Annex 2_Code'!J$8:J$33,MATCH('Annex 3_MAFF'!$AG442,'Annex 2_Code'!$G$8:$G$33,0)),"")</f>
        <v>0</v>
      </c>
      <c r="V442" s="618">
        <f>IFERROR(INDEX('Annex 2_Code'!K$8:K$33,MATCH('Annex 3_MAFF'!$AG442,'Annex 2_Code'!$G$8:$G$33,0)),"")</f>
        <v>0</v>
      </c>
      <c r="W442" s="618">
        <f>IFERROR(INDEX('Annex 2_Code'!L$8:L$33,MATCH('Annex 3_MAFF'!$AG442,'Annex 2_Code'!$G$8:$G$33,0)),"")</f>
        <v>0</v>
      </c>
      <c r="X442" s="618">
        <f>IFERROR(INDEX('Annex 2_Code'!M$8:M$33,MATCH('Annex 3_MAFF'!$AG442,'Annex 2_Code'!$G$8:$G$33,0)),"")</f>
        <v>0</v>
      </c>
      <c r="Y442" s="1533">
        <f t="shared" si="404"/>
        <v>82</v>
      </c>
      <c r="Z442" s="717">
        <f t="shared" si="405"/>
        <v>0</v>
      </c>
      <c r="AA442" s="717">
        <f t="shared" si="405"/>
        <v>0</v>
      </c>
      <c r="AB442" s="717">
        <f t="shared" si="406"/>
        <v>0</v>
      </c>
      <c r="AC442" s="718">
        <f t="shared" si="407"/>
        <v>0</v>
      </c>
      <c r="AD442" s="626">
        <f t="shared" si="423"/>
        <v>82</v>
      </c>
      <c r="AE442" s="627">
        <f t="shared" si="424"/>
        <v>0</v>
      </c>
      <c r="AF442" s="568" t="s">
        <v>562</v>
      </c>
      <c r="AG442" s="569" t="s">
        <v>398</v>
      </c>
      <c r="AH442" s="568" t="str">
        <f>IFERROR(INDEX('Annex 2_Code'!$J$110:$J$127,MATCH('Annex 3_MAFF'!AF442,'Annex 2_Code'!$G$110:$G$127,0)),"")</f>
        <v>MAFF</v>
      </c>
      <c r="AI442" s="882" t="str">
        <f t="shared" si="408"/>
        <v>MAFF</v>
      </c>
      <c r="AM442" s="1380"/>
    </row>
    <row r="443" spans="1:41" outlineLevel="1">
      <c r="A443" s="102"/>
      <c r="B443" s="374" t="s">
        <v>173</v>
      </c>
      <c r="C443" s="588"/>
      <c r="D443" s="1425"/>
      <c r="E443" s="1445"/>
      <c r="F443" s="1427" t="s">
        <v>41</v>
      </c>
      <c r="G443" s="1496"/>
      <c r="H443" s="1429"/>
      <c r="I443" s="1750"/>
      <c r="J443" s="1753"/>
      <c r="K443" s="1754"/>
      <c r="L443" s="1754"/>
      <c r="M443" s="1432"/>
      <c r="N443" s="1433"/>
      <c r="O443" s="1422">
        <f>SUM(O435:O442)</f>
        <v>26</v>
      </c>
      <c r="P443" s="1424">
        <f>SUM(P435:P442)</f>
        <v>26</v>
      </c>
      <c r="Q443" s="1424">
        <f>SUM(Q435:Q442)</f>
        <v>32.853880000000004</v>
      </c>
      <c r="R443" s="1424">
        <f>SUM(R435:R442)</f>
        <v>20.5</v>
      </c>
      <c r="S443" s="1423">
        <f>SUM(S435:S442)</f>
        <v>105.35388</v>
      </c>
      <c r="T443" s="618" t="str">
        <f>IFERROR(INDEX('Annex 2_Code'!I$8:I$33,MATCH('Annex 3_MAFF'!$AG443,'Annex 2_Code'!$G$8:$G$33,0)),"")</f>
        <v/>
      </c>
      <c r="U443" s="618" t="str">
        <f>IFERROR(INDEX('Annex 2_Code'!J$8:J$33,MATCH('Annex 3_MAFF'!$AG443,'Annex 2_Code'!$G$8:$G$33,0)),"")</f>
        <v/>
      </c>
      <c r="V443" s="618" t="str">
        <f>IFERROR(INDEX('Annex 2_Code'!K$8:K$33,MATCH('Annex 3_MAFF'!$AG443,'Annex 2_Code'!$G$8:$G$33,0)),"")</f>
        <v/>
      </c>
      <c r="W443" s="618" t="str">
        <f>IFERROR(INDEX('Annex 2_Code'!L$8:L$33,MATCH('Annex 3_MAFF'!$AG443,'Annex 2_Code'!$G$8:$G$33,0)),"")</f>
        <v/>
      </c>
      <c r="X443" s="618" t="str">
        <f>IFERROR(INDEX('Annex 2_Code'!M$8:M$33,MATCH('Annex 3_MAFF'!$AG443,'Annex 2_Code'!$G$8:$G$33,0)),"")</f>
        <v/>
      </c>
      <c r="Y443" s="716" t="str">
        <f t="shared" si="404"/>
        <v/>
      </c>
      <c r="Z443" s="717" t="str">
        <f t="shared" si="405"/>
        <v/>
      </c>
      <c r="AA443" s="717" t="str">
        <f t="shared" si="405"/>
        <v/>
      </c>
      <c r="AB443" s="717" t="str">
        <f t="shared" si="406"/>
        <v/>
      </c>
      <c r="AC443" s="718" t="str">
        <f t="shared" si="407"/>
        <v/>
      </c>
      <c r="AD443" s="626">
        <f t="shared" si="423"/>
        <v>0</v>
      </c>
      <c r="AE443" s="627">
        <f t="shared" si="424"/>
        <v>-105.35388</v>
      </c>
      <c r="AF443" s="568"/>
      <c r="AG443" s="568"/>
      <c r="AH443" s="568" t="str">
        <f>IFERROR(INDEX('Annex 2_Code'!$J$110:$J$127,MATCH('Annex 3_MAFF'!AF443,'Annex 2_Code'!$G$110:$G$127,0)),"")</f>
        <v/>
      </c>
      <c r="AI443" s="882" t="str">
        <f t="shared" si="408"/>
        <v/>
      </c>
      <c r="AL443" s="1604">
        <f>SUM(Y435:Y442)</f>
        <v>105.35388</v>
      </c>
      <c r="AM443" s="1383" t="s">
        <v>1017</v>
      </c>
      <c r="AN443" s="542"/>
      <c r="AO443" s="542"/>
    </row>
    <row r="444" spans="1:41" outlineLevel="1">
      <c r="A444" s="102"/>
      <c r="B444" s="374" t="s">
        <v>173</v>
      </c>
      <c r="C444" s="588"/>
      <c r="D444" s="484"/>
      <c r="E444" s="424"/>
      <c r="F444" s="424" t="s">
        <v>1156</v>
      </c>
      <c r="G444" s="730"/>
      <c r="H444" s="1196"/>
      <c r="I444" s="1742"/>
      <c r="J444" s="1746"/>
      <c r="K444" s="1747"/>
      <c r="L444" s="1747"/>
      <c r="M444" s="677"/>
      <c r="N444" s="678"/>
      <c r="O444" s="1032"/>
      <c r="P444" s="1032"/>
      <c r="Q444" s="1032"/>
      <c r="R444" s="1032"/>
      <c r="S444" s="115"/>
      <c r="T444" s="618"/>
      <c r="U444" s="618"/>
      <c r="V444" s="618"/>
      <c r="W444" s="618"/>
      <c r="X444" s="618"/>
      <c r="Y444" s="1533"/>
      <c r="Z444" s="717"/>
      <c r="AA444" s="717">
        <f t="shared" si="405"/>
        <v>0</v>
      </c>
      <c r="AB444" s="717"/>
      <c r="AC444" s="718"/>
      <c r="AD444" s="626"/>
      <c r="AE444" s="627"/>
      <c r="AF444" s="568"/>
      <c r="AG444" s="568"/>
      <c r="AH444" s="568"/>
      <c r="AI444" s="882"/>
      <c r="AM444" s="1380"/>
    </row>
    <row r="445" spans="1:41" outlineLevel="1">
      <c r="A445" s="102"/>
      <c r="B445" s="374" t="s">
        <v>25</v>
      </c>
      <c r="C445" s="588" t="s">
        <v>303</v>
      </c>
      <c r="D445" s="484"/>
      <c r="E445" s="424"/>
      <c r="F445" s="543"/>
      <c r="G445" s="1748" t="s">
        <v>828</v>
      </c>
      <c r="H445" s="1196" t="s">
        <v>172</v>
      </c>
      <c r="I445" s="1742">
        <v>15.59</v>
      </c>
      <c r="J445" s="1746">
        <v>0.5</v>
      </c>
      <c r="K445" s="1747">
        <v>0.5</v>
      </c>
      <c r="L445" s="1747">
        <v>0.5</v>
      </c>
      <c r="M445" s="677">
        <v>0.5</v>
      </c>
      <c r="N445" s="678">
        <f t="shared" ref="N445:N448" si="432">SUM(J445:M445)</f>
        <v>2</v>
      </c>
      <c r="O445" s="688">
        <f>$I445*J445</f>
        <v>7.7949999999999999</v>
      </c>
      <c r="P445" s="689">
        <f>$I445*K445</f>
        <v>7.7949999999999999</v>
      </c>
      <c r="Q445" s="689">
        <f t="shared" ref="Q445:R448" si="433">$I445*L445</f>
        <v>7.7949999999999999</v>
      </c>
      <c r="R445" s="689">
        <f t="shared" si="433"/>
        <v>7.7949999999999999</v>
      </c>
      <c r="S445" s="145">
        <f>SUM(O445:R445)</f>
        <v>31.18</v>
      </c>
      <c r="T445" s="618">
        <f>IFERROR(INDEX('Annex 2_Code'!I$8:I$33,MATCH('Annex 3_MAFF'!$AG445,'Annex 2_Code'!$G$8:$G$33,0)),"")</f>
        <v>1</v>
      </c>
      <c r="U445" s="618">
        <f>IFERROR(INDEX('Annex 2_Code'!J$8:J$33,MATCH('Annex 3_MAFF'!$AG445,'Annex 2_Code'!$G$8:$G$33,0)),"")</f>
        <v>0</v>
      </c>
      <c r="V445" s="618">
        <f>IFERROR(INDEX('Annex 2_Code'!K$8:K$33,MATCH('Annex 3_MAFF'!$AG445,'Annex 2_Code'!$G$8:$G$33,0)),"")</f>
        <v>0</v>
      </c>
      <c r="W445" s="618">
        <f>IFERROR(INDEX('Annex 2_Code'!L$8:L$33,MATCH('Annex 3_MAFF'!$AG445,'Annex 2_Code'!$G$8:$G$33,0)),"")</f>
        <v>0</v>
      </c>
      <c r="X445" s="618">
        <f>IFERROR(INDEX('Annex 2_Code'!M$8:M$33,MATCH('Annex 3_MAFF'!$AG445,'Annex 2_Code'!$G$8:$G$33,0)),"")</f>
        <v>0</v>
      </c>
      <c r="Y445" s="1533">
        <f t="shared" ref="Y445:Y448" si="434">IFERROR($S445*T445,"")</f>
        <v>31.18</v>
      </c>
      <c r="Z445" s="717">
        <f t="shared" ref="Z445:Z448" si="435">IFERROR($S445*U445,"")</f>
        <v>0</v>
      </c>
      <c r="AA445" s="717">
        <f t="shared" si="405"/>
        <v>0</v>
      </c>
      <c r="AB445" s="717">
        <f t="shared" ref="AB445:AB448" si="436">IFERROR($S445*W445,"")</f>
        <v>0</v>
      </c>
      <c r="AC445" s="718">
        <f t="shared" ref="AC445:AC448" si="437">IFERROR($S445*X445,"")</f>
        <v>0</v>
      </c>
      <c r="AD445" s="626">
        <f t="shared" ref="AD445:AD448" si="438">SUM(Y445:AC445)</f>
        <v>31.18</v>
      </c>
      <c r="AE445" s="627">
        <f t="shared" ref="AE445:AE448" si="439">AD445-S445</f>
        <v>0</v>
      </c>
      <c r="AF445" s="568" t="s">
        <v>562</v>
      </c>
      <c r="AG445" s="569" t="s">
        <v>398</v>
      </c>
      <c r="AH445" s="568" t="str">
        <f>IFERROR(INDEX('Annex 2_Code'!$J$110:$J$127,MATCH('Annex 3_MAFF'!AF445,'Annex 2_Code'!$G$110:$G$127,0)),"")</f>
        <v>MAFF</v>
      </c>
      <c r="AI445" s="882" t="str">
        <f t="shared" ref="AI445:AI448" si="440">IF(ISNUMBER(FIND("-",AH445,1))=FALSE,LEFT(AH445,LEN(AH445)),LEFT(AH445,(FIND("-",AH445,1))-1))</f>
        <v>MAFF</v>
      </c>
      <c r="AM445" s="1380"/>
    </row>
    <row r="446" spans="1:41" outlineLevel="1">
      <c r="A446" s="102"/>
      <c r="B446" s="374" t="s">
        <v>25</v>
      </c>
      <c r="C446" s="588" t="s">
        <v>303</v>
      </c>
      <c r="D446" s="484"/>
      <c r="E446" s="424"/>
      <c r="F446" s="543"/>
      <c r="G446" s="1748" t="s">
        <v>829</v>
      </c>
      <c r="H446" s="1196" t="s">
        <v>172</v>
      </c>
      <c r="I446" s="1742">
        <f>4180/1000</f>
        <v>4.18</v>
      </c>
      <c r="J446" s="1746">
        <v>3</v>
      </c>
      <c r="K446" s="1747">
        <v>3</v>
      </c>
      <c r="L446" s="1747">
        <v>3</v>
      </c>
      <c r="M446" s="677">
        <v>3</v>
      </c>
      <c r="N446" s="678">
        <f t="shared" si="432"/>
        <v>12</v>
      </c>
      <c r="O446" s="688">
        <f t="shared" ref="O446:O448" si="441">$I446*J446</f>
        <v>12.54</v>
      </c>
      <c r="P446" s="689">
        <f t="shared" ref="P446:P448" si="442">$I446*K446</f>
        <v>12.54</v>
      </c>
      <c r="Q446" s="689">
        <f t="shared" si="433"/>
        <v>12.54</v>
      </c>
      <c r="R446" s="689">
        <f t="shared" si="433"/>
        <v>12.54</v>
      </c>
      <c r="S446" s="145">
        <f t="shared" ref="S446:S448" si="443">SUM(O446:R446)</f>
        <v>50.16</v>
      </c>
      <c r="T446" s="618">
        <f>IFERROR(INDEX('Annex 2_Code'!I$8:I$33,MATCH('Annex 3_MAFF'!$AG446,'Annex 2_Code'!$G$8:$G$33,0)),"")</f>
        <v>1</v>
      </c>
      <c r="U446" s="618">
        <f>IFERROR(INDEX('Annex 2_Code'!J$8:J$33,MATCH('Annex 3_MAFF'!$AG446,'Annex 2_Code'!$G$8:$G$33,0)),"")</f>
        <v>0</v>
      </c>
      <c r="V446" s="618">
        <f>IFERROR(INDEX('Annex 2_Code'!K$8:K$33,MATCH('Annex 3_MAFF'!$AG446,'Annex 2_Code'!$G$8:$G$33,0)),"")</f>
        <v>0</v>
      </c>
      <c r="W446" s="618">
        <f>IFERROR(INDEX('Annex 2_Code'!L$8:L$33,MATCH('Annex 3_MAFF'!$AG446,'Annex 2_Code'!$G$8:$G$33,0)),"")</f>
        <v>0</v>
      </c>
      <c r="X446" s="618">
        <f>IFERROR(INDEX('Annex 2_Code'!M$8:M$33,MATCH('Annex 3_MAFF'!$AG446,'Annex 2_Code'!$G$8:$G$33,0)),"")</f>
        <v>0</v>
      </c>
      <c r="Y446" s="1533">
        <f t="shared" si="434"/>
        <v>50.16</v>
      </c>
      <c r="Z446" s="717">
        <f t="shared" si="435"/>
        <v>0</v>
      </c>
      <c r="AA446" s="717">
        <f t="shared" si="405"/>
        <v>0</v>
      </c>
      <c r="AB446" s="717">
        <f t="shared" si="436"/>
        <v>0</v>
      </c>
      <c r="AC446" s="718">
        <f t="shared" si="437"/>
        <v>0</v>
      </c>
      <c r="AD446" s="626">
        <f t="shared" si="438"/>
        <v>50.16</v>
      </c>
      <c r="AE446" s="627">
        <f t="shared" si="439"/>
        <v>0</v>
      </c>
      <c r="AF446" s="568" t="s">
        <v>562</v>
      </c>
      <c r="AG446" s="569" t="s">
        <v>398</v>
      </c>
      <c r="AH446" s="568" t="str">
        <f>IFERROR(INDEX('Annex 2_Code'!$J$110:$J$127,MATCH('Annex 3_MAFF'!AF446,'Annex 2_Code'!$G$110:$G$127,0)),"")</f>
        <v>MAFF</v>
      </c>
      <c r="AI446" s="882" t="str">
        <f t="shared" si="440"/>
        <v>MAFF</v>
      </c>
      <c r="AM446" s="1380"/>
    </row>
    <row r="447" spans="1:41" outlineLevel="1">
      <c r="A447" s="102"/>
      <c r="B447" s="374" t="s">
        <v>25</v>
      </c>
      <c r="C447" s="588" t="s">
        <v>303</v>
      </c>
      <c r="D447" s="484"/>
      <c r="E447" s="424"/>
      <c r="F447" s="543"/>
      <c r="G447" s="1748" t="s">
        <v>830</v>
      </c>
      <c r="H447" s="1196" t="s">
        <v>172</v>
      </c>
      <c r="I447" s="1742">
        <f>25000/1000</f>
        <v>25</v>
      </c>
      <c r="J447" s="1746">
        <v>1</v>
      </c>
      <c r="K447" s="1747"/>
      <c r="L447" s="1747"/>
      <c r="M447" s="677"/>
      <c r="N447" s="678">
        <f t="shared" si="432"/>
        <v>1</v>
      </c>
      <c r="O447" s="688">
        <f t="shared" si="441"/>
        <v>25</v>
      </c>
      <c r="P447" s="689">
        <f t="shared" si="442"/>
        <v>0</v>
      </c>
      <c r="Q447" s="689">
        <f t="shared" si="433"/>
        <v>0</v>
      </c>
      <c r="R447" s="689">
        <f t="shared" si="433"/>
        <v>0</v>
      </c>
      <c r="S447" s="145">
        <f t="shared" si="443"/>
        <v>25</v>
      </c>
      <c r="T447" s="618">
        <f>IFERROR(INDEX('Annex 2_Code'!I$8:I$33,MATCH('Annex 3_MAFF'!$AG447,'Annex 2_Code'!$G$8:$G$33,0)),"")</f>
        <v>1</v>
      </c>
      <c r="U447" s="618">
        <f>IFERROR(INDEX('Annex 2_Code'!J$8:J$33,MATCH('Annex 3_MAFF'!$AG447,'Annex 2_Code'!$G$8:$G$33,0)),"")</f>
        <v>0</v>
      </c>
      <c r="V447" s="618">
        <f>IFERROR(INDEX('Annex 2_Code'!K$8:K$33,MATCH('Annex 3_MAFF'!$AG447,'Annex 2_Code'!$G$8:$G$33,0)),"")</f>
        <v>0</v>
      </c>
      <c r="W447" s="618">
        <f>IFERROR(INDEX('Annex 2_Code'!L$8:L$33,MATCH('Annex 3_MAFF'!$AG447,'Annex 2_Code'!$G$8:$G$33,0)),"")</f>
        <v>0</v>
      </c>
      <c r="X447" s="618">
        <f>IFERROR(INDEX('Annex 2_Code'!M$8:M$33,MATCH('Annex 3_MAFF'!$AG447,'Annex 2_Code'!$G$8:$G$33,0)),"")</f>
        <v>0</v>
      </c>
      <c r="Y447" s="1533">
        <f t="shared" si="434"/>
        <v>25</v>
      </c>
      <c r="Z447" s="717">
        <f t="shared" si="435"/>
        <v>0</v>
      </c>
      <c r="AA447" s="717">
        <f t="shared" si="405"/>
        <v>0</v>
      </c>
      <c r="AB447" s="717">
        <f t="shared" si="436"/>
        <v>0</v>
      </c>
      <c r="AC447" s="718">
        <f t="shared" si="437"/>
        <v>0</v>
      </c>
      <c r="AD447" s="626">
        <f t="shared" si="438"/>
        <v>25</v>
      </c>
      <c r="AE447" s="627">
        <f t="shared" si="439"/>
        <v>0</v>
      </c>
      <c r="AF447" s="568" t="s">
        <v>562</v>
      </c>
      <c r="AG447" s="569" t="s">
        <v>398</v>
      </c>
      <c r="AH447" s="568" t="str">
        <f>IFERROR(INDEX('Annex 2_Code'!$J$110:$J$127,MATCH('Annex 3_MAFF'!AF447,'Annex 2_Code'!$G$110:$G$127,0)),"")</f>
        <v>MAFF</v>
      </c>
      <c r="AI447" s="882" t="str">
        <f t="shared" si="440"/>
        <v>MAFF</v>
      </c>
      <c r="AM447" s="1380"/>
    </row>
    <row r="448" spans="1:41" outlineLevel="1">
      <c r="A448" s="102"/>
      <c r="B448" s="374" t="s">
        <v>25</v>
      </c>
      <c r="C448" s="588" t="s">
        <v>303</v>
      </c>
      <c r="D448" s="484"/>
      <c r="E448" s="424"/>
      <c r="F448" s="543"/>
      <c r="G448" s="1748" t="s">
        <v>831</v>
      </c>
      <c r="H448" s="1196" t="s">
        <v>172</v>
      </c>
      <c r="I448" s="1742">
        <f>5000/1000</f>
        <v>5</v>
      </c>
      <c r="J448" s="1746">
        <v>0</v>
      </c>
      <c r="K448" s="1747">
        <v>1</v>
      </c>
      <c r="L448" s="1747">
        <v>0</v>
      </c>
      <c r="M448" s="677">
        <v>0</v>
      </c>
      <c r="N448" s="678">
        <f t="shared" si="432"/>
        <v>1</v>
      </c>
      <c r="O448" s="688">
        <f t="shared" si="441"/>
        <v>0</v>
      </c>
      <c r="P448" s="689">
        <f t="shared" si="442"/>
        <v>5</v>
      </c>
      <c r="Q448" s="689">
        <f t="shared" si="433"/>
        <v>0</v>
      </c>
      <c r="R448" s="689">
        <f>$I448*M448</f>
        <v>0</v>
      </c>
      <c r="S448" s="145">
        <f t="shared" si="443"/>
        <v>5</v>
      </c>
      <c r="T448" s="618">
        <f>IFERROR(INDEX('Annex 2_Code'!I$8:I$33,MATCH('Annex 3_MAFF'!$AG448,'Annex 2_Code'!$G$8:$G$33,0)),"")</f>
        <v>1</v>
      </c>
      <c r="U448" s="618">
        <f>IFERROR(INDEX('Annex 2_Code'!J$8:J$33,MATCH('Annex 3_MAFF'!$AG448,'Annex 2_Code'!$G$8:$G$33,0)),"")</f>
        <v>0</v>
      </c>
      <c r="V448" s="618">
        <f>IFERROR(INDEX('Annex 2_Code'!K$8:K$33,MATCH('Annex 3_MAFF'!$AG448,'Annex 2_Code'!$G$8:$G$33,0)),"")</f>
        <v>0</v>
      </c>
      <c r="W448" s="618">
        <f>IFERROR(INDEX('Annex 2_Code'!L$8:L$33,MATCH('Annex 3_MAFF'!$AG448,'Annex 2_Code'!$G$8:$G$33,0)),"")</f>
        <v>0</v>
      </c>
      <c r="X448" s="618">
        <f>IFERROR(INDEX('Annex 2_Code'!M$8:M$33,MATCH('Annex 3_MAFF'!$AG448,'Annex 2_Code'!$G$8:$G$33,0)),"")</f>
        <v>0</v>
      </c>
      <c r="Y448" s="1533">
        <f t="shared" si="434"/>
        <v>5</v>
      </c>
      <c r="Z448" s="717">
        <f t="shared" si="435"/>
        <v>0</v>
      </c>
      <c r="AA448" s="717">
        <f t="shared" si="405"/>
        <v>0</v>
      </c>
      <c r="AB448" s="717">
        <f t="shared" si="436"/>
        <v>0</v>
      </c>
      <c r="AC448" s="718">
        <f t="shared" si="437"/>
        <v>0</v>
      </c>
      <c r="AD448" s="626">
        <f t="shared" si="438"/>
        <v>5</v>
      </c>
      <c r="AE448" s="627">
        <f t="shared" si="439"/>
        <v>0</v>
      </c>
      <c r="AF448" s="568" t="s">
        <v>562</v>
      </c>
      <c r="AG448" s="569" t="s">
        <v>398</v>
      </c>
      <c r="AH448" s="568" t="str">
        <f>IFERROR(INDEX('Annex 2_Code'!$J$110:$J$127,MATCH('Annex 3_MAFF'!AF448,'Annex 2_Code'!$G$110:$G$127,0)),"")</f>
        <v>MAFF</v>
      </c>
      <c r="AI448" s="882" t="str">
        <f t="shared" si="440"/>
        <v>MAFF</v>
      </c>
      <c r="AL448" s="1386">
        <f>SUM(Y445:Y448)</f>
        <v>111.34</v>
      </c>
      <c r="AM448" s="1386" t="s">
        <v>1018</v>
      </c>
      <c r="AN448" s="1376"/>
      <c r="AO448" s="1376"/>
    </row>
    <row r="449" spans="1:38" ht="15" outlineLevel="1">
      <c r="A449" s="102"/>
      <c r="B449" s="374" t="s">
        <v>173</v>
      </c>
      <c r="C449" s="588"/>
      <c r="D449" s="1425"/>
      <c r="E449" s="1440"/>
      <c r="F449" s="1441" t="s">
        <v>41</v>
      </c>
      <c r="G449" s="1442"/>
      <c r="H449" s="1443"/>
      <c r="I449" s="1430"/>
      <c r="J449" s="1438"/>
      <c r="K449" s="1439"/>
      <c r="L449" s="1432"/>
      <c r="M449" s="1432"/>
      <c r="N449" s="1433"/>
      <c r="O449" s="1434">
        <f>SUM(O445:O448)</f>
        <v>45.335000000000001</v>
      </c>
      <c r="P449" s="1435">
        <f>SUM(P445:P448)</f>
        <v>25.335000000000001</v>
      </c>
      <c r="Q449" s="1435">
        <f>SUM(Q445:Q448)</f>
        <v>20.335000000000001</v>
      </c>
      <c r="R449" s="1435">
        <f>SUM(R445:R448)</f>
        <v>20.335000000000001</v>
      </c>
      <c r="S449" s="1423">
        <f>SUM(S445:S448)</f>
        <v>111.34</v>
      </c>
      <c r="T449" s="618"/>
      <c r="U449" s="618"/>
      <c r="V449" s="618"/>
      <c r="W449" s="618"/>
      <c r="X449" s="618"/>
      <c r="Y449" s="1533"/>
      <c r="Z449" s="717"/>
      <c r="AA449" s="717">
        <f t="shared" si="405"/>
        <v>0</v>
      </c>
      <c r="AB449" s="717"/>
      <c r="AC449" s="718"/>
      <c r="AD449" s="626"/>
      <c r="AE449" s="627"/>
      <c r="AF449" s="568"/>
      <c r="AG449" s="568"/>
      <c r="AH449" s="568"/>
      <c r="AI449" s="882"/>
    </row>
    <row r="450" spans="1:38" outlineLevel="1">
      <c r="A450" s="102"/>
      <c r="B450" s="76" t="s">
        <v>173</v>
      </c>
      <c r="C450" s="96"/>
      <c r="D450" s="2031"/>
      <c r="E450" s="2044" t="s">
        <v>582</v>
      </c>
      <c r="F450" s="2045"/>
      <c r="G450" s="2034"/>
      <c r="H450" s="2035" t="s">
        <v>14</v>
      </c>
      <c r="I450" s="2046"/>
      <c r="J450" s="2037"/>
      <c r="K450" s="2038"/>
      <c r="L450" s="2039"/>
      <c r="M450" s="2039"/>
      <c r="N450" s="2040"/>
      <c r="O450" s="2041">
        <f>O430+O433+O443+O449</f>
        <v>307.23062499999997</v>
      </c>
      <c r="P450" s="2042">
        <f>P430+P433+P443+P449</f>
        <v>287.23062499999997</v>
      </c>
      <c r="Q450" s="2042">
        <f>Q430+Q433+Q443+Q449</f>
        <v>289.08450499999998</v>
      </c>
      <c r="R450" s="2042">
        <f>R430+R433+R443+R449</f>
        <v>276.73062499999997</v>
      </c>
      <c r="S450" s="2043">
        <f>S430+S433+S443+S449</f>
        <v>1160.27638</v>
      </c>
      <c r="T450" s="618" t="str">
        <f>IFERROR(INDEX('Annex 2_Code'!I$8:I$33,MATCH('Annex 3_MAFF'!$AG450,'Annex 2_Code'!$G$8:$G$33,0)),"")</f>
        <v/>
      </c>
      <c r="U450" s="618" t="str">
        <f>IFERROR(INDEX('Annex 2_Code'!J$8:J$33,MATCH('Annex 3_MAFF'!$AG450,'Annex 2_Code'!$G$8:$G$33,0)),"")</f>
        <v/>
      </c>
      <c r="V450" s="618" t="str">
        <f>IFERROR(INDEX('Annex 2_Code'!K$8:K$33,MATCH('Annex 3_MAFF'!$AG450,'Annex 2_Code'!$G$8:$G$33,0)),"")</f>
        <v/>
      </c>
      <c r="W450" s="618" t="str">
        <f>IFERROR(INDEX('Annex 2_Code'!L$8:L$33,MATCH('Annex 3_MAFF'!$AG450,'Annex 2_Code'!$G$8:$G$33,0)),"")</f>
        <v/>
      </c>
      <c r="X450" s="618" t="str">
        <f>IFERROR(INDEX('Annex 2_Code'!M$8:M$33,MATCH('Annex 3_MAFF'!$AG450,'Annex 2_Code'!$G$8:$G$33,0)),"")</f>
        <v/>
      </c>
      <c r="Y450" s="716" t="str">
        <f t="shared" si="404"/>
        <v/>
      </c>
      <c r="Z450" s="717" t="str">
        <f t="shared" si="405"/>
        <v/>
      </c>
      <c r="AA450" s="717" t="str">
        <f t="shared" si="405"/>
        <v/>
      </c>
      <c r="AB450" s="717" t="str">
        <f t="shared" si="406"/>
        <v/>
      </c>
      <c r="AC450" s="718" t="str">
        <f t="shared" si="407"/>
        <v/>
      </c>
      <c r="AD450" s="626">
        <f t="shared" si="423"/>
        <v>0</v>
      </c>
      <c r="AE450" s="627">
        <f t="shared" si="424"/>
        <v>-1160.27638</v>
      </c>
      <c r="AF450" s="568"/>
      <c r="AG450" s="568"/>
      <c r="AH450" s="568" t="str">
        <f>IFERROR(INDEX('Annex 2_Code'!$J$110:$J$127,MATCH('Annex 3_MAFF'!AF450,'Annex 2_Code'!$G$110:$G$127,0)),"")</f>
        <v/>
      </c>
      <c r="AI450" s="882" t="str">
        <f t="shared" si="408"/>
        <v/>
      </c>
      <c r="AK450" s="1389">
        <f>SUM(S408:S415)+SUM(S418:S427)+SUM(S435:S442)+SUM(S445:S448)+S432</f>
        <v>1160.2763800000002</v>
      </c>
      <c r="AL450" s="1387" t="s">
        <v>303</v>
      </c>
    </row>
    <row r="451" spans="1:38" outlineLevel="1">
      <c r="A451" s="102"/>
      <c r="B451" s="76" t="s">
        <v>173</v>
      </c>
      <c r="C451" s="96"/>
      <c r="D451" s="484"/>
      <c r="E451" s="283"/>
      <c r="G451" s="722"/>
      <c r="H451" s="588"/>
      <c r="I451" s="558"/>
      <c r="J451" s="679"/>
      <c r="K451" s="680"/>
      <c r="L451" s="677"/>
      <c r="M451" s="677"/>
      <c r="N451" s="678"/>
      <c r="O451" s="149"/>
      <c r="P451" s="164"/>
      <c r="Q451" s="164"/>
      <c r="R451" s="164"/>
      <c r="S451" s="115"/>
      <c r="T451" s="618"/>
      <c r="U451" s="618"/>
      <c r="V451" s="618"/>
      <c r="W451" s="618"/>
      <c r="X451" s="618"/>
      <c r="Y451" s="716"/>
      <c r="Z451" s="717"/>
      <c r="AA451" s="717">
        <f t="shared" si="405"/>
        <v>0</v>
      </c>
      <c r="AB451" s="717"/>
      <c r="AC451" s="718"/>
      <c r="AD451" s="626">
        <f t="shared" si="423"/>
        <v>0</v>
      </c>
      <c r="AE451" s="627">
        <f t="shared" si="424"/>
        <v>0</v>
      </c>
      <c r="AF451" s="568"/>
      <c r="AG451" s="568"/>
      <c r="AH451" s="568"/>
      <c r="AI451" s="882"/>
      <c r="AL451" s="1382"/>
    </row>
    <row r="452" spans="1:38" outlineLevel="1">
      <c r="A452" s="102"/>
      <c r="B452" s="76" t="s">
        <v>173</v>
      </c>
      <c r="C452" s="96"/>
      <c r="D452" s="484"/>
      <c r="E452" s="2057" t="s">
        <v>1153</v>
      </c>
      <c r="G452" s="722"/>
      <c r="H452" s="588"/>
      <c r="I452" s="585"/>
      <c r="J452" s="681"/>
      <c r="K452" s="682"/>
      <c r="L452" s="677"/>
      <c r="M452" s="677"/>
      <c r="N452" s="678"/>
      <c r="O452" s="146"/>
      <c r="P452" s="162"/>
      <c r="Q452" s="162"/>
      <c r="R452" s="162"/>
      <c r="S452" s="145"/>
      <c r="T452" s="618"/>
      <c r="U452" s="618"/>
      <c r="V452" s="618"/>
      <c r="W452" s="618"/>
      <c r="X452" s="618"/>
      <c r="Y452" s="716"/>
      <c r="Z452" s="717"/>
      <c r="AA452" s="717">
        <f t="shared" si="405"/>
        <v>0</v>
      </c>
      <c r="AB452" s="717"/>
      <c r="AC452" s="718"/>
      <c r="AD452" s="626">
        <f t="shared" si="423"/>
        <v>0</v>
      </c>
      <c r="AE452" s="627">
        <f t="shared" si="424"/>
        <v>0</v>
      </c>
      <c r="AF452" s="568"/>
      <c r="AG452" s="568"/>
      <c r="AH452" s="568"/>
      <c r="AI452" s="882"/>
      <c r="AL452" s="1382"/>
    </row>
    <row r="453" spans="1:38" outlineLevel="1">
      <c r="A453" s="102"/>
      <c r="B453" s="76" t="s">
        <v>25</v>
      </c>
      <c r="C453" s="96" t="s">
        <v>304</v>
      </c>
      <c r="D453" s="78"/>
      <c r="E453" s="97"/>
      <c r="F453" s="543" t="s">
        <v>1152</v>
      </c>
      <c r="G453" s="722"/>
      <c r="H453" s="588" t="s">
        <v>172</v>
      </c>
      <c r="I453" s="587">
        <f>8330/1000</f>
        <v>8.33</v>
      </c>
      <c r="J453" s="676">
        <v>1</v>
      </c>
      <c r="K453" s="677">
        <v>1</v>
      </c>
      <c r="L453" s="677">
        <v>1</v>
      </c>
      <c r="M453" s="677">
        <v>1</v>
      </c>
      <c r="N453" s="678">
        <f>SUM(J450:M453)</f>
        <v>4</v>
      </c>
      <c r="O453" s="691">
        <f>$I453*J453</f>
        <v>8.33</v>
      </c>
      <c r="P453" s="692">
        <f>$I453*K453</f>
        <v>8.33</v>
      </c>
      <c r="Q453" s="692">
        <f t="shared" ref="Q453:R453" si="444">$I453*L453</f>
        <v>8.33</v>
      </c>
      <c r="R453" s="692">
        <f t="shared" si="444"/>
        <v>8.33</v>
      </c>
      <c r="S453" s="115">
        <f>SUM(O453:R453)</f>
        <v>33.32</v>
      </c>
      <c r="T453" s="618">
        <f>IFERROR(INDEX('Annex 2_Code'!I$8:I$33,MATCH('Annex 3_MAFF'!$AG453,'Annex 2_Code'!$G$8:$G$33,0)),"")</f>
        <v>0</v>
      </c>
      <c r="U453" s="618">
        <f>IFERROR(INDEX('Annex 2_Code'!J$8:J$33,MATCH('Annex 3_MAFF'!$AG453,'Annex 2_Code'!$G$8:$G$33,0)),"")</f>
        <v>0</v>
      </c>
      <c r="V453" s="618">
        <f>IFERROR(INDEX('Annex 2_Code'!K$8:K$33,MATCH('Annex 3_MAFF'!$AG453,'Annex 2_Code'!$G$8:$G$33,0)),"")</f>
        <v>1</v>
      </c>
      <c r="W453" s="618">
        <f>IFERROR(INDEX('Annex 2_Code'!L$8:L$33,MATCH('Annex 3_MAFF'!$AG453,'Annex 2_Code'!$G$8:$G$33,0)),"")</f>
        <v>0</v>
      </c>
      <c r="X453" s="618">
        <f>IFERROR(INDEX('Annex 2_Code'!M$8:M$33,MATCH('Annex 3_MAFF'!$AG453,'Annex 2_Code'!$G$8:$G$33,0)),"")</f>
        <v>0</v>
      </c>
      <c r="Y453" s="1536">
        <f t="shared" si="404"/>
        <v>0</v>
      </c>
      <c r="Z453" s="717">
        <f t="shared" si="405"/>
        <v>0</v>
      </c>
      <c r="AA453" s="717">
        <f t="shared" si="405"/>
        <v>33.32</v>
      </c>
      <c r="AB453" s="717">
        <f t="shared" si="406"/>
        <v>0</v>
      </c>
      <c r="AC453" s="718">
        <f t="shared" si="407"/>
        <v>0</v>
      </c>
      <c r="AD453" s="626">
        <f t="shared" si="423"/>
        <v>33.32</v>
      </c>
      <c r="AE453" s="627">
        <f t="shared" si="424"/>
        <v>0</v>
      </c>
      <c r="AF453" s="568" t="s">
        <v>562</v>
      </c>
      <c r="AG453" s="568" t="s">
        <v>390</v>
      </c>
      <c r="AH453" s="568" t="str">
        <f>IFERROR(INDEX('Annex 2_Code'!$J$110:$J$127,MATCH('Annex 3_MAFF'!AF453,'Annex 2_Code'!$G$110:$G$127,0)),"")</f>
        <v>MAFF</v>
      </c>
      <c r="AI453" s="882" t="str">
        <f t="shared" si="408"/>
        <v>MAFF</v>
      </c>
      <c r="AL453" s="1382"/>
    </row>
    <row r="454" spans="1:38" outlineLevel="1">
      <c r="A454" s="102"/>
      <c r="B454" s="76" t="s">
        <v>173</v>
      </c>
      <c r="C454" s="96"/>
      <c r="D454" s="1464"/>
      <c r="E454" s="1440" t="s">
        <v>583</v>
      </c>
      <c r="F454" s="1477"/>
      <c r="G454" s="1428"/>
      <c r="H454" s="1429" t="s">
        <v>14</v>
      </c>
      <c r="I454" s="1430"/>
      <c r="J454" s="1431"/>
      <c r="K454" s="1432"/>
      <c r="L454" s="1432"/>
      <c r="M454" s="1432"/>
      <c r="N454" s="1433"/>
      <c r="O454" s="1448">
        <f>SUM(O453)</f>
        <v>8.33</v>
      </c>
      <c r="P454" s="1449">
        <f>SUM(P453)</f>
        <v>8.33</v>
      </c>
      <c r="Q454" s="1449">
        <f>SUM(Q453)</f>
        <v>8.33</v>
      </c>
      <c r="R454" s="1449">
        <f>SUM(R453)</f>
        <v>8.33</v>
      </c>
      <c r="S454" s="1450">
        <f>SUM(S453)</f>
        <v>33.32</v>
      </c>
      <c r="T454" s="618" t="str">
        <f>IFERROR(INDEX('Annex 2_Code'!I$8:I$33,MATCH('Annex 3_MAFF'!$AG454,'Annex 2_Code'!$G$8:$G$33,0)),"")</f>
        <v/>
      </c>
      <c r="U454" s="618" t="str">
        <f>IFERROR(INDEX('Annex 2_Code'!J$8:J$33,MATCH('Annex 3_MAFF'!$AG454,'Annex 2_Code'!$G$8:$G$33,0)),"")</f>
        <v/>
      </c>
      <c r="V454" s="618" t="str">
        <f>IFERROR(INDEX('Annex 2_Code'!K$8:K$33,MATCH('Annex 3_MAFF'!$AG454,'Annex 2_Code'!$G$8:$G$33,0)),"")</f>
        <v/>
      </c>
      <c r="W454" s="618" t="str">
        <f>IFERROR(INDEX('Annex 2_Code'!L$8:L$33,MATCH('Annex 3_MAFF'!$AG454,'Annex 2_Code'!$G$8:$G$33,0)),"")</f>
        <v/>
      </c>
      <c r="X454" s="618" t="str">
        <f>IFERROR(INDEX('Annex 2_Code'!M$8:M$33,MATCH('Annex 3_MAFF'!$AG454,'Annex 2_Code'!$G$8:$G$33,0)),"")</f>
        <v/>
      </c>
      <c r="Y454" s="716" t="str">
        <f t="shared" si="404"/>
        <v/>
      </c>
      <c r="Z454" s="717" t="str">
        <f t="shared" si="405"/>
        <v/>
      </c>
      <c r="AA454" s="717" t="str">
        <f t="shared" si="405"/>
        <v/>
      </c>
      <c r="AB454" s="717" t="str">
        <f t="shared" si="406"/>
        <v/>
      </c>
      <c r="AC454" s="718" t="str">
        <f t="shared" si="407"/>
        <v/>
      </c>
      <c r="AD454" s="626">
        <f t="shared" si="423"/>
        <v>0</v>
      </c>
      <c r="AE454" s="627">
        <f t="shared" si="424"/>
        <v>-33.32</v>
      </c>
      <c r="AF454" s="568"/>
      <c r="AG454" s="568"/>
      <c r="AH454" s="568" t="str">
        <f>IFERROR(INDEX('Annex 2_Code'!$J$110:$J$127,MATCH('Annex 3_MAFF'!AF454,'Annex 2_Code'!$G$110:$G$127,0)),"")</f>
        <v/>
      </c>
      <c r="AI454" s="882" t="str">
        <f t="shared" si="408"/>
        <v/>
      </c>
      <c r="AK454" s="1389">
        <f>SUM(S453)</f>
        <v>33.32</v>
      </c>
      <c r="AL454" s="1386" t="s">
        <v>304</v>
      </c>
    </row>
    <row r="455" spans="1:38" outlineLevel="1">
      <c r="A455" s="102"/>
      <c r="B455" s="76" t="s">
        <v>173</v>
      </c>
      <c r="C455" s="96"/>
      <c r="D455" s="78"/>
      <c r="E455" s="122"/>
      <c r="F455" s="543"/>
      <c r="G455" s="722"/>
      <c r="H455" s="588"/>
      <c r="I455" s="587"/>
      <c r="J455" s="676"/>
      <c r="K455" s="677"/>
      <c r="L455" s="677"/>
      <c r="M455" s="677"/>
      <c r="N455" s="678"/>
      <c r="O455" s="149"/>
      <c r="P455" s="164"/>
      <c r="Q455" s="164"/>
      <c r="R455" s="164"/>
      <c r="S455" s="115"/>
      <c r="T455" s="618"/>
      <c r="U455" s="618"/>
      <c r="V455" s="618"/>
      <c r="W455" s="618"/>
      <c r="X455" s="618"/>
      <c r="Y455" s="716"/>
      <c r="Z455" s="717"/>
      <c r="AA455" s="717">
        <f t="shared" si="405"/>
        <v>0</v>
      </c>
      <c r="AB455" s="717"/>
      <c r="AC455" s="718"/>
      <c r="AD455" s="626">
        <f t="shared" si="423"/>
        <v>0</v>
      </c>
      <c r="AE455" s="627">
        <f t="shared" si="424"/>
        <v>0</v>
      </c>
      <c r="AF455" s="568"/>
      <c r="AG455" s="568"/>
      <c r="AH455" s="568"/>
      <c r="AI455" s="882"/>
    </row>
    <row r="456" spans="1:38" outlineLevel="1">
      <c r="A456" s="102"/>
      <c r="B456" s="76" t="s">
        <v>173</v>
      </c>
      <c r="C456" s="96"/>
      <c r="D456" s="78"/>
      <c r="E456" s="1977" t="s">
        <v>675</v>
      </c>
      <c r="F456" s="543"/>
      <c r="G456" s="722"/>
      <c r="H456" s="588" t="s">
        <v>14</v>
      </c>
      <c r="I456" s="587"/>
      <c r="J456" s="676"/>
      <c r="K456" s="677"/>
      <c r="L456" s="677"/>
      <c r="M456" s="677"/>
      <c r="N456" s="678"/>
      <c r="O456" s="688"/>
      <c r="P456" s="689"/>
      <c r="Q456" s="689"/>
      <c r="R456" s="689"/>
      <c r="S456" s="145"/>
      <c r="T456" s="618" t="str">
        <f>IFERROR(INDEX('Annex 2_Code'!I$8:I$33,MATCH('Annex 3_MAFF'!$AG456,'Annex 2_Code'!$G$8:$G$33,0)),"")</f>
        <v/>
      </c>
      <c r="U456" s="618" t="str">
        <f>IFERROR(INDEX('Annex 2_Code'!J$8:J$33,MATCH('Annex 3_MAFF'!$AG456,'Annex 2_Code'!$G$8:$G$33,0)),"")</f>
        <v/>
      </c>
      <c r="V456" s="618" t="str">
        <f>IFERROR(INDEX('Annex 2_Code'!K$8:K$33,MATCH('Annex 3_MAFF'!$AG456,'Annex 2_Code'!$G$8:$G$33,0)),"")</f>
        <v/>
      </c>
      <c r="W456" s="618" t="str">
        <f>IFERROR(INDEX('Annex 2_Code'!L$8:L$33,MATCH('Annex 3_MAFF'!$AG456,'Annex 2_Code'!$G$8:$G$33,0)),"")</f>
        <v/>
      </c>
      <c r="X456" s="618" t="str">
        <f>IFERROR(INDEX('Annex 2_Code'!M$8:M$33,MATCH('Annex 3_MAFF'!$AG456,'Annex 2_Code'!$G$8:$G$33,0)),"")</f>
        <v/>
      </c>
      <c r="Y456" s="716" t="str">
        <f t="shared" si="404"/>
        <v/>
      </c>
      <c r="Z456" s="717" t="str">
        <f t="shared" si="405"/>
        <v/>
      </c>
      <c r="AA456" s="717" t="str">
        <f t="shared" si="405"/>
        <v/>
      </c>
      <c r="AB456" s="717" t="str">
        <f t="shared" si="406"/>
        <v/>
      </c>
      <c r="AC456" s="718" t="str">
        <f t="shared" si="407"/>
        <v/>
      </c>
      <c r="AD456" s="626">
        <f t="shared" si="423"/>
        <v>0</v>
      </c>
      <c r="AE456" s="627">
        <f t="shared" si="424"/>
        <v>0</v>
      </c>
      <c r="AF456" s="568"/>
      <c r="AG456" s="568"/>
      <c r="AH456" s="568" t="str">
        <f>IFERROR(INDEX('Annex 2_Code'!$J$110:$J$127,MATCH('Annex 3_MAFF'!AF456,'Annex 2_Code'!$G$110:$G$127,0)),"")</f>
        <v/>
      </c>
      <c r="AI456" s="882" t="str">
        <f t="shared" si="408"/>
        <v/>
      </c>
    </row>
    <row r="457" spans="1:38" outlineLevel="1">
      <c r="A457" s="102"/>
      <c r="B457" s="76" t="s">
        <v>173</v>
      </c>
      <c r="C457" s="96"/>
      <c r="D457" s="78"/>
      <c r="E457" s="118" t="s">
        <v>1157</v>
      </c>
      <c r="F457" s="1740"/>
      <c r="G457" s="722"/>
      <c r="H457" s="588"/>
      <c r="I457" s="1742"/>
      <c r="J457" s="1746"/>
      <c r="K457" s="1747"/>
      <c r="L457" s="1747"/>
      <c r="M457" s="1747"/>
      <c r="N457" s="678"/>
      <c r="O457" s="688"/>
      <c r="P457" s="689"/>
      <c r="Q457" s="689"/>
      <c r="R457" s="689"/>
      <c r="S457" s="1737"/>
      <c r="T457" s="618"/>
      <c r="U457" s="618"/>
      <c r="V457" s="618"/>
      <c r="W457" s="618"/>
      <c r="X457" s="618"/>
      <c r="Y457" s="716"/>
      <c r="Z457" s="717"/>
      <c r="AA457" s="717">
        <f t="shared" si="405"/>
        <v>0</v>
      </c>
      <c r="AB457" s="717"/>
      <c r="AC457" s="718"/>
      <c r="AD457" s="626"/>
      <c r="AE457" s="627"/>
      <c r="AF457" s="568"/>
      <c r="AG457" s="568"/>
      <c r="AH457" s="568"/>
      <c r="AI457" s="882"/>
    </row>
    <row r="458" spans="1:38" outlineLevel="1">
      <c r="A458" s="102"/>
      <c r="B458" s="76" t="s">
        <v>25</v>
      </c>
      <c r="C458" s="96" t="s">
        <v>296</v>
      </c>
      <c r="D458" s="78"/>
      <c r="E458" s="97"/>
      <c r="F458" s="543" t="s">
        <v>146</v>
      </c>
      <c r="G458" s="722"/>
      <c r="H458" s="538" t="s">
        <v>174</v>
      </c>
      <c r="I458" s="1742">
        <f>3300/1000</f>
        <v>3.3</v>
      </c>
      <c r="J458" s="665">
        <v>0.5</v>
      </c>
      <c r="K458" s="666">
        <v>0.5</v>
      </c>
      <c r="L458" s="666">
        <v>0</v>
      </c>
      <c r="M458" s="666">
        <v>0</v>
      </c>
      <c r="N458" s="667">
        <f t="shared" ref="N458:N463" si="445">SUM(J458:M458)</f>
        <v>1</v>
      </c>
      <c r="O458" s="1103">
        <f>($I458*J458)</f>
        <v>1.65</v>
      </c>
      <c r="P458" s="1094">
        <f t="shared" ref="P458:R463" si="446">($I458*K458)</f>
        <v>1.65</v>
      </c>
      <c r="Q458" s="1094">
        <f t="shared" si="446"/>
        <v>0</v>
      </c>
      <c r="R458" s="1094">
        <f t="shared" si="446"/>
        <v>0</v>
      </c>
      <c r="S458" s="145">
        <f>SUM(O458:R458)</f>
        <v>3.3</v>
      </c>
      <c r="T458" s="618">
        <f>IFERROR(INDEX('Annex 2_Code'!I$8:I$33,MATCH('Annex 3_MAFF'!$AG458,'Annex 2_Code'!$G$8:$G$33,0)),"")</f>
        <v>1</v>
      </c>
      <c r="U458" s="618">
        <f>IFERROR(INDEX('Annex 2_Code'!J$8:J$33,MATCH('Annex 3_MAFF'!$AG458,'Annex 2_Code'!$G$8:$G$33,0)),"")</f>
        <v>0</v>
      </c>
      <c r="V458" s="618">
        <f>IFERROR(INDEX('Annex 2_Code'!K$8:K$33,MATCH('Annex 3_MAFF'!$AG458,'Annex 2_Code'!$G$8:$G$33,0)),"")</f>
        <v>0</v>
      </c>
      <c r="W458" s="618">
        <f>IFERROR(INDEX('Annex 2_Code'!L$8:L$33,MATCH('Annex 3_MAFF'!$AG458,'Annex 2_Code'!$G$8:$G$33,0)),"")</f>
        <v>0</v>
      </c>
      <c r="X458" s="618">
        <f>IFERROR(INDEX('Annex 2_Code'!M$8:M$33,MATCH('Annex 3_MAFF'!$AG458,'Annex 2_Code'!$G$8:$G$33,0)),"")</f>
        <v>0</v>
      </c>
      <c r="Y458" s="1533">
        <f t="shared" si="404"/>
        <v>3.3</v>
      </c>
      <c r="Z458" s="717">
        <f t="shared" si="405"/>
        <v>0</v>
      </c>
      <c r="AA458" s="717">
        <f t="shared" si="405"/>
        <v>0</v>
      </c>
      <c r="AB458" s="717">
        <f t="shared" si="406"/>
        <v>0</v>
      </c>
      <c r="AC458" s="718">
        <f t="shared" si="407"/>
        <v>0</v>
      </c>
      <c r="AD458" s="626">
        <f t="shared" si="423"/>
        <v>3.3</v>
      </c>
      <c r="AE458" s="627">
        <f t="shared" si="424"/>
        <v>0</v>
      </c>
      <c r="AF458" s="568" t="s">
        <v>562</v>
      </c>
      <c r="AG458" s="568" t="s">
        <v>394</v>
      </c>
      <c r="AH458" s="568" t="str">
        <f>IFERROR(INDEX('Annex 2_Code'!$J$110:$J$127,MATCH('Annex 3_MAFF'!AF458,'Annex 2_Code'!$G$110:$G$127,0)),"")</f>
        <v>MAFF</v>
      </c>
      <c r="AI458" s="882" t="str">
        <f t="shared" si="408"/>
        <v>MAFF</v>
      </c>
    </row>
    <row r="459" spans="1:38" outlineLevel="1">
      <c r="A459" s="102"/>
      <c r="B459" s="76" t="s">
        <v>25</v>
      </c>
      <c r="C459" s="96" t="s">
        <v>296</v>
      </c>
      <c r="D459" s="78"/>
      <c r="E459" s="97"/>
      <c r="F459" s="543" t="s">
        <v>147</v>
      </c>
      <c r="G459" s="722"/>
      <c r="H459" s="538" t="s">
        <v>174</v>
      </c>
      <c r="I459" s="1742">
        <f>3300/1000</f>
        <v>3.3</v>
      </c>
      <c r="J459" s="665">
        <v>0.5</v>
      </c>
      <c r="K459" s="666">
        <v>1</v>
      </c>
      <c r="L459" s="666">
        <v>0</v>
      </c>
      <c r="M459" s="666">
        <v>0</v>
      </c>
      <c r="N459" s="667">
        <f t="shared" si="445"/>
        <v>1.5</v>
      </c>
      <c r="O459" s="1103">
        <f t="shared" ref="O459:O491" si="447">($I459*J459)</f>
        <v>1.65</v>
      </c>
      <c r="P459" s="1094">
        <f t="shared" si="446"/>
        <v>3.3</v>
      </c>
      <c r="Q459" s="1094">
        <f t="shared" si="446"/>
        <v>0</v>
      </c>
      <c r="R459" s="1094">
        <f t="shared" si="446"/>
        <v>0</v>
      </c>
      <c r="S459" s="145">
        <f t="shared" ref="S459:S463" si="448">SUM(O459:R459)</f>
        <v>4.9499999999999993</v>
      </c>
      <c r="T459" s="618">
        <f>IFERROR(INDEX('Annex 2_Code'!I$8:I$33,MATCH('Annex 3_MAFF'!$AG459,'Annex 2_Code'!$G$8:$G$33,0)),"")</f>
        <v>1</v>
      </c>
      <c r="U459" s="618">
        <f>IFERROR(INDEX('Annex 2_Code'!J$8:J$33,MATCH('Annex 3_MAFF'!$AG459,'Annex 2_Code'!$G$8:$G$33,0)),"")</f>
        <v>0</v>
      </c>
      <c r="V459" s="618">
        <f>IFERROR(INDEX('Annex 2_Code'!K$8:K$33,MATCH('Annex 3_MAFF'!$AG459,'Annex 2_Code'!$G$8:$G$33,0)),"")</f>
        <v>0</v>
      </c>
      <c r="W459" s="618">
        <f>IFERROR(INDEX('Annex 2_Code'!L$8:L$33,MATCH('Annex 3_MAFF'!$AG459,'Annex 2_Code'!$G$8:$G$33,0)),"")</f>
        <v>0</v>
      </c>
      <c r="X459" s="618">
        <f>IFERROR(INDEX('Annex 2_Code'!M$8:M$33,MATCH('Annex 3_MAFF'!$AG459,'Annex 2_Code'!$G$8:$G$33,0)),"")</f>
        <v>0</v>
      </c>
      <c r="Y459" s="1533">
        <f t="shared" si="404"/>
        <v>4.9499999999999993</v>
      </c>
      <c r="Z459" s="717">
        <f t="shared" si="405"/>
        <v>0</v>
      </c>
      <c r="AA459" s="717">
        <f t="shared" si="405"/>
        <v>0</v>
      </c>
      <c r="AB459" s="717">
        <f t="shared" si="406"/>
        <v>0</v>
      </c>
      <c r="AC459" s="718">
        <f t="shared" si="407"/>
        <v>0</v>
      </c>
      <c r="AD459" s="626">
        <f t="shared" si="423"/>
        <v>4.9499999999999993</v>
      </c>
      <c r="AE459" s="627">
        <f t="shared" si="424"/>
        <v>0</v>
      </c>
      <c r="AF459" s="568" t="s">
        <v>562</v>
      </c>
      <c r="AG459" s="568" t="s">
        <v>394</v>
      </c>
      <c r="AH459" s="568" t="str">
        <f>IFERROR(INDEX('Annex 2_Code'!$J$110:$J$127,MATCH('Annex 3_MAFF'!AF459,'Annex 2_Code'!$G$110:$G$127,0)),"")</f>
        <v>MAFF</v>
      </c>
      <c r="AI459" s="882" t="str">
        <f t="shared" si="408"/>
        <v>MAFF</v>
      </c>
    </row>
    <row r="460" spans="1:38" outlineLevel="1">
      <c r="A460" s="102"/>
      <c r="B460" s="76" t="s">
        <v>25</v>
      </c>
      <c r="C460" s="96" t="s">
        <v>296</v>
      </c>
      <c r="D460" s="78"/>
      <c r="E460" s="97"/>
      <c r="F460" s="543" t="s">
        <v>148</v>
      </c>
      <c r="G460" s="722"/>
      <c r="H460" s="538" t="s">
        <v>174</v>
      </c>
      <c r="I460" s="1742">
        <f>3500/1000</f>
        <v>3.5</v>
      </c>
      <c r="J460" s="665">
        <v>0.5</v>
      </c>
      <c r="K460" s="666">
        <v>0.5</v>
      </c>
      <c r="L460" s="666">
        <v>0.5</v>
      </c>
      <c r="M460" s="666">
        <v>0.5</v>
      </c>
      <c r="N460" s="667">
        <f t="shared" si="445"/>
        <v>2</v>
      </c>
      <c r="O460" s="1103">
        <f t="shared" si="447"/>
        <v>1.75</v>
      </c>
      <c r="P460" s="1094">
        <f t="shared" si="446"/>
        <v>1.75</v>
      </c>
      <c r="Q460" s="1094">
        <f t="shared" si="446"/>
        <v>1.75</v>
      </c>
      <c r="R460" s="1094">
        <f t="shared" si="446"/>
        <v>1.75</v>
      </c>
      <c r="S460" s="145">
        <f t="shared" si="448"/>
        <v>7</v>
      </c>
      <c r="T460" s="618">
        <f>IFERROR(INDEX('Annex 2_Code'!I$8:I$33,MATCH('Annex 3_MAFF'!$AG460,'Annex 2_Code'!$G$8:$G$33,0)),"")</f>
        <v>1</v>
      </c>
      <c r="U460" s="618">
        <f>IFERROR(INDEX('Annex 2_Code'!J$8:J$33,MATCH('Annex 3_MAFF'!$AG460,'Annex 2_Code'!$G$8:$G$33,0)),"")</f>
        <v>0</v>
      </c>
      <c r="V460" s="618">
        <f>IFERROR(INDEX('Annex 2_Code'!K$8:K$33,MATCH('Annex 3_MAFF'!$AG460,'Annex 2_Code'!$G$8:$G$33,0)),"")</f>
        <v>0</v>
      </c>
      <c r="W460" s="618">
        <f>IFERROR(INDEX('Annex 2_Code'!L$8:L$33,MATCH('Annex 3_MAFF'!$AG460,'Annex 2_Code'!$G$8:$G$33,0)),"")</f>
        <v>0</v>
      </c>
      <c r="X460" s="618">
        <f>IFERROR(INDEX('Annex 2_Code'!M$8:M$33,MATCH('Annex 3_MAFF'!$AG460,'Annex 2_Code'!$G$8:$G$33,0)),"")</f>
        <v>0</v>
      </c>
      <c r="Y460" s="1533">
        <f t="shared" si="404"/>
        <v>7</v>
      </c>
      <c r="Z460" s="717">
        <f t="shared" si="405"/>
        <v>0</v>
      </c>
      <c r="AA460" s="717">
        <f t="shared" si="405"/>
        <v>0</v>
      </c>
      <c r="AB460" s="717">
        <f t="shared" si="406"/>
        <v>0</v>
      </c>
      <c r="AC460" s="718">
        <f t="shared" si="407"/>
        <v>0</v>
      </c>
      <c r="AD460" s="626">
        <f t="shared" si="423"/>
        <v>7</v>
      </c>
      <c r="AE460" s="627">
        <f t="shared" si="424"/>
        <v>0</v>
      </c>
      <c r="AF460" s="568" t="s">
        <v>562</v>
      </c>
      <c r="AG460" s="568" t="s">
        <v>394</v>
      </c>
      <c r="AH460" s="568" t="str">
        <f>IFERROR(INDEX('Annex 2_Code'!$J$110:$J$127,MATCH('Annex 3_MAFF'!AF460,'Annex 2_Code'!$G$110:$G$127,0)),"")</f>
        <v>MAFF</v>
      </c>
      <c r="AI460" s="882" t="str">
        <f t="shared" si="408"/>
        <v>MAFF</v>
      </c>
    </row>
    <row r="461" spans="1:38" outlineLevel="1">
      <c r="A461" s="102"/>
      <c r="B461" s="76" t="s">
        <v>25</v>
      </c>
      <c r="C461" s="96" t="s">
        <v>296</v>
      </c>
      <c r="D461" s="78"/>
      <c r="E461" s="97"/>
      <c r="F461" s="543" t="s">
        <v>149</v>
      </c>
      <c r="G461" s="722"/>
      <c r="H461" s="538" t="s">
        <v>174</v>
      </c>
      <c r="I461" s="1742">
        <f>3500/1000</f>
        <v>3.5</v>
      </c>
      <c r="J461" s="665">
        <v>0</v>
      </c>
      <c r="K461" s="666">
        <v>0</v>
      </c>
      <c r="L461" s="666">
        <v>1</v>
      </c>
      <c r="M461" s="666">
        <v>0.5</v>
      </c>
      <c r="N461" s="667">
        <f t="shared" si="445"/>
        <v>1.5</v>
      </c>
      <c r="O461" s="1103">
        <f t="shared" si="447"/>
        <v>0</v>
      </c>
      <c r="P461" s="1094">
        <f t="shared" si="446"/>
        <v>0</v>
      </c>
      <c r="Q461" s="1094">
        <f t="shared" si="446"/>
        <v>3.5</v>
      </c>
      <c r="R461" s="1094">
        <f t="shared" si="446"/>
        <v>1.75</v>
      </c>
      <c r="S461" s="145">
        <f t="shared" si="448"/>
        <v>5.25</v>
      </c>
      <c r="T461" s="618">
        <f>IFERROR(INDEX('Annex 2_Code'!I$8:I$33,MATCH('Annex 3_MAFF'!$AG461,'Annex 2_Code'!$G$8:$G$33,0)),"")</f>
        <v>1</v>
      </c>
      <c r="U461" s="618">
        <f>IFERROR(INDEX('Annex 2_Code'!J$8:J$33,MATCH('Annex 3_MAFF'!$AG461,'Annex 2_Code'!$G$8:$G$33,0)),"")</f>
        <v>0</v>
      </c>
      <c r="V461" s="618">
        <f>IFERROR(INDEX('Annex 2_Code'!K$8:K$33,MATCH('Annex 3_MAFF'!$AG461,'Annex 2_Code'!$G$8:$G$33,0)),"")</f>
        <v>0</v>
      </c>
      <c r="W461" s="618">
        <f>IFERROR(INDEX('Annex 2_Code'!L$8:L$33,MATCH('Annex 3_MAFF'!$AG461,'Annex 2_Code'!$G$8:$G$33,0)),"")</f>
        <v>0</v>
      </c>
      <c r="X461" s="618">
        <f>IFERROR(INDEX('Annex 2_Code'!M$8:M$33,MATCH('Annex 3_MAFF'!$AG461,'Annex 2_Code'!$G$8:$G$33,0)),"")</f>
        <v>0</v>
      </c>
      <c r="Y461" s="1533">
        <f t="shared" si="404"/>
        <v>5.25</v>
      </c>
      <c r="Z461" s="717">
        <f t="shared" si="405"/>
        <v>0</v>
      </c>
      <c r="AA461" s="717">
        <f t="shared" si="405"/>
        <v>0</v>
      </c>
      <c r="AB461" s="717">
        <f t="shared" si="406"/>
        <v>0</v>
      </c>
      <c r="AC461" s="718">
        <f t="shared" si="407"/>
        <v>0</v>
      </c>
      <c r="AD461" s="626">
        <f t="shared" si="423"/>
        <v>5.25</v>
      </c>
      <c r="AE461" s="627">
        <f t="shared" si="424"/>
        <v>0</v>
      </c>
      <c r="AF461" s="568" t="s">
        <v>562</v>
      </c>
      <c r="AG461" s="568" t="s">
        <v>394</v>
      </c>
      <c r="AH461" s="568" t="str">
        <f>IFERROR(INDEX('Annex 2_Code'!$J$110:$J$127,MATCH('Annex 3_MAFF'!AF461,'Annex 2_Code'!$G$110:$G$127,0)),"")</f>
        <v>MAFF</v>
      </c>
      <c r="AI461" s="882" t="str">
        <f t="shared" si="408"/>
        <v>MAFF</v>
      </c>
    </row>
    <row r="462" spans="1:38" outlineLevel="1">
      <c r="A462" s="102"/>
      <c r="B462" s="76" t="s">
        <v>25</v>
      </c>
      <c r="C462" s="96" t="s">
        <v>296</v>
      </c>
      <c r="D462" s="78"/>
      <c r="E462" s="97"/>
      <c r="F462" s="543" t="s">
        <v>150</v>
      </c>
      <c r="G462" s="722"/>
      <c r="H462" s="538" t="s">
        <v>174</v>
      </c>
      <c r="I462" s="1742">
        <f>3500/1000</f>
        <v>3.5</v>
      </c>
      <c r="J462" s="665">
        <v>0</v>
      </c>
      <c r="K462" s="666">
        <v>0.5</v>
      </c>
      <c r="L462" s="666">
        <v>1</v>
      </c>
      <c r="M462" s="666">
        <v>1</v>
      </c>
      <c r="N462" s="667">
        <f t="shared" si="445"/>
        <v>2.5</v>
      </c>
      <c r="O462" s="1103">
        <f t="shared" si="447"/>
        <v>0</v>
      </c>
      <c r="P462" s="1094">
        <f t="shared" si="446"/>
        <v>1.75</v>
      </c>
      <c r="Q462" s="1094">
        <f t="shared" si="446"/>
        <v>3.5</v>
      </c>
      <c r="R462" s="1094">
        <f t="shared" si="446"/>
        <v>3.5</v>
      </c>
      <c r="S462" s="145">
        <f t="shared" si="448"/>
        <v>8.75</v>
      </c>
      <c r="T462" s="618">
        <f>IFERROR(INDEX('Annex 2_Code'!I$8:I$33,MATCH('Annex 3_MAFF'!$AG462,'Annex 2_Code'!$G$8:$G$33,0)),"")</f>
        <v>1</v>
      </c>
      <c r="U462" s="618">
        <f>IFERROR(INDEX('Annex 2_Code'!J$8:J$33,MATCH('Annex 3_MAFF'!$AG462,'Annex 2_Code'!$G$8:$G$33,0)),"")</f>
        <v>0</v>
      </c>
      <c r="V462" s="618">
        <f>IFERROR(INDEX('Annex 2_Code'!K$8:K$33,MATCH('Annex 3_MAFF'!$AG462,'Annex 2_Code'!$G$8:$G$33,0)),"")</f>
        <v>0</v>
      </c>
      <c r="W462" s="618">
        <f>IFERROR(INDEX('Annex 2_Code'!L$8:L$33,MATCH('Annex 3_MAFF'!$AG462,'Annex 2_Code'!$G$8:$G$33,0)),"")</f>
        <v>0</v>
      </c>
      <c r="X462" s="618">
        <f>IFERROR(INDEX('Annex 2_Code'!M$8:M$33,MATCH('Annex 3_MAFF'!$AG462,'Annex 2_Code'!$G$8:$G$33,0)),"")</f>
        <v>0</v>
      </c>
      <c r="Y462" s="1533">
        <f t="shared" si="404"/>
        <v>8.75</v>
      </c>
      <c r="Z462" s="717">
        <f t="shared" si="405"/>
        <v>0</v>
      </c>
      <c r="AA462" s="717">
        <f t="shared" si="405"/>
        <v>0</v>
      </c>
      <c r="AB462" s="717">
        <f t="shared" si="406"/>
        <v>0</v>
      </c>
      <c r="AC462" s="718">
        <f t="shared" si="407"/>
        <v>0</v>
      </c>
      <c r="AD462" s="626">
        <f t="shared" si="423"/>
        <v>8.75</v>
      </c>
      <c r="AE462" s="627">
        <f t="shared" si="424"/>
        <v>0</v>
      </c>
      <c r="AF462" s="568" t="s">
        <v>562</v>
      </c>
      <c r="AG462" s="568" t="s">
        <v>394</v>
      </c>
      <c r="AH462" s="568" t="str">
        <f>IFERROR(INDEX('Annex 2_Code'!$J$110:$J$127,MATCH('Annex 3_MAFF'!AF462,'Annex 2_Code'!$G$110:$G$127,0)),"")</f>
        <v>MAFF</v>
      </c>
      <c r="AI462" s="882" t="str">
        <f t="shared" si="408"/>
        <v>MAFF</v>
      </c>
    </row>
    <row r="463" spans="1:38" outlineLevel="1">
      <c r="A463" s="102"/>
      <c r="B463" s="76" t="s">
        <v>25</v>
      </c>
      <c r="C463" s="96" t="s">
        <v>296</v>
      </c>
      <c r="D463" s="78"/>
      <c r="E463" s="97"/>
      <c r="F463" s="543" t="s">
        <v>151</v>
      </c>
      <c r="G463" s="722"/>
      <c r="H463" s="538" t="s">
        <v>174</v>
      </c>
      <c r="I463" s="1742">
        <f>3300/1000</f>
        <v>3.3</v>
      </c>
      <c r="J463" s="665">
        <v>3</v>
      </c>
      <c r="K463" s="666">
        <v>3</v>
      </c>
      <c r="L463" s="666">
        <v>3</v>
      </c>
      <c r="M463" s="666">
        <v>3</v>
      </c>
      <c r="N463" s="667">
        <f t="shared" si="445"/>
        <v>12</v>
      </c>
      <c r="O463" s="1103">
        <f t="shared" si="447"/>
        <v>9.8999999999999986</v>
      </c>
      <c r="P463" s="1094">
        <f t="shared" si="446"/>
        <v>9.8999999999999986</v>
      </c>
      <c r="Q463" s="1094">
        <f t="shared" si="446"/>
        <v>9.8999999999999986</v>
      </c>
      <c r="R463" s="1094">
        <f t="shared" si="446"/>
        <v>9.8999999999999986</v>
      </c>
      <c r="S463" s="1042">
        <f t="shared" si="448"/>
        <v>39.599999999999994</v>
      </c>
      <c r="T463" s="618">
        <f>IFERROR(INDEX('Annex 2_Code'!I$8:I$33,MATCH('Annex 3_MAFF'!$AG463,'Annex 2_Code'!$G$8:$G$33,0)),"")</f>
        <v>1</v>
      </c>
      <c r="U463" s="618">
        <f>IFERROR(INDEX('Annex 2_Code'!J$8:J$33,MATCH('Annex 3_MAFF'!$AG463,'Annex 2_Code'!$G$8:$G$33,0)),"")</f>
        <v>0</v>
      </c>
      <c r="V463" s="618">
        <f>IFERROR(INDEX('Annex 2_Code'!K$8:K$33,MATCH('Annex 3_MAFF'!$AG463,'Annex 2_Code'!$G$8:$G$33,0)),"")</f>
        <v>0</v>
      </c>
      <c r="W463" s="618">
        <f>IFERROR(INDEX('Annex 2_Code'!L$8:L$33,MATCH('Annex 3_MAFF'!$AG463,'Annex 2_Code'!$G$8:$G$33,0)),"")</f>
        <v>0</v>
      </c>
      <c r="X463" s="618">
        <f>IFERROR(INDEX('Annex 2_Code'!M$8:M$33,MATCH('Annex 3_MAFF'!$AG463,'Annex 2_Code'!$G$8:$G$33,0)),"")</f>
        <v>0</v>
      </c>
      <c r="Y463" s="1533">
        <f t="shared" si="404"/>
        <v>39.599999999999994</v>
      </c>
      <c r="Z463" s="717">
        <f t="shared" si="405"/>
        <v>0</v>
      </c>
      <c r="AA463" s="717">
        <f t="shared" si="405"/>
        <v>0</v>
      </c>
      <c r="AB463" s="717">
        <f t="shared" si="406"/>
        <v>0</v>
      </c>
      <c r="AC463" s="718">
        <f t="shared" si="407"/>
        <v>0</v>
      </c>
      <c r="AD463" s="626">
        <f t="shared" si="423"/>
        <v>39.599999999999994</v>
      </c>
      <c r="AE463" s="627">
        <f t="shared" si="424"/>
        <v>0</v>
      </c>
      <c r="AF463" s="568" t="s">
        <v>562</v>
      </c>
      <c r="AG463" s="568" t="s">
        <v>394</v>
      </c>
      <c r="AH463" s="568" t="str">
        <f>IFERROR(INDEX('Annex 2_Code'!$J$110:$J$127,MATCH('Annex 3_MAFF'!AF463,'Annex 2_Code'!$G$110:$G$127,0)),"")</f>
        <v>MAFF</v>
      </c>
      <c r="AI463" s="882" t="str">
        <f t="shared" si="408"/>
        <v>MAFF</v>
      </c>
    </row>
    <row r="464" spans="1:38" outlineLevel="1">
      <c r="A464" s="102"/>
      <c r="B464" s="76" t="s">
        <v>173</v>
      </c>
      <c r="C464" s="96"/>
      <c r="D464" s="78"/>
      <c r="E464" s="122" t="s">
        <v>1158</v>
      </c>
      <c r="F464" s="1740"/>
      <c r="G464" s="722"/>
      <c r="H464" s="1739"/>
      <c r="I464" s="1742"/>
      <c r="J464" s="1744"/>
      <c r="K464" s="1745"/>
      <c r="L464" s="1745"/>
      <c r="M464" s="1745"/>
      <c r="N464" s="667"/>
      <c r="O464" s="1103"/>
      <c r="P464" s="1094"/>
      <c r="Q464" s="1094"/>
      <c r="R464" s="1094"/>
      <c r="S464" s="1042"/>
      <c r="T464" s="618"/>
      <c r="U464" s="618"/>
      <c r="V464" s="618"/>
      <c r="W464" s="618"/>
      <c r="X464" s="618"/>
      <c r="Y464" s="1533"/>
      <c r="Z464" s="717"/>
      <c r="AA464" s="717">
        <f t="shared" si="405"/>
        <v>0</v>
      </c>
      <c r="AB464" s="717"/>
      <c r="AC464" s="718"/>
      <c r="AD464" s="626"/>
      <c r="AE464" s="627"/>
      <c r="AF464" s="568"/>
      <c r="AG464" s="568"/>
      <c r="AH464" s="568"/>
      <c r="AI464" s="882"/>
    </row>
    <row r="465" spans="1:35" outlineLevel="1">
      <c r="A465" s="102"/>
      <c r="B465" s="76" t="s">
        <v>173</v>
      </c>
      <c r="C465" s="96"/>
      <c r="D465" s="78"/>
      <c r="E465" s="97"/>
      <c r="F465" s="543" t="s">
        <v>152</v>
      </c>
      <c r="G465" s="722"/>
      <c r="H465" s="588" t="s">
        <v>14</v>
      </c>
      <c r="I465" s="1742"/>
      <c r="J465" s="679"/>
      <c r="K465" s="680"/>
      <c r="L465" s="677"/>
      <c r="M465" s="677"/>
      <c r="N465" s="678"/>
      <c r="O465" s="1103"/>
      <c r="P465" s="1094"/>
      <c r="Q465" s="1094"/>
      <c r="R465" s="1094"/>
      <c r="S465" s="145"/>
      <c r="T465" s="618" t="str">
        <f>IFERROR(INDEX('Annex 2_Code'!I$8:I$33,MATCH('Annex 3_MAFF'!$AG465,'Annex 2_Code'!$G$8:$G$33,0)),"")</f>
        <v/>
      </c>
      <c r="U465" s="618" t="str">
        <f>IFERROR(INDEX('Annex 2_Code'!J$8:J$33,MATCH('Annex 3_MAFF'!$AG465,'Annex 2_Code'!$G$8:$G$33,0)),"")</f>
        <v/>
      </c>
      <c r="V465" s="618" t="str">
        <f>IFERROR(INDEX('Annex 2_Code'!K$8:K$33,MATCH('Annex 3_MAFF'!$AG465,'Annex 2_Code'!$G$8:$G$33,0)),"")</f>
        <v/>
      </c>
      <c r="W465" s="618" t="str">
        <f>IFERROR(INDEX('Annex 2_Code'!L$8:L$33,MATCH('Annex 3_MAFF'!$AG465,'Annex 2_Code'!$G$8:$G$33,0)),"")</f>
        <v/>
      </c>
      <c r="X465" s="618" t="str">
        <f>IFERROR(INDEX('Annex 2_Code'!M$8:M$33,MATCH('Annex 3_MAFF'!$AG465,'Annex 2_Code'!$G$8:$G$33,0)),"")</f>
        <v/>
      </c>
      <c r="Y465" s="1533" t="str">
        <f t="shared" si="404"/>
        <v/>
      </c>
      <c r="Z465" s="717" t="str">
        <f t="shared" si="405"/>
        <v/>
      </c>
      <c r="AA465" s="717" t="str">
        <f t="shared" si="405"/>
        <v/>
      </c>
      <c r="AB465" s="717" t="str">
        <f t="shared" si="406"/>
        <v/>
      </c>
      <c r="AC465" s="718" t="str">
        <f t="shared" si="407"/>
        <v/>
      </c>
      <c r="AD465" s="626">
        <f t="shared" si="423"/>
        <v>0</v>
      </c>
      <c r="AE465" s="627">
        <f t="shared" si="424"/>
        <v>0</v>
      </c>
      <c r="AF465" s="568"/>
      <c r="AG465" s="568"/>
      <c r="AH465" s="568" t="str">
        <f>IFERROR(INDEX('Annex 2_Code'!$J$110:$J$127,MATCH('Annex 3_MAFF'!AF465,'Annex 2_Code'!$G$110:$G$127,0)),"")</f>
        <v/>
      </c>
      <c r="AI465" s="882" t="str">
        <f t="shared" si="408"/>
        <v/>
      </c>
    </row>
    <row r="466" spans="1:35" outlineLevel="1">
      <c r="A466" s="102"/>
      <c r="B466" s="76" t="s">
        <v>25</v>
      </c>
      <c r="C466" s="96" t="s">
        <v>296</v>
      </c>
      <c r="D466" s="78"/>
      <c r="E466" s="97"/>
      <c r="F466" s="543"/>
      <c r="G466" s="722" t="s">
        <v>153</v>
      </c>
      <c r="H466" s="538" t="s">
        <v>174</v>
      </c>
      <c r="I466" s="1742">
        <f>14000/1000</f>
        <v>14</v>
      </c>
      <c r="J466" s="1093">
        <v>0.5</v>
      </c>
      <c r="K466" s="666">
        <v>1</v>
      </c>
      <c r="L466" s="666">
        <v>0</v>
      </c>
      <c r="M466" s="666">
        <v>0</v>
      </c>
      <c r="N466" s="667">
        <f>SUM(J466:M466)</f>
        <v>1.5</v>
      </c>
      <c r="O466" s="1103">
        <f t="shared" si="447"/>
        <v>7</v>
      </c>
      <c r="P466" s="1094">
        <f t="shared" ref="P466:P468" si="449">($I466*K466)</f>
        <v>14</v>
      </c>
      <c r="Q466" s="1094">
        <f t="shared" ref="Q466:Q468" si="450">($I466*L466)</f>
        <v>0</v>
      </c>
      <c r="R466" s="1094">
        <f t="shared" ref="R466:R468" si="451">($I466*M466)</f>
        <v>0</v>
      </c>
      <c r="S466" s="145">
        <f>SUM(O466:R466)</f>
        <v>21</v>
      </c>
      <c r="T466" s="618">
        <f>IFERROR(INDEX('Annex 2_Code'!I$8:I$33,MATCH('Annex 3_MAFF'!$AG466,'Annex 2_Code'!$G$8:$G$33,0)),"")</f>
        <v>1</v>
      </c>
      <c r="U466" s="618">
        <f>IFERROR(INDEX('Annex 2_Code'!J$8:J$33,MATCH('Annex 3_MAFF'!$AG466,'Annex 2_Code'!$G$8:$G$33,0)),"")</f>
        <v>0</v>
      </c>
      <c r="V466" s="618">
        <f>IFERROR(INDEX('Annex 2_Code'!K$8:K$33,MATCH('Annex 3_MAFF'!$AG466,'Annex 2_Code'!$G$8:$G$33,0)),"")</f>
        <v>0</v>
      </c>
      <c r="W466" s="618">
        <f>IFERROR(INDEX('Annex 2_Code'!L$8:L$33,MATCH('Annex 3_MAFF'!$AG466,'Annex 2_Code'!$G$8:$G$33,0)),"")</f>
        <v>0</v>
      </c>
      <c r="X466" s="618">
        <f>IFERROR(INDEX('Annex 2_Code'!M$8:M$33,MATCH('Annex 3_MAFF'!$AG466,'Annex 2_Code'!$G$8:$G$33,0)),"")</f>
        <v>0</v>
      </c>
      <c r="Y466" s="1533">
        <f t="shared" si="404"/>
        <v>21</v>
      </c>
      <c r="Z466" s="717">
        <f t="shared" si="405"/>
        <v>0</v>
      </c>
      <c r="AA466" s="717">
        <f t="shared" si="405"/>
        <v>0</v>
      </c>
      <c r="AB466" s="717">
        <f t="shared" si="406"/>
        <v>0</v>
      </c>
      <c r="AC466" s="718">
        <f t="shared" si="407"/>
        <v>0</v>
      </c>
      <c r="AD466" s="626">
        <f t="shared" si="423"/>
        <v>21</v>
      </c>
      <c r="AE466" s="627">
        <f t="shared" si="424"/>
        <v>0</v>
      </c>
      <c r="AF466" s="568" t="s">
        <v>562</v>
      </c>
      <c r="AG466" s="568" t="s">
        <v>394</v>
      </c>
      <c r="AH466" s="568" t="str">
        <f>IFERROR(INDEX('Annex 2_Code'!$J$110:$J$127,MATCH('Annex 3_MAFF'!AF466,'Annex 2_Code'!$G$110:$G$127,0)),"")</f>
        <v>MAFF</v>
      </c>
      <c r="AI466" s="882" t="str">
        <f t="shared" si="408"/>
        <v>MAFF</v>
      </c>
    </row>
    <row r="467" spans="1:35" outlineLevel="1">
      <c r="A467" s="102"/>
      <c r="B467" s="76" t="s">
        <v>25</v>
      </c>
      <c r="C467" s="96" t="s">
        <v>296</v>
      </c>
      <c r="D467" s="78"/>
      <c r="E467" s="97"/>
      <c r="F467" s="543"/>
      <c r="G467" s="722" t="s">
        <v>154</v>
      </c>
      <c r="H467" s="538" t="s">
        <v>174</v>
      </c>
      <c r="I467" s="1742">
        <f>14000/1000</f>
        <v>14</v>
      </c>
      <c r="J467" s="665">
        <v>0.5</v>
      </c>
      <c r="K467" s="666">
        <v>0.5</v>
      </c>
      <c r="L467" s="666">
        <v>0.5</v>
      </c>
      <c r="M467" s="666">
        <v>0</v>
      </c>
      <c r="N467" s="667">
        <f>SUM(J467:M467)</f>
        <v>1.5</v>
      </c>
      <c r="O467" s="1103">
        <f t="shared" si="447"/>
        <v>7</v>
      </c>
      <c r="P467" s="1094">
        <f t="shared" si="449"/>
        <v>7</v>
      </c>
      <c r="Q467" s="1094">
        <f t="shared" si="450"/>
        <v>7</v>
      </c>
      <c r="R467" s="1094">
        <f t="shared" si="451"/>
        <v>0</v>
      </c>
      <c r="S467" s="145">
        <f>SUM(O467:R467)</f>
        <v>21</v>
      </c>
      <c r="T467" s="618">
        <f>IFERROR(INDEX('Annex 2_Code'!I$8:I$33,MATCH('Annex 3_MAFF'!$AG467,'Annex 2_Code'!$G$8:$G$33,0)),"")</f>
        <v>1</v>
      </c>
      <c r="U467" s="618">
        <f>IFERROR(INDEX('Annex 2_Code'!J$8:J$33,MATCH('Annex 3_MAFF'!$AG467,'Annex 2_Code'!$G$8:$G$33,0)),"")</f>
        <v>0</v>
      </c>
      <c r="V467" s="618">
        <f>IFERROR(INDEX('Annex 2_Code'!K$8:K$33,MATCH('Annex 3_MAFF'!$AG467,'Annex 2_Code'!$G$8:$G$33,0)),"")</f>
        <v>0</v>
      </c>
      <c r="W467" s="618">
        <f>IFERROR(INDEX('Annex 2_Code'!L$8:L$33,MATCH('Annex 3_MAFF'!$AG467,'Annex 2_Code'!$G$8:$G$33,0)),"")</f>
        <v>0</v>
      </c>
      <c r="X467" s="618">
        <f>IFERROR(INDEX('Annex 2_Code'!M$8:M$33,MATCH('Annex 3_MAFF'!$AG467,'Annex 2_Code'!$G$8:$G$33,0)),"")</f>
        <v>0</v>
      </c>
      <c r="Y467" s="1533">
        <f t="shared" si="404"/>
        <v>21</v>
      </c>
      <c r="Z467" s="717">
        <f t="shared" si="405"/>
        <v>0</v>
      </c>
      <c r="AA467" s="717">
        <f t="shared" si="405"/>
        <v>0</v>
      </c>
      <c r="AB467" s="717">
        <f t="shared" si="406"/>
        <v>0</v>
      </c>
      <c r="AC467" s="718">
        <f t="shared" si="407"/>
        <v>0</v>
      </c>
      <c r="AD467" s="626">
        <f t="shared" si="423"/>
        <v>21</v>
      </c>
      <c r="AE467" s="627">
        <f t="shared" si="424"/>
        <v>0</v>
      </c>
      <c r="AF467" s="568" t="s">
        <v>562</v>
      </c>
      <c r="AG467" s="568" t="s">
        <v>394</v>
      </c>
      <c r="AH467" s="568" t="str">
        <f>IFERROR(INDEX('Annex 2_Code'!$J$110:$J$127,MATCH('Annex 3_MAFF'!AF467,'Annex 2_Code'!$G$110:$G$127,0)),"")</f>
        <v>MAFF</v>
      </c>
      <c r="AI467" s="882" t="str">
        <f t="shared" si="408"/>
        <v>MAFF</v>
      </c>
    </row>
    <row r="468" spans="1:35" outlineLevel="1">
      <c r="A468" s="102"/>
      <c r="B468" s="76" t="s">
        <v>25</v>
      </c>
      <c r="C468" s="96" t="s">
        <v>296</v>
      </c>
      <c r="D468" s="78"/>
      <c r="E468" s="97"/>
      <c r="F468" s="543"/>
      <c r="G468" s="722" t="s">
        <v>155</v>
      </c>
      <c r="H468" s="538" t="s">
        <v>174</v>
      </c>
      <c r="I468" s="1742">
        <f>14000/1000</f>
        <v>14</v>
      </c>
      <c r="J468" s="665">
        <v>0</v>
      </c>
      <c r="K468" s="666">
        <v>1</v>
      </c>
      <c r="L468" s="666">
        <v>0</v>
      </c>
      <c r="M468" s="666">
        <v>0</v>
      </c>
      <c r="N468" s="667">
        <f>SUM(J468:M468)</f>
        <v>1</v>
      </c>
      <c r="O468" s="1103">
        <f t="shared" si="447"/>
        <v>0</v>
      </c>
      <c r="P468" s="1094">
        <f t="shared" si="449"/>
        <v>14</v>
      </c>
      <c r="Q468" s="1094">
        <f t="shared" si="450"/>
        <v>0</v>
      </c>
      <c r="R468" s="1094">
        <f t="shared" si="451"/>
        <v>0</v>
      </c>
      <c r="S468" s="145">
        <f>SUM(O468:R468)</f>
        <v>14</v>
      </c>
      <c r="T468" s="618">
        <f>IFERROR(INDEX('Annex 2_Code'!I$8:I$33,MATCH('Annex 3_MAFF'!$AG468,'Annex 2_Code'!$G$8:$G$33,0)),"")</f>
        <v>1</v>
      </c>
      <c r="U468" s="618">
        <f>IFERROR(INDEX('Annex 2_Code'!J$8:J$33,MATCH('Annex 3_MAFF'!$AG468,'Annex 2_Code'!$G$8:$G$33,0)),"")</f>
        <v>0</v>
      </c>
      <c r="V468" s="618">
        <f>IFERROR(INDEX('Annex 2_Code'!K$8:K$33,MATCH('Annex 3_MAFF'!$AG468,'Annex 2_Code'!$G$8:$G$33,0)),"")</f>
        <v>0</v>
      </c>
      <c r="W468" s="618">
        <f>IFERROR(INDEX('Annex 2_Code'!L$8:L$33,MATCH('Annex 3_MAFF'!$AG468,'Annex 2_Code'!$G$8:$G$33,0)),"")</f>
        <v>0</v>
      </c>
      <c r="X468" s="618">
        <f>IFERROR(INDEX('Annex 2_Code'!M$8:M$33,MATCH('Annex 3_MAFF'!$AG468,'Annex 2_Code'!$G$8:$G$33,0)),"")</f>
        <v>0</v>
      </c>
      <c r="Y468" s="1533">
        <f t="shared" si="404"/>
        <v>14</v>
      </c>
      <c r="Z468" s="717">
        <f t="shared" si="405"/>
        <v>0</v>
      </c>
      <c r="AA468" s="717">
        <f t="shared" si="405"/>
        <v>0</v>
      </c>
      <c r="AB468" s="717">
        <f t="shared" si="406"/>
        <v>0</v>
      </c>
      <c r="AC468" s="718">
        <f t="shared" si="407"/>
        <v>0</v>
      </c>
      <c r="AD468" s="626">
        <f t="shared" si="423"/>
        <v>14</v>
      </c>
      <c r="AE468" s="627">
        <f t="shared" si="424"/>
        <v>0</v>
      </c>
      <c r="AF468" s="568" t="s">
        <v>562</v>
      </c>
      <c r="AG468" s="568" t="s">
        <v>394</v>
      </c>
      <c r="AH468" s="568" t="str">
        <f>IFERROR(INDEX('Annex 2_Code'!$J$110:$J$127,MATCH('Annex 3_MAFF'!AF468,'Annex 2_Code'!$G$110:$G$127,0)),"")</f>
        <v>MAFF</v>
      </c>
      <c r="AI468" s="882" t="str">
        <f t="shared" si="408"/>
        <v>MAFF</v>
      </c>
    </row>
    <row r="469" spans="1:35" outlineLevel="1">
      <c r="A469" s="102"/>
      <c r="B469" s="76" t="s">
        <v>173</v>
      </c>
      <c r="C469" s="96"/>
      <c r="D469" s="78"/>
      <c r="E469" s="97"/>
      <c r="F469" s="543" t="s">
        <v>140</v>
      </c>
      <c r="G469" s="722"/>
      <c r="H469" s="588" t="s">
        <v>14</v>
      </c>
      <c r="I469" s="1742"/>
      <c r="J469" s="679"/>
      <c r="K469" s="680"/>
      <c r="L469" s="677"/>
      <c r="M469" s="677"/>
      <c r="N469" s="678"/>
      <c r="O469" s="1103"/>
      <c r="P469" s="1094"/>
      <c r="Q469" s="1094"/>
      <c r="R469" s="1094"/>
      <c r="S469" s="145"/>
      <c r="T469" s="618" t="str">
        <f>IFERROR(INDEX('Annex 2_Code'!I$8:I$33,MATCH('Annex 3_MAFF'!$AG469,'Annex 2_Code'!$G$8:$G$33,0)),"")</f>
        <v/>
      </c>
      <c r="U469" s="618" t="str">
        <f>IFERROR(INDEX('Annex 2_Code'!J$8:J$33,MATCH('Annex 3_MAFF'!$AG469,'Annex 2_Code'!$G$8:$G$33,0)),"")</f>
        <v/>
      </c>
      <c r="V469" s="618" t="str">
        <f>IFERROR(INDEX('Annex 2_Code'!K$8:K$33,MATCH('Annex 3_MAFF'!$AG469,'Annex 2_Code'!$G$8:$G$33,0)),"")</f>
        <v/>
      </c>
      <c r="W469" s="618" t="str">
        <f>IFERROR(INDEX('Annex 2_Code'!L$8:L$33,MATCH('Annex 3_MAFF'!$AG469,'Annex 2_Code'!$G$8:$G$33,0)),"")</f>
        <v/>
      </c>
      <c r="X469" s="618" t="str">
        <f>IFERROR(INDEX('Annex 2_Code'!M$8:M$33,MATCH('Annex 3_MAFF'!$AG469,'Annex 2_Code'!$G$8:$G$33,0)),"")</f>
        <v/>
      </c>
      <c r="Y469" s="1533" t="str">
        <f t="shared" si="404"/>
        <v/>
      </c>
      <c r="Z469" s="717" t="str">
        <f t="shared" si="405"/>
        <v/>
      </c>
      <c r="AA469" s="717" t="str">
        <f t="shared" si="405"/>
        <v/>
      </c>
      <c r="AB469" s="717" t="str">
        <f t="shared" si="406"/>
        <v/>
      </c>
      <c r="AC469" s="718" t="str">
        <f t="shared" si="407"/>
        <v/>
      </c>
      <c r="AD469" s="626">
        <f t="shared" si="423"/>
        <v>0</v>
      </c>
      <c r="AE469" s="627">
        <f t="shared" si="424"/>
        <v>0</v>
      </c>
      <c r="AF469" s="568"/>
      <c r="AG469" s="568"/>
      <c r="AH469" s="568" t="str">
        <f>IFERROR(INDEX('Annex 2_Code'!$J$110:$J$127,MATCH('Annex 3_MAFF'!AF469,'Annex 2_Code'!$G$110:$G$127,0)),"")</f>
        <v/>
      </c>
      <c r="AI469" s="882" t="str">
        <f t="shared" si="408"/>
        <v/>
      </c>
    </row>
    <row r="470" spans="1:35" outlineLevel="1">
      <c r="A470" s="102"/>
      <c r="B470" s="76" t="s">
        <v>25</v>
      </c>
      <c r="C470" s="96" t="s">
        <v>296</v>
      </c>
      <c r="D470" s="78"/>
      <c r="E470" s="97"/>
      <c r="F470" s="543"/>
      <c r="G470" s="722" t="s">
        <v>153</v>
      </c>
      <c r="H470" s="538" t="s">
        <v>174</v>
      </c>
      <c r="I470" s="1742">
        <f>3300/1000</f>
        <v>3.3</v>
      </c>
      <c r="J470" s="665">
        <v>2</v>
      </c>
      <c r="K470" s="666">
        <v>1</v>
      </c>
      <c r="L470" s="666">
        <v>0.5</v>
      </c>
      <c r="M470" s="666">
        <v>0</v>
      </c>
      <c r="N470" s="667">
        <f>SUM(J470:M470)</f>
        <v>3.5</v>
      </c>
      <c r="O470" s="1103">
        <f t="shared" si="447"/>
        <v>6.6</v>
      </c>
      <c r="P470" s="1094">
        <f t="shared" ref="P470:P471" si="452">($I470*K470)</f>
        <v>3.3</v>
      </c>
      <c r="Q470" s="1094">
        <f t="shared" ref="Q470:Q471" si="453">($I470*L470)</f>
        <v>1.65</v>
      </c>
      <c r="R470" s="1094">
        <f t="shared" ref="R470:R471" si="454">($I470*M470)</f>
        <v>0</v>
      </c>
      <c r="S470" s="145">
        <f>SUM(O470:R470)</f>
        <v>11.549999999999999</v>
      </c>
      <c r="T470" s="618">
        <f>IFERROR(INDEX('Annex 2_Code'!I$8:I$33,MATCH('Annex 3_MAFF'!$AG470,'Annex 2_Code'!$G$8:$G$33,0)),"")</f>
        <v>1</v>
      </c>
      <c r="U470" s="618">
        <f>IFERROR(INDEX('Annex 2_Code'!J$8:J$33,MATCH('Annex 3_MAFF'!$AG470,'Annex 2_Code'!$G$8:$G$33,0)),"")</f>
        <v>0</v>
      </c>
      <c r="V470" s="618">
        <f>IFERROR(INDEX('Annex 2_Code'!K$8:K$33,MATCH('Annex 3_MAFF'!$AG470,'Annex 2_Code'!$G$8:$G$33,0)),"")</f>
        <v>0</v>
      </c>
      <c r="W470" s="618">
        <f>IFERROR(INDEX('Annex 2_Code'!L$8:L$33,MATCH('Annex 3_MAFF'!$AG470,'Annex 2_Code'!$G$8:$G$33,0)),"")</f>
        <v>0</v>
      </c>
      <c r="X470" s="618">
        <f>IFERROR(INDEX('Annex 2_Code'!M$8:M$33,MATCH('Annex 3_MAFF'!$AG470,'Annex 2_Code'!$G$8:$G$33,0)),"")</f>
        <v>0</v>
      </c>
      <c r="Y470" s="1533">
        <f t="shared" si="404"/>
        <v>11.549999999999999</v>
      </c>
      <c r="Z470" s="717">
        <f t="shared" si="405"/>
        <v>0</v>
      </c>
      <c r="AA470" s="717">
        <f t="shared" si="405"/>
        <v>0</v>
      </c>
      <c r="AB470" s="717">
        <f t="shared" si="406"/>
        <v>0</v>
      </c>
      <c r="AC470" s="718">
        <f t="shared" si="407"/>
        <v>0</v>
      </c>
      <c r="AD470" s="626">
        <f t="shared" si="423"/>
        <v>11.549999999999999</v>
      </c>
      <c r="AE470" s="627">
        <f t="shared" si="424"/>
        <v>0</v>
      </c>
      <c r="AF470" s="568" t="s">
        <v>562</v>
      </c>
      <c r="AG470" s="568" t="s">
        <v>396</v>
      </c>
      <c r="AH470" s="568" t="str">
        <f>IFERROR(INDEX('Annex 2_Code'!$J$110:$J$127,MATCH('Annex 3_MAFF'!AF470,'Annex 2_Code'!$G$110:$G$127,0)),"")</f>
        <v>MAFF</v>
      </c>
      <c r="AI470" s="882" t="str">
        <f t="shared" si="408"/>
        <v>MAFF</v>
      </c>
    </row>
    <row r="471" spans="1:35" outlineLevel="1">
      <c r="A471" s="102"/>
      <c r="B471" s="76" t="s">
        <v>25</v>
      </c>
      <c r="C471" s="96" t="s">
        <v>296</v>
      </c>
      <c r="D471" s="2309"/>
      <c r="E471" s="1673"/>
      <c r="F471" s="1654"/>
      <c r="G471" s="2310" t="s">
        <v>154</v>
      </c>
      <c r="H471" s="2320" t="s">
        <v>174</v>
      </c>
      <c r="I471" s="2311">
        <f>4100/1000</f>
        <v>4.0999999999999996</v>
      </c>
      <c r="J471" s="2321">
        <v>3</v>
      </c>
      <c r="K471" s="2322">
        <v>3</v>
      </c>
      <c r="L471" s="2322">
        <v>3</v>
      </c>
      <c r="M471" s="2322">
        <v>3</v>
      </c>
      <c r="N471" s="2323">
        <f>SUM(J471:M471)</f>
        <v>12</v>
      </c>
      <c r="O471" s="1103">
        <f t="shared" si="447"/>
        <v>12.299999999999999</v>
      </c>
      <c r="P471" s="1094">
        <f t="shared" si="452"/>
        <v>12.299999999999999</v>
      </c>
      <c r="Q471" s="1094">
        <f t="shared" si="453"/>
        <v>12.299999999999999</v>
      </c>
      <c r="R471" s="1094">
        <f t="shared" si="454"/>
        <v>12.299999999999999</v>
      </c>
      <c r="S471" s="145">
        <f>SUM(O471:R471)</f>
        <v>49.199999999999996</v>
      </c>
      <c r="T471" s="618">
        <f>IFERROR(INDEX('Annex 2_Code'!I$8:I$33,MATCH('Annex 3_MAFF'!$AG471,'Annex 2_Code'!$G$8:$G$33,0)),"")</f>
        <v>1</v>
      </c>
      <c r="U471" s="618">
        <f>IFERROR(INDEX('Annex 2_Code'!J$8:J$33,MATCH('Annex 3_MAFF'!$AG471,'Annex 2_Code'!$G$8:$G$33,0)),"")</f>
        <v>0</v>
      </c>
      <c r="V471" s="618">
        <f>IFERROR(INDEX('Annex 2_Code'!K$8:K$33,MATCH('Annex 3_MAFF'!$AG471,'Annex 2_Code'!$G$8:$G$33,0)),"")</f>
        <v>0</v>
      </c>
      <c r="W471" s="618">
        <f>IFERROR(INDEX('Annex 2_Code'!L$8:L$33,MATCH('Annex 3_MAFF'!$AG471,'Annex 2_Code'!$G$8:$G$33,0)),"")</f>
        <v>0</v>
      </c>
      <c r="X471" s="618">
        <f>IFERROR(INDEX('Annex 2_Code'!M$8:M$33,MATCH('Annex 3_MAFF'!$AG471,'Annex 2_Code'!$G$8:$G$33,0)),"")</f>
        <v>0</v>
      </c>
      <c r="Y471" s="1533">
        <f t="shared" si="404"/>
        <v>49.199999999999996</v>
      </c>
      <c r="Z471" s="717">
        <f t="shared" si="405"/>
        <v>0</v>
      </c>
      <c r="AA471" s="717">
        <f t="shared" si="405"/>
        <v>0</v>
      </c>
      <c r="AB471" s="717">
        <f t="shared" si="406"/>
        <v>0</v>
      </c>
      <c r="AC471" s="718">
        <f t="shared" si="407"/>
        <v>0</v>
      </c>
      <c r="AD471" s="626">
        <f t="shared" si="423"/>
        <v>49.199999999999996</v>
      </c>
      <c r="AE471" s="627">
        <f t="shared" si="424"/>
        <v>0</v>
      </c>
      <c r="AF471" s="568" t="s">
        <v>562</v>
      </c>
      <c r="AG471" s="568" t="s">
        <v>396</v>
      </c>
      <c r="AH471" s="568" t="str">
        <f>IFERROR(INDEX('Annex 2_Code'!$J$110:$J$127,MATCH('Annex 3_MAFF'!AF471,'Annex 2_Code'!$G$110:$G$127,0)),"")</f>
        <v>MAFF</v>
      </c>
      <c r="AI471" s="882" t="str">
        <f t="shared" si="408"/>
        <v>MAFF</v>
      </c>
    </row>
    <row r="472" spans="1:35" outlineLevel="1">
      <c r="A472" s="102"/>
      <c r="B472" s="76" t="s">
        <v>173</v>
      </c>
      <c r="C472" s="96"/>
      <c r="D472" s="78"/>
      <c r="E472" s="122" t="s">
        <v>1159</v>
      </c>
      <c r="F472" s="1740"/>
      <c r="G472" s="722"/>
      <c r="H472" s="1739"/>
      <c r="I472" s="1742"/>
      <c r="J472" s="1744"/>
      <c r="K472" s="1745"/>
      <c r="L472" s="1745"/>
      <c r="M472" s="1745"/>
      <c r="N472" s="667"/>
      <c r="O472" s="1103"/>
      <c r="P472" s="1094"/>
      <c r="Q472" s="1094"/>
      <c r="R472" s="1094"/>
      <c r="S472" s="1737"/>
      <c r="T472" s="618"/>
      <c r="U472" s="618"/>
      <c r="V472" s="618"/>
      <c r="W472" s="618"/>
      <c r="X472" s="618"/>
      <c r="Y472" s="1533"/>
      <c r="Z472" s="717"/>
      <c r="AA472" s="717">
        <f t="shared" si="405"/>
        <v>0</v>
      </c>
      <c r="AB472" s="717"/>
      <c r="AC472" s="718"/>
      <c r="AD472" s="626"/>
      <c r="AE472" s="627"/>
      <c r="AF472" s="568"/>
      <c r="AG472" s="568"/>
      <c r="AH472" s="568"/>
      <c r="AI472" s="882"/>
    </row>
    <row r="473" spans="1:35" outlineLevel="1">
      <c r="A473" s="102"/>
      <c r="B473" s="76" t="s">
        <v>173</v>
      </c>
      <c r="C473" s="96"/>
      <c r="D473" s="78"/>
      <c r="E473" s="97"/>
      <c r="F473" s="543" t="s">
        <v>152</v>
      </c>
      <c r="G473" s="722"/>
      <c r="H473" s="588" t="s">
        <v>14</v>
      </c>
      <c r="I473" s="1742"/>
      <c r="J473" s="679"/>
      <c r="K473" s="680"/>
      <c r="L473" s="677"/>
      <c r="M473" s="677"/>
      <c r="N473" s="678"/>
      <c r="O473" s="1103"/>
      <c r="P473" s="1094"/>
      <c r="Q473" s="1094"/>
      <c r="R473" s="1094"/>
      <c r="S473" s="145"/>
      <c r="T473" s="618" t="str">
        <f>IFERROR(INDEX('Annex 2_Code'!I$8:I$33,MATCH('Annex 3_MAFF'!$AG473,'Annex 2_Code'!$G$8:$G$33,0)),"")</f>
        <v/>
      </c>
      <c r="U473" s="618" t="str">
        <f>IFERROR(INDEX('Annex 2_Code'!J$8:J$33,MATCH('Annex 3_MAFF'!$AG473,'Annex 2_Code'!$G$8:$G$33,0)),"")</f>
        <v/>
      </c>
      <c r="V473" s="618" t="str">
        <f>IFERROR(INDEX('Annex 2_Code'!K$8:K$33,MATCH('Annex 3_MAFF'!$AG473,'Annex 2_Code'!$G$8:$G$33,0)),"")</f>
        <v/>
      </c>
      <c r="W473" s="618" t="str">
        <f>IFERROR(INDEX('Annex 2_Code'!L$8:L$33,MATCH('Annex 3_MAFF'!$AG473,'Annex 2_Code'!$G$8:$G$33,0)),"")</f>
        <v/>
      </c>
      <c r="X473" s="618" t="str">
        <f>IFERROR(INDEX('Annex 2_Code'!M$8:M$33,MATCH('Annex 3_MAFF'!$AG473,'Annex 2_Code'!$G$8:$G$33,0)),"")</f>
        <v/>
      </c>
      <c r="Y473" s="1533" t="str">
        <f t="shared" si="404"/>
        <v/>
      </c>
      <c r="Z473" s="717" t="str">
        <f t="shared" si="405"/>
        <v/>
      </c>
      <c r="AA473" s="717" t="str">
        <f t="shared" si="405"/>
        <v/>
      </c>
      <c r="AB473" s="717" t="str">
        <f t="shared" si="406"/>
        <v/>
      </c>
      <c r="AC473" s="718" t="str">
        <f t="shared" si="407"/>
        <v/>
      </c>
      <c r="AD473" s="626">
        <f t="shared" si="423"/>
        <v>0</v>
      </c>
      <c r="AE473" s="627">
        <f t="shared" si="424"/>
        <v>0</v>
      </c>
      <c r="AF473" s="568"/>
      <c r="AG473" s="568"/>
      <c r="AH473" s="568" t="str">
        <f>IFERROR(INDEX('Annex 2_Code'!$J$110:$J$127,MATCH('Annex 3_MAFF'!AF473,'Annex 2_Code'!$G$110:$G$127,0)),"")</f>
        <v/>
      </c>
      <c r="AI473" s="882" t="str">
        <f t="shared" si="408"/>
        <v/>
      </c>
    </row>
    <row r="474" spans="1:35" outlineLevel="1">
      <c r="A474" s="102"/>
      <c r="B474" s="76" t="s">
        <v>25</v>
      </c>
      <c r="C474" s="96" t="s">
        <v>296</v>
      </c>
      <c r="D474" s="78"/>
      <c r="E474" s="97"/>
      <c r="F474" s="543"/>
      <c r="G474" s="722" t="s">
        <v>156</v>
      </c>
      <c r="H474" s="538" t="s">
        <v>174</v>
      </c>
      <c r="I474" s="1742">
        <f>17000/1000</f>
        <v>17</v>
      </c>
      <c r="J474" s="665">
        <v>1</v>
      </c>
      <c r="K474" s="666">
        <v>0.5</v>
      </c>
      <c r="L474" s="666">
        <v>1</v>
      </c>
      <c r="M474" s="666">
        <v>0.5</v>
      </c>
      <c r="N474" s="667">
        <f>SUM(J474:M474)</f>
        <v>3</v>
      </c>
      <c r="O474" s="1103">
        <f t="shared" si="447"/>
        <v>17</v>
      </c>
      <c r="P474" s="1094">
        <f t="shared" ref="P474:P475" si="455">($I474*K474)</f>
        <v>8.5</v>
      </c>
      <c r="Q474" s="1094">
        <f t="shared" ref="Q474:Q475" si="456">($I474*L474)</f>
        <v>17</v>
      </c>
      <c r="R474" s="1094">
        <f>($I474*M474)</f>
        <v>8.5</v>
      </c>
      <c r="S474" s="145">
        <f>SUM(O474:R474)</f>
        <v>51</v>
      </c>
      <c r="T474" s="618">
        <f>IFERROR(INDEX('Annex 2_Code'!I$8:I$33,MATCH('Annex 3_MAFF'!$AG474,'Annex 2_Code'!$G$8:$G$33,0)),"")</f>
        <v>1</v>
      </c>
      <c r="U474" s="618">
        <f>IFERROR(INDEX('Annex 2_Code'!J$8:J$33,MATCH('Annex 3_MAFF'!$AG474,'Annex 2_Code'!$G$8:$G$33,0)),"")</f>
        <v>0</v>
      </c>
      <c r="V474" s="618">
        <f>IFERROR(INDEX('Annex 2_Code'!K$8:K$33,MATCH('Annex 3_MAFF'!$AG474,'Annex 2_Code'!$G$8:$G$33,0)),"")</f>
        <v>0</v>
      </c>
      <c r="W474" s="618">
        <f>IFERROR(INDEX('Annex 2_Code'!L$8:L$33,MATCH('Annex 3_MAFF'!$AG474,'Annex 2_Code'!$G$8:$G$33,0)),"")</f>
        <v>0</v>
      </c>
      <c r="X474" s="618">
        <f>IFERROR(INDEX('Annex 2_Code'!M$8:M$33,MATCH('Annex 3_MAFF'!$AG474,'Annex 2_Code'!$G$8:$G$33,0)),"")</f>
        <v>0</v>
      </c>
      <c r="Y474" s="1533">
        <f t="shared" si="404"/>
        <v>51</v>
      </c>
      <c r="Z474" s="717">
        <f t="shared" si="405"/>
        <v>0</v>
      </c>
      <c r="AA474" s="717">
        <f t="shared" si="405"/>
        <v>0</v>
      </c>
      <c r="AB474" s="717">
        <f t="shared" si="406"/>
        <v>0</v>
      </c>
      <c r="AC474" s="718">
        <f t="shared" si="407"/>
        <v>0</v>
      </c>
      <c r="AD474" s="626">
        <f t="shared" si="423"/>
        <v>51</v>
      </c>
      <c r="AE474" s="627">
        <f t="shared" si="424"/>
        <v>0</v>
      </c>
      <c r="AF474" s="568" t="s">
        <v>562</v>
      </c>
      <c r="AG474" s="568" t="s">
        <v>394</v>
      </c>
      <c r="AH474" s="568" t="str">
        <f>IFERROR(INDEX('Annex 2_Code'!$J$110:$J$127,MATCH('Annex 3_MAFF'!AF474,'Annex 2_Code'!$G$110:$G$127,0)),"")</f>
        <v>MAFF</v>
      </c>
      <c r="AI474" s="882" t="str">
        <f t="shared" si="408"/>
        <v>MAFF</v>
      </c>
    </row>
    <row r="475" spans="1:35" outlineLevel="1">
      <c r="A475" s="102"/>
      <c r="B475" s="76" t="s">
        <v>25</v>
      </c>
      <c r="C475" s="96" t="s">
        <v>296</v>
      </c>
      <c r="D475" s="78"/>
      <c r="E475" s="97"/>
      <c r="F475" s="543"/>
      <c r="G475" s="722" t="s">
        <v>157</v>
      </c>
      <c r="H475" s="538" t="s">
        <v>174</v>
      </c>
      <c r="I475" s="1742">
        <f>15000/1000</f>
        <v>15</v>
      </c>
      <c r="J475" s="665">
        <v>1</v>
      </c>
      <c r="K475" s="666">
        <v>1</v>
      </c>
      <c r="L475" s="666">
        <v>0.5</v>
      </c>
      <c r="M475" s="666">
        <v>0.5</v>
      </c>
      <c r="N475" s="667">
        <f>SUM(J475:M475)</f>
        <v>3</v>
      </c>
      <c r="O475" s="1103">
        <f t="shared" si="447"/>
        <v>15</v>
      </c>
      <c r="P475" s="1094">
        <f t="shared" si="455"/>
        <v>15</v>
      </c>
      <c r="Q475" s="1094">
        <f t="shared" si="456"/>
        <v>7.5</v>
      </c>
      <c r="R475" s="1094">
        <f t="shared" ref="R475" si="457">($I475*M475)</f>
        <v>7.5</v>
      </c>
      <c r="S475" s="145">
        <f>SUM(O475:R475)</f>
        <v>45</v>
      </c>
      <c r="T475" s="618">
        <f>IFERROR(INDEX('Annex 2_Code'!I$8:I$33,MATCH('Annex 3_MAFF'!$AG475,'Annex 2_Code'!$G$8:$G$33,0)),"")</f>
        <v>1</v>
      </c>
      <c r="U475" s="618">
        <f>IFERROR(INDEX('Annex 2_Code'!J$8:J$33,MATCH('Annex 3_MAFF'!$AG475,'Annex 2_Code'!$G$8:$G$33,0)),"")</f>
        <v>0</v>
      </c>
      <c r="V475" s="618">
        <f>IFERROR(INDEX('Annex 2_Code'!K$8:K$33,MATCH('Annex 3_MAFF'!$AG475,'Annex 2_Code'!$G$8:$G$33,0)),"")</f>
        <v>0</v>
      </c>
      <c r="W475" s="618">
        <f>IFERROR(INDEX('Annex 2_Code'!L$8:L$33,MATCH('Annex 3_MAFF'!$AG475,'Annex 2_Code'!$G$8:$G$33,0)),"")</f>
        <v>0</v>
      </c>
      <c r="X475" s="618">
        <f>IFERROR(INDEX('Annex 2_Code'!M$8:M$33,MATCH('Annex 3_MAFF'!$AG475,'Annex 2_Code'!$G$8:$G$33,0)),"")</f>
        <v>0</v>
      </c>
      <c r="Y475" s="1533">
        <f t="shared" si="404"/>
        <v>45</v>
      </c>
      <c r="Z475" s="717">
        <f t="shared" si="405"/>
        <v>0</v>
      </c>
      <c r="AA475" s="717">
        <f t="shared" si="405"/>
        <v>0</v>
      </c>
      <c r="AB475" s="717">
        <f t="shared" si="406"/>
        <v>0</v>
      </c>
      <c r="AC475" s="718">
        <f t="shared" si="407"/>
        <v>0</v>
      </c>
      <c r="AD475" s="626">
        <f t="shared" si="423"/>
        <v>45</v>
      </c>
      <c r="AE475" s="627">
        <f t="shared" si="424"/>
        <v>0</v>
      </c>
      <c r="AF475" s="568" t="s">
        <v>562</v>
      </c>
      <c r="AG475" s="568" t="s">
        <v>394</v>
      </c>
      <c r="AH475" s="568" t="str">
        <f>IFERROR(INDEX('Annex 2_Code'!$J$110:$J$127,MATCH('Annex 3_MAFF'!AF475,'Annex 2_Code'!$G$110:$G$127,0)),"")</f>
        <v>MAFF</v>
      </c>
      <c r="AI475" s="882" t="str">
        <f t="shared" si="408"/>
        <v>MAFF</v>
      </c>
    </row>
    <row r="476" spans="1:35" outlineLevel="1">
      <c r="A476" s="102"/>
      <c r="B476" s="76" t="s">
        <v>173</v>
      </c>
      <c r="C476" s="96"/>
      <c r="D476" s="78"/>
      <c r="E476" s="97"/>
      <c r="F476" s="543" t="s">
        <v>140</v>
      </c>
      <c r="G476" s="722"/>
      <c r="H476" s="588" t="s">
        <v>14</v>
      </c>
      <c r="I476" s="1742"/>
      <c r="J476" s="679"/>
      <c r="K476" s="680"/>
      <c r="L476" s="677"/>
      <c r="M476" s="677"/>
      <c r="N476" s="678"/>
      <c r="O476" s="1103"/>
      <c r="P476" s="1094"/>
      <c r="Q476" s="1094"/>
      <c r="R476" s="1094"/>
      <c r="S476" s="145"/>
      <c r="T476" s="618" t="str">
        <f>IFERROR(INDEX('Annex 2_Code'!I$8:I$33,MATCH('Annex 3_MAFF'!$AG476,'Annex 2_Code'!$G$8:$G$33,0)),"")</f>
        <v/>
      </c>
      <c r="U476" s="618" t="str">
        <f>IFERROR(INDEX('Annex 2_Code'!J$8:J$33,MATCH('Annex 3_MAFF'!$AG476,'Annex 2_Code'!$G$8:$G$33,0)),"")</f>
        <v/>
      </c>
      <c r="V476" s="618" t="str">
        <f>IFERROR(INDEX('Annex 2_Code'!K$8:K$33,MATCH('Annex 3_MAFF'!$AG476,'Annex 2_Code'!$G$8:$G$33,0)),"")</f>
        <v/>
      </c>
      <c r="W476" s="618" t="str">
        <f>IFERROR(INDEX('Annex 2_Code'!L$8:L$33,MATCH('Annex 3_MAFF'!$AG476,'Annex 2_Code'!$G$8:$G$33,0)),"")</f>
        <v/>
      </c>
      <c r="X476" s="618" t="str">
        <f>IFERROR(INDEX('Annex 2_Code'!M$8:M$33,MATCH('Annex 3_MAFF'!$AG476,'Annex 2_Code'!$G$8:$G$33,0)),"")</f>
        <v/>
      </c>
      <c r="Y476" s="1533" t="str">
        <f t="shared" si="404"/>
        <v/>
      </c>
      <c r="Z476" s="717" t="str">
        <f t="shared" si="405"/>
        <v/>
      </c>
      <c r="AA476" s="717" t="str">
        <f t="shared" si="405"/>
        <v/>
      </c>
      <c r="AB476" s="717" t="str">
        <f t="shared" si="406"/>
        <v/>
      </c>
      <c r="AC476" s="718" t="str">
        <f t="shared" si="407"/>
        <v/>
      </c>
      <c r="AD476" s="626">
        <f t="shared" si="423"/>
        <v>0</v>
      </c>
      <c r="AE476" s="627">
        <f t="shared" si="424"/>
        <v>0</v>
      </c>
      <c r="AF476" s="568"/>
      <c r="AG476" s="568"/>
      <c r="AH476" s="568" t="str">
        <f>IFERROR(INDEX('Annex 2_Code'!$J$110:$J$127,MATCH('Annex 3_MAFF'!AF476,'Annex 2_Code'!$G$110:$G$127,0)),"")</f>
        <v/>
      </c>
      <c r="AI476" s="882" t="str">
        <f t="shared" si="408"/>
        <v/>
      </c>
    </row>
    <row r="477" spans="1:35" outlineLevel="1">
      <c r="A477" s="102"/>
      <c r="B477" s="76" t="s">
        <v>25</v>
      </c>
      <c r="C477" s="96" t="s">
        <v>296</v>
      </c>
      <c r="D477" s="78"/>
      <c r="E477" s="97"/>
      <c r="F477" s="543"/>
      <c r="G477" s="722" t="s">
        <v>158</v>
      </c>
      <c r="H477" s="538" t="s">
        <v>174</v>
      </c>
      <c r="I477" s="1742">
        <f>3900/1000</f>
        <v>3.9</v>
      </c>
      <c r="J477" s="665">
        <v>3</v>
      </c>
      <c r="K477" s="666">
        <v>3</v>
      </c>
      <c r="L477" s="666">
        <v>3</v>
      </c>
      <c r="M477" s="666">
        <v>3</v>
      </c>
      <c r="N477" s="667">
        <f t="shared" ref="N477:N482" si="458">SUM(J477:M477)</f>
        <v>12</v>
      </c>
      <c r="O477" s="1103">
        <f t="shared" si="447"/>
        <v>11.7</v>
      </c>
      <c r="P477" s="1094">
        <f t="shared" ref="P477:P482" si="459">($I477*K477)</f>
        <v>11.7</v>
      </c>
      <c r="Q477" s="1094">
        <f t="shared" ref="Q477:Q482" si="460">($I477*L477)</f>
        <v>11.7</v>
      </c>
      <c r="R477" s="1094">
        <f t="shared" ref="R477:R482" si="461">($I477*M477)</f>
        <v>11.7</v>
      </c>
      <c r="S477" s="145">
        <f t="shared" ref="S477:S482" si="462">SUM(O477:R477)</f>
        <v>46.8</v>
      </c>
      <c r="T477" s="618">
        <f>IFERROR(INDEX('Annex 2_Code'!I$8:I$33,MATCH('Annex 3_MAFF'!$AG477,'Annex 2_Code'!$G$8:$G$33,0)),"")</f>
        <v>1</v>
      </c>
      <c r="U477" s="618">
        <f>IFERROR(INDEX('Annex 2_Code'!J$8:J$33,MATCH('Annex 3_MAFF'!$AG477,'Annex 2_Code'!$G$8:$G$33,0)),"")</f>
        <v>0</v>
      </c>
      <c r="V477" s="618">
        <f>IFERROR(INDEX('Annex 2_Code'!K$8:K$33,MATCH('Annex 3_MAFF'!$AG477,'Annex 2_Code'!$G$8:$G$33,0)),"")</f>
        <v>0</v>
      </c>
      <c r="W477" s="618">
        <f>IFERROR(INDEX('Annex 2_Code'!L$8:L$33,MATCH('Annex 3_MAFF'!$AG477,'Annex 2_Code'!$G$8:$G$33,0)),"")</f>
        <v>0</v>
      </c>
      <c r="X477" s="618">
        <f>IFERROR(INDEX('Annex 2_Code'!M$8:M$33,MATCH('Annex 3_MAFF'!$AG477,'Annex 2_Code'!$G$8:$G$33,0)),"")</f>
        <v>0</v>
      </c>
      <c r="Y477" s="1533">
        <f t="shared" si="404"/>
        <v>46.8</v>
      </c>
      <c r="Z477" s="717">
        <f t="shared" si="405"/>
        <v>0</v>
      </c>
      <c r="AA477" s="717">
        <f t="shared" si="405"/>
        <v>0</v>
      </c>
      <c r="AB477" s="717">
        <f t="shared" si="406"/>
        <v>0</v>
      </c>
      <c r="AC477" s="718">
        <f t="shared" si="407"/>
        <v>0</v>
      </c>
      <c r="AD477" s="626">
        <f t="shared" si="423"/>
        <v>46.8</v>
      </c>
      <c r="AE477" s="627">
        <f t="shared" si="424"/>
        <v>0</v>
      </c>
      <c r="AF477" s="568" t="s">
        <v>562</v>
      </c>
      <c r="AG477" s="568" t="s">
        <v>396</v>
      </c>
      <c r="AH477" s="568" t="str">
        <f>IFERROR(INDEX('Annex 2_Code'!$J$110:$J$127,MATCH('Annex 3_MAFF'!AF477,'Annex 2_Code'!$G$110:$G$127,0)),"")</f>
        <v>MAFF</v>
      </c>
      <c r="AI477" s="882" t="str">
        <f t="shared" si="408"/>
        <v>MAFF</v>
      </c>
    </row>
    <row r="478" spans="1:35" outlineLevel="1">
      <c r="A478" s="102"/>
      <c r="B478" s="76" t="s">
        <v>25</v>
      </c>
      <c r="C478" s="96" t="s">
        <v>296</v>
      </c>
      <c r="D478" s="78"/>
      <c r="E478" s="97"/>
      <c r="F478" s="543"/>
      <c r="G478" s="722" t="s">
        <v>159</v>
      </c>
      <c r="H478" s="538" t="s">
        <v>174</v>
      </c>
      <c r="I478" s="1742">
        <f>3900/1000</f>
        <v>3.9</v>
      </c>
      <c r="J478" s="665">
        <v>3</v>
      </c>
      <c r="K478" s="666">
        <v>3</v>
      </c>
      <c r="L478" s="666">
        <v>3</v>
      </c>
      <c r="M478" s="666">
        <v>3</v>
      </c>
      <c r="N478" s="667">
        <f t="shared" si="458"/>
        <v>12</v>
      </c>
      <c r="O478" s="1103">
        <f t="shared" si="447"/>
        <v>11.7</v>
      </c>
      <c r="P478" s="1094">
        <f t="shared" si="459"/>
        <v>11.7</v>
      </c>
      <c r="Q478" s="1094">
        <f t="shared" si="460"/>
        <v>11.7</v>
      </c>
      <c r="R478" s="1094">
        <f t="shared" si="461"/>
        <v>11.7</v>
      </c>
      <c r="S478" s="145">
        <f t="shared" si="462"/>
        <v>46.8</v>
      </c>
      <c r="T478" s="618">
        <f>IFERROR(INDEX('Annex 2_Code'!I$8:I$33,MATCH('Annex 3_MAFF'!$AG478,'Annex 2_Code'!$G$8:$G$33,0)),"")</f>
        <v>1</v>
      </c>
      <c r="U478" s="618">
        <f>IFERROR(INDEX('Annex 2_Code'!J$8:J$33,MATCH('Annex 3_MAFF'!$AG478,'Annex 2_Code'!$G$8:$G$33,0)),"")</f>
        <v>0</v>
      </c>
      <c r="V478" s="618">
        <f>IFERROR(INDEX('Annex 2_Code'!K$8:K$33,MATCH('Annex 3_MAFF'!$AG478,'Annex 2_Code'!$G$8:$G$33,0)),"")</f>
        <v>0</v>
      </c>
      <c r="W478" s="618">
        <f>IFERROR(INDEX('Annex 2_Code'!L$8:L$33,MATCH('Annex 3_MAFF'!$AG478,'Annex 2_Code'!$G$8:$G$33,0)),"")</f>
        <v>0</v>
      </c>
      <c r="X478" s="618">
        <f>IFERROR(INDEX('Annex 2_Code'!M$8:M$33,MATCH('Annex 3_MAFF'!$AG478,'Annex 2_Code'!$G$8:$G$33,0)),"")</f>
        <v>0</v>
      </c>
      <c r="Y478" s="1533">
        <f t="shared" si="404"/>
        <v>46.8</v>
      </c>
      <c r="Z478" s="717">
        <f t="shared" si="405"/>
        <v>0</v>
      </c>
      <c r="AA478" s="717">
        <f t="shared" si="405"/>
        <v>0</v>
      </c>
      <c r="AB478" s="717">
        <f t="shared" si="406"/>
        <v>0</v>
      </c>
      <c r="AC478" s="718">
        <f t="shared" si="407"/>
        <v>0</v>
      </c>
      <c r="AD478" s="626">
        <f t="shared" si="423"/>
        <v>46.8</v>
      </c>
      <c r="AE478" s="627">
        <f t="shared" si="424"/>
        <v>0</v>
      </c>
      <c r="AF478" s="568" t="s">
        <v>562</v>
      </c>
      <c r="AG478" s="568" t="s">
        <v>396</v>
      </c>
      <c r="AH478" s="568" t="str">
        <f>IFERROR(INDEX('Annex 2_Code'!$J$110:$J$127,MATCH('Annex 3_MAFF'!AF478,'Annex 2_Code'!$G$110:$G$127,0)),"")</f>
        <v>MAFF</v>
      </c>
      <c r="AI478" s="882" t="str">
        <f t="shared" si="408"/>
        <v>MAFF</v>
      </c>
    </row>
    <row r="479" spans="1:35" outlineLevel="1">
      <c r="A479" s="102"/>
      <c r="B479" s="76" t="s">
        <v>25</v>
      </c>
      <c r="C479" s="96" t="s">
        <v>296</v>
      </c>
      <c r="D479" s="78"/>
      <c r="E479" s="97"/>
      <c r="F479" s="543"/>
      <c r="G479" s="722" t="s">
        <v>160</v>
      </c>
      <c r="H479" s="538" t="s">
        <v>174</v>
      </c>
      <c r="I479" s="1742">
        <f>3300/1000</f>
        <v>3.3</v>
      </c>
      <c r="J479" s="665">
        <v>2</v>
      </c>
      <c r="K479" s="666">
        <v>1</v>
      </c>
      <c r="L479" s="666">
        <v>2</v>
      </c>
      <c r="M479" s="666">
        <v>1</v>
      </c>
      <c r="N479" s="667">
        <f t="shared" si="458"/>
        <v>6</v>
      </c>
      <c r="O479" s="1103">
        <f t="shared" si="447"/>
        <v>6.6</v>
      </c>
      <c r="P479" s="1094">
        <f t="shared" si="459"/>
        <v>3.3</v>
      </c>
      <c r="Q479" s="1094">
        <f t="shared" si="460"/>
        <v>6.6</v>
      </c>
      <c r="R479" s="1094">
        <f t="shared" si="461"/>
        <v>3.3</v>
      </c>
      <c r="S479" s="145">
        <f t="shared" si="462"/>
        <v>19.8</v>
      </c>
      <c r="T479" s="618">
        <f>IFERROR(INDEX('Annex 2_Code'!I$8:I$33,MATCH('Annex 3_MAFF'!$AG479,'Annex 2_Code'!$G$8:$G$33,0)),"")</f>
        <v>1</v>
      </c>
      <c r="U479" s="618">
        <f>IFERROR(INDEX('Annex 2_Code'!J$8:J$33,MATCH('Annex 3_MAFF'!$AG479,'Annex 2_Code'!$G$8:$G$33,0)),"")</f>
        <v>0</v>
      </c>
      <c r="V479" s="618">
        <f>IFERROR(INDEX('Annex 2_Code'!K$8:K$33,MATCH('Annex 3_MAFF'!$AG479,'Annex 2_Code'!$G$8:$G$33,0)),"")</f>
        <v>0</v>
      </c>
      <c r="W479" s="618">
        <f>IFERROR(INDEX('Annex 2_Code'!L$8:L$33,MATCH('Annex 3_MAFF'!$AG479,'Annex 2_Code'!$G$8:$G$33,0)),"")</f>
        <v>0</v>
      </c>
      <c r="X479" s="618">
        <f>IFERROR(INDEX('Annex 2_Code'!M$8:M$33,MATCH('Annex 3_MAFF'!$AG479,'Annex 2_Code'!$G$8:$G$33,0)),"")</f>
        <v>0</v>
      </c>
      <c r="Y479" s="1533">
        <f t="shared" si="404"/>
        <v>19.8</v>
      </c>
      <c r="Z479" s="717">
        <f t="shared" si="405"/>
        <v>0</v>
      </c>
      <c r="AA479" s="717">
        <f t="shared" si="405"/>
        <v>0</v>
      </c>
      <c r="AB479" s="717">
        <f t="shared" si="406"/>
        <v>0</v>
      </c>
      <c r="AC479" s="718">
        <f t="shared" si="407"/>
        <v>0</v>
      </c>
      <c r="AD479" s="626">
        <f t="shared" si="423"/>
        <v>19.8</v>
      </c>
      <c r="AE479" s="627">
        <f t="shared" si="424"/>
        <v>0</v>
      </c>
      <c r="AF479" s="568" t="s">
        <v>562</v>
      </c>
      <c r="AG479" s="568" t="s">
        <v>396</v>
      </c>
      <c r="AH479" s="568" t="str">
        <f>IFERROR(INDEX('Annex 2_Code'!$J$110:$J$127,MATCH('Annex 3_MAFF'!AF479,'Annex 2_Code'!$G$110:$G$127,0)),"")</f>
        <v>MAFF</v>
      </c>
      <c r="AI479" s="882" t="str">
        <f t="shared" si="408"/>
        <v>MAFF</v>
      </c>
    </row>
    <row r="480" spans="1:35" outlineLevel="1">
      <c r="A480" s="102"/>
      <c r="B480" s="76" t="s">
        <v>25</v>
      </c>
      <c r="C480" s="96" t="s">
        <v>296</v>
      </c>
      <c r="D480" s="78"/>
      <c r="E480" s="97"/>
      <c r="F480" s="543"/>
      <c r="G480" s="722" t="s">
        <v>161</v>
      </c>
      <c r="H480" s="538" t="s">
        <v>174</v>
      </c>
      <c r="I480" s="1742">
        <f>3300/1000</f>
        <v>3.3</v>
      </c>
      <c r="J480" s="665">
        <v>3</v>
      </c>
      <c r="K480" s="666">
        <v>3</v>
      </c>
      <c r="L480" s="666">
        <v>2</v>
      </c>
      <c r="M480" s="666">
        <v>1.5</v>
      </c>
      <c r="N480" s="667">
        <f t="shared" si="458"/>
        <v>9.5</v>
      </c>
      <c r="O480" s="1103">
        <f t="shared" si="447"/>
        <v>9.8999999999999986</v>
      </c>
      <c r="P480" s="1094">
        <f t="shared" si="459"/>
        <v>9.8999999999999986</v>
      </c>
      <c r="Q480" s="1094">
        <f t="shared" si="460"/>
        <v>6.6</v>
      </c>
      <c r="R480" s="1094">
        <f t="shared" si="461"/>
        <v>4.9499999999999993</v>
      </c>
      <c r="S480" s="145">
        <f t="shared" si="462"/>
        <v>31.349999999999998</v>
      </c>
      <c r="T480" s="618">
        <f>IFERROR(INDEX('Annex 2_Code'!I$8:I$33,MATCH('Annex 3_MAFF'!$AG480,'Annex 2_Code'!$G$8:$G$33,0)),"")</f>
        <v>1</v>
      </c>
      <c r="U480" s="618">
        <f>IFERROR(INDEX('Annex 2_Code'!J$8:J$33,MATCH('Annex 3_MAFF'!$AG480,'Annex 2_Code'!$G$8:$G$33,0)),"")</f>
        <v>0</v>
      </c>
      <c r="V480" s="618">
        <f>IFERROR(INDEX('Annex 2_Code'!K$8:K$33,MATCH('Annex 3_MAFF'!$AG480,'Annex 2_Code'!$G$8:$G$33,0)),"")</f>
        <v>0</v>
      </c>
      <c r="W480" s="618">
        <f>IFERROR(INDEX('Annex 2_Code'!L$8:L$33,MATCH('Annex 3_MAFF'!$AG480,'Annex 2_Code'!$G$8:$G$33,0)),"")</f>
        <v>0</v>
      </c>
      <c r="X480" s="618">
        <f>IFERROR(INDEX('Annex 2_Code'!M$8:M$33,MATCH('Annex 3_MAFF'!$AG480,'Annex 2_Code'!$G$8:$G$33,0)),"")</f>
        <v>0</v>
      </c>
      <c r="Y480" s="1533">
        <f t="shared" si="404"/>
        <v>31.349999999999998</v>
      </c>
      <c r="Z480" s="717">
        <f t="shared" si="405"/>
        <v>0</v>
      </c>
      <c r="AA480" s="717">
        <f t="shared" si="405"/>
        <v>0</v>
      </c>
      <c r="AB480" s="717">
        <f t="shared" si="406"/>
        <v>0</v>
      </c>
      <c r="AC480" s="718">
        <f t="shared" si="407"/>
        <v>0</v>
      </c>
      <c r="AD480" s="626">
        <f t="shared" si="423"/>
        <v>31.349999999999998</v>
      </c>
      <c r="AE480" s="627">
        <f t="shared" si="424"/>
        <v>0</v>
      </c>
      <c r="AF480" s="568" t="s">
        <v>562</v>
      </c>
      <c r="AG480" s="568" t="s">
        <v>396</v>
      </c>
      <c r="AH480" s="568" t="str">
        <f>IFERROR(INDEX('Annex 2_Code'!$J$110:$J$127,MATCH('Annex 3_MAFF'!AF480,'Annex 2_Code'!$G$110:$G$127,0)),"")</f>
        <v>MAFF</v>
      </c>
      <c r="AI480" s="882" t="str">
        <f t="shared" si="408"/>
        <v>MAFF</v>
      </c>
    </row>
    <row r="481" spans="1:39" outlineLevel="1">
      <c r="A481" s="102"/>
      <c r="B481" s="76" t="s">
        <v>25</v>
      </c>
      <c r="C481" s="96" t="s">
        <v>296</v>
      </c>
      <c r="D481" s="78"/>
      <c r="E481" s="97"/>
      <c r="F481" s="543"/>
      <c r="G481" s="722" t="s">
        <v>162</v>
      </c>
      <c r="H481" s="538" t="s">
        <v>174</v>
      </c>
      <c r="I481" s="1742">
        <f>3500/1000</f>
        <v>3.5</v>
      </c>
      <c r="J481" s="665">
        <v>3</v>
      </c>
      <c r="K481" s="666">
        <v>3</v>
      </c>
      <c r="L481" s="666">
        <v>3</v>
      </c>
      <c r="M481" s="666">
        <v>3</v>
      </c>
      <c r="N481" s="667">
        <f t="shared" si="458"/>
        <v>12</v>
      </c>
      <c r="O481" s="1103">
        <f t="shared" si="447"/>
        <v>10.5</v>
      </c>
      <c r="P481" s="1094">
        <f t="shared" si="459"/>
        <v>10.5</v>
      </c>
      <c r="Q481" s="1094">
        <f t="shared" si="460"/>
        <v>10.5</v>
      </c>
      <c r="R481" s="1094">
        <f t="shared" si="461"/>
        <v>10.5</v>
      </c>
      <c r="S481" s="145">
        <f t="shared" si="462"/>
        <v>42</v>
      </c>
      <c r="T481" s="618">
        <f>IFERROR(INDEX('Annex 2_Code'!I$8:I$33,MATCH('Annex 3_MAFF'!$AG481,'Annex 2_Code'!$G$8:$G$33,0)),"")</f>
        <v>1</v>
      </c>
      <c r="U481" s="618">
        <f>IFERROR(INDEX('Annex 2_Code'!J$8:J$33,MATCH('Annex 3_MAFF'!$AG481,'Annex 2_Code'!$G$8:$G$33,0)),"")</f>
        <v>0</v>
      </c>
      <c r="V481" s="618">
        <f>IFERROR(INDEX('Annex 2_Code'!K$8:K$33,MATCH('Annex 3_MAFF'!$AG481,'Annex 2_Code'!$G$8:$G$33,0)),"")</f>
        <v>0</v>
      </c>
      <c r="W481" s="618">
        <f>IFERROR(INDEX('Annex 2_Code'!L$8:L$33,MATCH('Annex 3_MAFF'!$AG481,'Annex 2_Code'!$G$8:$G$33,0)),"")</f>
        <v>0</v>
      </c>
      <c r="X481" s="618">
        <f>IFERROR(INDEX('Annex 2_Code'!M$8:M$33,MATCH('Annex 3_MAFF'!$AG481,'Annex 2_Code'!$G$8:$G$33,0)),"")</f>
        <v>0</v>
      </c>
      <c r="Y481" s="1533">
        <f t="shared" si="404"/>
        <v>42</v>
      </c>
      <c r="Z481" s="717">
        <f t="shared" si="405"/>
        <v>0</v>
      </c>
      <c r="AA481" s="717">
        <f t="shared" si="405"/>
        <v>0</v>
      </c>
      <c r="AB481" s="717">
        <f t="shared" si="406"/>
        <v>0</v>
      </c>
      <c r="AC481" s="718">
        <f t="shared" si="407"/>
        <v>0</v>
      </c>
      <c r="AD481" s="626">
        <f t="shared" si="423"/>
        <v>42</v>
      </c>
      <c r="AE481" s="627">
        <f t="shared" si="424"/>
        <v>0</v>
      </c>
      <c r="AF481" s="568" t="s">
        <v>562</v>
      </c>
      <c r="AG481" s="568" t="s">
        <v>396</v>
      </c>
      <c r="AH481" s="568" t="str">
        <f>IFERROR(INDEX('Annex 2_Code'!$J$110:$J$127,MATCH('Annex 3_MAFF'!AF481,'Annex 2_Code'!$G$110:$G$127,0)),"")</f>
        <v>MAFF</v>
      </c>
      <c r="AI481" s="882" t="str">
        <f t="shared" si="408"/>
        <v>MAFF</v>
      </c>
    </row>
    <row r="482" spans="1:39" outlineLevel="1">
      <c r="A482" s="102"/>
      <c r="B482" s="76" t="s">
        <v>25</v>
      </c>
      <c r="C482" s="96" t="s">
        <v>296</v>
      </c>
      <c r="D482" s="78"/>
      <c r="E482" s="97"/>
      <c r="F482" s="543"/>
      <c r="G482" s="722" t="s">
        <v>163</v>
      </c>
      <c r="H482" s="538" t="s">
        <v>174</v>
      </c>
      <c r="I482" s="1742">
        <f>4600/1000</f>
        <v>4.5999999999999996</v>
      </c>
      <c r="J482" s="665">
        <v>3</v>
      </c>
      <c r="K482" s="666">
        <v>2</v>
      </c>
      <c r="L482" s="666">
        <v>2</v>
      </c>
      <c r="M482" s="666">
        <v>2.5</v>
      </c>
      <c r="N482" s="667">
        <f t="shared" si="458"/>
        <v>9.5</v>
      </c>
      <c r="O482" s="1103">
        <f t="shared" si="447"/>
        <v>13.799999999999999</v>
      </c>
      <c r="P482" s="1094">
        <f t="shared" si="459"/>
        <v>9.1999999999999993</v>
      </c>
      <c r="Q482" s="1094">
        <f t="shared" si="460"/>
        <v>9.1999999999999993</v>
      </c>
      <c r="R482" s="1094">
        <f t="shared" si="461"/>
        <v>11.5</v>
      </c>
      <c r="S482" s="145">
        <f t="shared" si="462"/>
        <v>43.7</v>
      </c>
      <c r="T482" s="618">
        <f>IFERROR(INDEX('Annex 2_Code'!I$8:I$33,MATCH('Annex 3_MAFF'!$AG482,'Annex 2_Code'!$G$8:$G$33,0)),"")</f>
        <v>1</v>
      </c>
      <c r="U482" s="618">
        <f>IFERROR(INDEX('Annex 2_Code'!J$8:J$33,MATCH('Annex 3_MAFF'!$AG482,'Annex 2_Code'!$G$8:$G$33,0)),"")</f>
        <v>0</v>
      </c>
      <c r="V482" s="618">
        <f>IFERROR(INDEX('Annex 2_Code'!K$8:K$33,MATCH('Annex 3_MAFF'!$AG482,'Annex 2_Code'!$G$8:$G$33,0)),"")</f>
        <v>0</v>
      </c>
      <c r="W482" s="618">
        <f>IFERROR(INDEX('Annex 2_Code'!L$8:L$33,MATCH('Annex 3_MAFF'!$AG482,'Annex 2_Code'!$G$8:$G$33,0)),"")</f>
        <v>0</v>
      </c>
      <c r="X482" s="618">
        <f>IFERROR(INDEX('Annex 2_Code'!M$8:M$33,MATCH('Annex 3_MAFF'!$AG482,'Annex 2_Code'!$G$8:$G$33,0)),"")</f>
        <v>0</v>
      </c>
      <c r="Y482" s="1533">
        <f t="shared" si="404"/>
        <v>43.7</v>
      </c>
      <c r="Z482" s="717">
        <f t="shared" si="405"/>
        <v>0</v>
      </c>
      <c r="AA482" s="717">
        <f t="shared" si="405"/>
        <v>0</v>
      </c>
      <c r="AB482" s="717">
        <f t="shared" si="406"/>
        <v>0</v>
      </c>
      <c r="AC482" s="718">
        <f t="shared" si="407"/>
        <v>0</v>
      </c>
      <c r="AD482" s="626">
        <f t="shared" si="423"/>
        <v>43.7</v>
      </c>
      <c r="AE482" s="627">
        <f t="shared" si="424"/>
        <v>0</v>
      </c>
      <c r="AF482" s="568" t="s">
        <v>562</v>
      </c>
      <c r="AG482" s="568" t="s">
        <v>396</v>
      </c>
      <c r="AH482" s="568" t="str">
        <f>IFERROR(INDEX('Annex 2_Code'!$J$110:$J$127,MATCH('Annex 3_MAFF'!AF482,'Annex 2_Code'!$G$110:$G$127,0)),"")</f>
        <v>MAFF</v>
      </c>
      <c r="AI482" s="882" t="str">
        <f t="shared" si="408"/>
        <v>MAFF</v>
      </c>
    </row>
    <row r="483" spans="1:39" outlineLevel="1">
      <c r="A483" s="102"/>
      <c r="B483" s="76" t="s">
        <v>173</v>
      </c>
      <c r="C483" s="96"/>
      <c r="D483" s="78"/>
      <c r="E483" s="122" t="s">
        <v>1160</v>
      </c>
      <c r="F483" s="543"/>
      <c r="G483" s="722"/>
      <c r="H483" s="588" t="s">
        <v>14</v>
      </c>
      <c r="I483" s="1742"/>
      <c r="J483" s="679"/>
      <c r="K483" s="680"/>
      <c r="L483" s="677"/>
      <c r="M483" s="677"/>
      <c r="N483" s="678"/>
      <c r="O483" s="1103"/>
      <c r="P483" s="1094"/>
      <c r="Q483" s="1094"/>
      <c r="R483" s="1094"/>
      <c r="S483" s="145"/>
      <c r="T483" s="618" t="str">
        <f>IFERROR(INDEX('Annex 2_Code'!I$8:I$33,MATCH('Annex 3_MAFF'!$AG483,'Annex 2_Code'!$G$8:$G$33,0)),"")</f>
        <v/>
      </c>
      <c r="U483" s="618" t="str">
        <f>IFERROR(INDEX('Annex 2_Code'!J$8:J$33,MATCH('Annex 3_MAFF'!$AG483,'Annex 2_Code'!$G$8:$G$33,0)),"")</f>
        <v/>
      </c>
      <c r="V483" s="618" t="str">
        <f>IFERROR(INDEX('Annex 2_Code'!K$8:K$33,MATCH('Annex 3_MAFF'!$AG483,'Annex 2_Code'!$G$8:$G$33,0)),"")</f>
        <v/>
      </c>
      <c r="W483" s="618" t="str">
        <f>IFERROR(INDEX('Annex 2_Code'!L$8:L$33,MATCH('Annex 3_MAFF'!$AG483,'Annex 2_Code'!$G$8:$G$33,0)),"")</f>
        <v/>
      </c>
      <c r="X483" s="618" t="str">
        <f>IFERROR(INDEX('Annex 2_Code'!M$8:M$33,MATCH('Annex 3_MAFF'!$AG483,'Annex 2_Code'!$G$8:$G$33,0)),"")</f>
        <v/>
      </c>
      <c r="Y483" s="1533" t="str">
        <f t="shared" si="404"/>
        <v/>
      </c>
      <c r="Z483" s="717" t="str">
        <f t="shared" si="405"/>
        <v/>
      </c>
      <c r="AA483" s="717" t="str">
        <f t="shared" si="405"/>
        <v/>
      </c>
      <c r="AB483" s="717" t="str">
        <f t="shared" si="406"/>
        <v/>
      </c>
      <c r="AC483" s="718" t="str">
        <f t="shared" si="407"/>
        <v/>
      </c>
      <c r="AD483" s="626">
        <f t="shared" si="423"/>
        <v>0</v>
      </c>
      <c r="AE483" s="627">
        <f t="shared" si="424"/>
        <v>0</v>
      </c>
      <c r="AF483" s="568"/>
      <c r="AG483" s="568"/>
      <c r="AH483" s="568" t="str">
        <f>IFERROR(INDEX('Annex 2_Code'!$J$110:$J$127,MATCH('Annex 3_MAFF'!AF483,'Annex 2_Code'!$G$110:$G$127,0)),"")</f>
        <v/>
      </c>
      <c r="AI483" s="882" t="str">
        <f t="shared" si="408"/>
        <v/>
      </c>
    </row>
    <row r="484" spans="1:39" outlineLevel="1">
      <c r="A484" s="102"/>
      <c r="B484" s="76" t="s">
        <v>173</v>
      </c>
      <c r="C484" s="96"/>
      <c r="D484" s="78"/>
      <c r="E484" s="97"/>
      <c r="F484" s="543" t="s">
        <v>152</v>
      </c>
      <c r="G484" s="722"/>
      <c r="H484" s="588"/>
      <c r="I484" s="1742"/>
      <c r="J484" s="679"/>
      <c r="K484" s="680"/>
      <c r="L484" s="677"/>
      <c r="M484" s="677"/>
      <c r="N484" s="678"/>
      <c r="O484" s="1103"/>
      <c r="P484" s="1094"/>
      <c r="Q484" s="1094"/>
      <c r="R484" s="1094"/>
      <c r="S484" s="145"/>
      <c r="T484" s="618" t="str">
        <f>IFERROR(INDEX('Annex 2_Code'!I$8:I$33,MATCH('Annex 3_MAFF'!$AG484,'Annex 2_Code'!$G$8:$G$33,0)),"")</f>
        <v/>
      </c>
      <c r="U484" s="618" t="str">
        <f>IFERROR(INDEX('Annex 2_Code'!J$8:J$33,MATCH('Annex 3_MAFF'!$AG484,'Annex 2_Code'!$G$8:$G$33,0)),"")</f>
        <v/>
      </c>
      <c r="V484" s="618" t="str">
        <f>IFERROR(INDEX('Annex 2_Code'!K$8:K$33,MATCH('Annex 3_MAFF'!$AG484,'Annex 2_Code'!$G$8:$G$33,0)),"")</f>
        <v/>
      </c>
      <c r="W484" s="618" t="str">
        <f>IFERROR(INDEX('Annex 2_Code'!L$8:L$33,MATCH('Annex 3_MAFF'!$AG484,'Annex 2_Code'!$G$8:$G$33,0)),"")</f>
        <v/>
      </c>
      <c r="X484" s="618" t="str">
        <f>IFERROR(INDEX('Annex 2_Code'!M$8:M$33,MATCH('Annex 3_MAFF'!$AG484,'Annex 2_Code'!$G$8:$G$33,0)),"")</f>
        <v/>
      </c>
      <c r="Y484" s="1533" t="str">
        <f t="shared" si="404"/>
        <v/>
      </c>
      <c r="Z484" s="717" t="str">
        <f t="shared" si="405"/>
        <v/>
      </c>
      <c r="AA484" s="717" t="str">
        <f t="shared" si="405"/>
        <v/>
      </c>
      <c r="AB484" s="717" t="str">
        <f t="shared" si="406"/>
        <v/>
      </c>
      <c r="AC484" s="718" t="str">
        <f t="shared" si="407"/>
        <v/>
      </c>
      <c r="AD484" s="626">
        <f t="shared" si="423"/>
        <v>0</v>
      </c>
      <c r="AE484" s="627">
        <f t="shared" si="424"/>
        <v>0</v>
      </c>
      <c r="AF484" s="568"/>
      <c r="AG484" s="568"/>
      <c r="AH484" s="568" t="str">
        <f>IFERROR(INDEX('Annex 2_Code'!$J$110:$J$127,MATCH('Annex 3_MAFF'!AF484,'Annex 2_Code'!$G$110:$G$127,0)),"")</f>
        <v/>
      </c>
      <c r="AI484" s="882" t="str">
        <f t="shared" si="408"/>
        <v/>
      </c>
    </row>
    <row r="485" spans="1:39" outlineLevel="1">
      <c r="A485" s="102"/>
      <c r="B485" s="76" t="s">
        <v>25</v>
      </c>
      <c r="C485" s="96" t="s">
        <v>296</v>
      </c>
      <c r="D485" s="78"/>
      <c r="E485" s="97"/>
      <c r="F485" s="543"/>
      <c r="G485" s="722" t="s">
        <v>164</v>
      </c>
      <c r="H485" s="538" t="s">
        <v>174</v>
      </c>
      <c r="I485" s="1742">
        <f>18000/1000</f>
        <v>18</v>
      </c>
      <c r="J485" s="665">
        <v>1</v>
      </c>
      <c r="K485" s="666">
        <v>0</v>
      </c>
      <c r="L485" s="666">
        <v>1</v>
      </c>
      <c r="M485" s="666">
        <v>0</v>
      </c>
      <c r="N485" s="667">
        <f>SUM(J485:M485)</f>
        <v>2</v>
      </c>
      <c r="O485" s="1103">
        <f t="shared" si="447"/>
        <v>18</v>
      </c>
      <c r="P485" s="1094">
        <f t="shared" ref="P485:P486" si="463">($I485*K485)</f>
        <v>0</v>
      </c>
      <c r="Q485" s="1094">
        <f t="shared" ref="Q485:Q486" si="464">($I485*L485)</f>
        <v>18</v>
      </c>
      <c r="R485" s="1094">
        <f t="shared" ref="R485:R486" si="465">($I485*M485)</f>
        <v>0</v>
      </c>
      <c r="S485" s="145">
        <f>SUM(O485:R485)</f>
        <v>36</v>
      </c>
      <c r="T485" s="618">
        <f>IFERROR(INDEX('Annex 2_Code'!I$8:I$33,MATCH('Annex 3_MAFF'!$AG485,'Annex 2_Code'!$G$8:$G$33,0)),"")</f>
        <v>1</v>
      </c>
      <c r="U485" s="618">
        <f>IFERROR(INDEX('Annex 2_Code'!J$8:J$33,MATCH('Annex 3_MAFF'!$AG485,'Annex 2_Code'!$G$8:$G$33,0)),"")</f>
        <v>0</v>
      </c>
      <c r="V485" s="618">
        <f>IFERROR(INDEX('Annex 2_Code'!K$8:K$33,MATCH('Annex 3_MAFF'!$AG485,'Annex 2_Code'!$G$8:$G$33,0)),"")</f>
        <v>0</v>
      </c>
      <c r="W485" s="618">
        <f>IFERROR(INDEX('Annex 2_Code'!L$8:L$33,MATCH('Annex 3_MAFF'!$AG485,'Annex 2_Code'!$G$8:$G$33,0)),"")</f>
        <v>0</v>
      </c>
      <c r="X485" s="618">
        <f>IFERROR(INDEX('Annex 2_Code'!M$8:M$33,MATCH('Annex 3_MAFF'!$AG485,'Annex 2_Code'!$G$8:$G$33,0)),"")</f>
        <v>0</v>
      </c>
      <c r="Y485" s="1533">
        <f t="shared" si="404"/>
        <v>36</v>
      </c>
      <c r="Z485" s="717">
        <f t="shared" si="405"/>
        <v>0</v>
      </c>
      <c r="AA485" s="717">
        <f t="shared" si="405"/>
        <v>0</v>
      </c>
      <c r="AB485" s="717">
        <f t="shared" si="406"/>
        <v>0</v>
      </c>
      <c r="AC485" s="718">
        <f t="shared" si="407"/>
        <v>0</v>
      </c>
      <c r="AD485" s="626">
        <f t="shared" si="423"/>
        <v>36</v>
      </c>
      <c r="AE485" s="627">
        <f t="shared" si="424"/>
        <v>0</v>
      </c>
      <c r="AF485" s="568" t="s">
        <v>562</v>
      </c>
      <c r="AG485" s="568" t="s">
        <v>394</v>
      </c>
      <c r="AH485" s="568" t="str">
        <f>IFERROR(INDEX('Annex 2_Code'!$J$110:$J$127,MATCH('Annex 3_MAFF'!AF485,'Annex 2_Code'!$G$110:$G$127,0)),"")</f>
        <v>MAFF</v>
      </c>
      <c r="AI485" s="882" t="str">
        <f t="shared" si="408"/>
        <v>MAFF</v>
      </c>
    </row>
    <row r="486" spans="1:39" outlineLevel="1">
      <c r="A486" s="102"/>
      <c r="B486" s="76" t="s">
        <v>25</v>
      </c>
      <c r="C486" s="96" t="s">
        <v>296</v>
      </c>
      <c r="D486" s="78"/>
      <c r="E486" s="97"/>
      <c r="F486" s="543"/>
      <c r="G486" s="722" t="s">
        <v>165</v>
      </c>
      <c r="H486" s="538" t="s">
        <v>174</v>
      </c>
      <c r="I486" s="1742">
        <f>1600/1000</f>
        <v>1.6</v>
      </c>
      <c r="J486" s="665">
        <v>1</v>
      </c>
      <c r="K486" s="666">
        <v>0.5</v>
      </c>
      <c r="L486" s="666">
        <v>0.5</v>
      </c>
      <c r="M486" s="666">
        <v>0</v>
      </c>
      <c r="N486" s="667">
        <f>SUM(J486:M486)</f>
        <v>2</v>
      </c>
      <c r="O486" s="1103">
        <f t="shared" si="447"/>
        <v>1.6</v>
      </c>
      <c r="P486" s="1094">
        <f t="shared" si="463"/>
        <v>0.8</v>
      </c>
      <c r="Q486" s="1094">
        <f t="shared" si="464"/>
        <v>0.8</v>
      </c>
      <c r="R486" s="1094">
        <f t="shared" si="465"/>
        <v>0</v>
      </c>
      <c r="S486" s="145">
        <f>SUM(O486:R486)</f>
        <v>3.2</v>
      </c>
      <c r="T486" s="618">
        <f>IFERROR(INDEX('Annex 2_Code'!I$8:I$33,MATCH('Annex 3_MAFF'!$AG486,'Annex 2_Code'!$G$8:$G$33,0)),"")</f>
        <v>1</v>
      </c>
      <c r="U486" s="618">
        <f>IFERROR(INDEX('Annex 2_Code'!J$8:J$33,MATCH('Annex 3_MAFF'!$AG486,'Annex 2_Code'!$G$8:$G$33,0)),"")</f>
        <v>0</v>
      </c>
      <c r="V486" s="618">
        <f>IFERROR(INDEX('Annex 2_Code'!K$8:K$33,MATCH('Annex 3_MAFF'!$AG486,'Annex 2_Code'!$G$8:$G$33,0)),"")</f>
        <v>0</v>
      </c>
      <c r="W486" s="618">
        <f>IFERROR(INDEX('Annex 2_Code'!L$8:L$33,MATCH('Annex 3_MAFF'!$AG486,'Annex 2_Code'!$G$8:$G$33,0)),"")</f>
        <v>0</v>
      </c>
      <c r="X486" s="618">
        <f>IFERROR(INDEX('Annex 2_Code'!M$8:M$33,MATCH('Annex 3_MAFF'!$AG486,'Annex 2_Code'!$G$8:$G$33,0)),"")</f>
        <v>0</v>
      </c>
      <c r="Y486" s="1533">
        <f t="shared" si="404"/>
        <v>3.2</v>
      </c>
      <c r="Z486" s="717">
        <f t="shared" si="405"/>
        <v>0</v>
      </c>
      <c r="AA486" s="717">
        <f t="shared" si="405"/>
        <v>0</v>
      </c>
      <c r="AB486" s="717">
        <f t="shared" si="406"/>
        <v>0</v>
      </c>
      <c r="AC486" s="718">
        <f t="shared" si="407"/>
        <v>0</v>
      </c>
      <c r="AD486" s="626">
        <f t="shared" si="423"/>
        <v>3.2</v>
      </c>
      <c r="AE486" s="627">
        <f t="shared" si="424"/>
        <v>0</v>
      </c>
      <c r="AF486" s="568" t="s">
        <v>562</v>
      </c>
      <c r="AG486" s="568" t="s">
        <v>394</v>
      </c>
      <c r="AH486" s="568" t="str">
        <f>IFERROR(INDEX('Annex 2_Code'!$J$110:$J$127,MATCH('Annex 3_MAFF'!AF486,'Annex 2_Code'!$G$110:$G$127,0)),"")</f>
        <v>MAFF</v>
      </c>
      <c r="AI486" s="882" t="str">
        <f t="shared" si="408"/>
        <v>MAFF</v>
      </c>
    </row>
    <row r="487" spans="1:39" outlineLevel="1">
      <c r="A487" s="102"/>
      <c r="B487" s="76" t="s">
        <v>173</v>
      </c>
      <c r="C487" s="96"/>
      <c r="D487" s="78"/>
      <c r="E487" s="97"/>
      <c r="F487" s="543" t="s">
        <v>140</v>
      </c>
      <c r="G487" s="722"/>
      <c r="H487" s="588"/>
      <c r="I487" s="1742"/>
      <c r="J487" s="679"/>
      <c r="K487" s="680"/>
      <c r="L487" s="677"/>
      <c r="M487" s="677"/>
      <c r="N487" s="678"/>
      <c r="O487" s="1103"/>
      <c r="P487" s="1094"/>
      <c r="Q487" s="1094"/>
      <c r="R487" s="1094"/>
      <c r="S487" s="145"/>
      <c r="T487" s="618" t="str">
        <f>IFERROR(INDEX('Annex 2_Code'!I$8:I$33,MATCH('Annex 3_MAFF'!$AG487,'Annex 2_Code'!$G$8:$G$33,0)),"")</f>
        <v/>
      </c>
      <c r="U487" s="618" t="str">
        <f>IFERROR(INDEX('Annex 2_Code'!J$8:J$33,MATCH('Annex 3_MAFF'!$AG487,'Annex 2_Code'!$G$8:$G$33,0)),"")</f>
        <v/>
      </c>
      <c r="V487" s="618" t="str">
        <f>IFERROR(INDEX('Annex 2_Code'!K$8:K$33,MATCH('Annex 3_MAFF'!$AG487,'Annex 2_Code'!$G$8:$G$33,0)),"")</f>
        <v/>
      </c>
      <c r="W487" s="618" t="str">
        <f>IFERROR(INDEX('Annex 2_Code'!L$8:L$33,MATCH('Annex 3_MAFF'!$AG487,'Annex 2_Code'!$G$8:$G$33,0)),"")</f>
        <v/>
      </c>
      <c r="X487" s="618" t="str">
        <f>IFERROR(INDEX('Annex 2_Code'!M$8:M$33,MATCH('Annex 3_MAFF'!$AG487,'Annex 2_Code'!$G$8:$G$33,0)),"")</f>
        <v/>
      </c>
      <c r="Y487" s="1533" t="str">
        <f t="shared" si="404"/>
        <v/>
      </c>
      <c r="Z487" s="717" t="str">
        <f t="shared" si="405"/>
        <v/>
      </c>
      <c r="AA487" s="717" t="str">
        <f t="shared" si="405"/>
        <v/>
      </c>
      <c r="AB487" s="717" t="str">
        <f t="shared" si="406"/>
        <v/>
      </c>
      <c r="AC487" s="718" t="str">
        <f t="shared" si="407"/>
        <v/>
      </c>
      <c r="AD487" s="626">
        <f t="shared" si="423"/>
        <v>0</v>
      </c>
      <c r="AE487" s="627">
        <f t="shared" si="424"/>
        <v>0</v>
      </c>
      <c r="AF487" s="568"/>
      <c r="AG487" s="568"/>
      <c r="AH487" s="568" t="str">
        <f>IFERROR(INDEX('Annex 2_Code'!$J$110:$J$127,MATCH('Annex 3_MAFF'!AF487,'Annex 2_Code'!$G$110:$G$127,0)),"")</f>
        <v/>
      </c>
      <c r="AI487" s="882" t="str">
        <f t="shared" si="408"/>
        <v/>
      </c>
    </row>
    <row r="488" spans="1:39" outlineLevel="1">
      <c r="A488" s="102"/>
      <c r="B488" s="76" t="s">
        <v>25</v>
      </c>
      <c r="C488" s="96" t="s">
        <v>296</v>
      </c>
      <c r="D488" s="78"/>
      <c r="E488" s="97"/>
      <c r="F488" s="543"/>
      <c r="G488" s="722" t="s">
        <v>166</v>
      </c>
      <c r="H488" s="538" t="s">
        <v>174</v>
      </c>
      <c r="I488" s="1742">
        <f>4800/1000</f>
        <v>4.8</v>
      </c>
      <c r="J488" s="665">
        <v>2</v>
      </c>
      <c r="K488" s="666">
        <v>2</v>
      </c>
      <c r="L488" s="666">
        <v>2</v>
      </c>
      <c r="M488" s="666">
        <v>2</v>
      </c>
      <c r="N488" s="667">
        <f>SUM(J488:M488)</f>
        <v>8</v>
      </c>
      <c r="O488" s="1103">
        <f t="shared" si="447"/>
        <v>9.6</v>
      </c>
      <c r="P488" s="1094">
        <f t="shared" ref="P488" si="466">($I488*K488)</f>
        <v>9.6</v>
      </c>
      <c r="Q488" s="1094">
        <f t="shared" ref="Q488" si="467">($I488*L488)</f>
        <v>9.6</v>
      </c>
      <c r="R488" s="1094">
        <f t="shared" ref="R488" si="468">($I488*M488)</f>
        <v>9.6</v>
      </c>
      <c r="S488" s="145">
        <f>SUM(O488:R488)</f>
        <v>38.4</v>
      </c>
      <c r="T488" s="618">
        <f>IFERROR(INDEX('Annex 2_Code'!I$8:I$33,MATCH('Annex 3_MAFF'!$AG488,'Annex 2_Code'!$G$8:$G$33,0)),"")</f>
        <v>1</v>
      </c>
      <c r="U488" s="618">
        <f>IFERROR(INDEX('Annex 2_Code'!J$8:J$33,MATCH('Annex 3_MAFF'!$AG488,'Annex 2_Code'!$G$8:$G$33,0)),"")</f>
        <v>0</v>
      </c>
      <c r="V488" s="618">
        <f>IFERROR(INDEX('Annex 2_Code'!K$8:K$33,MATCH('Annex 3_MAFF'!$AG488,'Annex 2_Code'!$G$8:$G$33,0)),"")</f>
        <v>0</v>
      </c>
      <c r="W488" s="618">
        <f>IFERROR(INDEX('Annex 2_Code'!L$8:L$33,MATCH('Annex 3_MAFF'!$AG488,'Annex 2_Code'!$G$8:$G$33,0)),"")</f>
        <v>0</v>
      </c>
      <c r="X488" s="618">
        <f>IFERROR(INDEX('Annex 2_Code'!M$8:M$33,MATCH('Annex 3_MAFF'!$AG488,'Annex 2_Code'!$G$8:$G$33,0)),"")</f>
        <v>0</v>
      </c>
      <c r="Y488" s="1533">
        <f t="shared" si="404"/>
        <v>38.4</v>
      </c>
      <c r="Z488" s="717">
        <f t="shared" si="405"/>
        <v>0</v>
      </c>
      <c r="AA488" s="717">
        <f t="shared" si="405"/>
        <v>0</v>
      </c>
      <c r="AB488" s="717">
        <f t="shared" si="406"/>
        <v>0</v>
      </c>
      <c r="AC488" s="718">
        <f t="shared" si="407"/>
        <v>0</v>
      </c>
      <c r="AD488" s="626">
        <f t="shared" si="423"/>
        <v>38.4</v>
      </c>
      <c r="AE488" s="627">
        <f t="shared" si="424"/>
        <v>0</v>
      </c>
      <c r="AF488" s="568" t="s">
        <v>562</v>
      </c>
      <c r="AG488" s="568" t="s">
        <v>396</v>
      </c>
      <c r="AH488" s="568" t="str">
        <f>IFERROR(INDEX('Annex 2_Code'!$J$110:$J$127,MATCH('Annex 3_MAFF'!AF488,'Annex 2_Code'!$G$110:$G$127,0)),"")</f>
        <v>MAFF</v>
      </c>
      <c r="AI488" s="882" t="str">
        <f t="shared" si="408"/>
        <v>MAFF</v>
      </c>
    </row>
    <row r="489" spans="1:39" outlineLevel="1">
      <c r="A489" s="102"/>
      <c r="B489" s="76" t="s">
        <v>173</v>
      </c>
      <c r="C489" s="96"/>
      <c r="D489" s="78"/>
      <c r="E489" s="122" t="s">
        <v>1161</v>
      </c>
      <c r="F489" s="543"/>
      <c r="G489" s="722"/>
      <c r="H489" s="588" t="s">
        <v>14</v>
      </c>
      <c r="I489" s="1742"/>
      <c r="J489" s="679"/>
      <c r="K489" s="680"/>
      <c r="L489" s="677"/>
      <c r="M489" s="677"/>
      <c r="N489" s="678"/>
      <c r="O489" s="1103"/>
      <c r="P489" s="1094"/>
      <c r="Q489" s="1094"/>
      <c r="R489" s="1094"/>
      <c r="S489" s="145"/>
      <c r="T489" s="618" t="str">
        <f>IFERROR(INDEX('Annex 2_Code'!I$8:I$33,MATCH('Annex 3_MAFF'!$AG489,'Annex 2_Code'!$G$8:$G$33,0)),"")</f>
        <v/>
      </c>
      <c r="U489" s="618" t="str">
        <f>IFERROR(INDEX('Annex 2_Code'!J$8:J$33,MATCH('Annex 3_MAFF'!$AG489,'Annex 2_Code'!$G$8:$G$33,0)),"")</f>
        <v/>
      </c>
      <c r="V489" s="618" t="str">
        <f>IFERROR(INDEX('Annex 2_Code'!K$8:K$33,MATCH('Annex 3_MAFF'!$AG489,'Annex 2_Code'!$G$8:$G$33,0)),"")</f>
        <v/>
      </c>
      <c r="W489" s="618" t="str">
        <f>IFERROR(INDEX('Annex 2_Code'!L$8:L$33,MATCH('Annex 3_MAFF'!$AG489,'Annex 2_Code'!$G$8:$G$33,0)),"")</f>
        <v/>
      </c>
      <c r="X489" s="618" t="str">
        <f>IFERROR(INDEX('Annex 2_Code'!M$8:M$33,MATCH('Annex 3_MAFF'!$AG489,'Annex 2_Code'!$G$8:$G$33,0)),"")</f>
        <v/>
      </c>
      <c r="Y489" s="1533" t="str">
        <f t="shared" si="404"/>
        <v/>
      </c>
      <c r="Z489" s="717" t="str">
        <f t="shared" si="405"/>
        <v/>
      </c>
      <c r="AA489" s="717" t="str">
        <f t="shared" si="405"/>
        <v/>
      </c>
      <c r="AB489" s="717" t="str">
        <f t="shared" si="406"/>
        <v/>
      </c>
      <c r="AC489" s="718" t="str">
        <f t="shared" si="407"/>
        <v/>
      </c>
      <c r="AD489" s="626">
        <f t="shared" si="423"/>
        <v>0</v>
      </c>
      <c r="AE489" s="627">
        <f t="shared" si="424"/>
        <v>0</v>
      </c>
      <c r="AF489" s="568"/>
      <c r="AG489" s="568"/>
      <c r="AH489" s="568" t="str">
        <f>IFERROR(INDEX('Annex 2_Code'!$J$110:$J$127,MATCH('Annex 3_MAFF'!AF489,'Annex 2_Code'!$G$110:$G$127,0)),"")</f>
        <v/>
      </c>
      <c r="AI489" s="882" t="str">
        <f t="shared" si="408"/>
        <v/>
      </c>
    </row>
    <row r="490" spans="1:39" outlineLevel="1">
      <c r="A490" s="102"/>
      <c r="B490" s="76" t="s">
        <v>25</v>
      </c>
      <c r="C490" s="96" t="s">
        <v>296</v>
      </c>
      <c r="D490" s="78"/>
      <c r="E490" s="97"/>
      <c r="F490" s="543" t="s">
        <v>167</v>
      </c>
      <c r="G490" s="722"/>
      <c r="H490" s="538" t="s">
        <v>174</v>
      </c>
      <c r="I490" s="1742">
        <f>20000/1000</f>
        <v>20</v>
      </c>
      <c r="J490" s="665">
        <v>1</v>
      </c>
      <c r="K490" s="666">
        <v>1.5</v>
      </c>
      <c r="L490" s="666">
        <v>0</v>
      </c>
      <c r="M490" s="666">
        <v>1.5</v>
      </c>
      <c r="N490" s="667">
        <f>SUM(J490:M490)</f>
        <v>4</v>
      </c>
      <c r="O490" s="1103">
        <f t="shared" si="447"/>
        <v>20</v>
      </c>
      <c r="P490" s="1094">
        <f t="shared" ref="P490:P491" si="469">($I490*K490)</f>
        <v>30</v>
      </c>
      <c r="Q490" s="1094">
        <f t="shared" ref="Q490:Q491" si="470">($I490*L490)</f>
        <v>0</v>
      </c>
      <c r="R490" s="1094">
        <f t="shared" ref="R490:R491" si="471">($I490*M490)</f>
        <v>30</v>
      </c>
      <c r="S490" s="145">
        <f>SUM(O490:R490)</f>
        <v>80</v>
      </c>
      <c r="T490" s="618">
        <f>IFERROR(INDEX('Annex 2_Code'!I$8:I$33,MATCH('Annex 3_MAFF'!$AG490,'Annex 2_Code'!$G$8:$G$33,0)),"")</f>
        <v>1</v>
      </c>
      <c r="U490" s="618">
        <f>IFERROR(INDEX('Annex 2_Code'!J$8:J$33,MATCH('Annex 3_MAFF'!$AG490,'Annex 2_Code'!$G$8:$G$33,0)),"")</f>
        <v>0</v>
      </c>
      <c r="V490" s="618">
        <f>IFERROR(INDEX('Annex 2_Code'!K$8:K$33,MATCH('Annex 3_MAFF'!$AG490,'Annex 2_Code'!$G$8:$G$33,0)),"")</f>
        <v>0</v>
      </c>
      <c r="W490" s="618">
        <f>IFERROR(INDEX('Annex 2_Code'!L$8:L$33,MATCH('Annex 3_MAFF'!$AG490,'Annex 2_Code'!$G$8:$G$33,0)),"")</f>
        <v>0</v>
      </c>
      <c r="X490" s="618">
        <f>IFERROR(INDEX('Annex 2_Code'!M$8:M$33,MATCH('Annex 3_MAFF'!$AG490,'Annex 2_Code'!$G$8:$G$33,0)),"")</f>
        <v>0</v>
      </c>
      <c r="Y490" s="1533">
        <f t="shared" si="404"/>
        <v>80</v>
      </c>
      <c r="Z490" s="717">
        <f t="shared" si="405"/>
        <v>0</v>
      </c>
      <c r="AA490" s="717">
        <f t="shared" si="405"/>
        <v>0</v>
      </c>
      <c r="AB490" s="717">
        <f t="shared" si="406"/>
        <v>0</v>
      </c>
      <c r="AC490" s="718">
        <f t="shared" si="407"/>
        <v>0</v>
      </c>
      <c r="AD490" s="626">
        <f t="shared" si="423"/>
        <v>80</v>
      </c>
      <c r="AE490" s="627">
        <f t="shared" si="424"/>
        <v>0</v>
      </c>
      <c r="AF490" s="568" t="s">
        <v>562</v>
      </c>
      <c r="AG490" s="568" t="s">
        <v>394</v>
      </c>
      <c r="AH490" s="568" t="str">
        <f>IFERROR(INDEX('Annex 2_Code'!$J$110:$J$127,MATCH('Annex 3_MAFF'!AF490,'Annex 2_Code'!$G$110:$G$127,0)),"")</f>
        <v>MAFF</v>
      </c>
      <c r="AI490" s="882" t="str">
        <f t="shared" si="408"/>
        <v>MAFF</v>
      </c>
    </row>
    <row r="491" spans="1:39" outlineLevel="1">
      <c r="A491" s="102"/>
      <c r="B491" s="76" t="s">
        <v>25</v>
      </c>
      <c r="C491" s="96" t="s">
        <v>296</v>
      </c>
      <c r="D491" s="78"/>
      <c r="E491" s="97"/>
      <c r="F491" s="543" t="s">
        <v>168</v>
      </c>
      <c r="G491" s="722"/>
      <c r="H491" s="1090" t="s">
        <v>174</v>
      </c>
      <c r="I491" s="1742">
        <f>3300/1000</f>
        <v>3.3</v>
      </c>
      <c r="J491" s="665">
        <v>3</v>
      </c>
      <c r="K491" s="666">
        <v>3</v>
      </c>
      <c r="L491" s="666">
        <v>3</v>
      </c>
      <c r="M491" s="666">
        <v>2</v>
      </c>
      <c r="N491" s="667">
        <f>SUM(J491:M491)</f>
        <v>11</v>
      </c>
      <c r="O491" s="2060">
        <f t="shared" si="447"/>
        <v>9.8999999999999986</v>
      </c>
      <c r="P491" s="2061">
        <f t="shared" si="469"/>
        <v>9.8999999999999986</v>
      </c>
      <c r="Q491" s="2061">
        <f t="shared" si="470"/>
        <v>9.8999999999999986</v>
      </c>
      <c r="R491" s="2061">
        <f t="shared" si="471"/>
        <v>6.6</v>
      </c>
      <c r="S491" s="145">
        <f>SUM(O491:R491)</f>
        <v>36.299999999999997</v>
      </c>
      <c r="T491" s="618">
        <f>IFERROR(INDEX('Annex 2_Code'!I$8:I$33,MATCH('Annex 3_MAFF'!$AG491,'Annex 2_Code'!$G$8:$G$33,0)),"")</f>
        <v>1</v>
      </c>
      <c r="U491" s="618">
        <f>IFERROR(INDEX('Annex 2_Code'!J$8:J$33,MATCH('Annex 3_MAFF'!$AG491,'Annex 2_Code'!$G$8:$G$33,0)),"")</f>
        <v>0</v>
      </c>
      <c r="V491" s="618">
        <f>IFERROR(INDEX('Annex 2_Code'!K$8:K$33,MATCH('Annex 3_MAFF'!$AG491,'Annex 2_Code'!$G$8:$G$33,0)),"")</f>
        <v>0</v>
      </c>
      <c r="W491" s="618">
        <f>IFERROR(INDEX('Annex 2_Code'!L$8:L$33,MATCH('Annex 3_MAFF'!$AG491,'Annex 2_Code'!$G$8:$G$33,0)),"")</f>
        <v>0</v>
      </c>
      <c r="X491" s="618">
        <f>IFERROR(INDEX('Annex 2_Code'!M$8:M$33,MATCH('Annex 3_MAFF'!$AG491,'Annex 2_Code'!$G$8:$G$33,0)),"")</f>
        <v>0</v>
      </c>
      <c r="Y491" s="1533">
        <f t="shared" ref="Y491:Y532" si="472">IFERROR($S491*T491,"")</f>
        <v>36.299999999999997</v>
      </c>
      <c r="Z491" s="717">
        <f t="shared" ref="Z491:AA532" si="473">IFERROR($S491*U491,"")</f>
        <v>0</v>
      </c>
      <c r="AA491" s="717">
        <f t="shared" si="473"/>
        <v>0</v>
      </c>
      <c r="AB491" s="717">
        <f t="shared" ref="AB491:AB532" si="474">IFERROR($S491*W491,"")</f>
        <v>0</v>
      </c>
      <c r="AC491" s="718">
        <f t="shared" ref="AC491:AC532" si="475">IFERROR($S491*X491,"")</f>
        <v>0</v>
      </c>
      <c r="AD491" s="626">
        <f t="shared" si="423"/>
        <v>36.299999999999997</v>
      </c>
      <c r="AE491" s="627">
        <f t="shared" si="424"/>
        <v>0</v>
      </c>
      <c r="AF491" s="568" t="s">
        <v>562</v>
      </c>
      <c r="AG491" s="568" t="s">
        <v>396</v>
      </c>
      <c r="AH491" s="568" t="str">
        <f>IFERROR(INDEX('Annex 2_Code'!$J$110:$J$127,MATCH('Annex 3_MAFF'!AF491,'Annex 2_Code'!$G$110:$G$127,0)),"")</f>
        <v>MAFF</v>
      </c>
      <c r="AI491" s="882" t="str">
        <f t="shared" si="408"/>
        <v>MAFF</v>
      </c>
    </row>
    <row r="492" spans="1:39" outlineLevel="1">
      <c r="A492" s="102"/>
      <c r="B492" s="76" t="s">
        <v>173</v>
      </c>
      <c r="C492" s="96"/>
      <c r="D492" s="1464"/>
      <c r="E492" s="1440" t="s">
        <v>41</v>
      </c>
      <c r="F492" s="1477"/>
      <c r="G492" s="1428"/>
      <c r="H492" s="1429" t="s">
        <v>14</v>
      </c>
      <c r="I492" s="1752"/>
      <c r="J492" s="1497"/>
      <c r="K492" s="1498"/>
      <c r="L492" s="1432"/>
      <c r="M492" s="1432"/>
      <c r="N492" s="1433"/>
      <c r="O492" s="1434">
        <f>SUM(O458:O491)</f>
        <v>203.15</v>
      </c>
      <c r="P492" s="1435">
        <f t="shared" ref="P492:R492" si="476">SUM(P458:P491)</f>
        <v>199.04999999999998</v>
      </c>
      <c r="Q492" s="1435">
        <f t="shared" si="476"/>
        <v>158.69999999999999</v>
      </c>
      <c r="R492" s="1435">
        <f t="shared" si="476"/>
        <v>145.04999999999998</v>
      </c>
      <c r="S492" s="1436">
        <f>SUM(S458:S491)</f>
        <v>705.95</v>
      </c>
      <c r="T492" s="618" t="str">
        <f>IFERROR(INDEX('Annex 2_Code'!I$8:I$33,MATCH('Annex 3_MAFF'!$AG492,'Annex 2_Code'!$G$8:$G$33,0)),"")</f>
        <v/>
      </c>
      <c r="U492" s="618" t="str">
        <f>IFERROR(INDEX('Annex 2_Code'!J$8:J$33,MATCH('Annex 3_MAFF'!$AG492,'Annex 2_Code'!$G$8:$G$33,0)),"")</f>
        <v/>
      </c>
      <c r="V492" s="618" t="str">
        <f>IFERROR(INDEX('Annex 2_Code'!K$8:K$33,MATCH('Annex 3_MAFF'!$AG492,'Annex 2_Code'!$G$8:$G$33,0)),"")</f>
        <v/>
      </c>
      <c r="W492" s="618" t="str">
        <f>IFERROR(INDEX('Annex 2_Code'!L$8:L$33,MATCH('Annex 3_MAFF'!$AG492,'Annex 2_Code'!$G$8:$G$33,0)),"")</f>
        <v/>
      </c>
      <c r="X492" s="618" t="str">
        <f>IFERROR(INDEX('Annex 2_Code'!M$8:M$33,MATCH('Annex 3_MAFF'!$AG492,'Annex 2_Code'!$G$8:$G$33,0)),"")</f>
        <v/>
      </c>
      <c r="Y492" s="1533" t="str">
        <f t="shared" si="472"/>
        <v/>
      </c>
      <c r="Z492" s="717" t="str">
        <f t="shared" si="473"/>
        <v/>
      </c>
      <c r="AA492" s="717" t="str">
        <f t="shared" si="473"/>
        <v/>
      </c>
      <c r="AB492" s="717" t="str">
        <f t="shared" si="474"/>
        <v/>
      </c>
      <c r="AC492" s="718" t="str">
        <f t="shared" si="475"/>
        <v/>
      </c>
      <c r="AD492" s="626">
        <f t="shared" si="423"/>
        <v>0</v>
      </c>
      <c r="AE492" s="627">
        <f t="shared" si="424"/>
        <v>-705.95</v>
      </c>
      <c r="AF492" s="568"/>
      <c r="AG492" s="568"/>
      <c r="AH492" s="568" t="str">
        <f>IFERROR(INDEX('Annex 2_Code'!$J$110:$J$127,MATCH('Annex 3_MAFF'!AF492,'Annex 2_Code'!$G$110:$G$127,0)),"")</f>
        <v/>
      </c>
      <c r="AI492" s="882" t="str">
        <f t="shared" si="408"/>
        <v/>
      </c>
      <c r="AL492" s="1389">
        <f>SUM(Y458:Y492)</f>
        <v>705.95</v>
      </c>
      <c r="AM492" s="1379" t="s">
        <v>1030</v>
      </c>
    </row>
    <row r="493" spans="1:39" outlineLevel="1">
      <c r="A493" s="102"/>
      <c r="B493" s="374" t="s">
        <v>173</v>
      </c>
      <c r="C493" s="588"/>
      <c r="D493" s="484"/>
      <c r="E493" s="424" t="s">
        <v>1162</v>
      </c>
      <c r="F493" s="543"/>
      <c r="G493" s="730"/>
      <c r="H493" s="588"/>
      <c r="I493" s="1742"/>
      <c r="J493" s="676"/>
      <c r="K493" s="677"/>
      <c r="L493" s="677"/>
      <c r="M493" s="677"/>
      <c r="N493" s="678"/>
      <c r="O493" s="688"/>
      <c r="P493" s="689"/>
      <c r="Q493" s="689"/>
      <c r="R493" s="689"/>
      <c r="S493" s="145"/>
      <c r="T493" s="618" t="str">
        <f>IFERROR(INDEX('Annex 2_Code'!I$8:I$33,MATCH('Annex 3_MAFF'!$AG493,'Annex 2_Code'!$G$8:$G$33,0)),"")</f>
        <v/>
      </c>
      <c r="U493" s="618" t="str">
        <f>IFERROR(INDEX('Annex 2_Code'!J$8:J$33,MATCH('Annex 3_MAFF'!$AG493,'Annex 2_Code'!$G$8:$G$33,0)),"")</f>
        <v/>
      </c>
      <c r="V493" s="618" t="str">
        <f>IFERROR(INDEX('Annex 2_Code'!K$8:K$33,MATCH('Annex 3_MAFF'!$AG493,'Annex 2_Code'!$G$8:$G$33,0)),"")</f>
        <v/>
      </c>
      <c r="W493" s="618" t="str">
        <f>IFERROR(INDEX('Annex 2_Code'!L$8:L$33,MATCH('Annex 3_MAFF'!$AG493,'Annex 2_Code'!$G$8:$G$33,0)),"")</f>
        <v/>
      </c>
      <c r="X493" s="618" t="str">
        <f>IFERROR(INDEX('Annex 2_Code'!M$8:M$33,MATCH('Annex 3_MAFF'!$AG493,'Annex 2_Code'!$G$8:$G$33,0)),"")</f>
        <v/>
      </c>
      <c r="Y493" s="1533" t="str">
        <f t="shared" ref="Y493:Y501" si="477">IFERROR($S493*T493,"")</f>
        <v/>
      </c>
      <c r="Z493" s="717" t="str">
        <f t="shared" ref="Z493:Z501" si="478">IFERROR($S493*U493,"")</f>
        <v/>
      </c>
      <c r="AA493" s="717" t="str">
        <f t="shared" si="473"/>
        <v/>
      </c>
      <c r="AB493" s="717" t="str">
        <f t="shared" ref="AB493:AB501" si="479">IFERROR($S493*W493,"")</f>
        <v/>
      </c>
      <c r="AC493" s="718" t="str">
        <f t="shared" ref="AC493:AC501" si="480">IFERROR($S493*X493,"")</f>
        <v/>
      </c>
      <c r="AD493" s="626">
        <f t="shared" si="423"/>
        <v>0</v>
      </c>
      <c r="AE493" s="627">
        <f t="shared" si="424"/>
        <v>0</v>
      </c>
      <c r="AF493" s="568"/>
      <c r="AG493" s="568"/>
      <c r="AH493" s="568" t="str">
        <f>IFERROR(INDEX('Annex 2_Code'!$J$110:$J$127,MATCH('Annex 3_MAFF'!AF493,'Annex 2_Code'!$G$110:$G$127,0)),"")</f>
        <v/>
      </c>
      <c r="AI493" s="882" t="str">
        <f t="shared" ref="AI493:AI515" si="481">IF(ISNUMBER(FIND("-",AH493,1))=FALSE,LEFT(AH493,LEN(AH493)),LEFT(AH493,(FIND("-",AH493,1))-1))</f>
        <v/>
      </c>
    </row>
    <row r="494" spans="1:39" outlineLevel="1">
      <c r="A494" s="102"/>
      <c r="B494" s="374" t="s">
        <v>25</v>
      </c>
      <c r="C494" s="588" t="s">
        <v>296</v>
      </c>
      <c r="D494" s="484"/>
      <c r="E494" s="424"/>
      <c r="F494" s="1978" t="s">
        <v>289</v>
      </c>
      <c r="G494" s="730"/>
      <c r="H494" s="588" t="s">
        <v>172</v>
      </c>
      <c r="I494" s="1742">
        <f>33000/1000</f>
        <v>33</v>
      </c>
      <c r="J494" s="676">
        <v>1</v>
      </c>
      <c r="K494" s="677">
        <v>1</v>
      </c>
      <c r="L494" s="677">
        <v>1</v>
      </c>
      <c r="M494" s="677">
        <v>1</v>
      </c>
      <c r="N494" s="678">
        <f>SUM(J494:M494)</f>
        <v>4</v>
      </c>
      <c r="O494" s="1194">
        <f>$I494*J494</f>
        <v>33</v>
      </c>
      <c r="P494" s="1189">
        <f>$I494*K494</f>
        <v>33</v>
      </c>
      <c r="Q494" s="1189">
        <f t="shared" ref="Q494:R494" si="482">$I494*L494</f>
        <v>33</v>
      </c>
      <c r="R494" s="1189">
        <f t="shared" si="482"/>
        <v>33</v>
      </c>
      <c r="S494" s="1190">
        <f>SUM(O494:R494)</f>
        <v>132</v>
      </c>
      <c r="T494" s="618">
        <f>IFERROR(INDEX('Annex 2_Code'!I$8:I$33,MATCH('Annex 3_MAFF'!$AG494,'Annex 2_Code'!$G$8:$G$33,0)),"")</f>
        <v>1</v>
      </c>
      <c r="U494" s="618">
        <f>IFERROR(INDEX('Annex 2_Code'!J$8:J$33,MATCH('Annex 3_MAFF'!$AG494,'Annex 2_Code'!$G$8:$G$33,0)),"")</f>
        <v>0</v>
      </c>
      <c r="V494" s="618">
        <f>IFERROR(INDEX('Annex 2_Code'!K$8:K$33,MATCH('Annex 3_MAFF'!$AG494,'Annex 2_Code'!$G$8:$G$33,0)),"")</f>
        <v>0</v>
      </c>
      <c r="W494" s="618">
        <f>IFERROR(INDEX('Annex 2_Code'!L$8:L$33,MATCH('Annex 3_MAFF'!$AG494,'Annex 2_Code'!$G$8:$G$33,0)),"")</f>
        <v>0</v>
      </c>
      <c r="X494" s="618">
        <f>IFERROR(INDEX('Annex 2_Code'!M$8:M$33,MATCH('Annex 3_MAFF'!$AG494,'Annex 2_Code'!$G$8:$G$33,0)),"")</f>
        <v>0</v>
      </c>
      <c r="Y494" s="1533">
        <f t="shared" si="477"/>
        <v>132</v>
      </c>
      <c r="Z494" s="717">
        <f t="shared" si="478"/>
        <v>0</v>
      </c>
      <c r="AA494" s="717">
        <f t="shared" si="473"/>
        <v>0</v>
      </c>
      <c r="AB494" s="717">
        <f t="shared" si="479"/>
        <v>0</v>
      </c>
      <c r="AC494" s="718">
        <f t="shared" si="480"/>
        <v>0</v>
      </c>
      <c r="AD494" s="626">
        <f t="shared" si="423"/>
        <v>132</v>
      </c>
      <c r="AE494" s="627">
        <f t="shared" si="424"/>
        <v>0</v>
      </c>
      <c r="AF494" s="568" t="s">
        <v>562</v>
      </c>
      <c r="AG494" s="569" t="s">
        <v>396</v>
      </c>
      <c r="AH494" s="568" t="str">
        <f>IFERROR(INDEX('Annex 2_Code'!$J$110:$J$127,MATCH('Annex 3_MAFF'!AF494,'Annex 2_Code'!$G$110:$G$127,0)),"")</f>
        <v>MAFF</v>
      </c>
      <c r="AI494" s="882" t="str">
        <f t="shared" si="481"/>
        <v>MAFF</v>
      </c>
      <c r="AL494" s="1389">
        <f>+Y494</f>
        <v>132</v>
      </c>
      <c r="AM494" s="1379" t="s">
        <v>1031</v>
      </c>
    </row>
    <row r="495" spans="1:39" outlineLevel="1">
      <c r="A495" s="102"/>
      <c r="B495" s="374" t="s">
        <v>173</v>
      </c>
      <c r="C495" s="588"/>
      <c r="D495" s="484"/>
      <c r="E495" s="424" t="s">
        <v>1163</v>
      </c>
      <c r="F495" s="543"/>
      <c r="G495" s="730"/>
      <c r="H495" s="588"/>
      <c r="I495" s="1742"/>
      <c r="J495" s="676"/>
      <c r="K495" s="677"/>
      <c r="L495" s="677"/>
      <c r="M495" s="677"/>
      <c r="N495" s="678"/>
      <c r="O495" s="691"/>
      <c r="P495" s="692"/>
      <c r="Q495" s="692"/>
      <c r="R495" s="692"/>
      <c r="S495" s="115"/>
      <c r="T495" s="618" t="str">
        <f>IFERROR(INDEX('Annex 2_Code'!I$8:I$33,MATCH('Annex 3_MAFF'!$AG495,'Annex 2_Code'!$G$8:$G$33,0)),"")</f>
        <v/>
      </c>
      <c r="U495" s="618" t="str">
        <f>IFERROR(INDEX('Annex 2_Code'!J$8:J$33,MATCH('Annex 3_MAFF'!$AG495,'Annex 2_Code'!$G$8:$G$33,0)),"")</f>
        <v/>
      </c>
      <c r="V495" s="618" t="str">
        <f>IFERROR(INDEX('Annex 2_Code'!K$8:K$33,MATCH('Annex 3_MAFF'!$AG495,'Annex 2_Code'!$G$8:$G$33,0)),"")</f>
        <v/>
      </c>
      <c r="W495" s="618" t="str">
        <f>IFERROR(INDEX('Annex 2_Code'!L$8:L$33,MATCH('Annex 3_MAFF'!$AG495,'Annex 2_Code'!$G$8:$G$33,0)),"")</f>
        <v/>
      </c>
      <c r="X495" s="618" t="str">
        <f>IFERROR(INDEX('Annex 2_Code'!M$8:M$33,MATCH('Annex 3_MAFF'!$AG495,'Annex 2_Code'!$G$8:$G$33,0)),"")</f>
        <v/>
      </c>
      <c r="Y495" s="1533" t="str">
        <f t="shared" si="477"/>
        <v/>
      </c>
      <c r="Z495" s="717" t="str">
        <f t="shared" si="478"/>
        <v/>
      </c>
      <c r="AA495" s="717" t="str">
        <f t="shared" si="473"/>
        <v/>
      </c>
      <c r="AB495" s="717" t="str">
        <f t="shared" si="479"/>
        <v/>
      </c>
      <c r="AC495" s="718" t="str">
        <f t="shared" si="480"/>
        <v/>
      </c>
      <c r="AD495" s="626">
        <f t="shared" si="423"/>
        <v>0</v>
      </c>
      <c r="AE495" s="627">
        <f t="shared" si="424"/>
        <v>0</v>
      </c>
      <c r="AF495" s="568"/>
      <c r="AG495" s="568"/>
      <c r="AH495" s="568" t="str">
        <f>IFERROR(INDEX('Annex 2_Code'!$J$110:$J$127,MATCH('Annex 3_MAFF'!AF495,'Annex 2_Code'!$G$110:$G$127,0)),"")</f>
        <v/>
      </c>
      <c r="AI495" s="882" t="str">
        <f t="shared" si="481"/>
        <v/>
      </c>
    </row>
    <row r="496" spans="1:39" outlineLevel="1">
      <c r="A496" s="102"/>
      <c r="B496" s="374" t="s">
        <v>25</v>
      </c>
      <c r="C496" s="588" t="s">
        <v>296</v>
      </c>
      <c r="D496" s="484"/>
      <c r="E496" s="424"/>
      <c r="F496" s="1978" t="s">
        <v>708</v>
      </c>
      <c r="G496" s="730"/>
      <c r="H496" s="588" t="s">
        <v>172</v>
      </c>
      <c r="I496" s="1742">
        <f>3000/1000</f>
        <v>3</v>
      </c>
      <c r="J496" s="676">
        <v>1</v>
      </c>
      <c r="K496" s="677">
        <v>1</v>
      </c>
      <c r="L496" s="677">
        <v>1</v>
      </c>
      <c r="M496" s="677">
        <v>1</v>
      </c>
      <c r="N496" s="678">
        <f>SUM(J496:M496)</f>
        <v>4</v>
      </c>
      <c r="O496" s="1103">
        <f>$I496*J496</f>
        <v>3</v>
      </c>
      <c r="P496" s="1094">
        <f t="shared" ref="P496:R499" si="483">$I496*K496</f>
        <v>3</v>
      </c>
      <c r="Q496" s="1094">
        <f t="shared" si="483"/>
        <v>3</v>
      </c>
      <c r="R496" s="1094">
        <f t="shared" si="483"/>
        <v>3</v>
      </c>
      <c r="S496" s="145">
        <f>SUM(O496:R496)</f>
        <v>12</v>
      </c>
      <c r="T496" s="618">
        <f>IFERROR(INDEX('Annex 2_Code'!I$8:I$33,MATCH('Annex 3_MAFF'!$AG496,'Annex 2_Code'!$G$8:$G$33,0)),"")</f>
        <v>1</v>
      </c>
      <c r="U496" s="618">
        <f>IFERROR(INDEX('Annex 2_Code'!J$8:J$33,MATCH('Annex 3_MAFF'!$AG496,'Annex 2_Code'!$G$8:$G$33,0)),"")</f>
        <v>0</v>
      </c>
      <c r="V496" s="618">
        <f>IFERROR(INDEX('Annex 2_Code'!K$8:K$33,MATCH('Annex 3_MAFF'!$AG496,'Annex 2_Code'!$G$8:$G$33,0)),"")</f>
        <v>0</v>
      </c>
      <c r="W496" s="618">
        <f>IFERROR(INDEX('Annex 2_Code'!L$8:L$33,MATCH('Annex 3_MAFF'!$AG496,'Annex 2_Code'!$G$8:$G$33,0)),"")</f>
        <v>0</v>
      </c>
      <c r="X496" s="618">
        <f>IFERROR(INDEX('Annex 2_Code'!M$8:M$33,MATCH('Annex 3_MAFF'!$AG496,'Annex 2_Code'!$G$8:$G$33,0)),"")</f>
        <v>0</v>
      </c>
      <c r="Y496" s="1533">
        <f t="shared" si="477"/>
        <v>12</v>
      </c>
      <c r="Z496" s="717">
        <f t="shared" si="478"/>
        <v>0</v>
      </c>
      <c r="AA496" s="717">
        <f t="shared" si="473"/>
        <v>0</v>
      </c>
      <c r="AB496" s="717">
        <f t="shared" si="479"/>
        <v>0</v>
      </c>
      <c r="AC496" s="718">
        <f t="shared" si="480"/>
        <v>0</v>
      </c>
      <c r="AD496" s="626">
        <f t="shared" si="423"/>
        <v>12</v>
      </c>
      <c r="AE496" s="627">
        <f t="shared" si="424"/>
        <v>0</v>
      </c>
      <c r="AF496" s="568" t="s">
        <v>562</v>
      </c>
      <c r="AG496" s="569" t="s">
        <v>396</v>
      </c>
      <c r="AH496" s="568" t="str">
        <f>IFERROR(INDEX('Annex 2_Code'!$J$110:$J$127,MATCH('Annex 3_MAFF'!AF496,'Annex 2_Code'!$G$110:$G$127,0)),"")</f>
        <v>MAFF</v>
      </c>
      <c r="AI496" s="882" t="str">
        <f t="shared" si="481"/>
        <v>MAFF</v>
      </c>
    </row>
    <row r="497" spans="1:39" outlineLevel="1">
      <c r="A497" s="102"/>
      <c r="B497" s="374" t="s">
        <v>25</v>
      </c>
      <c r="C497" s="588" t="s">
        <v>296</v>
      </c>
      <c r="D497" s="484"/>
      <c r="E497" s="424"/>
      <c r="F497" s="1978" t="s">
        <v>291</v>
      </c>
      <c r="G497" s="730"/>
      <c r="H497" s="588" t="s">
        <v>172</v>
      </c>
      <c r="I497" s="1742">
        <f>500/1000</f>
        <v>0.5</v>
      </c>
      <c r="J497" s="676">
        <v>1</v>
      </c>
      <c r="K497" s="677">
        <v>1</v>
      </c>
      <c r="L497" s="677">
        <v>1</v>
      </c>
      <c r="M497" s="677">
        <v>1</v>
      </c>
      <c r="N497" s="678">
        <f>SUM(J497:M497)</f>
        <v>4</v>
      </c>
      <c r="O497" s="1103">
        <f t="shared" ref="O497:O499" si="484">$I497*J497</f>
        <v>0.5</v>
      </c>
      <c r="P497" s="1094">
        <f t="shared" si="483"/>
        <v>0.5</v>
      </c>
      <c r="Q497" s="1094">
        <f t="shared" si="483"/>
        <v>0.5</v>
      </c>
      <c r="R497" s="1094">
        <f t="shared" si="483"/>
        <v>0.5</v>
      </c>
      <c r="S497" s="145">
        <f>SUM(O497:R497)</f>
        <v>2</v>
      </c>
      <c r="T497" s="618">
        <f>IFERROR(INDEX('Annex 2_Code'!I$8:I$33,MATCH('Annex 3_MAFF'!$AG497,'Annex 2_Code'!$G$8:$G$33,0)),"")</f>
        <v>1</v>
      </c>
      <c r="U497" s="618">
        <f>IFERROR(INDEX('Annex 2_Code'!J$8:J$33,MATCH('Annex 3_MAFF'!$AG497,'Annex 2_Code'!$G$8:$G$33,0)),"")</f>
        <v>0</v>
      </c>
      <c r="V497" s="618">
        <f>IFERROR(INDEX('Annex 2_Code'!K$8:K$33,MATCH('Annex 3_MAFF'!$AG497,'Annex 2_Code'!$G$8:$G$33,0)),"")</f>
        <v>0</v>
      </c>
      <c r="W497" s="618">
        <f>IFERROR(INDEX('Annex 2_Code'!L$8:L$33,MATCH('Annex 3_MAFF'!$AG497,'Annex 2_Code'!$G$8:$G$33,0)),"")</f>
        <v>0</v>
      </c>
      <c r="X497" s="618">
        <f>IFERROR(INDEX('Annex 2_Code'!M$8:M$33,MATCH('Annex 3_MAFF'!$AG497,'Annex 2_Code'!$G$8:$G$33,0)),"")</f>
        <v>0</v>
      </c>
      <c r="Y497" s="1533">
        <f t="shared" si="477"/>
        <v>2</v>
      </c>
      <c r="Z497" s="717">
        <f t="shared" si="478"/>
        <v>0</v>
      </c>
      <c r="AA497" s="717">
        <f t="shared" si="473"/>
        <v>0</v>
      </c>
      <c r="AB497" s="717">
        <f t="shared" si="479"/>
        <v>0</v>
      </c>
      <c r="AC497" s="718">
        <f t="shared" si="480"/>
        <v>0</v>
      </c>
      <c r="AD497" s="626">
        <f t="shared" si="423"/>
        <v>2</v>
      </c>
      <c r="AE497" s="627">
        <f t="shared" si="424"/>
        <v>0</v>
      </c>
      <c r="AF497" s="568" t="s">
        <v>562</v>
      </c>
      <c r="AG497" s="569" t="s">
        <v>396</v>
      </c>
      <c r="AH497" s="568" t="str">
        <f>IFERROR(INDEX('Annex 2_Code'!$J$110:$J$127,MATCH('Annex 3_MAFF'!AF497,'Annex 2_Code'!$G$110:$G$127,0)),"")</f>
        <v>MAFF</v>
      </c>
      <c r="AI497" s="882" t="str">
        <f t="shared" si="481"/>
        <v>MAFF</v>
      </c>
    </row>
    <row r="498" spans="1:39" outlineLevel="1">
      <c r="A498" s="102"/>
      <c r="B498" s="374" t="s">
        <v>25</v>
      </c>
      <c r="C498" s="588" t="s">
        <v>296</v>
      </c>
      <c r="D498" s="484"/>
      <c r="E498" s="424"/>
      <c r="F498" s="2176" t="s">
        <v>574</v>
      </c>
      <c r="G498" s="730"/>
      <c r="H498" s="588" t="s">
        <v>172</v>
      </c>
      <c r="I498" s="1742">
        <f>3000/1000</f>
        <v>3</v>
      </c>
      <c r="J498" s="676">
        <v>0</v>
      </c>
      <c r="K498" s="677">
        <v>0</v>
      </c>
      <c r="L498" s="677">
        <v>0</v>
      </c>
      <c r="M498" s="677">
        <v>0</v>
      </c>
      <c r="N498" s="678">
        <f>SUM(J498:M498)</f>
        <v>0</v>
      </c>
      <c r="O498" s="1103">
        <f t="shared" si="484"/>
        <v>0</v>
      </c>
      <c r="P498" s="1094">
        <f t="shared" si="483"/>
        <v>0</v>
      </c>
      <c r="Q498" s="1094">
        <f t="shared" si="483"/>
        <v>0</v>
      </c>
      <c r="R498" s="1094">
        <f t="shared" si="483"/>
        <v>0</v>
      </c>
      <c r="S498" s="145">
        <f>SUM(O498:R498)</f>
        <v>0</v>
      </c>
      <c r="T498" s="618">
        <f>IFERROR(INDEX('Annex 2_Code'!I$8:I$33,MATCH('Annex 3_MAFF'!$AG498,'Annex 2_Code'!$G$8:$G$33,0)),"")</f>
        <v>1</v>
      </c>
      <c r="U498" s="618">
        <f>IFERROR(INDEX('Annex 2_Code'!J$8:J$33,MATCH('Annex 3_MAFF'!$AG498,'Annex 2_Code'!$G$8:$G$33,0)),"")</f>
        <v>0</v>
      </c>
      <c r="V498" s="618">
        <f>IFERROR(INDEX('Annex 2_Code'!K$8:K$33,MATCH('Annex 3_MAFF'!$AG498,'Annex 2_Code'!$G$8:$G$33,0)),"")</f>
        <v>0</v>
      </c>
      <c r="W498" s="618">
        <f>IFERROR(INDEX('Annex 2_Code'!L$8:L$33,MATCH('Annex 3_MAFF'!$AG498,'Annex 2_Code'!$G$8:$G$33,0)),"")</f>
        <v>0</v>
      </c>
      <c r="X498" s="618">
        <f>IFERROR(INDEX('Annex 2_Code'!M$8:M$33,MATCH('Annex 3_MAFF'!$AG498,'Annex 2_Code'!$G$8:$G$33,0)),"")</f>
        <v>0</v>
      </c>
      <c r="Y498" s="1533">
        <f t="shared" si="477"/>
        <v>0</v>
      </c>
      <c r="Z498" s="717">
        <f t="shared" si="478"/>
        <v>0</v>
      </c>
      <c r="AA498" s="717">
        <f t="shared" si="473"/>
        <v>0</v>
      </c>
      <c r="AB498" s="717">
        <f t="shared" si="479"/>
        <v>0</v>
      </c>
      <c r="AC498" s="718">
        <f t="shared" si="480"/>
        <v>0</v>
      </c>
      <c r="AD498" s="626">
        <f t="shared" si="423"/>
        <v>0</v>
      </c>
      <c r="AE498" s="627">
        <f t="shared" si="424"/>
        <v>0</v>
      </c>
      <c r="AF498" s="568" t="s">
        <v>562</v>
      </c>
      <c r="AG498" s="569" t="s">
        <v>396</v>
      </c>
      <c r="AH498" s="568" t="str">
        <f>IFERROR(INDEX('Annex 2_Code'!$J$110:$J$127,MATCH('Annex 3_MAFF'!AF498,'Annex 2_Code'!$G$110:$G$127,0)),"")</f>
        <v>MAFF</v>
      </c>
      <c r="AI498" s="882" t="str">
        <f t="shared" si="481"/>
        <v>MAFF</v>
      </c>
    </row>
    <row r="499" spans="1:39" outlineLevel="1">
      <c r="A499" s="102"/>
      <c r="B499" s="374" t="s">
        <v>25</v>
      </c>
      <c r="C499" s="588" t="s">
        <v>296</v>
      </c>
      <c r="D499" s="484"/>
      <c r="E499" s="424"/>
      <c r="F499" s="2176" t="s">
        <v>571</v>
      </c>
      <c r="G499" s="730"/>
      <c r="H499" s="588" t="s">
        <v>172</v>
      </c>
      <c r="I499" s="1742">
        <f>3000/1000</f>
        <v>3</v>
      </c>
      <c r="J499" s="676">
        <v>1</v>
      </c>
      <c r="K499" s="677">
        <v>1</v>
      </c>
      <c r="L499" s="677">
        <v>1</v>
      </c>
      <c r="M499" s="677">
        <v>1</v>
      </c>
      <c r="N499" s="678">
        <f>SUM(J499:M499)</f>
        <v>4</v>
      </c>
      <c r="O499" s="2060">
        <f t="shared" si="484"/>
        <v>3</v>
      </c>
      <c r="P499" s="2061">
        <f t="shared" si="483"/>
        <v>3</v>
      </c>
      <c r="Q499" s="2061">
        <f t="shared" si="483"/>
        <v>3</v>
      </c>
      <c r="R499" s="2061">
        <f t="shared" si="483"/>
        <v>3</v>
      </c>
      <c r="S499" s="145">
        <f>SUM(O499:R499)</f>
        <v>12</v>
      </c>
      <c r="T499" s="618">
        <f>IFERROR(INDEX('Annex 2_Code'!I$8:I$33,MATCH('Annex 3_MAFF'!$AG499,'Annex 2_Code'!$G$8:$G$33,0)),"")</f>
        <v>1</v>
      </c>
      <c r="U499" s="618">
        <f>IFERROR(INDEX('Annex 2_Code'!J$8:J$33,MATCH('Annex 3_MAFF'!$AG499,'Annex 2_Code'!$G$8:$G$33,0)),"")</f>
        <v>0</v>
      </c>
      <c r="V499" s="618">
        <f>IFERROR(INDEX('Annex 2_Code'!K$8:K$33,MATCH('Annex 3_MAFF'!$AG499,'Annex 2_Code'!$G$8:$G$33,0)),"")</f>
        <v>0</v>
      </c>
      <c r="W499" s="618">
        <f>IFERROR(INDEX('Annex 2_Code'!L$8:L$33,MATCH('Annex 3_MAFF'!$AG499,'Annex 2_Code'!$G$8:$G$33,0)),"")</f>
        <v>0</v>
      </c>
      <c r="X499" s="618">
        <f>IFERROR(INDEX('Annex 2_Code'!M$8:M$33,MATCH('Annex 3_MAFF'!$AG499,'Annex 2_Code'!$G$8:$G$33,0)),"")</f>
        <v>0</v>
      </c>
      <c r="Y499" s="1533">
        <f>IFERROR($S499*T499,"")</f>
        <v>12</v>
      </c>
      <c r="Z499" s="717">
        <f>IFERROR($S499*U499,"")</f>
        <v>0</v>
      </c>
      <c r="AA499" s="717">
        <f t="shared" si="473"/>
        <v>0</v>
      </c>
      <c r="AB499" s="717">
        <f>IFERROR($S499*W499,"")</f>
        <v>0</v>
      </c>
      <c r="AC499" s="718">
        <f>IFERROR($S499*X499,"")</f>
        <v>0</v>
      </c>
      <c r="AD499" s="626">
        <f t="shared" si="423"/>
        <v>12</v>
      </c>
      <c r="AE499" s="627">
        <f t="shared" si="424"/>
        <v>0</v>
      </c>
      <c r="AF499" s="568" t="s">
        <v>562</v>
      </c>
      <c r="AG499" s="569" t="s">
        <v>396</v>
      </c>
      <c r="AH499" s="568" t="str">
        <f>IFERROR(INDEX('Annex 2_Code'!$J$110:$J$127,MATCH('Annex 3_MAFF'!AF499,'Annex 2_Code'!$G$110:$G$127,0)),"")</f>
        <v>MAFF</v>
      </c>
      <c r="AI499" s="882" t="str">
        <f>IF(ISNUMBER(FIND("-",AH499,1))=FALSE,LEFT(AH499,LEN(AH499)),LEFT(AH499,(FIND("-",AH499,1))-1))</f>
        <v>MAFF</v>
      </c>
    </row>
    <row r="500" spans="1:39" outlineLevel="1">
      <c r="A500" s="102"/>
      <c r="B500" s="374" t="s">
        <v>173</v>
      </c>
      <c r="C500" s="588"/>
      <c r="D500" s="1425"/>
      <c r="E500" s="1427" t="s">
        <v>41</v>
      </c>
      <c r="F500" s="1477"/>
      <c r="G500" s="1496"/>
      <c r="H500" s="1429"/>
      <c r="I500" s="1750"/>
      <c r="J500" s="1446"/>
      <c r="K500" s="1447"/>
      <c r="L500" s="1432"/>
      <c r="M500" s="1432"/>
      <c r="N500" s="1432"/>
      <c r="O500" s="1422">
        <f>SUM(O496:O499)</f>
        <v>6.5</v>
      </c>
      <c r="P500" s="1424">
        <f>SUM(P496:P499)</f>
        <v>6.5</v>
      </c>
      <c r="Q500" s="1424">
        <f>SUM(Q496:Q499)</f>
        <v>6.5</v>
      </c>
      <c r="R500" s="1424">
        <f>SUM(R496:R499)</f>
        <v>6.5</v>
      </c>
      <c r="S500" s="1423">
        <f>SUM(S496:S499)</f>
        <v>26</v>
      </c>
      <c r="T500" s="425"/>
      <c r="U500" s="425"/>
      <c r="V500" s="425"/>
      <c r="W500" s="425"/>
      <c r="X500" s="425"/>
      <c r="Y500" s="716">
        <f t="shared" si="477"/>
        <v>0</v>
      </c>
      <c r="Z500" s="717">
        <f t="shared" si="478"/>
        <v>0</v>
      </c>
      <c r="AA500" s="717">
        <f t="shared" si="473"/>
        <v>0</v>
      </c>
      <c r="AB500" s="717">
        <f t="shared" si="479"/>
        <v>0</v>
      </c>
      <c r="AC500" s="718">
        <f t="shared" si="480"/>
        <v>0</v>
      </c>
      <c r="AD500" s="626">
        <f t="shared" si="423"/>
        <v>0</v>
      </c>
      <c r="AE500" s="627">
        <f t="shared" si="424"/>
        <v>-26</v>
      </c>
      <c r="AF500" s="568"/>
      <c r="AG500" s="568"/>
      <c r="AH500" s="568" t="str">
        <f>IFERROR(INDEX('Annex 2_Code'!$J$110:$J$127,MATCH('Annex 3_MAFF'!AF500,'Annex 2_Code'!$G$110:$G$127,0)),"")</f>
        <v/>
      </c>
      <c r="AI500" s="882" t="str">
        <f>IF(ISNUMBER(FIND("-",AH500,1))=FALSE,LEFT(AH500,LEN(AH500)),LEFT(AH500,(FIND("-",AH500,1))-1))</f>
        <v/>
      </c>
      <c r="AK500" s="1389">
        <f>SUM(S458:S491)+SUM(S493:S499)</f>
        <v>863.95</v>
      </c>
      <c r="AL500" s="1386" t="s">
        <v>296</v>
      </c>
    </row>
    <row r="501" spans="1:39" outlineLevel="1">
      <c r="A501" s="102"/>
      <c r="B501" s="76" t="s">
        <v>173</v>
      </c>
      <c r="C501" s="96"/>
      <c r="D501" s="2031"/>
      <c r="E501" s="2032" t="s">
        <v>581</v>
      </c>
      <c r="F501" s="2033"/>
      <c r="G501" s="2034"/>
      <c r="H501" s="2035"/>
      <c r="I501" s="2036"/>
      <c r="J501" s="2037"/>
      <c r="K501" s="2038"/>
      <c r="L501" s="2039"/>
      <c r="M501" s="2039"/>
      <c r="N501" s="2040"/>
      <c r="O501" s="2041">
        <f>O492+O494+O500</f>
        <v>242.65</v>
      </c>
      <c r="P501" s="2042">
        <f>P492+P494+P500</f>
        <v>238.54999999999998</v>
      </c>
      <c r="Q501" s="2042">
        <f>Q492+Q494+Q500</f>
        <v>198.2</v>
      </c>
      <c r="R501" s="2042">
        <f>R492+R494+R500</f>
        <v>184.54999999999998</v>
      </c>
      <c r="S501" s="2043">
        <f>S492+S494+S500</f>
        <v>863.95</v>
      </c>
      <c r="T501" s="618"/>
      <c r="U501" s="618"/>
      <c r="V501" s="618"/>
      <c r="W501" s="618"/>
      <c r="X501" s="618"/>
      <c r="Y501" s="716">
        <f t="shared" si="477"/>
        <v>0</v>
      </c>
      <c r="Z501" s="717">
        <f t="shared" si="478"/>
        <v>0</v>
      </c>
      <c r="AA501" s="717">
        <f t="shared" si="473"/>
        <v>0</v>
      </c>
      <c r="AB501" s="717">
        <f t="shared" si="479"/>
        <v>0</v>
      </c>
      <c r="AC501" s="718">
        <f t="shared" si="480"/>
        <v>0</v>
      </c>
      <c r="AD501" s="626">
        <f t="shared" si="423"/>
        <v>0</v>
      </c>
      <c r="AE501" s="627">
        <f t="shared" si="424"/>
        <v>-863.95</v>
      </c>
      <c r="AF501" s="568"/>
      <c r="AG501" s="568"/>
      <c r="AH501" s="568"/>
      <c r="AI501" s="882"/>
      <c r="AL501" s="1389">
        <f>SUM(Y496:Y499)</f>
        <v>26</v>
      </c>
      <c r="AM501" s="1389" t="s">
        <v>1032</v>
      </c>
    </row>
    <row r="502" spans="1:39" outlineLevel="1">
      <c r="A502" s="102"/>
      <c r="B502" s="76" t="s">
        <v>173</v>
      </c>
      <c r="C502" s="96"/>
      <c r="D502" s="78"/>
      <c r="E502" s="1149"/>
      <c r="F502" s="1980"/>
      <c r="G502" s="722"/>
      <c r="H502" s="588"/>
      <c r="I502" s="1742"/>
      <c r="J502" s="679"/>
      <c r="K502" s="680"/>
      <c r="L502" s="1747"/>
      <c r="M502" s="1747"/>
      <c r="N502" s="678"/>
      <c r="O502" s="149"/>
      <c r="P502" s="164"/>
      <c r="Q502" s="164"/>
      <c r="R502" s="164"/>
      <c r="S502" s="115"/>
      <c r="T502" s="618"/>
      <c r="U502" s="618"/>
      <c r="V502" s="618"/>
      <c r="W502" s="618"/>
      <c r="X502" s="618"/>
      <c r="Y502" s="716"/>
      <c r="Z502" s="717"/>
      <c r="AA502" s="717">
        <f t="shared" si="473"/>
        <v>0</v>
      </c>
      <c r="AB502" s="717"/>
      <c r="AC502" s="718"/>
      <c r="AD502" s="626"/>
      <c r="AE502" s="627"/>
      <c r="AF502" s="568"/>
      <c r="AG502" s="568"/>
      <c r="AH502" s="568"/>
      <c r="AI502" s="882"/>
      <c r="AL502" s="1389"/>
      <c r="AM502" s="1389"/>
    </row>
    <row r="503" spans="1:39" outlineLevel="1">
      <c r="A503" s="102"/>
      <c r="B503" s="76" t="s">
        <v>173</v>
      </c>
      <c r="C503" s="96"/>
      <c r="D503" s="78"/>
      <c r="E503" s="122" t="s">
        <v>1164</v>
      </c>
      <c r="F503" s="543"/>
      <c r="G503" s="722"/>
      <c r="H503" s="588"/>
      <c r="I503" s="1742"/>
      <c r="J503" s="679"/>
      <c r="K503" s="680"/>
      <c r="L503" s="677"/>
      <c r="M503" s="677"/>
      <c r="N503" s="678"/>
      <c r="O503" s="691"/>
      <c r="P503" s="692"/>
      <c r="Q503" s="692"/>
      <c r="R503" s="692"/>
      <c r="S503" s="115"/>
      <c r="T503" s="618" t="str">
        <f>IFERROR(INDEX('Annex 2_Code'!I$8:I$33,MATCH('Annex 3_MAFF'!$AG503,'Annex 2_Code'!$G$8:$G$33,0)),"")</f>
        <v/>
      </c>
      <c r="U503" s="618" t="str">
        <f>IFERROR(INDEX('Annex 2_Code'!J$8:J$33,MATCH('Annex 3_MAFF'!$AG503,'Annex 2_Code'!$G$8:$G$33,0)),"")</f>
        <v/>
      </c>
      <c r="V503" s="618" t="str">
        <f>IFERROR(INDEX('Annex 2_Code'!K$8:K$33,MATCH('Annex 3_MAFF'!$AG503,'Annex 2_Code'!$G$8:$G$33,0)),"")</f>
        <v/>
      </c>
      <c r="W503" s="618" t="str">
        <f>IFERROR(INDEX('Annex 2_Code'!L$8:L$33,MATCH('Annex 3_MAFF'!$AG503,'Annex 2_Code'!$G$8:$G$33,0)),"")</f>
        <v/>
      </c>
      <c r="X503" s="618" t="str">
        <f>IFERROR(INDEX('Annex 2_Code'!M$8:M$33,MATCH('Annex 3_MAFF'!$AG503,'Annex 2_Code'!$G$8:$G$33,0)),"")</f>
        <v/>
      </c>
      <c r="Y503" s="716" t="str">
        <f t="shared" si="472"/>
        <v/>
      </c>
      <c r="Z503" s="717" t="str">
        <f t="shared" si="473"/>
        <v/>
      </c>
      <c r="AA503" s="717" t="str">
        <f t="shared" si="473"/>
        <v/>
      </c>
      <c r="AB503" s="717" t="str">
        <f t="shared" si="474"/>
        <v/>
      </c>
      <c r="AC503" s="718" t="str">
        <f t="shared" si="475"/>
        <v/>
      </c>
      <c r="AD503" s="626">
        <f t="shared" si="423"/>
        <v>0</v>
      </c>
      <c r="AE503" s="627">
        <f t="shared" si="424"/>
        <v>0</v>
      </c>
      <c r="AF503" s="568"/>
      <c r="AG503" s="568"/>
      <c r="AH503" s="568" t="str">
        <f>IFERROR(INDEX('Annex 2_Code'!$J$110:$J$127,MATCH('Annex 3_MAFF'!AF503,'Annex 2_Code'!$G$110:$G$127,0)),"")</f>
        <v/>
      </c>
      <c r="AI503" s="882" t="str">
        <f t="shared" si="481"/>
        <v/>
      </c>
    </row>
    <row r="504" spans="1:39" outlineLevel="1">
      <c r="A504" s="102"/>
      <c r="B504" s="76" t="s">
        <v>173</v>
      </c>
      <c r="C504" s="96"/>
      <c r="D504" s="78"/>
      <c r="E504" s="122" t="s">
        <v>1165</v>
      </c>
      <c r="F504" s="543"/>
      <c r="G504" s="722"/>
      <c r="H504" s="588"/>
      <c r="I504" s="1742"/>
      <c r="J504" s="679"/>
      <c r="K504" s="680"/>
      <c r="L504" s="677"/>
      <c r="M504" s="677"/>
      <c r="N504" s="678"/>
      <c r="O504" s="691"/>
      <c r="P504" s="692"/>
      <c r="Q504" s="692"/>
      <c r="R504" s="692"/>
      <c r="S504" s="115"/>
      <c r="T504" s="618" t="str">
        <f>IFERROR(INDEX('Annex 2_Code'!I$8:I$33,MATCH('Annex 3_MAFF'!$AG504,'Annex 2_Code'!$G$8:$G$33,0)),"")</f>
        <v/>
      </c>
      <c r="U504" s="618" t="str">
        <f>IFERROR(INDEX('Annex 2_Code'!J$8:J$33,MATCH('Annex 3_MAFF'!$AG504,'Annex 2_Code'!$G$8:$G$33,0)),"")</f>
        <v/>
      </c>
      <c r="V504" s="618" t="str">
        <f>IFERROR(INDEX('Annex 2_Code'!K$8:K$33,MATCH('Annex 3_MAFF'!$AG504,'Annex 2_Code'!$G$8:$G$33,0)),"")</f>
        <v/>
      </c>
      <c r="W504" s="618" t="str">
        <f>IFERROR(INDEX('Annex 2_Code'!L$8:L$33,MATCH('Annex 3_MAFF'!$AG504,'Annex 2_Code'!$G$8:$G$33,0)),"")</f>
        <v/>
      </c>
      <c r="X504" s="618" t="str">
        <f>IFERROR(INDEX('Annex 2_Code'!M$8:M$33,MATCH('Annex 3_MAFF'!$AG504,'Annex 2_Code'!$G$8:$G$33,0)),"")</f>
        <v/>
      </c>
      <c r="Y504" s="716" t="str">
        <f t="shared" si="472"/>
        <v/>
      </c>
      <c r="Z504" s="717" t="str">
        <f t="shared" si="473"/>
        <v/>
      </c>
      <c r="AA504" s="717" t="str">
        <f t="shared" si="473"/>
        <v/>
      </c>
      <c r="AB504" s="717" t="str">
        <f t="shared" si="474"/>
        <v/>
      </c>
      <c r="AC504" s="718" t="str">
        <f t="shared" si="475"/>
        <v/>
      </c>
      <c r="AD504" s="626">
        <f t="shared" si="423"/>
        <v>0</v>
      </c>
      <c r="AE504" s="627">
        <f t="shared" si="424"/>
        <v>0</v>
      </c>
      <c r="AF504" s="568"/>
      <c r="AG504" s="568"/>
      <c r="AH504" s="568" t="str">
        <f>IFERROR(INDEX('Annex 2_Code'!$J$110:$J$127,MATCH('Annex 3_MAFF'!AF504,'Annex 2_Code'!$G$110:$G$127,0)),"")</f>
        <v/>
      </c>
      <c r="AI504" s="882" t="str">
        <f t="shared" si="481"/>
        <v/>
      </c>
    </row>
    <row r="505" spans="1:39" outlineLevel="1">
      <c r="A505" s="102"/>
      <c r="B505" s="76" t="s">
        <v>173</v>
      </c>
      <c r="C505" s="96"/>
      <c r="D505" s="78"/>
      <c r="E505" s="122"/>
      <c r="F505" s="543" t="s">
        <v>274</v>
      </c>
      <c r="G505" s="722"/>
      <c r="H505" s="588"/>
      <c r="I505" s="1742"/>
      <c r="J505" s="679"/>
      <c r="K505" s="680"/>
      <c r="L505" s="677"/>
      <c r="M505" s="677"/>
      <c r="N505" s="678"/>
      <c r="O505" s="691"/>
      <c r="P505" s="692"/>
      <c r="Q505" s="692"/>
      <c r="R505" s="692"/>
      <c r="S505" s="115"/>
      <c r="T505" s="618" t="str">
        <f>IFERROR(INDEX('Annex 2_Code'!I$8:I$33,MATCH('Annex 3_MAFF'!$AG505,'Annex 2_Code'!$G$8:$G$33,0)),"")</f>
        <v/>
      </c>
      <c r="U505" s="618" t="str">
        <f>IFERROR(INDEX('Annex 2_Code'!J$8:J$33,MATCH('Annex 3_MAFF'!$AG505,'Annex 2_Code'!$G$8:$G$33,0)),"")</f>
        <v/>
      </c>
      <c r="V505" s="618" t="str">
        <f>IFERROR(INDEX('Annex 2_Code'!K$8:K$33,MATCH('Annex 3_MAFF'!$AG505,'Annex 2_Code'!$G$8:$G$33,0)),"")</f>
        <v/>
      </c>
      <c r="W505" s="618" t="str">
        <f>IFERROR(INDEX('Annex 2_Code'!L$8:L$33,MATCH('Annex 3_MAFF'!$AG505,'Annex 2_Code'!$G$8:$G$33,0)),"")</f>
        <v/>
      </c>
      <c r="X505" s="618" t="str">
        <f>IFERROR(INDEX('Annex 2_Code'!M$8:M$33,MATCH('Annex 3_MAFF'!$AG505,'Annex 2_Code'!$G$8:$G$33,0)),"")</f>
        <v/>
      </c>
      <c r="Y505" s="716" t="str">
        <f t="shared" si="472"/>
        <v/>
      </c>
      <c r="Z505" s="717" t="str">
        <f t="shared" si="473"/>
        <v/>
      </c>
      <c r="AA505" s="717" t="str">
        <f t="shared" si="473"/>
        <v/>
      </c>
      <c r="AB505" s="717" t="str">
        <f t="shared" si="474"/>
        <v/>
      </c>
      <c r="AC505" s="718" t="str">
        <f t="shared" si="475"/>
        <v/>
      </c>
      <c r="AD505" s="626">
        <f t="shared" ref="AD505:AD529" si="485">SUM(Y505:AC505)</f>
        <v>0</v>
      </c>
      <c r="AE505" s="627">
        <f t="shared" ref="AE505:AE529" si="486">AD505-S505</f>
        <v>0</v>
      </c>
      <c r="AF505" s="568"/>
      <c r="AG505" s="568"/>
      <c r="AH505" s="568" t="str">
        <f>IFERROR(INDEX('Annex 2_Code'!$J$110:$J$127,MATCH('Annex 3_MAFF'!AF505,'Annex 2_Code'!$G$110:$G$127,0)),"")</f>
        <v/>
      </c>
      <c r="AI505" s="882" t="str">
        <f t="shared" si="481"/>
        <v/>
      </c>
    </row>
    <row r="506" spans="1:39" outlineLevel="1">
      <c r="A506" s="102"/>
      <c r="B506" s="76" t="s">
        <v>25</v>
      </c>
      <c r="C506" s="96" t="s">
        <v>273</v>
      </c>
      <c r="D506" s="78"/>
      <c r="E506" s="122"/>
      <c r="F506" s="543"/>
      <c r="G506" s="732" t="s">
        <v>275</v>
      </c>
      <c r="H506" s="538" t="s">
        <v>174</v>
      </c>
      <c r="I506" s="1742">
        <f>17000/1000</f>
        <v>17</v>
      </c>
      <c r="J506"/>
      <c r="K506">
        <v>2.5</v>
      </c>
      <c r="L506">
        <v>1.5</v>
      </c>
      <c r="M506">
        <v>3</v>
      </c>
      <c r="N506" s="667">
        <f t="shared" ref="N506:N523" si="487">SUM(J506:M506)</f>
        <v>7</v>
      </c>
      <c r="O506" s="1103">
        <f>($I506*J506)</f>
        <v>0</v>
      </c>
      <c r="P506" s="1094">
        <f t="shared" ref="P506:R521" si="488">($I506*K506)</f>
        <v>42.5</v>
      </c>
      <c r="Q506" s="1094">
        <f t="shared" si="488"/>
        <v>25.5</v>
      </c>
      <c r="R506" s="1094">
        <f t="shared" si="488"/>
        <v>51</v>
      </c>
      <c r="S506" s="145">
        <f>SUM(O506:R506)</f>
        <v>119</v>
      </c>
      <c r="T506" s="618">
        <f>IFERROR(INDEX('Annex 2_Code'!I$8:I$33,MATCH('Annex 3_MAFF'!$AG506,'Annex 2_Code'!$G$8:$G$33,0)),"")</f>
        <v>1</v>
      </c>
      <c r="U506" s="618">
        <f>IFERROR(INDEX('Annex 2_Code'!J$8:J$33,MATCH('Annex 3_MAFF'!$AG506,'Annex 2_Code'!$G$8:$G$33,0)),"")</f>
        <v>0</v>
      </c>
      <c r="V506" s="618">
        <f>IFERROR(INDEX('Annex 2_Code'!K$8:K$33,MATCH('Annex 3_MAFF'!$AG506,'Annex 2_Code'!$G$8:$G$33,0)),"")</f>
        <v>0</v>
      </c>
      <c r="W506" s="618">
        <f>IFERROR(INDEX('Annex 2_Code'!L$8:L$33,MATCH('Annex 3_MAFF'!$AG506,'Annex 2_Code'!$G$8:$G$33,0)),"")</f>
        <v>0</v>
      </c>
      <c r="X506" s="618">
        <f>IFERROR(INDEX('Annex 2_Code'!M$8:M$33,MATCH('Annex 3_MAFF'!$AG506,'Annex 2_Code'!$G$8:$G$33,0)),"")</f>
        <v>0</v>
      </c>
      <c r="Y506" s="1536">
        <f t="shared" si="472"/>
        <v>119</v>
      </c>
      <c r="Z506" s="717">
        <f t="shared" si="473"/>
        <v>0</v>
      </c>
      <c r="AA506" s="717">
        <f t="shared" si="473"/>
        <v>0</v>
      </c>
      <c r="AB506" s="717">
        <f t="shared" si="474"/>
        <v>0</v>
      </c>
      <c r="AC506" s="718">
        <f t="shared" si="475"/>
        <v>0</v>
      </c>
      <c r="AD506" s="626">
        <f t="shared" si="485"/>
        <v>119</v>
      </c>
      <c r="AE506" s="627">
        <f t="shared" si="486"/>
        <v>0</v>
      </c>
      <c r="AF506" s="568" t="s">
        <v>562</v>
      </c>
      <c r="AG506" s="568" t="s">
        <v>394</v>
      </c>
      <c r="AH506" s="568" t="str">
        <f>IFERROR(INDEX('Annex 2_Code'!$J$110:$J$127,MATCH('Annex 3_MAFF'!AF506,'Annex 2_Code'!$G$110:$G$127,0)),"")</f>
        <v>MAFF</v>
      </c>
      <c r="AI506" s="882" t="str">
        <f t="shared" si="481"/>
        <v>MAFF</v>
      </c>
    </row>
    <row r="507" spans="1:39" outlineLevel="1">
      <c r="A507" s="102"/>
      <c r="B507" s="76" t="s">
        <v>25</v>
      </c>
      <c r="C507" s="96" t="s">
        <v>273</v>
      </c>
      <c r="D507" s="78"/>
      <c r="E507" s="122"/>
      <c r="F507" s="543"/>
      <c r="G507" s="732" t="s">
        <v>276</v>
      </c>
      <c r="H507" s="538" t="s">
        <v>174</v>
      </c>
      <c r="I507" s="1742">
        <f>18900/1000</f>
        <v>18.899999999999999</v>
      </c>
      <c r="J507">
        <v>0.9</v>
      </c>
      <c r="K507">
        <v>0.9</v>
      </c>
      <c r="L507">
        <v>0.9</v>
      </c>
      <c r="M507">
        <v>0.9</v>
      </c>
      <c r="N507" s="667">
        <f t="shared" si="487"/>
        <v>3.6</v>
      </c>
      <c r="O507" s="1103">
        <f t="shared" ref="O507:O523" si="489">($I507*J507)</f>
        <v>17.009999999999998</v>
      </c>
      <c r="P507" s="1094">
        <f t="shared" si="488"/>
        <v>17.009999999999998</v>
      </c>
      <c r="Q507" s="1094">
        <f t="shared" si="488"/>
        <v>17.009999999999998</v>
      </c>
      <c r="R507" s="1094">
        <f t="shared" si="488"/>
        <v>17.009999999999998</v>
      </c>
      <c r="S507" s="145">
        <f>SUM(O507:R507)</f>
        <v>68.039999999999992</v>
      </c>
      <c r="T507" s="618">
        <f>IFERROR(INDEX('Annex 2_Code'!I$8:I$33,MATCH('Annex 3_MAFF'!$AG507,'Annex 2_Code'!$G$8:$G$33,0)),"")</f>
        <v>1</v>
      </c>
      <c r="U507" s="618">
        <f>IFERROR(INDEX('Annex 2_Code'!J$8:J$33,MATCH('Annex 3_MAFF'!$AG507,'Annex 2_Code'!$G$8:$G$33,0)),"")</f>
        <v>0</v>
      </c>
      <c r="V507" s="618">
        <f>IFERROR(INDEX('Annex 2_Code'!K$8:K$33,MATCH('Annex 3_MAFF'!$AG507,'Annex 2_Code'!$G$8:$G$33,0)),"")</f>
        <v>0</v>
      </c>
      <c r="W507" s="618">
        <f>IFERROR(INDEX('Annex 2_Code'!L$8:L$33,MATCH('Annex 3_MAFF'!$AG507,'Annex 2_Code'!$G$8:$G$33,0)),"")</f>
        <v>0</v>
      </c>
      <c r="X507" s="618">
        <f>IFERROR(INDEX('Annex 2_Code'!M$8:M$33,MATCH('Annex 3_MAFF'!$AG507,'Annex 2_Code'!$G$8:$G$33,0)),"")</f>
        <v>0</v>
      </c>
      <c r="Y507" s="1536">
        <f t="shared" si="472"/>
        <v>68.039999999999992</v>
      </c>
      <c r="Z507" s="717">
        <f t="shared" si="473"/>
        <v>0</v>
      </c>
      <c r="AA507" s="717">
        <f t="shared" si="473"/>
        <v>0</v>
      </c>
      <c r="AB507" s="717">
        <f t="shared" si="474"/>
        <v>0</v>
      </c>
      <c r="AC507" s="718">
        <f t="shared" si="475"/>
        <v>0</v>
      </c>
      <c r="AD507" s="626">
        <f t="shared" si="485"/>
        <v>68.039999999999992</v>
      </c>
      <c r="AE507" s="627">
        <f t="shared" si="486"/>
        <v>0</v>
      </c>
      <c r="AF507" s="568" t="s">
        <v>562</v>
      </c>
      <c r="AG507" s="568" t="s">
        <v>394</v>
      </c>
      <c r="AH507" s="568" t="str">
        <f>IFERROR(INDEX('Annex 2_Code'!$J$110:$J$127,MATCH('Annex 3_MAFF'!AF507,'Annex 2_Code'!$G$110:$G$127,0)),"")</f>
        <v>MAFF</v>
      </c>
      <c r="AI507" s="882" t="str">
        <f t="shared" si="481"/>
        <v>MAFF</v>
      </c>
    </row>
    <row r="508" spans="1:39" outlineLevel="1">
      <c r="A508" s="102"/>
      <c r="B508" s="76" t="s">
        <v>173</v>
      </c>
      <c r="C508" s="96"/>
      <c r="D508" s="78"/>
      <c r="E508" s="122"/>
      <c r="F508" s="543" t="s">
        <v>277</v>
      </c>
      <c r="G508" s="722"/>
      <c r="H508" s="538"/>
      <c r="I508" s="1742"/>
      <c r="J508"/>
      <c r="K508"/>
      <c r="L508"/>
      <c r="M508"/>
      <c r="N508" s="667"/>
      <c r="O508" s="1103"/>
      <c r="P508" s="1094"/>
      <c r="Q508" s="1094"/>
      <c r="R508" s="1094"/>
      <c r="S508" s="145"/>
      <c r="T508" s="618" t="str">
        <f>IFERROR(INDEX('Annex 2_Code'!I$8:I$33,MATCH('Annex 3_MAFF'!$AG508,'Annex 2_Code'!$G$8:$G$33,0)),"")</f>
        <v/>
      </c>
      <c r="U508" s="618" t="str">
        <f>IFERROR(INDEX('Annex 2_Code'!J$8:J$33,MATCH('Annex 3_MAFF'!$AG508,'Annex 2_Code'!$G$8:$G$33,0)),"")</f>
        <v/>
      </c>
      <c r="V508" s="618" t="str">
        <f>IFERROR(INDEX('Annex 2_Code'!K$8:K$33,MATCH('Annex 3_MAFF'!$AG508,'Annex 2_Code'!$G$8:$G$33,0)),"")</f>
        <v/>
      </c>
      <c r="W508" s="618" t="str">
        <f>IFERROR(INDEX('Annex 2_Code'!L$8:L$33,MATCH('Annex 3_MAFF'!$AG508,'Annex 2_Code'!$G$8:$G$33,0)),"")</f>
        <v/>
      </c>
      <c r="X508" s="618" t="str">
        <f>IFERROR(INDEX('Annex 2_Code'!M$8:M$33,MATCH('Annex 3_MAFF'!$AG508,'Annex 2_Code'!$G$8:$G$33,0)),"")</f>
        <v/>
      </c>
      <c r="Y508" s="1536" t="str">
        <f t="shared" si="472"/>
        <v/>
      </c>
      <c r="Z508" s="717" t="str">
        <f t="shared" si="473"/>
        <v/>
      </c>
      <c r="AA508" s="717" t="str">
        <f t="shared" si="473"/>
        <v/>
      </c>
      <c r="AB508" s="717" t="str">
        <f t="shared" si="474"/>
        <v/>
      </c>
      <c r="AC508" s="718" t="str">
        <f t="shared" si="475"/>
        <v/>
      </c>
      <c r="AD508" s="626">
        <f t="shared" si="485"/>
        <v>0</v>
      </c>
      <c r="AE508" s="627">
        <f t="shared" si="486"/>
        <v>0</v>
      </c>
      <c r="AF508" s="568"/>
      <c r="AG508" s="568"/>
      <c r="AH508" s="568" t="str">
        <f>IFERROR(INDEX('Annex 2_Code'!$J$110:$J$127,MATCH('Annex 3_MAFF'!AF508,'Annex 2_Code'!$G$110:$G$127,0)),"")</f>
        <v/>
      </c>
      <c r="AI508" s="882" t="str">
        <f t="shared" si="481"/>
        <v/>
      </c>
    </row>
    <row r="509" spans="1:39" outlineLevel="1">
      <c r="A509" s="102"/>
      <c r="B509" s="76" t="s">
        <v>25</v>
      </c>
      <c r="C509" s="96" t="s">
        <v>273</v>
      </c>
      <c r="D509" s="78"/>
      <c r="E509" s="122"/>
      <c r="F509" s="543"/>
      <c r="G509" s="732" t="s">
        <v>278</v>
      </c>
      <c r="H509" s="538" t="s">
        <v>174</v>
      </c>
      <c r="I509" s="1742">
        <f>13500/1000</f>
        <v>13.5</v>
      </c>
      <c r="J509">
        <v>1.63</v>
      </c>
      <c r="K509"/>
      <c r="L509"/>
      <c r="M509"/>
      <c r="N509" s="667">
        <f t="shared" si="487"/>
        <v>1.63</v>
      </c>
      <c r="O509" s="1103">
        <f t="shared" si="489"/>
        <v>22.004999999999999</v>
      </c>
      <c r="P509" s="1094">
        <f t="shared" si="488"/>
        <v>0</v>
      </c>
      <c r="Q509" s="1094">
        <f t="shared" si="488"/>
        <v>0</v>
      </c>
      <c r="R509" s="1094">
        <f t="shared" si="488"/>
        <v>0</v>
      </c>
      <c r="S509" s="145">
        <f>SUM(O509:R509)</f>
        <v>22.004999999999999</v>
      </c>
      <c r="T509" s="618">
        <f>IFERROR(INDEX('Annex 2_Code'!I$8:I$33,MATCH('Annex 3_MAFF'!$AG509,'Annex 2_Code'!$G$8:$G$33,0)),"")</f>
        <v>1</v>
      </c>
      <c r="U509" s="618">
        <f>IFERROR(INDEX('Annex 2_Code'!J$8:J$33,MATCH('Annex 3_MAFF'!$AG509,'Annex 2_Code'!$G$8:$G$33,0)),"")</f>
        <v>0</v>
      </c>
      <c r="V509" s="618">
        <f>IFERROR(INDEX('Annex 2_Code'!K$8:K$33,MATCH('Annex 3_MAFF'!$AG509,'Annex 2_Code'!$G$8:$G$33,0)),"")</f>
        <v>0</v>
      </c>
      <c r="W509" s="618">
        <f>IFERROR(INDEX('Annex 2_Code'!L$8:L$33,MATCH('Annex 3_MAFF'!$AG509,'Annex 2_Code'!$G$8:$G$33,0)),"")</f>
        <v>0</v>
      </c>
      <c r="X509" s="618">
        <f>IFERROR(INDEX('Annex 2_Code'!M$8:M$33,MATCH('Annex 3_MAFF'!$AG509,'Annex 2_Code'!$G$8:$G$33,0)),"")</f>
        <v>0</v>
      </c>
      <c r="Y509" s="1536">
        <f t="shared" si="472"/>
        <v>22.004999999999999</v>
      </c>
      <c r="Z509" s="717">
        <f t="shared" si="473"/>
        <v>0</v>
      </c>
      <c r="AA509" s="717">
        <f t="shared" si="473"/>
        <v>0</v>
      </c>
      <c r="AB509" s="717">
        <f t="shared" si="474"/>
        <v>0</v>
      </c>
      <c r="AC509" s="718">
        <f t="shared" si="475"/>
        <v>0</v>
      </c>
      <c r="AD509" s="626">
        <f t="shared" si="485"/>
        <v>22.004999999999999</v>
      </c>
      <c r="AE509" s="627">
        <f t="shared" si="486"/>
        <v>0</v>
      </c>
      <c r="AF509" s="568" t="s">
        <v>562</v>
      </c>
      <c r="AG509" s="568" t="s">
        <v>394</v>
      </c>
      <c r="AH509" s="568" t="str">
        <f>IFERROR(INDEX('Annex 2_Code'!$J$110:$J$127,MATCH('Annex 3_MAFF'!AF509,'Annex 2_Code'!$G$110:$G$127,0)),"")</f>
        <v>MAFF</v>
      </c>
      <c r="AI509" s="882" t="str">
        <f t="shared" si="481"/>
        <v>MAFF</v>
      </c>
    </row>
    <row r="510" spans="1:39" outlineLevel="1">
      <c r="A510" s="102"/>
      <c r="B510" s="76" t="s">
        <v>25</v>
      </c>
      <c r="C510" s="96" t="s">
        <v>273</v>
      </c>
      <c r="D510" s="78"/>
      <c r="E510" s="122"/>
      <c r="F510" s="543"/>
      <c r="G510" s="732" t="s">
        <v>279</v>
      </c>
      <c r="H510" s="538" t="s">
        <v>174</v>
      </c>
      <c r="I510" s="1742">
        <f>13500/1000</f>
        <v>13.5</v>
      </c>
      <c r="J510">
        <v>1.9</v>
      </c>
      <c r="K510"/>
      <c r="L510"/>
      <c r="M510"/>
      <c r="N510" s="667">
        <f t="shared" si="487"/>
        <v>1.9</v>
      </c>
      <c r="O510" s="1103">
        <f t="shared" si="489"/>
        <v>25.65</v>
      </c>
      <c r="P510" s="1094">
        <f t="shared" si="488"/>
        <v>0</v>
      </c>
      <c r="Q510" s="1094">
        <f t="shared" si="488"/>
        <v>0</v>
      </c>
      <c r="R510" s="1094">
        <f t="shared" si="488"/>
        <v>0</v>
      </c>
      <c r="S510" s="145">
        <f>SUM(O510:R510)</f>
        <v>25.65</v>
      </c>
      <c r="T510" s="618">
        <f>IFERROR(INDEX('Annex 2_Code'!I$8:I$33,MATCH('Annex 3_MAFF'!$AG510,'Annex 2_Code'!$G$8:$G$33,0)),"")</f>
        <v>1</v>
      </c>
      <c r="U510" s="618">
        <f>IFERROR(INDEX('Annex 2_Code'!J$8:J$33,MATCH('Annex 3_MAFF'!$AG510,'Annex 2_Code'!$G$8:$G$33,0)),"")</f>
        <v>0</v>
      </c>
      <c r="V510" s="618">
        <f>IFERROR(INDEX('Annex 2_Code'!K$8:K$33,MATCH('Annex 3_MAFF'!$AG510,'Annex 2_Code'!$G$8:$G$33,0)),"")</f>
        <v>0</v>
      </c>
      <c r="W510" s="618">
        <f>IFERROR(INDEX('Annex 2_Code'!L$8:L$33,MATCH('Annex 3_MAFF'!$AG510,'Annex 2_Code'!$G$8:$G$33,0)),"")</f>
        <v>0</v>
      </c>
      <c r="X510" s="618">
        <f>IFERROR(INDEX('Annex 2_Code'!M$8:M$33,MATCH('Annex 3_MAFF'!$AG510,'Annex 2_Code'!$G$8:$G$33,0)),"")</f>
        <v>0</v>
      </c>
      <c r="Y510" s="1536">
        <f t="shared" si="472"/>
        <v>25.65</v>
      </c>
      <c r="Z510" s="717">
        <f t="shared" si="473"/>
        <v>0</v>
      </c>
      <c r="AA510" s="717">
        <f t="shared" si="473"/>
        <v>0</v>
      </c>
      <c r="AB510" s="717">
        <f t="shared" si="474"/>
        <v>0</v>
      </c>
      <c r="AC510" s="718">
        <f t="shared" si="475"/>
        <v>0</v>
      </c>
      <c r="AD510" s="626">
        <f t="shared" si="485"/>
        <v>25.65</v>
      </c>
      <c r="AE510" s="627">
        <f t="shared" si="486"/>
        <v>0</v>
      </c>
      <c r="AF510" s="568" t="s">
        <v>562</v>
      </c>
      <c r="AG510" s="568" t="s">
        <v>394</v>
      </c>
      <c r="AH510" s="568" t="str">
        <f>IFERROR(INDEX('Annex 2_Code'!$J$110:$J$127,MATCH('Annex 3_MAFF'!AF510,'Annex 2_Code'!$G$110:$G$127,0)),"")</f>
        <v>MAFF</v>
      </c>
      <c r="AI510" s="882" t="str">
        <f t="shared" si="481"/>
        <v>MAFF</v>
      </c>
    </row>
    <row r="511" spans="1:39" outlineLevel="1">
      <c r="A511" s="102"/>
      <c r="B511" s="76" t="s">
        <v>25</v>
      </c>
      <c r="C511" s="96" t="s">
        <v>273</v>
      </c>
      <c r="D511" s="78"/>
      <c r="E511" s="122"/>
      <c r="F511" s="543"/>
      <c r="G511" s="2177" t="s">
        <v>136</v>
      </c>
      <c r="H511" s="538" t="s">
        <v>174</v>
      </c>
      <c r="I511" s="1742">
        <f>13500/1000</f>
        <v>13.5</v>
      </c>
      <c r="J511">
        <v>2</v>
      </c>
      <c r="K511"/>
      <c r="L511"/>
      <c r="M511"/>
      <c r="N511" s="667">
        <f t="shared" si="487"/>
        <v>2</v>
      </c>
      <c r="O511" s="1103">
        <f t="shared" si="489"/>
        <v>27</v>
      </c>
      <c r="P511" s="1094">
        <f t="shared" si="488"/>
        <v>0</v>
      </c>
      <c r="Q511" s="1094">
        <f t="shared" si="488"/>
        <v>0</v>
      </c>
      <c r="R511" s="1094">
        <f t="shared" si="488"/>
        <v>0</v>
      </c>
      <c r="S511" s="145">
        <f>SUM(O511:R511)</f>
        <v>27</v>
      </c>
      <c r="T511" s="618">
        <f>IFERROR(INDEX('Annex 2_Code'!I$8:I$33,MATCH('Annex 3_MAFF'!$AG511,'Annex 2_Code'!$G$8:$G$33,0)),"")</f>
        <v>1</v>
      </c>
      <c r="U511" s="618">
        <f>IFERROR(INDEX('Annex 2_Code'!J$8:J$33,MATCH('Annex 3_MAFF'!$AG511,'Annex 2_Code'!$G$8:$G$33,0)),"")</f>
        <v>0</v>
      </c>
      <c r="V511" s="618">
        <f>IFERROR(INDEX('Annex 2_Code'!K$8:K$33,MATCH('Annex 3_MAFF'!$AG511,'Annex 2_Code'!$G$8:$G$33,0)),"")</f>
        <v>0</v>
      </c>
      <c r="W511" s="618">
        <f>IFERROR(INDEX('Annex 2_Code'!L$8:L$33,MATCH('Annex 3_MAFF'!$AG511,'Annex 2_Code'!$G$8:$G$33,0)),"")</f>
        <v>0</v>
      </c>
      <c r="X511" s="618">
        <f>IFERROR(INDEX('Annex 2_Code'!M$8:M$33,MATCH('Annex 3_MAFF'!$AG511,'Annex 2_Code'!$G$8:$G$33,0)),"")</f>
        <v>0</v>
      </c>
      <c r="Y511" s="1536">
        <f t="shared" si="472"/>
        <v>27</v>
      </c>
      <c r="Z511" s="717">
        <f t="shared" si="473"/>
        <v>0</v>
      </c>
      <c r="AA511" s="717">
        <f t="shared" si="473"/>
        <v>0</v>
      </c>
      <c r="AB511" s="717">
        <f t="shared" si="474"/>
        <v>0</v>
      </c>
      <c r="AC511" s="718">
        <f t="shared" si="475"/>
        <v>0</v>
      </c>
      <c r="AD511" s="626">
        <f t="shared" si="485"/>
        <v>27</v>
      </c>
      <c r="AE511" s="627">
        <f t="shared" si="486"/>
        <v>0</v>
      </c>
      <c r="AF511" s="568" t="s">
        <v>562</v>
      </c>
      <c r="AG511" s="568" t="s">
        <v>394</v>
      </c>
      <c r="AH511" s="568" t="str">
        <f>IFERROR(INDEX('Annex 2_Code'!$J$110:$J$127,MATCH('Annex 3_MAFF'!AF511,'Annex 2_Code'!$G$110:$G$127,0)),"")</f>
        <v>MAFF</v>
      </c>
      <c r="AI511" s="882" t="str">
        <f t="shared" si="481"/>
        <v>MAFF</v>
      </c>
    </row>
    <row r="512" spans="1:39" outlineLevel="1">
      <c r="A512" s="102"/>
      <c r="B512" s="76" t="s">
        <v>173</v>
      </c>
      <c r="C512" s="96"/>
      <c r="D512" s="78"/>
      <c r="E512" s="122"/>
      <c r="F512" s="543" t="s">
        <v>280</v>
      </c>
      <c r="G512" s="722"/>
      <c r="H512" s="538"/>
      <c r="I512" s="1742"/>
      <c r="J512"/>
      <c r="K512"/>
      <c r="L512"/>
      <c r="M512"/>
      <c r="N512" s="667"/>
      <c r="O512" s="1103"/>
      <c r="P512" s="1094"/>
      <c r="Q512" s="1094"/>
      <c r="R512" s="1094"/>
      <c r="S512" s="145"/>
      <c r="T512" s="618" t="str">
        <f>IFERROR(INDEX('Annex 2_Code'!I$8:I$33,MATCH('Annex 3_MAFF'!$AG512,'Annex 2_Code'!$G$8:$G$33,0)),"")</f>
        <v/>
      </c>
      <c r="U512" s="618" t="str">
        <f>IFERROR(INDEX('Annex 2_Code'!J$8:J$33,MATCH('Annex 3_MAFF'!$AG512,'Annex 2_Code'!$G$8:$G$33,0)),"")</f>
        <v/>
      </c>
      <c r="V512" s="618" t="str">
        <f>IFERROR(INDEX('Annex 2_Code'!K$8:K$33,MATCH('Annex 3_MAFF'!$AG512,'Annex 2_Code'!$G$8:$G$33,0)),"")</f>
        <v/>
      </c>
      <c r="W512" s="618" t="str">
        <f>IFERROR(INDEX('Annex 2_Code'!L$8:L$33,MATCH('Annex 3_MAFF'!$AG512,'Annex 2_Code'!$G$8:$G$33,0)),"")</f>
        <v/>
      </c>
      <c r="X512" s="618" t="str">
        <f>IFERROR(INDEX('Annex 2_Code'!M$8:M$33,MATCH('Annex 3_MAFF'!$AG512,'Annex 2_Code'!$G$8:$G$33,0)),"")</f>
        <v/>
      </c>
      <c r="Y512" s="1536" t="str">
        <f t="shared" si="472"/>
        <v/>
      </c>
      <c r="Z512" s="717" t="str">
        <f t="shared" si="473"/>
        <v/>
      </c>
      <c r="AA512" s="717" t="str">
        <f t="shared" si="473"/>
        <v/>
      </c>
      <c r="AB512" s="717" t="str">
        <f t="shared" si="474"/>
        <v/>
      </c>
      <c r="AC512" s="718" t="str">
        <f t="shared" si="475"/>
        <v/>
      </c>
      <c r="AD512" s="626">
        <f t="shared" si="485"/>
        <v>0</v>
      </c>
      <c r="AE512" s="627">
        <f t="shared" si="486"/>
        <v>0</v>
      </c>
      <c r="AF512" s="568"/>
      <c r="AG512" s="568"/>
      <c r="AH512" s="568" t="str">
        <f>IFERROR(INDEX('Annex 2_Code'!$J$110:$J$127,MATCH('Annex 3_MAFF'!AF512,'Annex 2_Code'!$G$110:$G$127,0)),"")</f>
        <v/>
      </c>
      <c r="AI512" s="882" t="str">
        <f t="shared" si="481"/>
        <v/>
      </c>
    </row>
    <row r="513" spans="1:44" outlineLevel="1">
      <c r="A513" s="102"/>
      <c r="B513" s="76" t="s">
        <v>25</v>
      </c>
      <c r="C513" s="96" t="s">
        <v>273</v>
      </c>
      <c r="D513" s="78"/>
      <c r="E513" s="122"/>
      <c r="F513" s="543"/>
      <c r="G513" s="732" t="s">
        <v>281</v>
      </c>
      <c r="H513" s="538" t="s">
        <v>174</v>
      </c>
      <c r="I513" s="1742">
        <f>3880/1000</f>
        <v>3.88</v>
      </c>
      <c r="J513">
        <v>3</v>
      </c>
      <c r="K513">
        <v>3</v>
      </c>
      <c r="L513">
        <v>3</v>
      </c>
      <c r="M513">
        <v>3</v>
      </c>
      <c r="N513" s="667">
        <f t="shared" si="487"/>
        <v>12</v>
      </c>
      <c r="O513" s="1103">
        <f t="shared" si="489"/>
        <v>11.64</v>
      </c>
      <c r="P513" s="1094">
        <f t="shared" si="488"/>
        <v>11.64</v>
      </c>
      <c r="Q513" s="1094">
        <f t="shared" si="488"/>
        <v>11.64</v>
      </c>
      <c r="R513" s="1094">
        <f t="shared" si="488"/>
        <v>11.64</v>
      </c>
      <c r="S513" s="145">
        <f>SUM(O513:R513)</f>
        <v>46.56</v>
      </c>
      <c r="T513" s="618">
        <f>IFERROR(INDEX('Annex 2_Code'!I$8:I$33,MATCH('Annex 3_MAFF'!$AG513,'Annex 2_Code'!$G$8:$G$33,0)),"")</f>
        <v>1</v>
      </c>
      <c r="U513" s="618">
        <f>IFERROR(INDEX('Annex 2_Code'!J$8:J$33,MATCH('Annex 3_MAFF'!$AG513,'Annex 2_Code'!$G$8:$G$33,0)),"")</f>
        <v>0</v>
      </c>
      <c r="V513" s="618">
        <f>IFERROR(INDEX('Annex 2_Code'!K$8:K$33,MATCH('Annex 3_MAFF'!$AG513,'Annex 2_Code'!$G$8:$G$33,0)),"")</f>
        <v>0</v>
      </c>
      <c r="W513" s="618">
        <f>IFERROR(INDEX('Annex 2_Code'!L$8:L$33,MATCH('Annex 3_MAFF'!$AG513,'Annex 2_Code'!$G$8:$G$33,0)),"")</f>
        <v>0</v>
      </c>
      <c r="X513" s="618">
        <f>IFERROR(INDEX('Annex 2_Code'!M$8:M$33,MATCH('Annex 3_MAFF'!$AG513,'Annex 2_Code'!$G$8:$G$33,0)),"")</f>
        <v>0</v>
      </c>
      <c r="Y513" s="1536">
        <f t="shared" si="472"/>
        <v>46.56</v>
      </c>
      <c r="Z513" s="717">
        <f t="shared" si="473"/>
        <v>0</v>
      </c>
      <c r="AA513" s="717">
        <f t="shared" si="473"/>
        <v>0</v>
      </c>
      <c r="AB513" s="717">
        <f t="shared" si="474"/>
        <v>0</v>
      </c>
      <c r="AC513" s="718">
        <f t="shared" si="475"/>
        <v>0</v>
      </c>
      <c r="AD513" s="626">
        <f t="shared" si="485"/>
        <v>46.56</v>
      </c>
      <c r="AE513" s="627">
        <f t="shared" si="486"/>
        <v>0</v>
      </c>
      <c r="AF513" s="568" t="s">
        <v>562</v>
      </c>
      <c r="AG513" s="568" t="s">
        <v>396</v>
      </c>
      <c r="AH513" s="568" t="str">
        <f>IFERROR(INDEX('Annex 2_Code'!$J$110:$J$127,MATCH('Annex 3_MAFF'!AF513,'Annex 2_Code'!$G$110:$G$127,0)),"")</f>
        <v>MAFF</v>
      </c>
      <c r="AI513" s="882" t="str">
        <f t="shared" si="481"/>
        <v>MAFF</v>
      </c>
    </row>
    <row r="514" spans="1:44" outlineLevel="1">
      <c r="A514" s="102"/>
      <c r="B514" s="76" t="s">
        <v>25</v>
      </c>
      <c r="C514" s="96" t="s">
        <v>273</v>
      </c>
      <c r="D514" s="78"/>
      <c r="E514" s="122"/>
      <c r="F514" s="543"/>
      <c r="G514" s="732" t="s">
        <v>282</v>
      </c>
      <c r="H514" s="538" t="s">
        <v>174</v>
      </c>
      <c r="I514" s="1742">
        <f>2910/1000</f>
        <v>2.91</v>
      </c>
      <c r="J514">
        <v>3</v>
      </c>
      <c r="K514">
        <v>3</v>
      </c>
      <c r="L514">
        <v>3</v>
      </c>
      <c r="M514">
        <v>3</v>
      </c>
      <c r="N514" s="667">
        <f t="shared" si="487"/>
        <v>12</v>
      </c>
      <c r="O514" s="1103">
        <f t="shared" si="489"/>
        <v>8.73</v>
      </c>
      <c r="P514" s="1094">
        <f t="shared" si="488"/>
        <v>8.73</v>
      </c>
      <c r="Q514" s="1094">
        <f t="shared" si="488"/>
        <v>8.73</v>
      </c>
      <c r="R514" s="1094">
        <f t="shared" si="488"/>
        <v>8.73</v>
      </c>
      <c r="S514" s="145">
        <f>SUM(O514:R514)</f>
        <v>34.92</v>
      </c>
      <c r="T514" s="618">
        <f>IFERROR(INDEX('Annex 2_Code'!I$8:I$33,MATCH('Annex 3_MAFF'!$AG514,'Annex 2_Code'!$G$8:$G$33,0)),"")</f>
        <v>1</v>
      </c>
      <c r="U514" s="618">
        <f>IFERROR(INDEX('Annex 2_Code'!J$8:J$33,MATCH('Annex 3_MAFF'!$AG514,'Annex 2_Code'!$G$8:$G$33,0)),"")</f>
        <v>0</v>
      </c>
      <c r="V514" s="618">
        <f>IFERROR(INDEX('Annex 2_Code'!K$8:K$33,MATCH('Annex 3_MAFF'!$AG514,'Annex 2_Code'!$G$8:$G$33,0)),"")</f>
        <v>0</v>
      </c>
      <c r="W514" s="618">
        <f>IFERROR(INDEX('Annex 2_Code'!L$8:L$33,MATCH('Annex 3_MAFF'!$AG514,'Annex 2_Code'!$G$8:$G$33,0)),"")</f>
        <v>0</v>
      </c>
      <c r="X514" s="618">
        <f>IFERROR(INDEX('Annex 2_Code'!M$8:M$33,MATCH('Annex 3_MAFF'!$AG514,'Annex 2_Code'!$G$8:$G$33,0)),"")</f>
        <v>0</v>
      </c>
      <c r="Y514" s="1536">
        <f t="shared" si="472"/>
        <v>34.92</v>
      </c>
      <c r="Z514" s="717">
        <f t="shared" si="473"/>
        <v>0</v>
      </c>
      <c r="AA514" s="717">
        <f t="shared" si="473"/>
        <v>0</v>
      </c>
      <c r="AB514" s="717">
        <f t="shared" si="474"/>
        <v>0</v>
      </c>
      <c r="AC514" s="718">
        <f t="shared" si="475"/>
        <v>0</v>
      </c>
      <c r="AD514" s="626">
        <f t="shared" si="485"/>
        <v>34.92</v>
      </c>
      <c r="AE514" s="627">
        <f t="shared" si="486"/>
        <v>0</v>
      </c>
      <c r="AF514" s="568" t="s">
        <v>562</v>
      </c>
      <c r="AG514" s="568" t="s">
        <v>396</v>
      </c>
      <c r="AH514" s="568" t="str">
        <f>IFERROR(INDEX('Annex 2_Code'!$J$110:$J$127,MATCH('Annex 3_MAFF'!AF514,'Annex 2_Code'!$G$110:$G$127,0)),"")</f>
        <v>MAFF</v>
      </c>
      <c r="AI514" s="882" t="str">
        <f t="shared" si="481"/>
        <v>MAFF</v>
      </c>
    </row>
    <row r="515" spans="1:44" outlineLevel="1">
      <c r="A515" s="102"/>
      <c r="B515" s="76" t="s">
        <v>25</v>
      </c>
      <c r="C515" s="96" t="s">
        <v>273</v>
      </c>
      <c r="D515" s="78"/>
      <c r="E515" s="122"/>
      <c r="F515" s="543"/>
      <c r="G515" s="732" t="s">
        <v>276</v>
      </c>
      <c r="H515" s="538" t="s">
        <v>174</v>
      </c>
      <c r="I515" s="1742">
        <f>2910/1000</f>
        <v>2.91</v>
      </c>
      <c r="J515">
        <v>1.5</v>
      </c>
      <c r="K515">
        <v>1.5</v>
      </c>
      <c r="L515">
        <v>1.5</v>
      </c>
      <c r="M515">
        <v>1.5</v>
      </c>
      <c r="N515" s="667">
        <f t="shared" si="487"/>
        <v>6</v>
      </c>
      <c r="O515" s="1103">
        <f t="shared" si="489"/>
        <v>4.3650000000000002</v>
      </c>
      <c r="P515" s="1094">
        <f t="shared" si="488"/>
        <v>4.3650000000000002</v>
      </c>
      <c r="Q515" s="1094">
        <f t="shared" si="488"/>
        <v>4.3650000000000002</v>
      </c>
      <c r="R515" s="1094">
        <f t="shared" si="488"/>
        <v>4.3650000000000002</v>
      </c>
      <c r="S515" s="145">
        <f>SUM(O515:R515)</f>
        <v>17.46</v>
      </c>
      <c r="T515" s="618">
        <f>IFERROR(INDEX('Annex 2_Code'!I$8:I$33,MATCH('Annex 3_MAFF'!$AG515,'Annex 2_Code'!$G$8:$G$33,0)),"")</f>
        <v>1</v>
      </c>
      <c r="U515" s="618">
        <f>IFERROR(INDEX('Annex 2_Code'!J$8:J$33,MATCH('Annex 3_MAFF'!$AG515,'Annex 2_Code'!$G$8:$G$33,0)),"")</f>
        <v>0</v>
      </c>
      <c r="V515" s="618">
        <f>IFERROR(INDEX('Annex 2_Code'!K$8:K$33,MATCH('Annex 3_MAFF'!$AG515,'Annex 2_Code'!$G$8:$G$33,0)),"")</f>
        <v>0</v>
      </c>
      <c r="W515" s="618">
        <f>IFERROR(INDEX('Annex 2_Code'!L$8:L$33,MATCH('Annex 3_MAFF'!$AG515,'Annex 2_Code'!$G$8:$G$33,0)),"")</f>
        <v>0</v>
      </c>
      <c r="X515" s="618">
        <f>IFERROR(INDEX('Annex 2_Code'!M$8:M$33,MATCH('Annex 3_MAFF'!$AG515,'Annex 2_Code'!$G$8:$G$33,0)),"")</f>
        <v>0</v>
      </c>
      <c r="Y515" s="1536">
        <f t="shared" si="472"/>
        <v>17.46</v>
      </c>
      <c r="Z515" s="717">
        <f t="shared" si="473"/>
        <v>0</v>
      </c>
      <c r="AA515" s="717">
        <f t="shared" si="473"/>
        <v>0</v>
      </c>
      <c r="AB515" s="717">
        <f t="shared" si="474"/>
        <v>0</v>
      </c>
      <c r="AC515" s="718">
        <f t="shared" si="475"/>
        <v>0</v>
      </c>
      <c r="AD515" s="626">
        <f t="shared" si="485"/>
        <v>17.46</v>
      </c>
      <c r="AE515" s="627">
        <f t="shared" si="486"/>
        <v>0</v>
      </c>
      <c r="AF515" s="568" t="s">
        <v>562</v>
      </c>
      <c r="AG515" s="568" t="s">
        <v>396</v>
      </c>
      <c r="AH515" s="568" t="str">
        <f>IFERROR(INDEX('Annex 2_Code'!$J$110:$J$127,MATCH('Annex 3_MAFF'!AF515,'Annex 2_Code'!$G$110:$G$127,0)),"")</f>
        <v>MAFF</v>
      </c>
      <c r="AI515" s="882" t="str">
        <f t="shared" si="481"/>
        <v>MAFF</v>
      </c>
    </row>
    <row r="516" spans="1:44" outlineLevel="1">
      <c r="A516" s="102"/>
      <c r="B516" s="76" t="s">
        <v>25</v>
      </c>
      <c r="C516" s="96" t="s">
        <v>273</v>
      </c>
      <c r="D516" s="78"/>
      <c r="E516" s="122"/>
      <c r="F516" s="543"/>
      <c r="G516" s="732" t="s">
        <v>279</v>
      </c>
      <c r="H516" s="538" t="s">
        <v>174</v>
      </c>
      <c r="I516" s="1742">
        <f>3390/1000</f>
        <v>3.39</v>
      </c>
      <c r="J516">
        <v>1.5</v>
      </c>
      <c r="K516">
        <v>1.5</v>
      </c>
      <c r="L516">
        <v>1.5</v>
      </c>
      <c r="M516">
        <v>1.5</v>
      </c>
      <c r="N516" s="667">
        <f t="shared" si="487"/>
        <v>6</v>
      </c>
      <c r="O516" s="1103">
        <f t="shared" si="489"/>
        <v>5.085</v>
      </c>
      <c r="P516" s="1094">
        <f t="shared" si="488"/>
        <v>5.085</v>
      </c>
      <c r="Q516" s="1094">
        <f t="shared" si="488"/>
        <v>5.085</v>
      </c>
      <c r="R516" s="1094">
        <f t="shared" si="488"/>
        <v>5.085</v>
      </c>
      <c r="S516" s="145">
        <f>SUM(O516:R516)</f>
        <v>20.34</v>
      </c>
      <c r="T516" s="618">
        <f>IFERROR(INDEX('Annex 2_Code'!I$8:I$33,MATCH('Annex 3_MAFF'!$AG516,'Annex 2_Code'!$G$8:$G$33,0)),"")</f>
        <v>1</v>
      </c>
      <c r="U516" s="618">
        <f>IFERROR(INDEX('Annex 2_Code'!J$8:J$33,MATCH('Annex 3_MAFF'!$AG516,'Annex 2_Code'!$G$8:$G$33,0)),"")</f>
        <v>0</v>
      </c>
      <c r="V516" s="618">
        <f>IFERROR(INDEX('Annex 2_Code'!K$8:K$33,MATCH('Annex 3_MAFF'!$AG516,'Annex 2_Code'!$G$8:$G$33,0)),"")</f>
        <v>0</v>
      </c>
      <c r="W516" s="618">
        <f>IFERROR(INDEX('Annex 2_Code'!L$8:L$33,MATCH('Annex 3_MAFF'!$AG516,'Annex 2_Code'!$G$8:$G$33,0)),"")</f>
        <v>0</v>
      </c>
      <c r="X516" s="618">
        <f>IFERROR(INDEX('Annex 2_Code'!M$8:M$33,MATCH('Annex 3_MAFF'!$AG516,'Annex 2_Code'!$G$8:$G$33,0)),"")</f>
        <v>0</v>
      </c>
      <c r="Y516" s="1536">
        <f t="shared" si="472"/>
        <v>20.34</v>
      </c>
      <c r="Z516" s="717">
        <f t="shared" si="473"/>
        <v>0</v>
      </c>
      <c r="AA516" s="717">
        <f t="shared" si="473"/>
        <v>0</v>
      </c>
      <c r="AB516" s="717">
        <f t="shared" si="474"/>
        <v>0</v>
      </c>
      <c r="AC516" s="718">
        <f t="shared" si="475"/>
        <v>0</v>
      </c>
      <c r="AD516" s="626">
        <f t="shared" si="485"/>
        <v>20.34</v>
      </c>
      <c r="AE516" s="627">
        <f t="shared" si="486"/>
        <v>0</v>
      </c>
      <c r="AF516" s="568" t="s">
        <v>562</v>
      </c>
      <c r="AG516" s="568" t="s">
        <v>396</v>
      </c>
      <c r="AH516" s="568" t="str">
        <f>IFERROR(INDEX('Annex 2_Code'!$J$110:$J$127,MATCH('Annex 3_MAFF'!AF516,'Annex 2_Code'!$G$110:$G$127,0)),"")</f>
        <v>MAFF</v>
      </c>
      <c r="AI516" s="882" t="str">
        <f>IF(ISNUMBER(FIND("-",AH516,1))=FALSE,LEFT(AH516,LEN(AH516)),LEFT(AH516,(FIND("-",AH516,1))-1))</f>
        <v>MAFF</v>
      </c>
    </row>
    <row r="517" spans="1:44" outlineLevel="1">
      <c r="A517" s="102"/>
      <c r="B517" s="76" t="s">
        <v>25</v>
      </c>
      <c r="C517" s="96" t="s">
        <v>273</v>
      </c>
      <c r="D517" s="78"/>
      <c r="E517" s="122"/>
      <c r="F517" s="543"/>
      <c r="G517" s="2177" t="s">
        <v>283</v>
      </c>
      <c r="H517" s="538" t="s">
        <v>174</v>
      </c>
      <c r="I517" s="1742">
        <f>2910/1000</f>
        <v>2.91</v>
      </c>
      <c r="J517">
        <v>1.6</v>
      </c>
      <c r="K517">
        <v>1.6</v>
      </c>
      <c r="L517">
        <v>1.6</v>
      </c>
      <c r="M517">
        <v>1.6</v>
      </c>
      <c r="N517" s="667">
        <f t="shared" si="487"/>
        <v>6.4</v>
      </c>
      <c r="O517" s="1103">
        <f t="shared" si="489"/>
        <v>4.6560000000000006</v>
      </c>
      <c r="P517" s="1094">
        <f t="shared" si="488"/>
        <v>4.6560000000000006</v>
      </c>
      <c r="Q517" s="1094">
        <f t="shared" si="488"/>
        <v>4.6560000000000006</v>
      </c>
      <c r="R517" s="1094">
        <f t="shared" si="488"/>
        <v>4.6560000000000006</v>
      </c>
      <c r="S517" s="145">
        <f>SUM(O517:R517)</f>
        <v>18.624000000000002</v>
      </c>
      <c r="T517" s="618">
        <f>IFERROR(INDEX('Annex 2_Code'!I$8:I$33,MATCH('Annex 3_MAFF'!$AG517,'Annex 2_Code'!$G$8:$G$33,0)),"")</f>
        <v>1</v>
      </c>
      <c r="U517" s="618">
        <f>IFERROR(INDEX('Annex 2_Code'!J$8:J$33,MATCH('Annex 3_MAFF'!$AG517,'Annex 2_Code'!$G$8:$G$33,0)),"")</f>
        <v>0</v>
      </c>
      <c r="V517" s="618">
        <f>IFERROR(INDEX('Annex 2_Code'!K$8:K$33,MATCH('Annex 3_MAFF'!$AG517,'Annex 2_Code'!$G$8:$G$33,0)),"")</f>
        <v>0</v>
      </c>
      <c r="W517" s="618">
        <f>IFERROR(INDEX('Annex 2_Code'!L$8:L$33,MATCH('Annex 3_MAFF'!$AG517,'Annex 2_Code'!$G$8:$G$33,0)),"")</f>
        <v>0</v>
      </c>
      <c r="X517" s="618">
        <f>IFERROR(INDEX('Annex 2_Code'!M$8:M$33,MATCH('Annex 3_MAFF'!$AG517,'Annex 2_Code'!$G$8:$G$33,0)),"")</f>
        <v>0</v>
      </c>
      <c r="Y517" s="1536">
        <f t="shared" si="472"/>
        <v>18.624000000000002</v>
      </c>
      <c r="Z517" s="717">
        <f t="shared" si="473"/>
        <v>0</v>
      </c>
      <c r="AA517" s="717">
        <f t="shared" si="473"/>
        <v>0</v>
      </c>
      <c r="AB517" s="717">
        <f t="shared" si="474"/>
        <v>0</v>
      </c>
      <c r="AC517" s="718">
        <f t="shared" si="475"/>
        <v>0</v>
      </c>
      <c r="AD517" s="626">
        <f t="shared" si="485"/>
        <v>18.624000000000002</v>
      </c>
      <c r="AE517" s="627">
        <f t="shared" si="486"/>
        <v>0</v>
      </c>
      <c r="AF517" s="568" t="s">
        <v>562</v>
      </c>
      <c r="AG517" s="568" t="s">
        <v>396</v>
      </c>
      <c r="AH517" s="568" t="str">
        <f>IFERROR(INDEX('Annex 2_Code'!$J$110:$J$127,MATCH('Annex 3_MAFF'!AF517,'Annex 2_Code'!$G$110:$G$127,0)),"")</f>
        <v>MAFF</v>
      </c>
      <c r="AI517" s="882" t="str">
        <f t="shared" ref="AI517:AI529" si="490">IF(ISNUMBER(FIND("-",AH517,1))=FALSE,LEFT(AH517,LEN(AH517)),LEFT(AH517,(FIND("-",AH517,1))-1))</f>
        <v>MAFF</v>
      </c>
    </row>
    <row r="518" spans="1:44" outlineLevel="1">
      <c r="A518" s="102"/>
      <c r="B518" s="76" t="s">
        <v>173</v>
      </c>
      <c r="C518" s="96"/>
      <c r="D518" s="78"/>
      <c r="E518" s="122"/>
      <c r="F518" s="543" t="s">
        <v>284</v>
      </c>
      <c r="G518" s="722"/>
      <c r="H518" s="538"/>
      <c r="I518" s="1742"/>
      <c r="J518"/>
      <c r="K518"/>
      <c r="L518"/>
      <c r="M518"/>
      <c r="N518" s="667"/>
      <c r="O518" s="1103"/>
      <c r="P518" s="1094"/>
      <c r="Q518" s="1094"/>
      <c r="R518" s="1094"/>
      <c r="S518" s="145"/>
      <c r="T518" s="618" t="str">
        <f>IFERROR(INDEX('Annex 2_Code'!I$8:I$33,MATCH('Annex 3_MAFF'!$AG518,'Annex 2_Code'!$G$8:$G$33,0)),"")</f>
        <v/>
      </c>
      <c r="U518" s="618" t="str">
        <f>IFERROR(INDEX('Annex 2_Code'!J$8:J$33,MATCH('Annex 3_MAFF'!$AG518,'Annex 2_Code'!$G$8:$G$33,0)),"")</f>
        <v/>
      </c>
      <c r="V518" s="618" t="str">
        <f>IFERROR(INDEX('Annex 2_Code'!K$8:K$33,MATCH('Annex 3_MAFF'!$AG518,'Annex 2_Code'!$G$8:$G$33,0)),"")</f>
        <v/>
      </c>
      <c r="W518" s="618" t="str">
        <f>IFERROR(INDEX('Annex 2_Code'!L$8:L$33,MATCH('Annex 3_MAFF'!$AG518,'Annex 2_Code'!$G$8:$G$33,0)),"")</f>
        <v/>
      </c>
      <c r="X518" s="618" t="str">
        <f>IFERROR(INDEX('Annex 2_Code'!M$8:M$33,MATCH('Annex 3_MAFF'!$AG518,'Annex 2_Code'!$G$8:$G$33,0)),"")</f>
        <v/>
      </c>
      <c r="Y518" s="1536" t="str">
        <f t="shared" si="472"/>
        <v/>
      </c>
      <c r="Z518" s="717" t="str">
        <f t="shared" si="473"/>
        <v/>
      </c>
      <c r="AA518" s="717" t="str">
        <f t="shared" si="473"/>
        <v/>
      </c>
      <c r="AB518" s="717" t="str">
        <f t="shared" si="474"/>
        <v/>
      </c>
      <c r="AC518" s="718" t="str">
        <f t="shared" si="475"/>
        <v/>
      </c>
      <c r="AD518" s="626">
        <f t="shared" si="485"/>
        <v>0</v>
      </c>
      <c r="AE518" s="627">
        <f t="shared" si="486"/>
        <v>0</v>
      </c>
      <c r="AF518" s="568"/>
      <c r="AG518" s="568"/>
      <c r="AH518" s="568" t="str">
        <f>IFERROR(INDEX('Annex 2_Code'!$J$110:$J$127,MATCH('Annex 3_MAFF'!AF518,'Annex 2_Code'!$G$110:$G$127,0)),"")</f>
        <v/>
      </c>
      <c r="AI518" s="882" t="str">
        <f t="shared" si="490"/>
        <v/>
      </c>
    </row>
    <row r="519" spans="1:44" outlineLevel="1">
      <c r="A519" s="102"/>
      <c r="B519" s="76" t="s">
        <v>25</v>
      </c>
      <c r="C519" s="96" t="s">
        <v>273</v>
      </c>
      <c r="D519" s="78"/>
      <c r="E519" s="122"/>
      <c r="F519" s="543"/>
      <c r="G519" s="732" t="s">
        <v>278</v>
      </c>
      <c r="H519" s="538" t="s">
        <v>174</v>
      </c>
      <c r="I519" s="1742">
        <f>3780/1000</f>
        <v>3.78</v>
      </c>
      <c r="J519" s="824">
        <v>0</v>
      </c>
      <c r="K519" s="824">
        <v>0</v>
      </c>
      <c r="L519" s="824">
        <v>0</v>
      </c>
      <c r="M519" s="824">
        <v>0</v>
      </c>
      <c r="N519" s="667">
        <f t="shared" si="487"/>
        <v>0</v>
      </c>
      <c r="O519" s="1103">
        <f t="shared" si="489"/>
        <v>0</v>
      </c>
      <c r="P519" s="1094">
        <f t="shared" si="488"/>
        <v>0</v>
      </c>
      <c r="Q519" s="1094">
        <f t="shared" si="488"/>
        <v>0</v>
      </c>
      <c r="R519" s="1094">
        <f t="shared" si="488"/>
        <v>0</v>
      </c>
      <c r="S519" s="145">
        <f>SUM(O519:R519)</f>
        <v>0</v>
      </c>
      <c r="T519" s="618">
        <f>IFERROR(INDEX('Annex 2_Code'!I$8:I$33,MATCH('Annex 3_MAFF'!$AG519,'Annex 2_Code'!$G$8:$G$33,0)),"")</f>
        <v>1</v>
      </c>
      <c r="U519" s="618">
        <f>IFERROR(INDEX('Annex 2_Code'!J$8:J$33,MATCH('Annex 3_MAFF'!$AG519,'Annex 2_Code'!$G$8:$G$33,0)),"")</f>
        <v>0</v>
      </c>
      <c r="V519" s="618">
        <f>IFERROR(INDEX('Annex 2_Code'!K$8:K$33,MATCH('Annex 3_MAFF'!$AG519,'Annex 2_Code'!$G$8:$G$33,0)),"")</f>
        <v>0</v>
      </c>
      <c r="W519" s="618">
        <f>IFERROR(INDEX('Annex 2_Code'!L$8:L$33,MATCH('Annex 3_MAFF'!$AG519,'Annex 2_Code'!$G$8:$G$33,0)),"")</f>
        <v>0</v>
      </c>
      <c r="X519" s="618">
        <f>IFERROR(INDEX('Annex 2_Code'!M$8:M$33,MATCH('Annex 3_MAFF'!$AG519,'Annex 2_Code'!$G$8:$G$33,0)),"")</f>
        <v>0</v>
      </c>
      <c r="Y519" s="1536">
        <f t="shared" si="472"/>
        <v>0</v>
      </c>
      <c r="Z519" s="717">
        <f t="shared" si="473"/>
        <v>0</v>
      </c>
      <c r="AA519" s="717">
        <f t="shared" si="473"/>
        <v>0</v>
      </c>
      <c r="AB519" s="717">
        <f t="shared" si="474"/>
        <v>0</v>
      </c>
      <c r="AC519" s="718">
        <f t="shared" si="475"/>
        <v>0</v>
      </c>
      <c r="AD519" s="626">
        <f t="shared" si="485"/>
        <v>0</v>
      </c>
      <c r="AE519" s="627">
        <f t="shared" si="486"/>
        <v>0</v>
      </c>
      <c r="AF519" s="568" t="s">
        <v>562</v>
      </c>
      <c r="AG519" s="568" t="s">
        <v>396</v>
      </c>
      <c r="AH519" s="568" t="str">
        <f>IFERROR(INDEX('Annex 2_Code'!$J$110:$J$127,MATCH('Annex 3_MAFF'!AF519,'Annex 2_Code'!$G$110:$G$127,0)),"")</f>
        <v>MAFF</v>
      </c>
      <c r="AI519" s="882" t="str">
        <f t="shared" si="490"/>
        <v>MAFF</v>
      </c>
    </row>
    <row r="520" spans="1:44" outlineLevel="1">
      <c r="A520" s="102"/>
      <c r="B520" s="76" t="s">
        <v>25</v>
      </c>
      <c r="C520" s="96" t="s">
        <v>273</v>
      </c>
      <c r="D520" s="78"/>
      <c r="E520" s="122"/>
      <c r="F520" s="543"/>
      <c r="G520" s="732" t="s">
        <v>285</v>
      </c>
      <c r="H520" s="538" t="s">
        <v>174</v>
      </c>
      <c r="I520" s="1742">
        <f>2910/1000</f>
        <v>2.91</v>
      </c>
      <c r="J520">
        <v>1</v>
      </c>
      <c r="K520">
        <v>1</v>
      </c>
      <c r="L520">
        <v>1</v>
      </c>
      <c r="M520">
        <v>1</v>
      </c>
      <c r="N520" s="667">
        <f t="shared" si="487"/>
        <v>4</v>
      </c>
      <c r="O520" s="1103">
        <f t="shared" si="489"/>
        <v>2.91</v>
      </c>
      <c r="P520" s="1094">
        <f t="shared" si="488"/>
        <v>2.91</v>
      </c>
      <c r="Q520" s="1094">
        <f t="shared" si="488"/>
        <v>2.91</v>
      </c>
      <c r="R520" s="1094">
        <f t="shared" si="488"/>
        <v>2.91</v>
      </c>
      <c r="S520" s="145">
        <f>SUM(O520:R520)</f>
        <v>11.64</v>
      </c>
      <c r="T520" s="618">
        <f>IFERROR(INDEX('Annex 2_Code'!I$8:I$33,MATCH('Annex 3_MAFF'!$AG520,'Annex 2_Code'!$G$8:$G$33,0)),"")</f>
        <v>1</v>
      </c>
      <c r="U520" s="618">
        <f>IFERROR(INDEX('Annex 2_Code'!J$8:J$33,MATCH('Annex 3_MAFF'!$AG520,'Annex 2_Code'!$G$8:$G$33,0)),"")</f>
        <v>0</v>
      </c>
      <c r="V520" s="618">
        <f>IFERROR(INDEX('Annex 2_Code'!K$8:K$33,MATCH('Annex 3_MAFF'!$AG520,'Annex 2_Code'!$G$8:$G$33,0)),"")</f>
        <v>0</v>
      </c>
      <c r="W520" s="618">
        <f>IFERROR(INDEX('Annex 2_Code'!L$8:L$33,MATCH('Annex 3_MAFF'!$AG520,'Annex 2_Code'!$G$8:$G$33,0)),"")</f>
        <v>0</v>
      </c>
      <c r="X520" s="618">
        <f>IFERROR(INDEX('Annex 2_Code'!M$8:M$33,MATCH('Annex 3_MAFF'!$AG520,'Annex 2_Code'!$G$8:$G$33,0)),"")</f>
        <v>0</v>
      </c>
      <c r="Y520" s="1536">
        <f t="shared" si="472"/>
        <v>11.64</v>
      </c>
      <c r="Z520" s="717">
        <f t="shared" si="473"/>
        <v>0</v>
      </c>
      <c r="AA520" s="717">
        <f t="shared" si="473"/>
        <v>0</v>
      </c>
      <c r="AB520" s="717">
        <f t="shared" si="474"/>
        <v>0</v>
      </c>
      <c r="AC520" s="718">
        <f t="shared" si="475"/>
        <v>0</v>
      </c>
      <c r="AD520" s="626">
        <f t="shared" si="485"/>
        <v>11.64</v>
      </c>
      <c r="AE520" s="627">
        <f t="shared" si="486"/>
        <v>0</v>
      </c>
      <c r="AF520" s="568" t="s">
        <v>562</v>
      </c>
      <c r="AG520" s="568" t="s">
        <v>396</v>
      </c>
      <c r="AH520" s="568" t="str">
        <f>IFERROR(INDEX('Annex 2_Code'!$J$110:$J$127,MATCH('Annex 3_MAFF'!AF520,'Annex 2_Code'!$G$110:$G$127,0)),"")</f>
        <v>MAFF</v>
      </c>
      <c r="AI520" s="882" t="str">
        <f t="shared" si="490"/>
        <v>MAFF</v>
      </c>
    </row>
    <row r="521" spans="1:44" outlineLevel="1">
      <c r="A521" s="102"/>
      <c r="B521" s="76" t="s">
        <v>25</v>
      </c>
      <c r="C521" s="96" t="s">
        <v>273</v>
      </c>
      <c r="D521" s="78"/>
      <c r="E521" s="122"/>
      <c r="F521" s="543"/>
      <c r="G521" s="2177" t="s">
        <v>286</v>
      </c>
      <c r="H521" s="538" t="s">
        <v>174</v>
      </c>
      <c r="I521" s="1742">
        <f>2425/1000</f>
        <v>2.4249999999999998</v>
      </c>
      <c r="J521">
        <v>9</v>
      </c>
      <c r="K521">
        <v>9</v>
      </c>
      <c r="L521">
        <v>9</v>
      </c>
      <c r="M521">
        <v>9</v>
      </c>
      <c r="N521" s="667">
        <f t="shared" si="487"/>
        <v>36</v>
      </c>
      <c r="O521" s="1103">
        <f t="shared" si="489"/>
        <v>21.824999999999999</v>
      </c>
      <c r="P521" s="1094">
        <f t="shared" si="488"/>
        <v>21.824999999999999</v>
      </c>
      <c r="Q521" s="1094">
        <f t="shared" si="488"/>
        <v>21.824999999999999</v>
      </c>
      <c r="R521" s="1094">
        <f t="shared" si="488"/>
        <v>21.824999999999999</v>
      </c>
      <c r="S521" s="145">
        <f>SUM(O521:R521)</f>
        <v>87.3</v>
      </c>
      <c r="T521" s="618">
        <f>IFERROR(INDEX('Annex 2_Code'!I$8:I$33,MATCH('Annex 3_MAFF'!$AG521,'Annex 2_Code'!$G$8:$G$33,0)),"")</f>
        <v>1</v>
      </c>
      <c r="U521" s="618">
        <f>IFERROR(INDEX('Annex 2_Code'!J$8:J$33,MATCH('Annex 3_MAFF'!$AG521,'Annex 2_Code'!$G$8:$G$33,0)),"")</f>
        <v>0</v>
      </c>
      <c r="V521" s="618">
        <f>IFERROR(INDEX('Annex 2_Code'!K$8:K$33,MATCH('Annex 3_MAFF'!$AG521,'Annex 2_Code'!$G$8:$G$33,0)),"")</f>
        <v>0</v>
      </c>
      <c r="W521" s="618">
        <f>IFERROR(INDEX('Annex 2_Code'!L$8:L$33,MATCH('Annex 3_MAFF'!$AG521,'Annex 2_Code'!$G$8:$G$33,0)),"")</f>
        <v>0</v>
      </c>
      <c r="X521" s="618">
        <f>IFERROR(INDEX('Annex 2_Code'!M$8:M$33,MATCH('Annex 3_MAFF'!$AG521,'Annex 2_Code'!$G$8:$G$33,0)),"")</f>
        <v>0</v>
      </c>
      <c r="Y521" s="1536">
        <f t="shared" si="472"/>
        <v>87.3</v>
      </c>
      <c r="Z521" s="717">
        <f t="shared" si="473"/>
        <v>0</v>
      </c>
      <c r="AA521" s="717">
        <f t="shared" si="473"/>
        <v>0</v>
      </c>
      <c r="AB521" s="717">
        <f t="shared" si="474"/>
        <v>0</v>
      </c>
      <c r="AC521" s="718">
        <f t="shared" si="475"/>
        <v>0</v>
      </c>
      <c r="AD521" s="626">
        <f t="shared" si="485"/>
        <v>87.3</v>
      </c>
      <c r="AE521" s="627">
        <f t="shared" si="486"/>
        <v>0</v>
      </c>
      <c r="AF521" s="568" t="s">
        <v>562</v>
      </c>
      <c r="AG521" s="568" t="s">
        <v>396</v>
      </c>
      <c r="AH521" s="568" t="str">
        <f>IFERROR(INDEX('Annex 2_Code'!$J$110:$J$127,MATCH('Annex 3_MAFF'!AF521,'Annex 2_Code'!$G$110:$G$127,0)),"")</f>
        <v>MAFF</v>
      </c>
      <c r="AI521" s="882" t="str">
        <f t="shared" si="490"/>
        <v>MAFF</v>
      </c>
    </row>
    <row r="522" spans="1:44" outlineLevel="1">
      <c r="A522" s="102"/>
      <c r="B522" s="76" t="s">
        <v>25</v>
      </c>
      <c r="C522" s="96" t="s">
        <v>273</v>
      </c>
      <c r="D522" s="78"/>
      <c r="E522" s="122"/>
      <c r="F522" s="543"/>
      <c r="G522" s="732" t="s">
        <v>287</v>
      </c>
      <c r="H522" s="538" t="s">
        <v>174</v>
      </c>
      <c r="I522" s="1742">
        <f>2910/1000</f>
        <v>2.91</v>
      </c>
      <c r="J522">
        <v>0.9</v>
      </c>
      <c r="K522">
        <v>0.9</v>
      </c>
      <c r="L522">
        <v>0.9</v>
      </c>
      <c r="M522">
        <v>0.3</v>
      </c>
      <c r="N522" s="667">
        <f t="shared" si="487"/>
        <v>3</v>
      </c>
      <c r="O522" s="1103">
        <f t="shared" si="489"/>
        <v>2.6190000000000002</v>
      </c>
      <c r="P522" s="1094">
        <f t="shared" ref="P522:P523" si="491">($I522*K522)</f>
        <v>2.6190000000000002</v>
      </c>
      <c r="Q522" s="1094">
        <f t="shared" ref="Q522:Q523" si="492">($I522*L522)</f>
        <v>2.6190000000000002</v>
      </c>
      <c r="R522" s="1094">
        <f t="shared" ref="R522:R523" si="493">($I522*M522)</f>
        <v>0.873</v>
      </c>
      <c r="S522" s="145">
        <f>SUM(O522:R522)</f>
        <v>8.73</v>
      </c>
      <c r="T522" s="618">
        <f>IFERROR(INDEX('Annex 2_Code'!I$8:I$33,MATCH('Annex 3_MAFF'!$AG522,'Annex 2_Code'!$G$8:$G$33,0)),"")</f>
        <v>1</v>
      </c>
      <c r="U522" s="618">
        <f>IFERROR(INDEX('Annex 2_Code'!J$8:J$33,MATCH('Annex 3_MAFF'!$AG522,'Annex 2_Code'!$G$8:$G$33,0)),"")</f>
        <v>0</v>
      </c>
      <c r="V522" s="618">
        <f>IFERROR(INDEX('Annex 2_Code'!K$8:K$33,MATCH('Annex 3_MAFF'!$AG522,'Annex 2_Code'!$G$8:$G$33,0)),"")</f>
        <v>0</v>
      </c>
      <c r="W522" s="618">
        <f>IFERROR(INDEX('Annex 2_Code'!L$8:L$33,MATCH('Annex 3_MAFF'!$AG522,'Annex 2_Code'!$G$8:$G$33,0)),"")</f>
        <v>0</v>
      </c>
      <c r="X522" s="618">
        <f>IFERROR(INDEX('Annex 2_Code'!M$8:M$33,MATCH('Annex 3_MAFF'!$AG522,'Annex 2_Code'!$G$8:$G$33,0)),"")</f>
        <v>0</v>
      </c>
      <c r="Y522" s="1536">
        <f t="shared" si="472"/>
        <v>8.73</v>
      </c>
      <c r="Z522" s="717">
        <f t="shared" si="473"/>
        <v>0</v>
      </c>
      <c r="AA522" s="717">
        <f t="shared" si="473"/>
        <v>0</v>
      </c>
      <c r="AB522" s="717">
        <f t="shared" si="474"/>
        <v>0</v>
      </c>
      <c r="AC522" s="718">
        <f t="shared" si="475"/>
        <v>0</v>
      </c>
      <c r="AD522" s="626">
        <f t="shared" si="485"/>
        <v>8.73</v>
      </c>
      <c r="AE522" s="627">
        <f t="shared" si="486"/>
        <v>0</v>
      </c>
      <c r="AF522" s="568" t="s">
        <v>562</v>
      </c>
      <c r="AG522" s="568" t="s">
        <v>396</v>
      </c>
      <c r="AH522" s="568" t="str">
        <f>IFERROR(INDEX('Annex 2_Code'!$J$110:$J$127,MATCH('Annex 3_MAFF'!AF522,'Annex 2_Code'!$G$110:$G$127,0)),"")</f>
        <v>MAFF</v>
      </c>
      <c r="AI522" s="882" t="str">
        <f t="shared" si="490"/>
        <v>MAFF</v>
      </c>
    </row>
    <row r="523" spans="1:44" outlineLevel="1">
      <c r="A523" s="102"/>
      <c r="B523" s="76" t="s">
        <v>25</v>
      </c>
      <c r="C523" s="96" t="s">
        <v>273</v>
      </c>
      <c r="D523" s="78"/>
      <c r="E523" s="122"/>
      <c r="F523" s="543"/>
      <c r="G523" s="732" t="s">
        <v>288</v>
      </c>
      <c r="H523" s="538" t="s">
        <v>174</v>
      </c>
      <c r="I523" s="1742">
        <f>2910/1000</f>
        <v>2.91</v>
      </c>
      <c r="J523">
        <v>1.5</v>
      </c>
      <c r="K523">
        <v>1.5</v>
      </c>
      <c r="L523">
        <v>1.5</v>
      </c>
      <c r="M523">
        <v>1.5</v>
      </c>
      <c r="N523" s="667">
        <f t="shared" si="487"/>
        <v>6</v>
      </c>
      <c r="O523" s="2060">
        <f t="shared" si="489"/>
        <v>4.3650000000000002</v>
      </c>
      <c r="P523" s="2061">
        <f t="shared" si="491"/>
        <v>4.3650000000000002</v>
      </c>
      <c r="Q523" s="2061">
        <f t="shared" si="492"/>
        <v>4.3650000000000002</v>
      </c>
      <c r="R523" s="2061">
        <f t="shared" si="493"/>
        <v>4.3650000000000002</v>
      </c>
      <c r="S523" s="145">
        <f>SUM(O523:R523)</f>
        <v>17.46</v>
      </c>
      <c r="T523" s="618">
        <f>IFERROR(INDEX('Annex 2_Code'!I$8:I$33,MATCH('Annex 3_MAFF'!$AG523,'Annex 2_Code'!$G$8:$G$33,0)),"")</f>
        <v>1</v>
      </c>
      <c r="U523" s="618">
        <f>IFERROR(INDEX('Annex 2_Code'!J$8:J$33,MATCH('Annex 3_MAFF'!$AG523,'Annex 2_Code'!$G$8:$G$33,0)),"")</f>
        <v>0</v>
      </c>
      <c r="V523" s="618">
        <f>IFERROR(INDEX('Annex 2_Code'!K$8:K$33,MATCH('Annex 3_MAFF'!$AG523,'Annex 2_Code'!$G$8:$G$33,0)),"")</f>
        <v>0</v>
      </c>
      <c r="W523" s="618">
        <f>IFERROR(INDEX('Annex 2_Code'!L$8:L$33,MATCH('Annex 3_MAFF'!$AG523,'Annex 2_Code'!$G$8:$G$33,0)),"")</f>
        <v>0</v>
      </c>
      <c r="X523" s="618">
        <f>IFERROR(INDEX('Annex 2_Code'!M$8:M$33,MATCH('Annex 3_MAFF'!$AG523,'Annex 2_Code'!$G$8:$G$33,0)),"")</f>
        <v>0</v>
      </c>
      <c r="Y523" s="1536">
        <f t="shared" si="472"/>
        <v>17.46</v>
      </c>
      <c r="Z523" s="717">
        <f t="shared" si="473"/>
        <v>0</v>
      </c>
      <c r="AA523" s="717">
        <f t="shared" si="473"/>
        <v>0</v>
      </c>
      <c r="AB523" s="717">
        <f t="shared" si="474"/>
        <v>0</v>
      </c>
      <c r="AC523" s="718">
        <f t="shared" si="475"/>
        <v>0</v>
      </c>
      <c r="AD523" s="626">
        <f t="shared" si="485"/>
        <v>17.46</v>
      </c>
      <c r="AE523" s="627">
        <f t="shared" si="486"/>
        <v>0</v>
      </c>
      <c r="AF523" s="568" t="s">
        <v>562</v>
      </c>
      <c r="AG523" s="568" t="s">
        <v>396</v>
      </c>
      <c r="AH523" s="568" t="str">
        <f>IFERROR(INDEX('Annex 2_Code'!$J$110:$J$127,MATCH('Annex 3_MAFF'!AF523,'Annex 2_Code'!$G$110:$G$127,0)),"")</f>
        <v>MAFF</v>
      </c>
      <c r="AI523" s="882" t="str">
        <f t="shared" si="490"/>
        <v>MAFF</v>
      </c>
    </row>
    <row r="524" spans="1:44" outlineLevel="1">
      <c r="A524" s="102"/>
      <c r="B524" s="76" t="s">
        <v>173</v>
      </c>
      <c r="C524" s="96"/>
      <c r="D524" s="1425"/>
      <c r="E524" s="1440" t="s">
        <v>41</v>
      </c>
      <c r="F524" s="1477"/>
      <c r="G524" s="1428"/>
      <c r="H524" s="1429"/>
      <c r="I524" s="1752"/>
      <c r="J524" s="1495"/>
      <c r="K524" s="1495"/>
      <c r="L524" s="1495"/>
      <c r="M524" s="1495"/>
      <c r="N524" s="1433"/>
      <c r="O524" s="1434">
        <f>SUM(O506:O523)</f>
        <v>157.85999999999999</v>
      </c>
      <c r="P524" s="1435">
        <f>SUM(P506:P523)</f>
        <v>125.705</v>
      </c>
      <c r="Q524" s="1435">
        <f>SUM(Q506:Q523)</f>
        <v>108.70499999999998</v>
      </c>
      <c r="R524" s="1435">
        <f>SUM(R506:R523)</f>
        <v>132.459</v>
      </c>
      <c r="S524" s="1436">
        <f>SUM(S506:S523)</f>
        <v>524.72900000000004</v>
      </c>
      <c r="T524" s="618" t="str">
        <f>IFERROR(INDEX('Annex 2_Code'!I$8:I$33,MATCH('Annex 3_MAFF'!$AG524,'Annex 2_Code'!$G$8:$G$33,0)),"")</f>
        <v/>
      </c>
      <c r="U524" s="618" t="str">
        <f>IFERROR(INDEX('Annex 2_Code'!J$8:J$33,MATCH('Annex 3_MAFF'!$AG524,'Annex 2_Code'!$G$8:$G$33,0)),"")</f>
        <v/>
      </c>
      <c r="V524" s="618" t="str">
        <f>IFERROR(INDEX('Annex 2_Code'!K$8:K$33,MATCH('Annex 3_MAFF'!$AG524,'Annex 2_Code'!$G$8:$G$33,0)),"")</f>
        <v/>
      </c>
      <c r="W524" s="618" t="str">
        <f>IFERROR(INDEX('Annex 2_Code'!L$8:L$33,MATCH('Annex 3_MAFF'!$AG524,'Annex 2_Code'!$G$8:$G$33,0)),"")</f>
        <v/>
      </c>
      <c r="X524" s="618" t="str">
        <f>IFERROR(INDEX('Annex 2_Code'!M$8:M$33,MATCH('Annex 3_MAFF'!$AG524,'Annex 2_Code'!$G$8:$G$33,0)),"")</f>
        <v/>
      </c>
      <c r="Y524" s="1536" t="str">
        <f t="shared" si="472"/>
        <v/>
      </c>
      <c r="Z524" s="717" t="str">
        <f t="shared" si="473"/>
        <v/>
      </c>
      <c r="AA524" s="717" t="str">
        <f t="shared" si="473"/>
        <v/>
      </c>
      <c r="AB524" s="717" t="str">
        <f t="shared" si="474"/>
        <v/>
      </c>
      <c r="AC524" s="718" t="str">
        <f t="shared" si="475"/>
        <v/>
      </c>
      <c r="AD524" s="626">
        <f t="shared" si="485"/>
        <v>0</v>
      </c>
      <c r="AE524" s="627">
        <f t="shared" si="486"/>
        <v>-524.72900000000004</v>
      </c>
      <c r="AF524" s="568"/>
      <c r="AG524" s="568"/>
      <c r="AH524" s="568" t="str">
        <f>IFERROR(INDEX('Annex 2_Code'!$J$110:$J$127,MATCH('Annex 3_MAFF'!AF524,'Annex 2_Code'!$G$110:$G$127,0)),"")</f>
        <v/>
      </c>
      <c r="AI524" s="882" t="str">
        <f t="shared" si="490"/>
        <v/>
      </c>
      <c r="AL524" s="1389">
        <f>SUM(Y506:Y523)</f>
        <v>524.72900000000004</v>
      </c>
      <c r="AM524" s="1389" t="s">
        <v>1033</v>
      </c>
      <c r="AN524" s="1603"/>
      <c r="AO524" s="1603"/>
      <c r="AP524" s="1603"/>
      <c r="AQ524" s="1604"/>
    </row>
    <row r="525" spans="1:44" outlineLevel="1">
      <c r="A525" s="102"/>
      <c r="B525" s="76" t="s">
        <v>173</v>
      </c>
      <c r="C525" s="96"/>
      <c r="D525" s="484"/>
      <c r="E525" s="122" t="s">
        <v>1166</v>
      </c>
      <c r="F525" s="543"/>
      <c r="G525" s="722"/>
      <c r="H525" s="588"/>
      <c r="I525" s="1742"/>
      <c r="J525"/>
      <c r="K525"/>
      <c r="L525"/>
      <c r="M525"/>
      <c r="N525" s="678"/>
      <c r="O525" s="691"/>
      <c r="P525" s="692"/>
      <c r="Q525" s="692"/>
      <c r="R525" s="692"/>
      <c r="S525" s="115"/>
      <c r="T525" s="618" t="str">
        <f>IFERROR(INDEX('Annex 2_Code'!I$8:I$33,MATCH('Annex 3_MAFF'!$AG525,'Annex 2_Code'!$G$8:$G$33,0)),"")</f>
        <v/>
      </c>
      <c r="U525" s="618" t="str">
        <f>IFERROR(INDEX('Annex 2_Code'!J$8:J$33,MATCH('Annex 3_MAFF'!$AG525,'Annex 2_Code'!$G$8:$G$33,0)),"")</f>
        <v/>
      </c>
      <c r="V525" s="618" t="str">
        <f>IFERROR(INDEX('Annex 2_Code'!K$8:K$33,MATCH('Annex 3_MAFF'!$AG525,'Annex 2_Code'!$G$8:$G$33,0)),"")</f>
        <v/>
      </c>
      <c r="W525" s="618" t="str">
        <f>IFERROR(INDEX('Annex 2_Code'!L$8:L$33,MATCH('Annex 3_MAFF'!$AG525,'Annex 2_Code'!$G$8:$G$33,0)),"")</f>
        <v/>
      </c>
      <c r="X525" s="618" t="str">
        <f>IFERROR(INDEX('Annex 2_Code'!M$8:M$33,MATCH('Annex 3_MAFF'!$AG525,'Annex 2_Code'!$G$8:$G$33,0)),"")</f>
        <v/>
      </c>
      <c r="Y525" s="1536" t="str">
        <f t="shared" si="472"/>
        <v/>
      </c>
      <c r="Z525" s="717" t="str">
        <f t="shared" si="473"/>
        <v/>
      </c>
      <c r="AA525" s="717" t="str">
        <f t="shared" si="473"/>
        <v/>
      </c>
      <c r="AB525" s="717" t="str">
        <f t="shared" si="474"/>
        <v/>
      </c>
      <c r="AC525" s="718" t="str">
        <f t="shared" si="475"/>
        <v/>
      </c>
      <c r="AD525" s="626">
        <f t="shared" si="485"/>
        <v>0</v>
      </c>
      <c r="AE525" s="627">
        <f t="shared" si="486"/>
        <v>0</v>
      </c>
      <c r="AF525" s="568"/>
      <c r="AG525" s="568"/>
      <c r="AH525" s="568" t="str">
        <f>IFERROR(INDEX('Annex 2_Code'!$J$110:$J$127,MATCH('Annex 3_MAFF'!AF525,'Annex 2_Code'!$G$110:$G$127,0)),"")</f>
        <v/>
      </c>
      <c r="AI525" s="882" t="str">
        <f t="shared" si="490"/>
        <v/>
      </c>
      <c r="AM525" s="1380"/>
      <c r="AN525" s="1380"/>
      <c r="AO525" s="1380"/>
      <c r="AP525" s="1380"/>
      <c r="AQ525" s="1380"/>
      <c r="AR525" s="1380"/>
    </row>
    <row r="526" spans="1:44" outlineLevel="1">
      <c r="A526" s="102"/>
      <c r="B526" s="76" t="s">
        <v>25</v>
      </c>
      <c r="C526" s="96" t="s">
        <v>273</v>
      </c>
      <c r="D526" s="484"/>
      <c r="E526" s="122"/>
      <c r="F526" s="1979" t="s">
        <v>289</v>
      </c>
      <c r="G526" s="722"/>
      <c r="H526" s="588" t="s">
        <v>172</v>
      </c>
      <c r="I526" s="1742">
        <f>13680/1000</f>
        <v>13.68</v>
      </c>
      <c r="J526">
        <v>1</v>
      </c>
      <c r="K526">
        <v>1</v>
      </c>
      <c r="L526">
        <v>1</v>
      </c>
      <c r="M526">
        <v>1</v>
      </c>
      <c r="N526" s="678">
        <f>SUM(J526:M526)</f>
        <v>4</v>
      </c>
      <c r="O526" s="1194">
        <f>$I526*J526</f>
        <v>13.68</v>
      </c>
      <c r="P526" s="1189">
        <f>$I526*K526</f>
        <v>13.68</v>
      </c>
      <c r="Q526" s="1189">
        <f t="shared" ref="Q526:R526" si="494">$I526*L526</f>
        <v>13.68</v>
      </c>
      <c r="R526" s="1189">
        <f t="shared" si="494"/>
        <v>13.68</v>
      </c>
      <c r="S526" s="1195">
        <f>SUM(O526:R526)</f>
        <v>54.72</v>
      </c>
      <c r="T526" s="618">
        <f>IFERROR(INDEX('Annex 2_Code'!I$8:I$33,MATCH('Annex 3_MAFF'!$AG526,'Annex 2_Code'!$G$8:$G$33,0)),"")</f>
        <v>1</v>
      </c>
      <c r="U526" s="618">
        <f>IFERROR(INDEX('Annex 2_Code'!J$8:J$33,MATCH('Annex 3_MAFF'!$AG526,'Annex 2_Code'!$G$8:$G$33,0)),"")</f>
        <v>0</v>
      </c>
      <c r="V526" s="618">
        <f>IFERROR(INDEX('Annex 2_Code'!K$8:K$33,MATCH('Annex 3_MAFF'!$AG526,'Annex 2_Code'!$G$8:$G$33,0)),"")</f>
        <v>0</v>
      </c>
      <c r="W526" s="618">
        <f>IFERROR(INDEX('Annex 2_Code'!L$8:L$33,MATCH('Annex 3_MAFF'!$AG526,'Annex 2_Code'!$G$8:$G$33,0)),"")</f>
        <v>0</v>
      </c>
      <c r="X526" s="618">
        <f>IFERROR(INDEX('Annex 2_Code'!M$8:M$33,MATCH('Annex 3_MAFF'!$AG526,'Annex 2_Code'!$G$8:$G$33,0)),"")</f>
        <v>0</v>
      </c>
      <c r="Y526" s="1536">
        <f t="shared" si="472"/>
        <v>54.72</v>
      </c>
      <c r="Z526" s="717">
        <f t="shared" si="473"/>
        <v>0</v>
      </c>
      <c r="AA526" s="717">
        <f t="shared" si="473"/>
        <v>0</v>
      </c>
      <c r="AB526" s="717">
        <f t="shared" si="474"/>
        <v>0</v>
      </c>
      <c r="AC526" s="718">
        <f t="shared" si="475"/>
        <v>0</v>
      </c>
      <c r="AD526" s="626">
        <f t="shared" si="485"/>
        <v>54.72</v>
      </c>
      <c r="AE526" s="627">
        <f>AD526</f>
        <v>54.72</v>
      </c>
      <c r="AF526" s="568" t="s">
        <v>562</v>
      </c>
      <c r="AG526" s="569" t="s">
        <v>396</v>
      </c>
      <c r="AH526" s="568" t="str">
        <f>IFERROR(INDEX('Annex 2_Code'!$J$110:$J$127,MATCH('Annex 3_MAFF'!AF526,'Annex 2_Code'!$G$110:$G$127,0)),"")</f>
        <v>MAFF</v>
      </c>
      <c r="AI526" s="882" t="str">
        <f t="shared" si="490"/>
        <v>MAFF</v>
      </c>
      <c r="AL526" s="1389">
        <f>SUM(Y526)</f>
        <v>54.72</v>
      </c>
      <c r="AM526" s="1389" t="s">
        <v>1034</v>
      </c>
      <c r="AN526" s="1603"/>
      <c r="AO526" s="1603"/>
      <c r="AP526" s="1603"/>
      <c r="AQ526" s="1604"/>
    </row>
    <row r="527" spans="1:44" outlineLevel="1">
      <c r="A527" s="102"/>
      <c r="B527" s="76" t="s">
        <v>173</v>
      </c>
      <c r="C527" s="96"/>
      <c r="D527" s="484"/>
      <c r="E527" s="122" t="s">
        <v>1167</v>
      </c>
      <c r="F527" s="543"/>
      <c r="G527" s="722"/>
      <c r="H527" s="588"/>
      <c r="I527" s="1742"/>
      <c r="J527"/>
      <c r="K527"/>
      <c r="L527"/>
      <c r="M527"/>
      <c r="N527" s="678"/>
      <c r="O527" s="691"/>
      <c r="P527" s="692"/>
      <c r="Q527" s="692"/>
      <c r="R527" s="692"/>
      <c r="S527" s="115"/>
      <c r="T527" s="618" t="str">
        <f>IFERROR(INDEX('Annex 2_Code'!I$8:I$33,MATCH('Annex 3_MAFF'!$AG527,'Annex 2_Code'!$G$8:$G$33,0)),"")</f>
        <v/>
      </c>
      <c r="U527" s="618" t="str">
        <f>IFERROR(INDEX('Annex 2_Code'!J$8:J$33,MATCH('Annex 3_MAFF'!$AG527,'Annex 2_Code'!$G$8:$G$33,0)),"")</f>
        <v/>
      </c>
      <c r="V527" s="618" t="str">
        <f>IFERROR(INDEX('Annex 2_Code'!K$8:K$33,MATCH('Annex 3_MAFF'!$AG527,'Annex 2_Code'!$G$8:$G$33,0)),"")</f>
        <v/>
      </c>
      <c r="W527" s="618" t="str">
        <f>IFERROR(INDEX('Annex 2_Code'!L$8:L$33,MATCH('Annex 3_MAFF'!$AG527,'Annex 2_Code'!$G$8:$G$33,0)),"")</f>
        <v/>
      </c>
      <c r="X527" s="618" t="str">
        <f>IFERROR(INDEX('Annex 2_Code'!M$8:M$33,MATCH('Annex 3_MAFF'!$AG527,'Annex 2_Code'!$G$8:$G$33,0)),"")</f>
        <v/>
      </c>
      <c r="Y527" s="1536" t="str">
        <f t="shared" si="472"/>
        <v/>
      </c>
      <c r="Z527" s="717" t="str">
        <f t="shared" si="473"/>
        <v/>
      </c>
      <c r="AA527" s="717" t="str">
        <f t="shared" si="473"/>
        <v/>
      </c>
      <c r="AB527" s="717" t="str">
        <f t="shared" si="474"/>
        <v/>
      </c>
      <c r="AC527" s="718" t="str">
        <f t="shared" si="475"/>
        <v/>
      </c>
      <c r="AD527" s="626">
        <f t="shared" si="485"/>
        <v>0</v>
      </c>
      <c r="AE527" s="627">
        <f t="shared" si="486"/>
        <v>0</v>
      </c>
      <c r="AF527" s="568"/>
      <c r="AG527" s="568"/>
      <c r="AH527" s="568" t="str">
        <f>IFERROR(INDEX('Annex 2_Code'!$J$110:$J$127,MATCH('Annex 3_MAFF'!AF527,'Annex 2_Code'!$G$110:$G$127,0)),"")</f>
        <v/>
      </c>
      <c r="AI527" s="882" t="str">
        <f t="shared" si="490"/>
        <v/>
      </c>
      <c r="AM527" s="1380"/>
      <c r="AN527" s="1380"/>
      <c r="AO527" s="1380"/>
      <c r="AP527" s="1380"/>
      <c r="AQ527" s="1380"/>
      <c r="AR527" s="1380"/>
    </row>
    <row r="528" spans="1:44" outlineLevel="1">
      <c r="A528" s="102"/>
      <c r="B528" s="76" t="s">
        <v>25</v>
      </c>
      <c r="C528" s="96" t="s">
        <v>273</v>
      </c>
      <c r="D528" s="484"/>
      <c r="E528" s="122"/>
      <c r="F528" s="1979" t="s">
        <v>290</v>
      </c>
      <c r="G528" s="722"/>
      <c r="H528" s="588" t="s">
        <v>172</v>
      </c>
      <c r="I528" s="1742">
        <f>6750/1000</f>
        <v>6.75</v>
      </c>
      <c r="J528">
        <v>1</v>
      </c>
      <c r="K528">
        <v>1</v>
      </c>
      <c r="L528">
        <v>1</v>
      </c>
      <c r="M528">
        <v>1</v>
      </c>
      <c r="N528" s="678">
        <f>SUM(J528:M528)</f>
        <v>4</v>
      </c>
      <c r="O528" s="688">
        <f>$I528*J528</f>
        <v>6.75</v>
      </c>
      <c r="P528" s="689">
        <f t="shared" ref="P528:R529" si="495">$I528*K528</f>
        <v>6.75</v>
      </c>
      <c r="Q528" s="689">
        <f t="shared" si="495"/>
        <v>6.75</v>
      </c>
      <c r="R528" s="689">
        <f t="shared" si="495"/>
        <v>6.75</v>
      </c>
      <c r="S528" s="145">
        <f>SUM(O528:R528)</f>
        <v>27</v>
      </c>
      <c r="T528" s="618">
        <f>IFERROR(INDEX('Annex 2_Code'!I$8:I$33,MATCH('Annex 3_MAFF'!$AG528,'Annex 2_Code'!$G$8:$G$33,0)),"")</f>
        <v>1</v>
      </c>
      <c r="U528" s="618">
        <f>IFERROR(INDEX('Annex 2_Code'!J$8:J$33,MATCH('Annex 3_MAFF'!$AG528,'Annex 2_Code'!$G$8:$G$33,0)),"")</f>
        <v>0</v>
      </c>
      <c r="V528" s="618">
        <f>IFERROR(INDEX('Annex 2_Code'!K$8:K$33,MATCH('Annex 3_MAFF'!$AG528,'Annex 2_Code'!$G$8:$G$33,0)),"")</f>
        <v>0</v>
      </c>
      <c r="W528" s="618">
        <f>IFERROR(INDEX('Annex 2_Code'!L$8:L$33,MATCH('Annex 3_MAFF'!$AG528,'Annex 2_Code'!$G$8:$G$33,0)),"")</f>
        <v>0</v>
      </c>
      <c r="X528" s="618">
        <f>IFERROR(INDEX('Annex 2_Code'!M$8:M$33,MATCH('Annex 3_MAFF'!$AG528,'Annex 2_Code'!$G$8:$G$33,0)),"")</f>
        <v>0</v>
      </c>
      <c r="Y528" s="1536">
        <f t="shared" si="472"/>
        <v>27</v>
      </c>
      <c r="Z528" s="717">
        <f t="shared" si="473"/>
        <v>0</v>
      </c>
      <c r="AA528" s="717">
        <f t="shared" si="473"/>
        <v>0</v>
      </c>
      <c r="AB528" s="717">
        <f t="shared" si="474"/>
        <v>0</v>
      </c>
      <c r="AC528" s="718">
        <f t="shared" si="475"/>
        <v>0</v>
      </c>
      <c r="AD528" s="626">
        <f t="shared" si="485"/>
        <v>27</v>
      </c>
      <c r="AE528" s="627">
        <f t="shared" si="486"/>
        <v>0</v>
      </c>
      <c r="AF528" s="568" t="s">
        <v>562</v>
      </c>
      <c r="AG528" s="569" t="s">
        <v>396</v>
      </c>
      <c r="AH528" s="568" t="str">
        <f>IFERROR(INDEX('Annex 2_Code'!$J$110:$J$127,MATCH('Annex 3_MAFF'!AF528,'Annex 2_Code'!$G$110:$G$127,0)),"")</f>
        <v>MAFF</v>
      </c>
      <c r="AI528" s="882" t="str">
        <f t="shared" si="490"/>
        <v>MAFF</v>
      </c>
      <c r="AM528" s="1380"/>
      <c r="AN528" s="1380"/>
      <c r="AO528" s="1380"/>
      <c r="AP528" s="1380"/>
      <c r="AQ528" s="1380"/>
      <c r="AR528" s="1380"/>
    </row>
    <row r="529" spans="1:44" outlineLevel="1">
      <c r="A529" s="102"/>
      <c r="B529" s="76" t="s">
        <v>25</v>
      </c>
      <c r="C529" s="96" t="s">
        <v>273</v>
      </c>
      <c r="D529" s="484"/>
      <c r="E529" s="122"/>
      <c r="F529" s="1979" t="s">
        <v>291</v>
      </c>
      <c r="G529" s="722"/>
      <c r="H529" s="588" t="s">
        <v>172</v>
      </c>
      <c r="I529" s="1742">
        <f>1500/1000</f>
        <v>1.5</v>
      </c>
      <c r="J529">
        <v>1</v>
      </c>
      <c r="K529">
        <v>1</v>
      </c>
      <c r="L529">
        <v>1</v>
      </c>
      <c r="M529">
        <v>1</v>
      </c>
      <c r="N529" s="678">
        <f>SUM(J529:M529)</f>
        <v>4</v>
      </c>
      <c r="O529" s="688">
        <f t="shared" ref="O529" si="496">$I529*J529</f>
        <v>1.5</v>
      </c>
      <c r="P529" s="689">
        <f t="shared" si="495"/>
        <v>1.5</v>
      </c>
      <c r="Q529" s="689">
        <f t="shared" si="495"/>
        <v>1.5</v>
      </c>
      <c r="R529" s="689">
        <f t="shared" si="495"/>
        <v>1.5</v>
      </c>
      <c r="S529" s="145">
        <f>SUM(O529:R529)</f>
        <v>6</v>
      </c>
      <c r="T529" s="618">
        <f>IFERROR(INDEX('Annex 2_Code'!I$8:I$33,MATCH('Annex 3_MAFF'!$AG529,'Annex 2_Code'!$G$8:$G$33,0)),"")</f>
        <v>1</v>
      </c>
      <c r="U529" s="618">
        <f>IFERROR(INDEX('Annex 2_Code'!J$8:J$33,MATCH('Annex 3_MAFF'!$AG529,'Annex 2_Code'!$G$8:$G$33,0)),"")</f>
        <v>0</v>
      </c>
      <c r="V529" s="618">
        <f>IFERROR(INDEX('Annex 2_Code'!K$8:K$33,MATCH('Annex 3_MAFF'!$AG529,'Annex 2_Code'!$G$8:$G$33,0)),"")</f>
        <v>0</v>
      </c>
      <c r="W529" s="618">
        <f>IFERROR(INDEX('Annex 2_Code'!L$8:L$33,MATCH('Annex 3_MAFF'!$AG529,'Annex 2_Code'!$G$8:$G$33,0)),"")</f>
        <v>0</v>
      </c>
      <c r="X529" s="618">
        <f>IFERROR(INDEX('Annex 2_Code'!M$8:M$33,MATCH('Annex 3_MAFF'!$AG529,'Annex 2_Code'!$G$8:$G$33,0)),"")</f>
        <v>0</v>
      </c>
      <c r="Y529" s="1536">
        <f t="shared" si="472"/>
        <v>6</v>
      </c>
      <c r="Z529" s="717">
        <f t="shared" si="473"/>
        <v>0</v>
      </c>
      <c r="AA529" s="717">
        <f t="shared" si="473"/>
        <v>0</v>
      </c>
      <c r="AB529" s="717">
        <f t="shared" si="474"/>
        <v>0</v>
      </c>
      <c r="AC529" s="718">
        <f t="shared" si="475"/>
        <v>0</v>
      </c>
      <c r="AD529" s="626">
        <f t="shared" si="485"/>
        <v>6</v>
      </c>
      <c r="AE529" s="627">
        <f t="shared" si="486"/>
        <v>0</v>
      </c>
      <c r="AF529" s="568" t="s">
        <v>562</v>
      </c>
      <c r="AG529" s="569" t="s">
        <v>396</v>
      </c>
      <c r="AH529" s="568" t="str">
        <f>IFERROR(INDEX('Annex 2_Code'!$J$110:$J$127,MATCH('Annex 3_MAFF'!AF529,'Annex 2_Code'!$G$110:$G$127,0)),"")</f>
        <v>MAFF</v>
      </c>
      <c r="AI529" s="882" t="str">
        <f t="shared" si="490"/>
        <v>MAFF</v>
      </c>
      <c r="AM529" s="1380"/>
      <c r="AN529" s="1380"/>
      <c r="AO529" s="1380"/>
      <c r="AP529" s="1380"/>
      <c r="AQ529" s="1380"/>
      <c r="AR529" s="1380"/>
    </row>
    <row r="530" spans="1:44" outlineLevel="1">
      <c r="A530" s="102"/>
      <c r="B530" s="76" t="s">
        <v>173</v>
      </c>
      <c r="C530" s="96"/>
      <c r="D530" s="1464"/>
      <c r="E530" s="1440" t="s">
        <v>41</v>
      </c>
      <c r="F530" s="1477"/>
      <c r="G530" s="1428"/>
      <c r="H530" s="1429"/>
      <c r="I530" s="1437"/>
      <c r="J530" s="1446"/>
      <c r="K530" s="1447"/>
      <c r="L530" s="1432"/>
      <c r="M530" s="1432"/>
      <c r="N530" s="1432"/>
      <c r="O530" s="1422">
        <f>SUM(O528:O529)</f>
        <v>8.25</v>
      </c>
      <c r="P530" s="1424">
        <f>SUM(P528:P529)</f>
        <v>8.25</v>
      </c>
      <c r="Q530" s="1424">
        <f>SUM(Q528:Q529)</f>
        <v>8.25</v>
      </c>
      <c r="R530" s="1424">
        <f>SUM(R528:R529)</f>
        <v>8.25</v>
      </c>
      <c r="S530" s="1423">
        <f>SUM(S528:S529)</f>
        <v>33</v>
      </c>
      <c r="T530" s="425"/>
      <c r="U530" s="425"/>
      <c r="V530" s="425"/>
      <c r="W530" s="425"/>
      <c r="X530" s="425"/>
      <c r="Y530" s="716">
        <f t="shared" si="472"/>
        <v>0</v>
      </c>
      <c r="Z530" s="717">
        <f t="shared" si="473"/>
        <v>0</v>
      </c>
      <c r="AA530" s="717">
        <f t="shared" si="473"/>
        <v>0</v>
      </c>
      <c r="AB530" s="717">
        <f t="shared" si="474"/>
        <v>0</v>
      </c>
      <c r="AC530" s="718">
        <f t="shared" si="475"/>
        <v>0</v>
      </c>
      <c r="AD530" s="626"/>
      <c r="AE530" s="627">
        <f>AD530-S530</f>
        <v>-33</v>
      </c>
      <c r="AF530" s="568"/>
      <c r="AG530" s="568"/>
      <c r="AH530" s="568" t="str">
        <f>IFERROR(INDEX('Annex 2_Code'!$J$110:$J$127,MATCH('Annex 3_MAFF'!AF530,'Annex 2_Code'!$G$110:$G$127,0)),"")</f>
        <v/>
      </c>
      <c r="AI530" s="882" t="str">
        <f>IF(ISNUMBER(FIND("-",AH530,1))=FALSE,LEFT(AH530,LEN(AH530)),LEFT(AH530,(FIND("-",AH530,1))-1))</f>
        <v/>
      </c>
    </row>
    <row r="531" spans="1:44" outlineLevel="1">
      <c r="A531" s="102"/>
      <c r="B531" s="76" t="s">
        <v>173</v>
      </c>
      <c r="C531" s="96"/>
      <c r="D531" s="1464"/>
      <c r="E531" s="1440" t="s">
        <v>584</v>
      </c>
      <c r="F531" s="1477"/>
      <c r="G531" s="1428"/>
      <c r="H531" s="1429"/>
      <c r="I531" s="1437"/>
      <c r="J531" s="1446"/>
      <c r="K531" s="1447"/>
      <c r="L531" s="1432"/>
      <c r="M531" s="1432"/>
      <c r="N531" s="1433"/>
      <c r="O531" s="1191">
        <f>O524+O526+O530</f>
        <v>179.79</v>
      </c>
      <c r="P531" s="1192">
        <f>P524+P526+P530</f>
        <v>147.63499999999999</v>
      </c>
      <c r="Q531" s="1192">
        <f>Q524+Q526+Q530</f>
        <v>130.63499999999999</v>
      </c>
      <c r="R531" s="1192">
        <f>R524+R526+R530</f>
        <v>154.38900000000001</v>
      </c>
      <c r="S531" s="1193">
        <f>S524+S526+S530</f>
        <v>612.44900000000007</v>
      </c>
      <c r="T531" s="313"/>
      <c r="U531" s="313"/>
      <c r="V531" s="313"/>
      <c r="W531" s="313"/>
      <c r="X531" s="711"/>
      <c r="Y531" s="716">
        <f t="shared" si="472"/>
        <v>0</v>
      </c>
      <c r="Z531" s="717">
        <f t="shared" si="473"/>
        <v>0</v>
      </c>
      <c r="AA531" s="717">
        <f t="shared" si="473"/>
        <v>0</v>
      </c>
      <c r="AB531" s="717">
        <f t="shared" si="474"/>
        <v>0</v>
      </c>
      <c r="AC531" s="718">
        <f t="shared" si="475"/>
        <v>0</v>
      </c>
      <c r="AD531" s="626">
        <f>SUM(AD9:AD529)</f>
        <v>15995.239306666661</v>
      </c>
      <c r="AE531" s="627">
        <f>AD531-S531</f>
        <v>15382.79030666666</v>
      </c>
      <c r="AF531" s="568"/>
      <c r="AG531" s="568"/>
      <c r="AH531" s="568" t="str">
        <f>IFERROR(INDEX('Annex 2_Code'!$J$110:$J$127,MATCH('Annex 3_MAFF'!AF531,'Annex 2_Code'!$G$110:$G$127,0)),"")</f>
        <v/>
      </c>
      <c r="AI531" s="882" t="str">
        <f>IF(ISNUMBER(FIND("-",AH531,1))=FALSE,LEFT(AH531,LEN(AH531)),LEFT(AH531,(FIND("-",AH531,1))-1))</f>
        <v/>
      </c>
      <c r="AK531" s="1389">
        <f>SUM(S506:S523)+SUM(S526:S529)</f>
        <v>612.44900000000007</v>
      </c>
      <c r="AL531" s="1386" t="s">
        <v>273</v>
      </c>
      <c r="AN531" s="1420">
        <f>SUM(AL524:AL529)</f>
        <v>579.44900000000007</v>
      </c>
      <c r="AQ531" s="1420">
        <f>SUM(AQ524:AQ529)</f>
        <v>0</v>
      </c>
    </row>
    <row r="532" spans="1:44" ht="17.25" customHeight="1">
      <c r="A532" s="102"/>
      <c r="B532" s="76" t="s">
        <v>173</v>
      </c>
      <c r="C532" s="96"/>
      <c r="D532" s="1948" t="s">
        <v>788</v>
      </c>
      <c r="E532" s="1648"/>
      <c r="F532" s="1648"/>
      <c r="G532" s="723"/>
      <c r="H532" s="2025" t="s">
        <v>14</v>
      </c>
      <c r="I532" s="2026"/>
      <c r="J532" s="2027"/>
      <c r="K532" s="2028"/>
      <c r="L532" s="2028"/>
      <c r="M532" s="2028"/>
      <c r="N532" s="2028"/>
      <c r="O532" s="1962">
        <f>O450+O454+O501+O531</f>
        <v>738.0006249999999</v>
      </c>
      <c r="P532" s="1963">
        <f>P450+P454+P501+P531</f>
        <v>681.7456249999999</v>
      </c>
      <c r="Q532" s="1963">
        <f>Q450+Q454+Q501+Q531</f>
        <v>626.249505</v>
      </c>
      <c r="R532" s="1963">
        <f>R450+R454+R501+R531</f>
        <v>623.99962499999992</v>
      </c>
      <c r="S532" s="1964">
        <f>S450+S454+S501+S531</f>
        <v>2669.9953799999998</v>
      </c>
      <c r="T532" s="2029"/>
      <c r="U532" s="2029"/>
      <c r="V532" s="2029"/>
      <c r="W532" s="2029"/>
      <c r="X532" s="2030"/>
      <c r="Y532" s="2015">
        <f t="shared" si="472"/>
        <v>0</v>
      </c>
      <c r="Z532" s="2016">
        <f t="shared" si="473"/>
        <v>0</v>
      </c>
      <c r="AA532" s="2016">
        <f t="shared" ref="AA532" si="497">IFERROR($S532*V532,"")</f>
        <v>0</v>
      </c>
      <c r="AB532" s="2016">
        <f t="shared" si="474"/>
        <v>0</v>
      </c>
      <c r="AC532" s="2017">
        <f t="shared" si="475"/>
        <v>0</v>
      </c>
      <c r="AD532" s="2008"/>
      <c r="AE532" s="2009">
        <f>AD532-S532</f>
        <v>-2669.9953799999998</v>
      </c>
      <c r="AF532" s="2011"/>
      <c r="AG532" s="2011"/>
      <c r="AH532" s="2011" t="str">
        <f>IFERROR(INDEX('Annex 2_Code'!$J$110:$J$127,MATCH('Annex 3_MAFF'!AF532,'Annex 2_Code'!$G$110:$G$127,0)),"")</f>
        <v/>
      </c>
      <c r="AI532" s="2012" t="str">
        <f>IF(ISNUMBER(FIND("-",AH532,1))=FALSE,LEFT(AH532,LEN(AH532)),LEFT(AH532,(FIND("-",AH532,1))-1))</f>
        <v/>
      </c>
    </row>
    <row r="533" spans="1:44" ht="14.25" thickBot="1">
      <c r="A533" s="102"/>
      <c r="B533" s="116" t="s">
        <v>173</v>
      </c>
      <c r="C533" s="117"/>
      <c r="D533" s="110"/>
      <c r="E533" s="97"/>
      <c r="F533" s="485"/>
      <c r="G533" s="98"/>
      <c r="H533" s="591"/>
      <c r="I533" s="587"/>
      <c r="J533" s="683"/>
      <c r="K533" s="684"/>
      <c r="L533" s="684"/>
      <c r="M533" s="684"/>
      <c r="N533" s="685"/>
      <c r="O533" s="700"/>
      <c r="P533" s="701"/>
      <c r="Q533" s="701"/>
      <c r="R533" s="701"/>
      <c r="S533" s="1022">
        <f>SUM(O532:R532)</f>
        <v>2669.9953799999994</v>
      </c>
      <c r="T533" s="313"/>
      <c r="U533" s="313"/>
      <c r="V533" s="313"/>
      <c r="W533" s="313"/>
      <c r="X533" s="711"/>
      <c r="Y533" s="484"/>
      <c r="Z533" s="544"/>
      <c r="AA533" s="544"/>
      <c r="AB533" s="544"/>
      <c r="AC533" s="617"/>
      <c r="AD533" s="626">
        <f>AD532-S532</f>
        <v>-2669.9953799999998</v>
      </c>
      <c r="AE533" s="627"/>
      <c r="AF533" s="568"/>
      <c r="AG533" s="568"/>
      <c r="AH533" s="568"/>
      <c r="AI533" s="882" t="str">
        <f>IF(ISNUMBER(FIND("-",AH533,1))=FALSE,LEFT(AH533,LEN(AH533)),LEFT(AH533,(FIND("-",AH533,1))-1))</f>
        <v/>
      </c>
    </row>
    <row r="534" spans="1:44" s="575" customFormat="1" ht="17.25" customHeight="1" thickBot="1">
      <c r="A534" s="118"/>
      <c r="B534" s="119"/>
      <c r="C534" s="120"/>
      <c r="D534" s="100" t="s">
        <v>33</v>
      </c>
      <c r="E534" s="121"/>
      <c r="F534" s="549"/>
      <c r="G534" s="733"/>
      <c r="H534" s="734"/>
      <c r="I534" s="735"/>
      <c r="J534" s="686"/>
      <c r="K534" s="687"/>
      <c r="L534" s="687"/>
      <c r="M534" s="687"/>
      <c r="N534" s="687"/>
      <c r="O534" s="1546">
        <f>SUM(O532,O404,O380,O376,O316,O268,O237,O218,O164,O67,O49,O37,O30,O16)</f>
        <v>1241.4201249999999</v>
      </c>
      <c r="P534" s="1547">
        <f>SUM(P532,P404,P380,P376,P316,P268,P237,P218,P164,P67,P49,P37,P30,P16)</f>
        <v>5115.5561249999992</v>
      </c>
      <c r="Q534" s="1547">
        <f>SUM(Q532,Q404,Q380,Q376,Q316,Q268,Q237,Q218,Q164,Q67,Q49,Q37,Q30,Q16)</f>
        <v>6015.2872750000006</v>
      </c>
      <c r="R534" s="1547">
        <f>SUM(R532,R404,R380,R376,R316,R268,R237,R218,R164,R67,R49,R37,R30,R16)</f>
        <v>3622.9757816666661</v>
      </c>
      <c r="S534" s="1956">
        <f>SUM(S532,S404,S380,S376,S316,S268,S237,S218,S164,S67,S49,S37,S30,S16)</f>
        <v>15995.239306666668</v>
      </c>
      <c r="T534" s="625"/>
      <c r="U534" s="625"/>
      <c r="V534" s="625"/>
      <c r="W534" s="625"/>
      <c r="X534" s="625"/>
      <c r="Y534" s="1017">
        <f>SUM(Y8:Y533)</f>
        <v>11645.477106666662</v>
      </c>
      <c r="Z534" s="703">
        <f>SUM(Z8:Z533)</f>
        <v>0</v>
      </c>
      <c r="AA534" s="1018">
        <f>SUM(AA8:AA533)</f>
        <v>3538.9831090909088</v>
      </c>
      <c r="AB534" s="1018">
        <f>SUM(AB8:AB533)</f>
        <v>421.50136039786946</v>
      </c>
      <c r="AC534" s="1018">
        <f>SUM(AC8:AC533)</f>
        <v>389.27773051122148</v>
      </c>
      <c r="AD534" s="1613">
        <f>SUM(Y534:AC534)</f>
        <v>15995.239306666661</v>
      </c>
      <c r="AE534" s="702">
        <f>SUM(AE532,AE404,AE380,AE376,AE316,AE268,AE237,AE218,AE164,AE67,AE49,AE37,AE30,AE16)</f>
        <v>-15995.239306666668</v>
      </c>
      <c r="AF534" s="878"/>
      <c r="AG534" s="878"/>
      <c r="AH534" s="878" t="str">
        <f>IFERROR(INDEX('Annex 2_Code'!$J$110:$J$122,MATCH('Annex 3_MAFF'!AF534,'Annex 2_Code'!$G$110:$G$122,0)),"")</f>
        <v/>
      </c>
      <c r="AI534" s="883" t="str">
        <f>IF(ISNUMBER(FIND("-",AH534,1))=FALSE,LEFT(AH534,LEN(AH534)),LEFT(AH534,(FIND("-",AH534,1))-1))</f>
        <v/>
      </c>
      <c r="AK534" s="1381"/>
      <c r="AL534" s="1381"/>
    </row>
    <row r="535" spans="1:44" s="575" customFormat="1">
      <c r="A535" s="118"/>
      <c r="B535" s="296"/>
      <c r="C535" s="297"/>
      <c r="D535" s="118"/>
      <c r="E535" s="118"/>
      <c r="F535" s="424"/>
      <c r="G535" s="118"/>
      <c r="H535" s="576"/>
      <c r="I535" s="592"/>
      <c r="J535" s="603"/>
      <c r="K535" s="603"/>
      <c r="L535" s="603"/>
      <c r="M535" s="603"/>
      <c r="N535" s="603"/>
      <c r="O535" s="1646">
        <f>O$534/$S$534</f>
        <v>7.7611850701263807E-2</v>
      </c>
      <c r="P535" s="1646">
        <f>P$534/$S$534</f>
        <v>0.31981741735291719</v>
      </c>
      <c r="Q535" s="1646">
        <f>Q$534/$S$534</f>
        <v>0.37606735102068051</v>
      </c>
      <c r="R535" s="1646">
        <f>R$534/$S$534</f>
        <v>0.22650338092513833</v>
      </c>
      <c r="S535" s="1647">
        <f>SUM(O535:R535)</f>
        <v>0.99999999999999989</v>
      </c>
      <c r="T535" s="626"/>
      <c r="U535" s="627"/>
      <c r="V535" s="627"/>
      <c r="W535" s="627"/>
      <c r="X535" s="627"/>
      <c r="Y535" s="602"/>
      <c r="Z535" s="602"/>
      <c r="AA535" s="602"/>
      <c r="AB535" s="602"/>
      <c r="AC535" s="602"/>
      <c r="AD535" s="1614">
        <f>S534</f>
        <v>15995.239306666668</v>
      </c>
      <c r="AE535" s="1127"/>
      <c r="AF535" s="561"/>
      <c r="AG535" s="561"/>
      <c r="AH535" s="561" t="str">
        <f>IFERROR(INDEX('Annex 2_Code'!$J$110:$J$122,MATCH('Annex 3_MAFF'!AF535,'Annex 2_Code'!$G$110:$G$122,0)),"")</f>
        <v/>
      </c>
      <c r="AI535" s="596"/>
      <c r="AK535" s="1381"/>
      <c r="AL535" s="1381"/>
    </row>
    <row r="536" spans="1:44">
      <c r="A536" s="102"/>
      <c r="B536" s="127"/>
      <c r="C536" s="82"/>
      <c r="D536" s="97"/>
      <c r="E536" s="97"/>
      <c r="F536" s="485"/>
      <c r="G536" s="97"/>
      <c r="H536" s="561"/>
      <c r="I536" s="593"/>
      <c r="J536" s="560"/>
      <c r="K536" s="560"/>
      <c r="L536" s="560"/>
      <c r="M536" s="560"/>
      <c r="N536" s="560"/>
      <c r="O536" s="560"/>
      <c r="P536" s="560"/>
      <c r="Q536" s="560"/>
      <c r="R536" s="560">
        <f>S534-AD534</f>
        <v>0</v>
      </c>
      <c r="S536" s="602">
        <f>SUM(O534:R534)</f>
        <v>15995.239306666665</v>
      </c>
      <c r="T536" s="626"/>
      <c r="U536" s="627"/>
      <c r="V536" s="627"/>
      <c r="W536" s="627"/>
      <c r="X536" s="627"/>
      <c r="Y536" s="487"/>
      <c r="Z536" s="487"/>
      <c r="AA536" s="487"/>
      <c r="AB536" s="487"/>
      <c r="AC536" s="487"/>
      <c r="AD536" s="626">
        <f>AD534-AD535</f>
        <v>0</v>
      </c>
      <c r="AE536" s="627"/>
      <c r="AF536" s="561"/>
      <c r="AG536" s="561"/>
      <c r="AH536" s="561" t="str">
        <f>IFERROR(INDEX('Annex 2_Code'!$J$110:$J$122,MATCH('Annex 3_MAFF'!AF536,'Annex 2_Code'!$G$110:$G$122,0)),"")</f>
        <v/>
      </c>
    </row>
    <row r="537" spans="1:44">
      <c r="A537" s="102"/>
      <c r="B537" s="127"/>
      <c r="C537" s="82"/>
      <c r="D537" s="97"/>
      <c r="E537" s="97"/>
      <c r="F537" s="485"/>
      <c r="G537" s="97"/>
      <c r="H537" s="561"/>
      <c r="I537" s="593"/>
      <c r="J537" s="560"/>
      <c r="K537" s="560"/>
      <c r="L537" s="560"/>
      <c r="M537" s="560"/>
      <c r="N537" s="560"/>
      <c r="O537" s="560"/>
      <c r="P537" s="560"/>
      <c r="Q537" s="560"/>
      <c r="R537" s="560"/>
      <c r="S537" s="602">
        <f>S534-S536</f>
        <v>0</v>
      </c>
      <c r="T537" s="628"/>
      <c r="U537" s="629"/>
      <c r="V537" s="629"/>
      <c r="W537" s="629"/>
      <c r="X537" s="629"/>
      <c r="Y537" s="485"/>
      <c r="Z537" s="485"/>
      <c r="AA537" s="485"/>
      <c r="AB537" s="485"/>
      <c r="AC537" s="485"/>
      <c r="AD537" s="626"/>
      <c r="AE537" s="627"/>
      <c r="AF537" s="561"/>
      <c r="AG537" s="561"/>
      <c r="AH537" s="561" t="str">
        <f>IFERROR(INDEX('Annex 2_Code'!$J$110:$J$122,MATCH('Annex 3_MAFF'!AF537,'Annex 2_Code'!$G$110:$G$122,0)),"")</f>
        <v/>
      </c>
    </row>
    <row r="538" spans="1:44">
      <c r="A538" s="102"/>
      <c r="B538" s="127"/>
      <c r="C538" s="82"/>
      <c r="D538" s="97"/>
      <c r="E538" s="97"/>
      <c r="F538" s="485"/>
      <c r="G538" s="133"/>
      <c r="H538" s="561"/>
      <c r="I538" s="593"/>
      <c r="J538" s="560"/>
      <c r="K538" s="560"/>
      <c r="L538" s="560"/>
      <c r="M538" s="560"/>
      <c r="N538" s="560"/>
      <c r="O538" s="628"/>
      <c r="P538" s="629"/>
      <c r="Q538" s="1035"/>
      <c r="S538" s="1030"/>
      <c r="Y538" s="632" t="s">
        <v>23</v>
      </c>
      <c r="Z538" s="633" t="s">
        <v>11</v>
      </c>
      <c r="AA538" s="633" t="s">
        <v>7</v>
      </c>
      <c r="AB538" s="633" t="s">
        <v>8</v>
      </c>
      <c r="AC538" s="633" t="s">
        <v>9</v>
      </c>
      <c r="AD538" s="742" t="s">
        <v>10</v>
      </c>
      <c r="AE538" s="742"/>
      <c r="AH538" s="561" t="str">
        <f>IFERROR(INDEX('Annex 2_Code'!$J$110:$J$122,MATCH('Annex 3_MAFF'!AF538,'Annex 2_Code'!$G$110:$G$122,0)),"")</f>
        <v/>
      </c>
      <c r="AK538" s="1539" t="e">
        <f>SUM(AK37:AK531)</f>
        <v>#REF!</v>
      </c>
      <c r="AN538" s="1540" t="e">
        <f>+S538-AK538</f>
        <v>#REF!</v>
      </c>
    </row>
    <row r="539" spans="1:44">
      <c r="A539" s="102"/>
      <c r="B539" s="127"/>
      <c r="C539" s="82"/>
      <c r="D539" s="97"/>
      <c r="E539" s="97"/>
      <c r="F539" s="485"/>
      <c r="G539" s="134"/>
      <c r="H539" s="561"/>
      <c r="I539" s="593"/>
      <c r="J539" s="560"/>
      <c r="K539" s="560"/>
      <c r="L539" s="560"/>
      <c r="M539" s="560"/>
      <c r="N539" s="560"/>
      <c r="O539" s="628"/>
      <c r="P539" s="629"/>
      <c r="Q539" s="629"/>
      <c r="S539" s="1030"/>
      <c r="Y539" s="634" t="s">
        <v>169</v>
      </c>
      <c r="Z539" s="635">
        <f>SUM(AA539:AD539)</f>
        <v>11645.477106666658</v>
      </c>
      <c r="AA539" s="636">
        <f>$Y$534*O$535</f>
        <v>903.82703054759861</v>
      </c>
      <c r="AB539" s="636">
        <f>$Y$534*P$535</f>
        <v>3724.4264120966541</v>
      </c>
      <c r="AC539" s="636">
        <f>$Y$534*Q$535</f>
        <v>4379.4837268761103</v>
      </c>
      <c r="AD539" s="637">
        <f>$Y$534*R$535</f>
        <v>2637.7399371462966</v>
      </c>
      <c r="AE539" s="162"/>
      <c r="AH539" s="561" t="str">
        <f>IFERROR(INDEX('Annex 2_Code'!$J$110:$J$122,MATCH('Annex 3_MAFF'!AF539,'Annex 2_Code'!$G$110:$G$122,0)),"")</f>
        <v/>
      </c>
    </row>
    <row r="540" spans="1:44">
      <c r="A540" s="102"/>
      <c r="B540" s="127"/>
      <c r="C540" s="82"/>
      <c r="D540" s="97"/>
      <c r="E540" s="97"/>
      <c r="F540" s="485"/>
      <c r="G540" s="134"/>
      <c r="H540" s="561"/>
      <c r="I540" s="593"/>
      <c r="J540" s="560"/>
      <c r="K540" s="560"/>
      <c r="L540" s="560"/>
      <c r="M540" s="560"/>
      <c r="N540" s="560"/>
      <c r="O540" s="628"/>
      <c r="P540" s="629"/>
      <c r="Q540" s="629"/>
      <c r="S540" s="1030"/>
      <c r="Y540" s="634" t="s">
        <v>48</v>
      </c>
      <c r="Z540" s="635">
        <f>SUM(AA540:AD540)</f>
        <v>0</v>
      </c>
      <c r="AA540" s="637">
        <f>$Z$534*O$535</f>
        <v>0</v>
      </c>
      <c r="AB540" s="637">
        <f>$Z$534*P$535</f>
        <v>0</v>
      </c>
      <c r="AC540" s="637">
        <f>$Z$534*Q$535</f>
        <v>0</v>
      </c>
      <c r="AD540" s="637">
        <f>$Z$534*R$535</f>
        <v>0</v>
      </c>
      <c r="AE540" s="162"/>
      <c r="AH540" s="561" t="str">
        <f>IFERROR(INDEX('Annex 2_Code'!$J$110:$J$122,MATCH('Annex 3_MAFF'!AF540,'Annex 2_Code'!$G$110:$G$122,0)),"")</f>
        <v/>
      </c>
    </row>
    <row r="541" spans="1:44">
      <c r="A541" s="102"/>
      <c r="B541" s="127"/>
      <c r="C541" s="82"/>
      <c r="D541" s="97"/>
      <c r="E541" s="97"/>
      <c r="F541" s="485"/>
      <c r="G541" s="134"/>
      <c r="H541" s="561"/>
      <c r="I541" s="593"/>
      <c r="J541" s="560"/>
      <c r="K541" s="560"/>
      <c r="L541" s="560"/>
      <c r="M541" s="560"/>
      <c r="N541" s="560"/>
      <c r="O541" s="628"/>
      <c r="P541" s="629"/>
      <c r="Q541" s="629"/>
      <c r="S541" s="1030"/>
      <c r="Y541" s="634" t="s">
        <v>170</v>
      </c>
      <c r="Z541" s="635">
        <f>SUM(AA541:AD541)</f>
        <v>3538.9831090909083</v>
      </c>
      <c r="AA541" s="637">
        <f>$AA$534*O$535</f>
        <v>274.66702869705802</v>
      </c>
      <c r="AB541" s="637">
        <f>$AA$534*P$535</f>
        <v>1131.8284380050516</v>
      </c>
      <c r="AC541" s="637">
        <f>$AA$534*Q$535</f>
        <v>1330.89600314275</v>
      </c>
      <c r="AD541" s="637">
        <f>$AA$534*R$535</f>
        <v>801.59163924604854</v>
      </c>
      <c r="AE541" s="162"/>
      <c r="AH541" s="561" t="str">
        <f>IFERROR(INDEX('Annex 2_Code'!$J$110:$J$122,MATCH('Annex 3_MAFF'!AF541,'Annex 2_Code'!$G$110:$G$122,0)),"")</f>
        <v/>
      </c>
    </row>
    <row r="542" spans="1:44" s="579" customFormat="1">
      <c r="A542" s="102"/>
      <c r="B542" s="127"/>
      <c r="C542" s="82"/>
      <c r="D542" s="135"/>
      <c r="E542" s="135"/>
      <c r="F542" s="485"/>
      <c r="G542" s="134"/>
      <c r="H542" s="561"/>
      <c r="I542" s="593"/>
      <c r="J542" s="560"/>
      <c r="K542" s="560"/>
      <c r="L542" s="560"/>
      <c r="M542" s="560"/>
      <c r="N542" s="560"/>
      <c r="O542" s="314" t="s">
        <v>14</v>
      </c>
      <c r="P542" s="629"/>
      <c r="Q542" s="629"/>
      <c r="S542" s="1031"/>
      <c r="Y542" s="634" t="s">
        <v>27</v>
      </c>
      <c r="Z542" s="635">
        <f>SUM(AA542:AD542)</f>
        <v>421.50136039786941</v>
      </c>
      <c r="AA542" s="637">
        <f>$AB$534*O$535</f>
        <v>32.713500653579032</v>
      </c>
      <c r="AB542" s="637">
        <f>$AB$534*P$535</f>
        <v>134.80347649318779</v>
      </c>
      <c r="AC542" s="637">
        <f>$AB$534*Q$535</f>
        <v>158.51290005643995</v>
      </c>
      <c r="AD542" s="637">
        <f>$AB$534*R$535</f>
        <v>95.471483194662639</v>
      </c>
      <c r="AE542" s="162"/>
      <c r="AF542" s="577"/>
      <c r="AG542" s="577"/>
      <c r="AH542" s="561" t="str">
        <f>IFERROR(INDEX('Annex 2_Code'!$J$110:$J$122,MATCH('Annex 3_MAFF'!AF542,'Annex 2_Code'!$G$110:$G$122,0)),"")</f>
        <v/>
      </c>
      <c r="AI542" s="578"/>
      <c r="AK542" s="1394"/>
      <c r="AL542" s="1394"/>
    </row>
    <row r="543" spans="1:44" s="579" customFormat="1">
      <c r="A543" s="102"/>
      <c r="B543" s="127"/>
      <c r="C543" s="82"/>
      <c r="D543" s="135"/>
      <c r="E543" s="135"/>
      <c r="F543" s="485"/>
      <c r="G543" s="134"/>
      <c r="H543" s="561"/>
      <c r="I543" s="593"/>
      <c r="J543" s="560"/>
      <c r="K543" s="560"/>
      <c r="L543" s="560"/>
      <c r="M543" s="560"/>
      <c r="N543" s="560"/>
      <c r="O543" s="314"/>
      <c r="P543" s="629"/>
      <c r="Q543" s="629"/>
      <c r="Y543" s="634" t="s">
        <v>51</v>
      </c>
      <c r="Z543" s="635">
        <f>SUM(AA543:AD543)</f>
        <v>389.27773051122142</v>
      </c>
      <c r="AA543" s="637">
        <f>$AC$534*O$535</f>
        <v>30.21256510176373</v>
      </c>
      <c r="AB543" s="637">
        <f>$AC$534*P$535</f>
        <v>124.49779840510375</v>
      </c>
      <c r="AC543" s="637">
        <f>$AC$534*Q$535</f>
        <v>146.39464492469739</v>
      </c>
      <c r="AD543" s="637">
        <f>$AC$534*R$535</f>
        <v>88.172722079656538</v>
      </c>
      <c r="AE543" s="162"/>
      <c r="AF543" s="577"/>
      <c r="AG543" s="577"/>
      <c r="AH543" s="561" t="str">
        <f>IFERROR(INDEX('Annex 2_Code'!$J$110:$J$122,MATCH('Annex 3_MAFF'!AF543,'Annex 2_Code'!$G$110:$G$122,0)),"")</f>
        <v/>
      </c>
      <c r="AI543" s="578"/>
      <c r="AK543" s="1394"/>
      <c r="AL543" s="1394"/>
    </row>
    <row r="544" spans="1:44">
      <c r="A544" s="102"/>
      <c r="B544" s="127"/>
      <c r="C544" s="82"/>
      <c r="D544" s="97"/>
      <c r="E544" s="97"/>
      <c r="F544" s="485"/>
      <c r="G544" s="299"/>
      <c r="H544" s="561"/>
      <c r="I544" s="593"/>
      <c r="J544" s="560"/>
      <c r="K544" s="560"/>
      <c r="L544" s="560"/>
      <c r="M544" s="560"/>
      <c r="N544" s="560"/>
      <c r="O544" s="628"/>
      <c r="P544" s="629"/>
      <c r="Q544" s="629"/>
      <c r="Y544" s="373" t="s">
        <v>34</v>
      </c>
      <c r="Z544" s="475">
        <f>SUM(Z539:Z543)</f>
        <v>15995.239306666657</v>
      </c>
      <c r="AA544" s="475">
        <f>SUM(AA539:AA543)</f>
        <v>1241.4201249999994</v>
      </c>
      <c r="AB544" s="475">
        <f>SUM(AB539:AB543)</f>
        <v>5115.5561249999973</v>
      </c>
      <c r="AC544" s="475">
        <f>SUM(AC539:AC543)</f>
        <v>6015.2872749999979</v>
      </c>
      <c r="AD544" s="475">
        <f>SUM(AD539:AD543)</f>
        <v>3622.9757816666643</v>
      </c>
      <c r="AE544" s="165"/>
      <c r="AH544" s="561" t="str">
        <f>IFERROR(INDEX('Annex 2_Code'!$J$110:$J$122,MATCH('Annex 3_MAFF'!AF544,'Annex 2_Code'!$G$110:$G$122,0)),"")</f>
        <v/>
      </c>
    </row>
    <row r="545" spans="1:38" s="545" customFormat="1">
      <c r="A545" s="30"/>
      <c r="B545" s="38"/>
      <c r="C545" s="49"/>
      <c r="D545" s="66"/>
      <c r="E545" s="66"/>
      <c r="F545" s="546"/>
      <c r="G545" s="154"/>
      <c r="H545" s="561"/>
      <c r="I545" s="594"/>
      <c r="J545" s="270"/>
      <c r="K545" s="270"/>
      <c r="L545" s="270"/>
      <c r="M545" s="270"/>
      <c r="N545" s="270"/>
      <c r="O545" s="604"/>
      <c r="P545" s="605"/>
      <c r="Q545" s="605"/>
      <c r="Y545" s="638" t="s">
        <v>188</v>
      </c>
      <c r="Z545" s="639">
        <f>S534-Z544</f>
        <v>0</v>
      </c>
      <c r="AA545" s="1000">
        <f>O534</f>
        <v>1241.4201249999999</v>
      </c>
      <c r="AB545" s="1000">
        <f>P534</f>
        <v>5115.5561249999992</v>
      </c>
      <c r="AC545" s="1000">
        <f>Q534</f>
        <v>6015.2872750000006</v>
      </c>
      <c r="AD545" s="1000">
        <f>R534</f>
        <v>3622.9757816666661</v>
      </c>
      <c r="AE545" s="1000"/>
      <c r="AF545" s="577"/>
      <c r="AG545" s="577"/>
      <c r="AH545" s="561" t="str">
        <f>IFERROR(INDEX('Annex 2_Code'!$J$110:$J$122,MATCH('Annex 3_MAFF'!AF545,'Annex 2_Code'!$G$110:$G$122,0)),"")</f>
        <v/>
      </c>
      <c r="AI545" s="577"/>
      <c r="AK545" s="574"/>
      <c r="AL545" s="574"/>
    </row>
    <row r="546" spans="1:38">
      <c r="A546" s="102"/>
      <c r="B546" s="127"/>
      <c r="C546" s="82"/>
      <c r="D546" s="97"/>
      <c r="E546" s="97"/>
      <c r="F546" s="485"/>
      <c r="G546" s="2135" t="s">
        <v>572</v>
      </c>
      <c r="H546" s="561"/>
      <c r="I546" s="593"/>
      <c r="J546" s="560"/>
      <c r="K546" s="560"/>
      <c r="L546" s="560"/>
      <c r="M546" s="560"/>
      <c r="N546" s="560"/>
      <c r="O546" s="628"/>
      <c r="P546" s="629"/>
      <c r="Q546" s="629"/>
      <c r="R546" s="1013" t="s">
        <v>572</v>
      </c>
      <c r="S546" s="629"/>
      <c r="T546" s="485"/>
      <c r="U546" s="485"/>
      <c r="V546" s="485"/>
      <c r="W546" s="485"/>
      <c r="X546" s="485"/>
      <c r="Y546" s="485"/>
      <c r="AA546" s="640"/>
      <c r="AB546" s="641"/>
      <c r="AC546" s="641"/>
      <c r="AD546" s="641"/>
      <c r="AE546" s="641"/>
      <c r="AH546" s="561" t="str">
        <f>IFERROR(INDEX('Annex 2_Code'!$J$110:$J$122,MATCH('Annex 3_MAFF'!AF546,'Annex 2_Code'!$G$110:$G$122,0)),"")</f>
        <v/>
      </c>
    </row>
    <row r="547" spans="1:38">
      <c r="A547" s="102"/>
      <c r="B547" s="127"/>
      <c r="C547" s="82"/>
      <c r="D547" s="97"/>
      <c r="E547" s="97"/>
      <c r="F547" s="485"/>
      <c r="G547" s="97"/>
      <c r="H547" s="561"/>
      <c r="I547" s="593"/>
      <c r="J547" s="560"/>
      <c r="K547" s="560"/>
      <c r="L547" s="560"/>
      <c r="M547" s="560"/>
      <c r="N547" s="560"/>
      <c r="O547" s="628"/>
      <c r="P547" s="629"/>
      <c r="Q547" s="629"/>
      <c r="R547" s="629"/>
      <c r="S547" s="629"/>
      <c r="T547" s="485"/>
      <c r="U547" s="485"/>
      <c r="V547" s="485"/>
      <c r="W547" s="485"/>
      <c r="X547" s="485"/>
      <c r="Y547" s="373" t="s">
        <v>14</v>
      </c>
      <c r="Z547" s="640"/>
      <c r="AA547" s="641"/>
      <c r="AB547" s="641"/>
      <c r="AC547" s="641"/>
      <c r="AD547" s="642"/>
      <c r="AE547" s="642"/>
      <c r="AH547" s="561" t="str">
        <f>IFERROR(INDEX('Annex 2_Code'!$J$110:$J$122,MATCH('Annex 3_MAFF'!AF547,'Annex 2_Code'!$G$110:$G$122,0)),"")</f>
        <v/>
      </c>
    </row>
    <row r="548" spans="1:38">
      <c r="A548" s="102"/>
      <c r="B548" s="127"/>
      <c r="C548" s="82"/>
      <c r="D548" s="97"/>
      <c r="E548" s="97"/>
      <c r="F548" s="485"/>
      <c r="G548" s="97"/>
      <c r="H548" s="561"/>
      <c r="I548" s="593"/>
      <c r="J548" s="560"/>
      <c r="K548" s="560"/>
      <c r="L548" s="560"/>
      <c r="M548" s="560"/>
      <c r="N548" s="560"/>
      <c r="O548" s="560"/>
      <c r="P548" s="560"/>
      <c r="Q548" s="560"/>
      <c r="R548" s="560"/>
      <c r="S548" s="633" t="s">
        <v>11</v>
      </c>
      <c r="T548" s="643" t="s">
        <v>26</v>
      </c>
      <c r="U548" s="643" t="s">
        <v>48</v>
      </c>
      <c r="V548" s="643" t="s">
        <v>49</v>
      </c>
      <c r="W548" s="643" t="s">
        <v>50</v>
      </c>
      <c r="X548" s="644" t="s">
        <v>51</v>
      </c>
      <c r="Y548" s="270"/>
      <c r="Z548" s="633" t="s">
        <v>11</v>
      </c>
      <c r="AA548" s="633" t="s">
        <v>7</v>
      </c>
      <c r="AB548" s="633" t="s">
        <v>8</v>
      </c>
      <c r="AC548" s="633" t="s">
        <v>9</v>
      </c>
      <c r="AD548" s="742" t="s">
        <v>10</v>
      </c>
      <c r="AE548" s="742"/>
      <c r="AF548" s="561"/>
      <c r="AG548" s="561"/>
      <c r="AH548" s="561" t="str">
        <f>IFERROR(INDEX('Annex 2_Code'!$J$110:$J$122,MATCH('Annex 3_MAFF'!AF548,'Annex 2_Code'!$G$110:$G$122,0)),"")</f>
        <v/>
      </c>
    </row>
    <row r="549" spans="1:38">
      <c r="A549" s="102"/>
      <c r="B549" s="127"/>
      <c r="C549" s="82"/>
      <c r="D549" s="97"/>
      <c r="E549" s="97"/>
      <c r="F549" s="485"/>
      <c r="G549" s="2136" t="s">
        <v>25</v>
      </c>
      <c r="H549" s="561"/>
      <c r="I549" s="593"/>
      <c r="J549" s="560"/>
      <c r="K549" s="560"/>
      <c r="L549" s="560"/>
      <c r="M549" s="560"/>
      <c r="N549" s="560"/>
      <c r="O549" s="560"/>
      <c r="P549" s="560"/>
      <c r="Q549" s="560"/>
      <c r="R549" s="633" t="s">
        <v>25</v>
      </c>
      <c r="S549" s="1015">
        <f>SUM(T549:X549)</f>
        <v>3847.8925800000002</v>
      </c>
      <c r="T549" s="646">
        <f t="shared" ref="T549:X555" si="498">SUMIFS(Y$9:Y$533,$B$9:$B$533,TRIM($R549))</f>
        <v>2661.6753800000001</v>
      </c>
      <c r="U549" s="646">
        <f t="shared" si="498"/>
        <v>0</v>
      </c>
      <c r="V549" s="646">
        <f t="shared" si="498"/>
        <v>1186.2172</v>
      </c>
      <c r="W549" s="646">
        <f t="shared" si="498"/>
        <v>0</v>
      </c>
      <c r="X549" s="646">
        <f t="shared" si="498"/>
        <v>0</v>
      </c>
      <c r="Y549" s="633" t="s">
        <v>25</v>
      </c>
      <c r="Z549" s="647">
        <f>SUM(AA549:AD549)</f>
        <v>3847.8925800000006</v>
      </c>
      <c r="AA549" s="646">
        <f t="shared" ref="AA549:AD555" si="499">SUMIFS(O$9:O$533,$B$9:$B$533,TRIM($Y549))</f>
        <v>738.00062500000001</v>
      </c>
      <c r="AB549" s="646">
        <f t="shared" si="499"/>
        <v>761.29562499999997</v>
      </c>
      <c r="AC549" s="646">
        <f t="shared" si="499"/>
        <v>1190.4231050000003</v>
      </c>
      <c r="AD549" s="646">
        <f t="shared" si="499"/>
        <v>1158.1732250000002</v>
      </c>
      <c r="AE549" s="857"/>
      <c r="AF549" s="561"/>
      <c r="AG549" s="561"/>
      <c r="AH549" s="561" t="str">
        <f>IFERROR(INDEX('Annex 2_Code'!$J$110:$J$122,MATCH('Annex 3_MAFF'!AF549,'Annex 2_Code'!$G$110:$G$122,0)),"")</f>
        <v/>
      </c>
    </row>
    <row r="550" spans="1:38">
      <c r="A550" s="102"/>
      <c r="B550" s="127"/>
      <c r="C550" s="82"/>
      <c r="D550" s="97"/>
      <c r="E550" s="97"/>
      <c r="F550" s="485"/>
      <c r="G550" s="2136" t="s">
        <v>24</v>
      </c>
      <c r="H550" s="561"/>
      <c r="I550" s="593"/>
      <c r="J550" s="560"/>
      <c r="K550" s="560"/>
      <c r="L550" s="560"/>
      <c r="M550" s="560"/>
      <c r="N550" s="560"/>
      <c r="O550" s="560"/>
      <c r="P550" s="560"/>
      <c r="Q550" s="560"/>
      <c r="R550" s="633" t="s">
        <v>24</v>
      </c>
      <c r="S550" s="645">
        <f>SUM(T550:X550)</f>
        <v>7980.2157266666673</v>
      </c>
      <c r="T550" s="646">
        <f t="shared" si="498"/>
        <v>6980.2157266666673</v>
      </c>
      <c r="U550" s="646">
        <f t="shared" si="498"/>
        <v>0</v>
      </c>
      <c r="V550" s="646">
        <f t="shared" si="498"/>
        <v>315.34090909090907</v>
      </c>
      <c r="W550" s="646">
        <f t="shared" si="498"/>
        <v>295.38136039786946</v>
      </c>
      <c r="X550" s="646">
        <f t="shared" si="498"/>
        <v>389.27773051122148</v>
      </c>
      <c r="Y550" s="633" t="s">
        <v>24</v>
      </c>
      <c r="Z550" s="647">
        <f t="shared" ref="Z550:Z555" si="500">SUM(AA550:AD550)</f>
        <v>7980.2157266666673</v>
      </c>
      <c r="AA550" s="646">
        <f t="shared" si="499"/>
        <v>253.2055</v>
      </c>
      <c r="AB550" s="646">
        <f t="shared" si="499"/>
        <v>2467.5765000000006</v>
      </c>
      <c r="AC550" s="646">
        <f t="shared" si="499"/>
        <v>3485.7951699999994</v>
      </c>
      <c r="AD550" s="646">
        <f t="shared" si="499"/>
        <v>1773.638556666667</v>
      </c>
      <c r="AE550" s="857"/>
      <c r="AF550" s="561"/>
      <c r="AG550" s="561"/>
      <c r="AH550" s="561" t="str">
        <f>IFERROR(INDEX('Annex 2_Code'!$J$110:$J$122,MATCH('Annex 3_MAFF'!AF550,'Annex 2_Code'!$G$110:$G$122,0)),"")</f>
        <v/>
      </c>
    </row>
    <row r="551" spans="1:38">
      <c r="A551" s="102"/>
      <c r="B551" s="127"/>
      <c r="C551" s="82"/>
      <c r="D551" s="97"/>
      <c r="E551" s="97"/>
      <c r="F551" s="485"/>
      <c r="G551" s="2136" t="s">
        <v>58</v>
      </c>
      <c r="H551" s="561"/>
      <c r="I551" s="593"/>
      <c r="J551" s="560"/>
      <c r="K551" s="560"/>
      <c r="L551" s="560"/>
      <c r="M551" s="560"/>
      <c r="N551" s="560"/>
      <c r="O551" s="560"/>
      <c r="P551" s="560"/>
      <c r="Q551" s="560"/>
      <c r="R551" s="633" t="s">
        <v>58</v>
      </c>
      <c r="S551" s="645">
        <f>SUM(T551:X551)</f>
        <v>126.12</v>
      </c>
      <c r="T551" s="646">
        <f t="shared" si="498"/>
        <v>0</v>
      </c>
      <c r="U551" s="646">
        <f t="shared" si="498"/>
        <v>0</v>
      </c>
      <c r="V551" s="646">
        <f t="shared" si="498"/>
        <v>0</v>
      </c>
      <c r="W551" s="646">
        <f t="shared" si="498"/>
        <v>126.12</v>
      </c>
      <c r="X551" s="646">
        <f t="shared" si="498"/>
        <v>0</v>
      </c>
      <c r="Y551" s="633" t="s">
        <v>58</v>
      </c>
      <c r="Z551" s="647">
        <f t="shared" si="500"/>
        <v>126.12</v>
      </c>
      <c r="AA551" s="646">
        <f t="shared" si="499"/>
        <v>30.53</v>
      </c>
      <c r="AB551" s="646">
        <f t="shared" si="499"/>
        <v>30.53</v>
      </c>
      <c r="AC551" s="646">
        <f t="shared" si="499"/>
        <v>34.53</v>
      </c>
      <c r="AD551" s="646">
        <f t="shared" si="499"/>
        <v>30.53</v>
      </c>
      <c r="AE551" s="857"/>
      <c r="AF551" s="561"/>
      <c r="AG551" s="561"/>
      <c r="AH551" s="561" t="str">
        <f>IFERROR(INDEX('Annex 2_Code'!$J$110:$J$122,MATCH('Annex 3_MAFF'!AF551,'Annex 2_Code'!$G$110:$G$122,0)),"")</f>
        <v/>
      </c>
    </row>
    <row r="552" spans="1:38">
      <c r="A552" s="102"/>
      <c r="B552" s="127"/>
      <c r="C552" s="82"/>
      <c r="D552" s="97"/>
      <c r="E552" s="97"/>
      <c r="F552" s="485"/>
      <c r="G552" s="2136" t="s">
        <v>261</v>
      </c>
      <c r="H552" s="561"/>
      <c r="I552" s="593"/>
      <c r="J552" s="560"/>
      <c r="K552" s="560"/>
      <c r="L552" s="560"/>
      <c r="M552" s="560"/>
      <c r="N552" s="560"/>
      <c r="O552" s="560"/>
      <c r="P552" s="560"/>
      <c r="Q552" s="560"/>
      <c r="R552" s="633" t="s">
        <v>261</v>
      </c>
      <c r="S552" s="645">
        <f t="shared" ref="S552:S554" si="501">SUM(T552:X552)</f>
        <v>753.8359999999999</v>
      </c>
      <c r="T552" s="646">
        <f t="shared" si="498"/>
        <v>753.8359999999999</v>
      </c>
      <c r="U552" s="646">
        <f t="shared" si="498"/>
        <v>0</v>
      </c>
      <c r="V552" s="646">
        <f t="shared" si="498"/>
        <v>0</v>
      </c>
      <c r="W552" s="646">
        <f t="shared" si="498"/>
        <v>0</v>
      </c>
      <c r="X552" s="646">
        <f t="shared" si="498"/>
        <v>0</v>
      </c>
      <c r="Y552" s="633" t="s">
        <v>261</v>
      </c>
      <c r="Z552" s="647">
        <f t="shared" si="500"/>
        <v>753.83600000000001</v>
      </c>
      <c r="AA552" s="646">
        <f t="shared" si="499"/>
        <v>166.23399999999998</v>
      </c>
      <c r="AB552" s="646">
        <f t="shared" si="499"/>
        <v>346.73400000000004</v>
      </c>
      <c r="AC552" s="646">
        <f t="shared" si="499"/>
        <v>130.73399999999998</v>
      </c>
      <c r="AD552" s="646">
        <f t="shared" si="499"/>
        <v>110.13399999999999</v>
      </c>
      <c r="AE552" s="857"/>
      <c r="AF552" s="561"/>
      <c r="AG552" s="561"/>
      <c r="AH552" s="561" t="str">
        <f>IFERROR(INDEX('Annex 2_Code'!$J$110:$J$122,MATCH('Annex 3_MAFF'!AF552,'Annex 2_Code'!$G$110:$G$122,0)),"")</f>
        <v/>
      </c>
    </row>
    <row r="553" spans="1:38">
      <c r="A553" s="102"/>
      <c r="B553" s="127"/>
      <c r="C553" s="82"/>
      <c r="D553" s="97"/>
      <c r="E553" s="97"/>
      <c r="F553" s="485"/>
      <c r="G553" s="2136" t="s">
        <v>36</v>
      </c>
      <c r="H553" s="561"/>
      <c r="I553" s="593"/>
      <c r="J553" s="560"/>
      <c r="K553" s="560"/>
      <c r="L553" s="560"/>
      <c r="M553" s="560"/>
      <c r="N553" s="560"/>
      <c r="O553" s="560"/>
      <c r="P553" s="560"/>
      <c r="Q553" s="560"/>
      <c r="R553" s="633" t="s">
        <v>36</v>
      </c>
      <c r="S553" s="645">
        <f t="shared" si="501"/>
        <v>588.52499999999998</v>
      </c>
      <c r="T553" s="646">
        <f t="shared" si="498"/>
        <v>10</v>
      </c>
      <c r="U553" s="646">
        <f t="shared" si="498"/>
        <v>0</v>
      </c>
      <c r="V553" s="646">
        <f t="shared" si="498"/>
        <v>578.52499999999998</v>
      </c>
      <c r="W553" s="646">
        <f t="shared" si="498"/>
        <v>0</v>
      </c>
      <c r="X553" s="646">
        <f t="shared" si="498"/>
        <v>0</v>
      </c>
      <c r="Y553" s="633" t="s">
        <v>36</v>
      </c>
      <c r="Z553" s="647">
        <f t="shared" si="500"/>
        <v>588.52500000000009</v>
      </c>
      <c r="AA553" s="646">
        <f t="shared" si="499"/>
        <v>0</v>
      </c>
      <c r="AB553" s="646">
        <f t="shared" si="499"/>
        <v>264.125</v>
      </c>
      <c r="AC553" s="646">
        <f t="shared" si="499"/>
        <v>252.2</v>
      </c>
      <c r="AD553" s="646">
        <f t="shared" si="499"/>
        <v>72.2</v>
      </c>
      <c r="AE553" s="857"/>
      <c r="AF553" s="561"/>
      <c r="AG553" s="561"/>
      <c r="AH553" s="561" t="str">
        <f>IFERROR(INDEX('Annex 2_Code'!$J$110:$J$122,MATCH('Annex 3_MAFF'!AF553,'Annex 2_Code'!$G$110:$G$122,0)),"")</f>
        <v/>
      </c>
    </row>
    <row r="554" spans="1:38">
      <c r="A554" s="102"/>
      <c r="B554" s="127"/>
      <c r="C554" s="82"/>
      <c r="D554" s="97"/>
      <c r="E554" s="97"/>
      <c r="F554" s="485"/>
      <c r="G554" s="2136" t="s">
        <v>57</v>
      </c>
      <c r="H554" s="561"/>
      <c r="I554" s="593"/>
      <c r="J554" s="560"/>
      <c r="K554" s="560"/>
      <c r="L554" s="560"/>
      <c r="M554" s="560"/>
      <c r="N554" s="560"/>
      <c r="O554" s="560"/>
      <c r="P554" s="560"/>
      <c r="Q554" s="560"/>
      <c r="R554" s="633" t="s">
        <v>57</v>
      </c>
      <c r="S554" s="645">
        <f t="shared" si="501"/>
        <v>1285.7</v>
      </c>
      <c r="T554" s="646">
        <f t="shared" si="498"/>
        <v>126.8</v>
      </c>
      <c r="U554" s="646">
        <f t="shared" si="498"/>
        <v>0</v>
      </c>
      <c r="V554" s="646">
        <f t="shared" si="498"/>
        <v>1158.9000000000001</v>
      </c>
      <c r="W554" s="646">
        <f t="shared" si="498"/>
        <v>0</v>
      </c>
      <c r="X554" s="646">
        <f t="shared" si="498"/>
        <v>0</v>
      </c>
      <c r="Y554" s="633" t="s">
        <v>57</v>
      </c>
      <c r="Z554" s="647">
        <f t="shared" si="500"/>
        <v>1285.7000000000003</v>
      </c>
      <c r="AA554" s="646">
        <f t="shared" si="499"/>
        <v>17.05</v>
      </c>
      <c r="AB554" s="646">
        <f t="shared" si="499"/>
        <v>381.27000000000004</v>
      </c>
      <c r="AC554" s="646">
        <f t="shared" si="499"/>
        <v>436.03000000000009</v>
      </c>
      <c r="AD554" s="646">
        <f t="shared" si="499"/>
        <v>451.35000000000008</v>
      </c>
      <c r="AE554" s="857"/>
      <c r="AF554" s="561"/>
      <c r="AG554" s="561"/>
      <c r="AH554" s="561" t="str">
        <f>IFERROR(INDEX('Annex 2_Code'!$J$110:$J$122,MATCH('Annex 3_MAFF'!AF554,'Annex 2_Code'!$G$110:$G$122,0)),"")</f>
        <v/>
      </c>
    </row>
    <row r="555" spans="1:38">
      <c r="A555" s="102"/>
      <c r="B555" s="127"/>
      <c r="C555" s="82"/>
      <c r="D555" s="97"/>
      <c r="E555" s="97"/>
      <c r="F555" s="485"/>
      <c r="G555" s="2136" t="s">
        <v>294</v>
      </c>
      <c r="H555" s="561"/>
      <c r="I555" s="593"/>
      <c r="J555" s="560"/>
      <c r="K555" s="560"/>
      <c r="L555" s="560"/>
      <c r="M555" s="560"/>
      <c r="N555" s="560"/>
      <c r="O555" s="560"/>
      <c r="P555" s="560"/>
      <c r="Q555" s="560"/>
      <c r="R555" s="633" t="s">
        <v>294</v>
      </c>
      <c r="S555" s="645">
        <f>SUM(T555:X555)</f>
        <v>1412.9499999999998</v>
      </c>
      <c r="T555" s="646">
        <f t="shared" si="498"/>
        <v>1112.9499999999998</v>
      </c>
      <c r="U555" s="646">
        <f t="shared" si="498"/>
        <v>0</v>
      </c>
      <c r="V555" s="646">
        <f t="shared" si="498"/>
        <v>300</v>
      </c>
      <c r="W555" s="646">
        <f t="shared" si="498"/>
        <v>0</v>
      </c>
      <c r="X555" s="646">
        <f t="shared" si="498"/>
        <v>0</v>
      </c>
      <c r="Y555" s="633" t="s">
        <v>294</v>
      </c>
      <c r="Z555" s="647">
        <f t="shared" si="500"/>
        <v>1412.9499999999998</v>
      </c>
      <c r="AA555" s="646">
        <f t="shared" si="499"/>
        <v>36.400000000000006</v>
      </c>
      <c r="AB555" s="646">
        <f t="shared" si="499"/>
        <v>864.02499999999986</v>
      </c>
      <c r="AC555" s="646">
        <f t="shared" si="499"/>
        <v>485.57499999999993</v>
      </c>
      <c r="AD555" s="646">
        <f t="shared" si="499"/>
        <v>26.95</v>
      </c>
      <c r="AE555" s="857"/>
      <c r="AF555" s="561"/>
      <c r="AG555" s="561"/>
      <c r="AH555" s="561" t="str">
        <f>IFERROR(INDEX('Annex 2_Code'!$J$110:$J$122,MATCH('Annex 3_MAFF'!AF555,'Annex 2_Code'!$G$110:$G$122,0)),"")</f>
        <v/>
      </c>
    </row>
    <row r="556" spans="1:38">
      <c r="A556" s="102"/>
      <c r="B556" s="127"/>
      <c r="C556" s="82"/>
      <c r="D556" s="97"/>
      <c r="E556" s="97"/>
      <c r="F556" s="485"/>
      <c r="G556" s="2137"/>
      <c r="H556" s="561"/>
      <c r="I556" s="593"/>
      <c r="J556" s="560"/>
      <c r="K556" s="560"/>
      <c r="L556" s="560"/>
      <c r="M556" s="560"/>
      <c r="N556" s="560"/>
      <c r="O556" s="560"/>
      <c r="P556" s="560"/>
      <c r="Q556" s="560"/>
      <c r="R556" s="560"/>
      <c r="S556" s="648">
        <f>SUM(S549:S555)</f>
        <v>15995.239306666666</v>
      </c>
      <c r="T556" s="649">
        <f>SUM(T549:T555)</f>
        <v>11645.477106666665</v>
      </c>
      <c r="U556" s="649">
        <f t="shared" ref="U556" si="502">SUM(U549:U555)</f>
        <v>0</v>
      </c>
      <c r="V556" s="649">
        <f>SUM(V549:V555)</f>
        <v>3538.9831090909092</v>
      </c>
      <c r="W556" s="649">
        <f>SUM(W549:W555)</f>
        <v>421.50136039786946</v>
      </c>
      <c r="X556" s="649">
        <f>SUM(X549:X555)</f>
        <v>389.27773051122148</v>
      </c>
      <c r="Y556" s="373" t="s">
        <v>14</v>
      </c>
      <c r="Z556" s="648">
        <f>SUM(Z549:Z555)</f>
        <v>15995.23930666667</v>
      </c>
      <c r="AA556" s="648">
        <f>SUM(AA549:AA555)</f>
        <v>1241.4201250000001</v>
      </c>
      <c r="AB556" s="648">
        <f>SUM(AB549:AB555)</f>
        <v>5115.556125000001</v>
      </c>
      <c r="AC556" s="648">
        <f>SUM(AC549:AC555)</f>
        <v>6015.2872749999988</v>
      </c>
      <c r="AD556" s="648">
        <f>SUM(AD549:AD555)</f>
        <v>3622.975781666667</v>
      </c>
      <c r="AE556" s="648"/>
      <c r="AF556" s="561"/>
      <c r="AG556" s="561"/>
      <c r="AH556" s="561" t="str">
        <f>IFERROR(INDEX('Annex 2_Code'!$J$110:$J$122,MATCH('Annex 3_MAFF'!AF556,'Annex 2_Code'!$G$110:$G$122,0)),"")</f>
        <v/>
      </c>
    </row>
    <row r="557" spans="1:38">
      <c r="A557" s="102"/>
      <c r="B557" s="127"/>
      <c r="C557" s="82"/>
      <c r="D557" s="97"/>
      <c r="E557" s="97"/>
      <c r="F557" s="485"/>
      <c r="G557" s="638" t="s">
        <v>188</v>
      </c>
      <c r="H557" s="561"/>
      <c r="I557" s="593"/>
      <c r="J557" s="560"/>
      <c r="K557" s="560"/>
      <c r="L557" s="560"/>
      <c r="M557" s="560"/>
      <c r="N557" s="560"/>
      <c r="O557" s="560"/>
      <c r="P557" s="560"/>
      <c r="Q557" s="560"/>
      <c r="R557" s="638" t="s">
        <v>188</v>
      </c>
      <c r="S557" s="1135">
        <f>S534-S556</f>
        <v>0</v>
      </c>
      <c r="T557" s="1011">
        <f>Y534-T556</f>
        <v>0</v>
      </c>
      <c r="U557" s="1011">
        <f t="shared" ref="U557" si="503">Z534-U556</f>
        <v>0</v>
      </c>
      <c r="V557" s="1011">
        <f>AA534-V556</f>
        <v>0</v>
      </c>
      <c r="W557" s="1011">
        <f>AB534-W556</f>
        <v>0</v>
      </c>
      <c r="X557" s="1011">
        <f>AC534-X556</f>
        <v>0</v>
      </c>
      <c r="Y557" s="485"/>
      <c r="Z557" s="650">
        <f>Z556-Z544</f>
        <v>0</v>
      </c>
      <c r="AA557" s="485"/>
      <c r="AB557" s="485"/>
      <c r="AC557" s="485"/>
      <c r="AD557" s="602"/>
      <c r="AE557" s="602"/>
      <c r="AF557" s="561"/>
      <c r="AG557" s="561"/>
      <c r="AH557" s="561" t="str">
        <f>IFERROR(INDEX('Annex 2_Code'!$J$110:$J$122,MATCH('Annex 3_MAFF'!AF557,'Annex 2_Code'!$G$110:$G$122,0)),"")</f>
        <v/>
      </c>
    </row>
    <row r="558" spans="1:38">
      <c r="A558" s="102"/>
      <c r="B558" s="127"/>
      <c r="C558" s="82"/>
      <c r="D558" s="97"/>
      <c r="E558" s="97"/>
      <c r="F558" s="485"/>
      <c r="G558" s="2138" t="s">
        <v>573</v>
      </c>
      <c r="H558" s="561"/>
      <c r="I558" s="593"/>
      <c r="J558" s="560"/>
      <c r="K558" s="560"/>
      <c r="L558" s="560"/>
      <c r="M558" s="560"/>
      <c r="N558" s="560"/>
      <c r="O558" s="560"/>
      <c r="P558" s="560"/>
      <c r="Q558" s="560"/>
      <c r="R558" s="1014" t="s">
        <v>573</v>
      </c>
      <c r="S558" s="603"/>
      <c r="T558" s="628"/>
      <c r="U558" s="629"/>
      <c r="V558" s="629"/>
      <c r="W558" s="629"/>
      <c r="X558" s="629"/>
      <c r="Y558" s="576" t="s">
        <v>14</v>
      </c>
      <c r="Z558" s="485"/>
      <c r="AA558" s="485"/>
      <c r="AB558" s="485"/>
      <c r="AC558" s="485"/>
      <c r="AD558" s="602"/>
      <c r="AE558" s="602"/>
      <c r="AF558" s="561"/>
      <c r="AG558" s="561"/>
      <c r="AH558" s="561" t="str">
        <f>IFERROR(INDEX('Annex 2_Code'!$J$110:$J$122,MATCH('Annex 3_MAFF'!AF558,'Annex 2_Code'!$G$110:$G$122,0)),"")</f>
        <v/>
      </c>
    </row>
    <row r="559" spans="1:38">
      <c r="A559" s="102"/>
      <c r="B559" s="127"/>
      <c r="C559" s="82"/>
      <c r="D559" s="97"/>
      <c r="E559" s="97"/>
      <c r="F559" s="485"/>
      <c r="G559" s="2136" t="s">
        <v>25</v>
      </c>
      <c r="H559" s="561"/>
      <c r="I559" s="593"/>
      <c r="J559" s="560"/>
      <c r="K559" s="560"/>
      <c r="L559" s="560"/>
      <c r="M559" s="560"/>
      <c r="N559" s="560"/>
      <c r="O559" s="560"/>
      <c r="P559" s="560"/>
      <c r="Q559" s="560"/>
      <c r="R559" s="633" t="s">
        <v>25</v>
      </c>
      <c r="S559" s="1010">
        <f>X566</f>
        <v>3847.8925800000006</v>
      </c>
      <c r="T559" s="1012">
        <f>S549-S559</f>
        <v>0</v>
      </c>
      <c r="U559" s="629"/>
      <c r="V559" s="629"/>
      <c r="W559" s="629"/>
      <c r="X559" s="629"/>
      <c r="Z559" s="884" t="s">
        <v>11</v>
      </c>
      <c r="AA559" s="884" t="s">
        <v>7</v>
      </c>
      <c r="AB559" s="884" t="s">
        <v>8</v>
      </c>
      <c r="AC559" s="884" t="s">
        <v>9</v>
      </c>
      <c r="AD559" s="885" t="s">
        <v>10</v>
      </c>
      <c r="AE559" s="1128"/>
      <c r="AF559" s="561"/>
      <c r="AG559" s="561"/>
      <c r="AH559" s="561" t="str">
        <f>IFERROR(INDEX('Annex 2_Code'!$J$110:$J$122,MATCH('Annex 3_MAFF'!AF559,'Annex 2_Code'!$G$110:$G$122,0)),"")</f>
        <v/>
      </c>
    </row>
    <row r="560" spans="1:38">
      <c r="A560" s="102"/>
      <c r="B560" s="127"/>
      <c r="C560" s="82"/>
      <c r="D560" s="97"/>
      <c r="E560" s="97"/>
      <c r="F560" s="485"/>
      <c r="G560" s="2136" t="s">
        <v>24</v>
      </c>
      <c r="H560" s="561"/>
      <c r="I560" s="593"/>
      <c r="J560" s="560"/>
      <c r="K560" s="560"/>
      <c r="L560" s="560"/>
      <c r="M560" s="560"/>
      <c r="N560" s="560"/>
      <c r="O560" s="560"/>
      <c r="P560" s="560"/>
      <c r="Q560" s="560"/>
      <c r="R560" s="633" t="s">
        <v>24</v>
      </c>
      <c r="S560" s="1010">
        <f>X573</f>
        <v>7980.2157266666673</v>
      </c>
      <c r="T560" s="628"/>
      <c r="U560" s="629"/>
      <c r="V560" s="629"/>
      <c r="W560" s="651" t="s">
        <v>36</v>
      </c>
      <c r="X560" s="652">
        <f>Z560</f>
        <v>588.52500000000009</v>
      </c>
      <c r="Y560" s="633" t="s">
        <v>36</v>
      </c>
      <c r="Z560" s="635">
        <f>SUM(AA560:AD560)</f>
        <v>588.52500000000009</v>
      </c>
      <c r="AA560" s="646">
        <f t="shared" ref="AA560:AA587" si="504">SUMIFS(O$9:O$533,$C$9:$C$533,TRIM($Y560))</f>
        <v>0</v>
      </c>
      <c r="AB560" s="646">
        <f t="shared" ref="AB560:AB587" si="505">SUMIFS(P$9:P$533,$C$9:$C$533,TRIM($Y560))</f>
        <v>264.125</v>
      </c>
      <c r="AC560" s="646">
        <f t="shared" ref="AC560:AC587" si="506">SUMIFS(Q$9:Q$533,$C$9:$C$533,TRIM($Y560))</f>
        <v>252.2</v>
      </c>
      <c r="AD560" s="646">
        <f t="shared" ref="AD560:AD587" si="507">SUMIFS(R$9:R$533,$C$9:$C$533,TRIM($Y560))</f>
        <v>72.2</v>
      </c>
      <c r="AE560" s="857"/>
      <c r="AF560" s="561"/>
      <c r="AG560" s="561"/>
      <c r="AH560" s="561" t="str">
        <f>IFERROR(INDEX('Annex 2_Code'!$J$110:$J$122,MATCH('Annex 3_MAFF'!AF560,'Annex 2_Code'!$G$110:$G$122,0)),"")</f>
        <v/>
      </c>
    </row>
    <row r="561" spans="1:34">
      <c r="A561" s="102"/>
      <c r="B561" s="127"/>
      <c r="C561" s="82"/>
      <c r="D561" s="97"/>
      <c r="E561" s="97"/>
      <c r="F561" s="485"/>
      <c r="G561" s="2136" t="s">
        <v>58</v>
      </c>
      <c r="H561" s="561"/>
      <c r="I561" s="593"/>
      <c r="J561" s="560"/>
      <c r="K561" s="560"/>
      <c r="L561" s="560"/>
      <c r="M561" s="560"/>
      <c r="N561" s="560"/>
      <c r="O561" s="560"/>
      <c r="P561" s="560"/>
      <c r="Q561" s="560"/>
      <c r="R561" s="633" t="s">
        <v>58</v>
      </c>
      <c r="S561" s="1010">
        <f>X584</f>
        <v>126.12</v>
      </c>
      <c r="T561" s="628"/>
      <c r="U561" s="629"/>
      <c r="V561" s="629"/>
      <c r="W561" s="629"/>
      <c r="X561" s="629"/>
      <c r="Y561" s="561" t="s">
        <v>303</v>
      </c>
      <c r="Z561" s="1008">
        <f>SUM(AA561:AD561)</f>
        <v>1160.2763800000002</v>
      </c>
      <c r="AA561" s="646">
        <f t="shared" si="504"/>
        <v>307.23062500000003</v>
      </c>
      <c r="AB561" s="646">
        <f t="shared" si="505"/>
        <v>287.23062500000003</v>
      </c>
      <c r="AC561" s="646">
        <f t="shared" si="506"/>
        <v>289.08450500000004</v>
      </c>
      <c r="AD561" s="646">
        <f t="shared" si="507"/>
        <v>276.73062500000003</v>
      </c>
      <c r="AE561" s="857"/>
      <c r="AF561" s="561"/>
      <c r="AG561" s="561"/>
      <c r="AH561" s="561" t="str">
        <f>IFERROR(INDEX('Annex 2_Code'!$J$110:$J$122,MATCH('Annex 3_MAFF'!AF561,'Annex 2_Code'!$G$110:$G$122,0)),"")</f>
        <v/>
      </c>
    </row>
    <row r="562" spans="1:34">
      <c r="A562" s="102"/>
      <c r="B562" s="127"/>
      <c r="C562" s="82"/>
      <c r="D562" s="97"/>
      <c r="E562" s="97"/>
      <c r="F562" s="485"/>
      <c r="G562" s="2136" t="s">
        <v>261</v>
      </c>
      <c r="H562" s="561"/>
      <c r="I562" s="593"/>
      <c r="J562" s="560"/>
      <c r="K562" s="560"/>
      <c r="L562" s="560"/>
      <c r="M562" s="560"/>
      <c r="N562" s="560"/>
      <c r="O562" s="560"/>
      <c r="P562" s="560"/>
      <c r="Q562" s="560"/>
      <c r="R562" s="633" t="s">
        <v>261</v>
      </c>
      <c r="S562" s="1010">
        <f>X585</f>
        <v>753.83600000000001</v>
      </c>
      <c r="T562" s="628"/>
      <c r="U562" s="629"/>
      <c r="V562" s="629"/>
      <c r="W562" s="629"/>
      <c r="X562" s="629"/>
      <c r="Y562" s="561" t="s">
        <v>296</v>
      </c>
      <c r="Z562" s="1008">
        <f>SUM(AA562:AD562)</f>
        <v>863.94999999999993</v>
      </c>
      <c r="AA562" s="646">
        <f t="shared" si="504"/>
        <v>242.65</v>
      </c>
      <c r="AB562" s="646">
        <f t="shared" si="505"/>
        <v>238.54999999999998</v>
      </c>
      <c r="AC562" s="646">
        <f t="shared" si="506"/>
        <v>198.2</v>
      </c>
      <c r="AD562" s="646">
        <f t="shared" si="507"/>
        <v>184.54999999999998</v>
      </c>
      <c r="AE562" s="857"/>
      <c r="AF562" s="561"/>
      <c r="AG562" s="561"/>
      <c r="AH562" s="561" t="str">
        <f>IFERROR(INDEX('Annex 2_Code'!$J$110:$J$122,MATCH('Annex 3_MAFF'!AF562,'Annex 2_Code'!$G$110:$G$122,0)),"")</f>
        <v/>
      </c>
    </row>
    <row r="563" spans="1:34">
      <c r="A563" s="102"/>
      <c r="B563" s="127"/>
      <c r="C563" s="82"/>
      <c r="D563" s="97"/>
      <c r="E563" s="97"/>
      <c r="F563" s="485"/>
      <c r="G563" s="2136" t="s">
        <v>36</v>
      </c>
      <c r="H563" s="561"/>
      <c r="I563" s="593"/>
      <c r="J563" s="560"/>
      <c r="K563" s="560"/>
      <c r="L563" s="560"/>
      <c r="M563" s="560"/>
      <c r="N563" s="560"/>
      <c r="O563" s="560"/>
      <c r="P563" s="560"/>
      <c r="Q563" s="560"/>
      <c r="R563" s="633" t="s">
        <v>36</v>
      </c>
      <c r="S563" s="1010">
        <f>X560</f>
        <v>588.52500000000009</v>
      </c>
      <c r="T563" s="628"/>
      <c r="U563" s="629"/>
      <c r="V563" s="629"/>
      <c r="W563" s="629"/>
      <c r="X563" s="629"/>
      <c r="Y563" s="561" t="s">
        <v>298</v>
      </c>
      <c r="Z563" s="1008">
        <f t="shared" ref="Z563:Z587" si="508">SUM(AA563:AD563)</f>
        <v>427.15720000000005</v>
      </c>
      <c r="AA563" s="646">
        <f t="shared" si="504"/>
        <v>0</v>
      </c>
      <c r="AB563" s="646">
        <f t="shared" si="505"/>
        <v>79.550000000000011</v>
      </c>
      <c r="AC563" s="646">
        <f t="shared" si="506"/>
        <v>188.80360000000002</v>
      </c>
      <c r="AD563" s="646">
        <f t="shared" si="507"/>
        <v>158.80360000000002</v>
      </c>
      <c r="AE563" s="857"/>
      <c r="AF563" s="561"/>
      <c r="AG563" s="561"/>
      <c r="AH563" s="561" t="str">
        <f>IFERROR(INDEX('Annex 2_Code'!$J$110:$J$122,MATCH('Annex 3_MAFF'!AF563,'Annex 2_Code'!$G$110:$G$122,0)),"")</f>
        <v/>
      </c>
    </row>
    <row r="564" spans="1:34">
      <c r="A564" s="102"/>
      <c r="B564" s="127"/>
      <c r="C564" s="82"/>
      <c r="D564" s="97"/>
      <c r="E564" s="97"/>
      <c r="F564" s="485"/>
      <c r="G564" s="2136" t="s">
        <v>57</v>
      </c>
      <c r="H564" s="561"/>
      <c r="I564" s="593"/>
      <c r="J564" s="560"/>
      <c r="K564" s="560"/>
      <c r="L564" s="560"/>
      <c r="M564" s="560"/>
      <c r="N564" s="560"/>
      <c r="O564" s="560"/>
      <c r="P564" s="560"/>
      <c r="Q564" s="560"/>
      <c r="R564" s="633" t="s">
        <v>57</v>
      </c>
      <c r="S564" s="1010">
        <f>X586</f>
        <v>1285.7000000000003</v>
      </c>
      <c r="T564" s="628"/>
      <c r="U564" s="629"/>
      <c r="V564" s="629"/>
      <c r="W564" s="629"/>
      <c r="X564" s="629"/>
      <c r="Y564" s="561" t="s">
        <v>302</v>
      </c>
      <c r="Z564" s="1008">
        <f t="shared" si="508"/>
        <v>750.74000000000012</v>
      </c>
      <c r="AA564" s="646">
        <f t="shared" si="504"/>
        <v>0</v>
      </c>
      <c r="AB564" s="646">
        <f t="shared" si="505"/>
        <v>0</v>
      </c>
      <c r="AC564" s="646">
        <f t="shared" si="506"/>
        <v>375.37000000000006</v>
      </c>
      <c r="AD564" s="646">
        <f t="shared" si="507"/>
        <v>375.37000000000006</v>
      </c>
      <c r="AE564" s="857"/>
      <c r="AF564" s="561"/>
      <c r="AG564" s="561"/>
      <c r="AH564" s="561" t="str">
        <f>IFERROR(INDEX('Annex 2_Code'!$J$110:$J$122,MATCH('Annex 3_MAFF'!AF564,'Annex 2_Code'!$G$110:$G$122,0)),"")</f>
        <v/>
      </c>
    </row>
    <row r="565" spans="1:34">
      <c r="A565" s="102"/>
      <c r="B565" s="127"/>
      <c r="C565" s="82"/>
      <c r="D565" s="97"/>
      <c r="E565" s="97"/>
      <c r="F565" s="485"/>
      <c r="G565" s="2136" t="s">
        <v>294</v>
      </c>
      <c r="H565" s="561"/>
      <c r="I565" s="593"/>
      <c r="J565" s="560"/>
      <c r="K565" s="560"/>
      <c r="L565" s="560"/>
      <c r="M565" s="560"/>
      <c r="N565" s="560"/>
      <c r="O565" s="560"/>
      <c r="P565" s="560"/>
      <c r="Q565" s="560"/>
      <c r="R565" s="633" t="s">
        <v>294</v>
      </c>
      <c r="S565" s="1010">
        <f>X583</f>
        <v>1112.95</v>
      </c>
      <c r="T565" s="628"/>
      <c r="U565" s="629"/>
      <c r="V565" s="629"/>
      <c r="W565" s="629"/>
      <c r="X565" s="629"/>
      <c r="Y565" s="561" t="s">
        <v>273</v>
      </c>
      <c r="Z565" s="1008">
        <f t="shared" si="508"/>
        <v>612.44899999999996</v>
      </c>
      <c r="AA565" s="646">
        <f t="shared" si="504"/>
        <v>179.79</v>
      </c>
      <c r="AB565" s="646">
        <f t="shared" si="505"/>
        <v>147.63499999999999</v>
      </c>
      <c r="AC565" s="646">
        <f t="shared" si="506"/>
        <v>130.63499999999999</v>
      </c>
      <c r="AD565" s="646">
        <f t="shared" si="507"/>
        <v>154.38900000000001</v>
      </c>
      <c r="AE565" s="857"/>
      <c r="AF565" s="580"/>
      <c r="AG565" s="561"/>
      <c r="AH565" s="561" t="str">
        <f>IFERROR(INDEX('Annex 2_Code'!$J$110:$J$122,MATCH('Annex 3_MAFF'!AF565,'Annex 2_Code'!$G$110:$G$122,0)),"")</f>
        <v/>
      </c>
    </row>
    <row r="566" spans="1:34">
      <c r="A566" s="102"/>
      <c r="B566" s="127"/>
      <c r="C566" s="82"/>
      <c r="D566" s="97"/>
      <c r="E566" s="97"/>
      <c r="F566" s="485"/>
      <c r="G566" s="2137" t="s">
        <v>544</v>
      </c>
      <c r="H566" s="561"/>
      <c r="I566" s="593"/>
      <c r="J566" s="560"/>
      <c r="K566" s="560"/>
      <c r="L566" s="560"/>
      <c r="M566" s="560"/>
      <c r="N566" s="560"/>
      <c r="O566" s="560"/>
      <c r="P566" s="560"/>
      <c r="Q566" s="560"/>
      <c r="R566" s="1130" t="s">
        <v>544</v>
      </c>
      <c r="S566" s="1010">
        <f>X574</f>
        <v>300</v>
      </c>
      <c r="T566" s="628"/>
      <c r="U566" s="629"/>
      <c r="V566" s="629"/>
      <c r="W566" s="651" t="s">
        <v>25</v>
      </c>
      <c r="X566" s="1004">
        <f>SUM(Z561:Z567)</f>
        <v>3847.8925800000006</v>
      </c>
      <c r="Y566" s="561" t="s">
        <v>304</v>
      </c>
      <c r="Z566" s="1008">
        <f t="shared" si="508"/>
        <v>33.32</v>
      </c>
      <c r="AA566" s="646">
        <f t="shared" si="504"/>
        <v>8.33</v>
      </c>
      <c r="AB566" s="646">
        <f t="shared" si="505"/>
        <v>8.33</v>
      </c>
      <c r="AC566" s="646">
        <f t="shared" si="506"/>
        <v>8.33</v>
      </c>
      <c r="AD566" s="646">
        <f t="shared" si="507"/>
        <v>8.33</v>
      </c>
      <c r="AE566" s="857"/>
      <c r="AF566" s="561"/>
      <c r="AG566" s="561"/>
      <c r="AH566" s="561" t="str">
        <f>IFERROR(INDEX('Annex 2_Code'!$J$110:$J$122,MATCH('Annex 3_MAFF'!AF566,'Annex 2_Code'!$G$110:$G$122,0)),"")</f>
        <v/>
      </c>
    </row>
    <row r="567" spans="1:34">
      <c r="A567" s="102"/>
      <c r="B567" s="127"/>
      <c r="C567" s="82"/>
      <c r="D567" s="97"/>
      <c r="E567" s="97"/>
      <c r="F567" s="485"/>
      <c r="G567" s="2137"/>
      <c r="H567" s="561"/>
      <c r="I567" s="593"/>
      <c r="J567" s="560"/>
      <c r="K567" s="560"/>
      <c r="L567" s="560"/>
      <c r="M567" s="560"/>
      <c r="N567" s="560"/>
      <c r="O567" s="560"/>
      <c r="P567" s="560"/>
      <c r="Q567" s="560"/>
      <c r="R567" s="560"/>
      <c r="S567" s="1131">
        <f>SUM(S559:S566)</f>
        <v>15995.23930666667</v>
      </c>
      <c r="T567" s="1034">
        <f t="shared" ref="T567:T572" si="509">Z561</f>
        <v>1160.2763800000002</v>
      </c>
      <c r="U567" s="1033"/>
      <c r="V567" s="629"/>
      <c r="W567" s="629"/>
      <c r="X567" s="627"/>
      <c r="Y567" s="561" t="s">
        <v>1205</v>
      </c>
      <c r="Z567" s="1008">
        <f t="shared" ref="Z567" si="510">SUM(AA567:AD567)</f>
        <v>0</v>
      </c>
      <c r="AA567" s="646">
        <f t="shared" si="504"/>
        <v>0</v>
      </c>
      <c r="AB567" s="646">
        <f t="shared" si="505"/>
        <v>0</v>
      </c>
      <c r="AC567" s="646">
        <f t="shared" si="506"/>
        <v>0</v>
      </c>
      <c r="AD567" s="646">
        <f t="shared" si="507"/>
        <v>0</v>
      </c>
      <c r="AE567" s="857"/>
      <c r="AF567" s="561"/>
      <c r="AG567" s="561"/>
      <c r="AH567" s="561" t="str">
        <f>IFERROR(INDEX('Annex 2_Code'!$J$110:$J$122,MATCH('Annex 3_MAFF'!AF567,'Annex 2_Code'!$G$110:$G$122,0)),"")</f>
        <v/>
      </c>
    </row>
    <row r="568" spans="1:34">
      <c r="A568" s="102"/>
      <c r="B568" s="127"/>
      <c r="C568" s="82"/>
      <c r="D568" s="97"/>
      <c r="E568" s="97"/>
      <c r="F568" s="485"/>
      <c r="G568" s="638" t="s">
        <v>188</v>
      </c>
      <c r="H568" s="561"/>
      <c r="I568" s="593"/>
      <c r="J568" s="560"/>
      <c r="K568" s="560"/>
      <c r="L568" s="560"/>
      <c r="M568" s="560"/>
      <c r="N568" s="560"/>
      <c r="O568" s="560"/>
      <c r="P568" s="560"/>
      <c r="Q568" s="560"/>
      <c r="R568" s="638" t="s">
        <v>188</v>
      </c>
      <c r="S568" s="1134">
        <f>S567-S534</f>
        <v>0</v>
      </c>
      <c r="T568" s="1034">
        <f t="shared" si="509"/>
        <v>863.94999999999993</v>
      </c>
      <c r="U568" s="629"/>
      <c r="V568" s="629"/>
      <c r="W568" s="629"/>
      <c r="X568" s="627"/>
      <c r="Y568" s="561" t="s">
        <v>305</v>
      </c>
      <c r="Z568" s="635">
        <f>SUM(AA568:AD568)</f>
        <v>888.04</v>
      </c>
      <c r="AA568" s="646">
        <f t="shared" si="504"/>
        <v>0</v>
      </c>
      <c r="AB568" s="646">
        <f t="shared" si="505"/>
        <v>0</v>
      </c>
      <c r="AC568" s="646">
        <f t="shared" si="506"/>
        <v>888.04</v>
      </c>
      <c r="AD568" s="646">
        <f t="shared" si="507"/>
        <v>0</v>
      </c>
      <c r="AE568" s="857"/>
      <c r="AF568" s="561"/>
      <c r="AG568" s="561"/>
      <c r="AH568" s="561" t="str">
        <f>IFERROR(INDEX('Annex 2_Code'!$J$110:$J$122,MATCH('Annex 3_MAFF'!AF568,'Annex 2_Code'!$G$110:$G$122,0)),"")</f>
        <v/>
      </c>
    </row>
    <row r="569" spans="1:34">
      <c r="A569" s="102"/>
      <c r="B569" s="127"/>
      <c r="C569" s="82"/>
      <c r="D569" s="97"/>
      <c r="E569" s="97"/>
      <c r="F569" s="485"/>
      <c r="G569" s="97"/>
      <c r="H569" s="561"/>
      <c r="I569" s="593"/>
      <c r="J569" s="560"/>
      <c r="K569" s="560"/>
      <c r="L569" s="560"/>
      <c r="M569" s="560"/>
      <c r="N569" s="560"/>
      <c r="O569" s="560"/>
      <c r="P569" s="560"/>
      <c r="Q569" s="560"/>
      <c r="R569" s="560"/>
      <c r="S569" s="1016"/>
      <c r="T569" s="1034">
        <f t="shared" si="509"/>
        <v>427.15720000000005</v>
      </c>
      <c r="U569" s="1035"/>
      <c r="V569" s="629"/>
      <c r="W569" s="629"/>
      <c r="X569" s="627"/>
      <c r="Y569" s="561" t="s">
        <v>299</v>
      </c>
      <c r="Z569" s="635">
        <f t="shared" si="508"/>
        <v>332.30700000000002</v>
      </c>
      <c r="AA569" s="646">
        <f t="shared" si="504"/>
        <v>0</v>
      </c>
      <c r="AB569" s="646">
        <f t="shared" si="505"/>
        <v>332.30700000000002</v>
      </c>
      <c r="AC569" s="646">
        <f t="shared" si="506"/>
        <v>0</v>
      </c>
      <c r="AD569" s="646">
        <f t="shared" si="507"/>
        <v>0</v>
      </c>
      <c r="AE569" s="857"/>
      <c r="AF569" s="561"/>
      <c r="AG569" s="561"/>
      <c r="AH569" s="561" t="str">
        <f>IFERROR(INDEX('Annex 2_Code'!$J$110:$J$122,MATCH('Annex 3_MAFF'!AF569,'Annex 2_Code'!$G$110:$G$122,0)),"")</f>
        <v/>
      </c>
    </row>
    <row r="570" spans="1:34">
      <c r="A570" s="102"/>
      <c r="B570" s="127"/>
      <c r="C570" s="82"/>
      <c r="D570" s="97"/>
      <c r="E570" s="97"/>
      <c r="F570" s="485"/>
      <c r="G570" s="97"/>
      <c r="H570" s="561"/>
      <c r="I570" s="593"/>
      <c r="J570" s="560"/>
      <c r="K570" s="560"/>
      <c r="L570" s="560"/>
      <c r="M570" s="560"/>
      <c r="N570" s="560"/>
      <c r="O570" s="560"/>
      <c r="P570" s="560"/>
      <c r="Q570" s="560"/>
      <c r="R570" s="560"/>
      <c r="S570" s="1016"/>
      <c r="T570" s="1034">
        <f t="shared" si="509"/>
        <v>750.74000000000012</v>
      </c>
      <c r="U570" s="629"/>
      <c r="V570" s="629"/>
      <c r="W570" s="629"/>
      <c r="X570" s="627"/>
      <c r="Y570" s="561" t="s">
        <v>297</v>
      </c>
      <c r="Z570" s="635">
        <f t="shared" si="508"/>
        <v>1000</v>
      </c>
      <c r="AA570" s="646">
        <f t="shared" si="504"/>
        <v>0</v>
      </c>
      <c r="AB570" s="646">
        <f t="shared" si="505"/>
        <v>600</v>
      </c>
      <c r="AC570" s="646">
        <f t="shared" si="506"/>
        <v>0</v>
      </c>
      <c r="AD570" s="646">
        <f t="shared" si="507"/>
        <v>400</v>
      </c>
      <c r="AE570" s="857"/>
      <c r="AF570" s="561"/>
      <c r="AG570" s="561"/>
      <c r="AH570" s="561" t="str">
        <f>IFERROR(INDEX('Annex 2_Code'!$J$110:$J$122,MATCH('Annex 3_MAFF'!AF570,'Annex 2_Code'!$G$110:$G$122,0)),"")</f>
        <v/>
      </c>
    </row>
    <row r="571" spans="1:34">
      <c r="A571" s="102"/>
      <c r="B571" s="127"/>
      <c r="C571" s="82"/>
      <c r="D571" s="97"/>
      <c r="E571" s="97"/>
      <c r="F571" s="485"/>
      <c r="G571" s="97"/>
      <c r="H571" s="561"/>
      <c r="I571" s="593"/>
      <c r="J571" s="560"/>
      <c r="K571" s="560"/>
      <c r="L571" s="560"/>
      <c r="M571" s="560"/>
      <c r="N571" s="560"/>
      <c r="O571" s="560"/>
      <c r="P571" s="560"/>
      <c r="Q571" s="560"/>
      <c r="R571" s="560"/>
      <c r="S571" s="1016"/>
      <c r="T571" s="1034">
        <f t="shared" si="509"/>
        <v>612.44899999999996</v>
      </c>
      <c r="U571" s="629"/>
      <c r="V571" s="629"/>
      <c r="W571" s="629"/>
      <c r="X571" s="627"/>
      <c r="Y571" s="561" t="s">
        <v>295</v>
      </c>
      <c r="Z571" s="635">
        <f t="shared" si="508"/>
        <v>4594.9500000000007</v>
      </c>
      <c r="AA571" s="646">
        <f t="shared" si="504"/>
        <v>0</v>
      </c>
      <c r="AB571" s="646">
        <f t="shared" si="505"/>
        <v>1244.92</v>
      </c>
      <c r="AC571" s="646">
        <f t="shared" si="506"/>
        <v>2197.73</v>
      </c>
      <c r="AD571" s="646">
        <f t="shared" si="507"/>
        <v>1152.3000000000002</v>
      </c>
      <c r="AE571" s="857"/>
      <c r="AF571" s="561"/>
      <c r="AG571" s="561"/>
      <c r="AH571" s="561" t="str">
        <f>IFERROR(INDEX('Annex 2_Code'!$J$110:$J$122,MATCH('Annex 3_MAFF'!AF571,'Annex 2_Code'!$G$110:$G$122,0)),"")</f>
        <v/>
      </c>
    </row>
    <row r="572" spans="1:34">
      <c r="A572" s="102"/>
      <c r="B572" s="127"/>
      <c r="C572" s="82"/>
      <c r="D572" s="97"/>
      <c r="E572" s="97"/>
      <c r="F572" s="485"/>
      <c r="G572" s="97"/>
      <c r="H572" s="561"/>
      <c r="I572" s="593"/>
      <c r="J572" s="560"/>
      <c r="K572" s="560"/>
      <c r="L572" s="560"/>
      <c r="M572" s="560"/>
      <c r="N572" s="560"/>
      <c r="O572" s="560"/>
      <c r="P572" s="560"/>
      <c r="Q572" s="560"/>
      <c r="R572" s="560"/>
      <c r="S572" s="1016"/>
      <c r="T572" s="1034">
        <f t="shared" si="509"/>
        <v>33.32</v>
      </c>
      <c r="U572" s="629"/>
      <c r="V572" s="629"/>
      <c r="W572" s="651"/>
      <c r="X572" s="654"/>
      <c r="Y572" s="561" t="s">
        <v>300</v>
      </c>
      <c r="Z572" s="635">
        <f t="shared" si="508"/>
        <v>259.56450000000001</v>
      </c>
      <c r="AA572" s="646">
        <f t="shared" si="504"/>
        <v>46.429500000000004</v>
      </c>
      <c r="AB572" s="646">
        <f t="shared" si="505"/>
        <v>103.57350000000001</v>
      </c>
      <c r="AC572" s="646">
        <f t="shared" si="506"/>
        <v>109.56150000000001</v>
      </c>
      <c r="AD572" s="646">
        <f t="shared" si="507"/>
        <v>0</v>
      </c>
      <c r="AE572" s="857"/>
      <c r="AF572" s="561"/>
      <c r="AG572" s="561"/>
      <c r="AH572" s="561" t="str">
        <f>IFERROR(INDEX('Annex 2_Code'!$J$110:$J$122,MATCH('Annex 3_MAFF'!AF572,'Annex 2_Code'!$G$110:$G$122,0)),"")</f>
        <v/>
      </c>
    </row>
    <row r="573" spans="1:34">
      <c r="A573" s="102"/>
      <c r="B573" s="127"/>
      <c r="C573" s="82"/>
      <c r="D573" s="97"/>
      <c r="E573" s="97"/>
      <c r="F573" s="485"/>
      <c r="G573" s="97"/>
      <c r="H573" s="561"/>
      <c r="I573" s="593"/>
      <c r="J573" s="560"/>
      <c r="K573" s="560"/>
      <c r="L573" s="560"/>
      <c r="M573" s="560"/>
      <c r="N573" s="560"/>
      <c r="O573" s="560"/>
      <c r="P573" s="560"/>
      <c r="Q573" s="560"/>
      <c r="R573" s="560"/>
      <c r="S573" s="1016"/>
      <c r="T573" s="628"/>
      <c r="U573" s="629"/>
      <c r="V573" s="629"/>
      <c r="W573" s="651" t="s">
        <v>24</v>
      </c>
      <c r="X573" s="654">
        <f>SUM(Z568:Z574)</f>
        <v>7980.2157266666673</v>
      </c>
      <c r="Y573" s="561" t="s">
        <v>301</v>
      </c>
      <c r="Z573" s="635">
        <f t="shared" si="508"/>
        <v>20</v>
      </c>
      <c r="AA573" s="646">
        <f t="shared" si="504"/>
        <v>20</v>
      </c>
      <c r="AB573" s="646">
        <f t="shared" si="505"/>
        <v>0</v>
      </c>
      <c r="AC573" s="646">
        <f t="shared" si="506"/>
        <v>0</v>
      </c>
      <c r="AD573" s="646">
        <f t="shared" si="507"/>
        <v>0</v>
      </c>
      <c r="AE573" s="857"/>
      <c r="AF573" s="561"/>
      <c r="AG573" s="561"/>
      <c r="AH573" s="561"/>
    </row>
    <row r="574" spans="1:34">
      <c r="A574" s="102"/>
      <c r="B574" s="127"/>
      <c r="C574" s="82"/>
      <c r="D574" s="97"/>
      <c r="E574" s="97"/>
      <c r="F574" s="485"/>
      <c r="G574" s="97"/>
      <c r="H574" s="561"/>
      <c r="I574" s="593"/>
      <c r="J574" s="560"/>
      <c r="K574" s="560"/>
      <c r="L574" s="560"/>
      <c r="M574" s="560"/>
      <c r="N574" s="560"/>
      <c r="O574" s="560"/>
      <c r="P574" s="560"/>
      <c r="Q574" s="560"/>
      <c r="R574" s="560"/>
      <c r="S574" s="1016"/>
      <c r="T574" s="1016">
        <f>SUM(T567:T572)</f>
        <v>3847.8925800000006</v>
      </c>
      <c r="U574" s="1037"/>
      <c r="V574" s="629"/>
      <c r="W574" s="651" t="s">
        <v>544</v>
      </c>
      <c r="X574" s="655">
        <f>Z575</f>
        <v>300</v>
      </c>
      <c r="Y574" s="561" t="s">
        <v>423</v>
      </c>
      <c r="Z574" s="635">
        <f>SUM(AA574:AD574)</f>
        <v>885.35422666666659</v>
      </c>
      <c r="AA574" s="646">
        <f t="shared" si="504"/>
        <v>186.77600000000001</v>
      </c>
      <c r="AB574" s="646">
        <f t="shared" si="505"/>
        <v>186.77600000000001</v>
      </c>
      <c r="AC574" s="646">
        <f t="shared" si="506"/>
        <v>290.46366999999998</v>
      </c>
      <c r="AD574" s="646">
        <f t="shared" si="507"/>
        <v>221.33855666666665</v>
      </c>
      <c r="AE574" s="857"/>
      <c r="AF574" s="561"/>
      <c r="AG574" s="561"/>
      <c r="AH574" s="561" t="str">
        <f>IFERROR(INDEX('Annex 2_Code'!$J$110:$J$122,MATCH('Annex 3_MAFF'!AF574,'Annex 2_Code'!$G$110:$G$122,0)),"")</f>
        <v/>
      </c>
    </row>
    <row r="575" spans="1:34">
      <c r="A575" s="102"/>
      <c r="B575" s="127"/>
      <c r="C575" s="82"/>
      <c r="D575" s="97"/>
      <c r="E575" s="97"/>
      <c r="F575" s="485"/>
      <c r="G575" s="97"/>
      <c r="H575" s="561"/>
      <c r="I575" s="593"/>
      <c r="J575" s="560"/>
      <c r="K575" s="560"/>
      <c r="L575" s="560"/>
      <c r="M575" s="560"/>
      <c r="N575" s="560"/>
      <c r="O575" s="560"/>
      <c r="P575" s="560"/>
      <c r="Q575" s="560"/>
      <c r="R575" s="560"/>
      <c r="S575" s="1016"/>
      <c r="T575" s="1016"/>
      <c r="U575" s="1037"/>
      <c r="V575" s="629"/>
      <c r="W575" s="651"/>
      <c r="X575" s="655"/>
      <c r="Y575" s="561" t="s">
        <v>544</v>
      </c>
      <c r="Z575" s="635">
        <f t="shared" si="508"/>
        <v>300</v>
      </c>
      <c r="AA575" s="646">
        <f t="shared" si="504"/>
        <v>0</v>
      </c>
      <c r="AB575" s="646">
        <f t="shared" si="505"/>
        <v>300</v>
      </c>
      <c r="AC575" s="646">
        <f t="shared" si="506"/>
        <v>0</v>
      </c>
      <c r="AD575" s="646">
        <f t="shared" si="507"/>
        <v>0</v>
      </c>
      <c r="AE575" s="857"/>
      <c r="AF575" s="561"/>
      <c r="AG575" s="561"/>
      <c r="AH575" s="561"/>
    </row>
    <row r="576" spans="1:34">
      <c r="A576" s="102"/>
      <c r="B576" s="127"/>
      <c r="C576" s="82"/>
      <c r="D576" s="97"/>
      <c r="E576" s="97"/>
      <c r="F576" s="485"/>
      <c r="G576" s="97"/>
      <c r="H576" s="561"/>
      <c r="I576" s="593"/>
      <c r="J576" s="560"/>
      <c r="K576" s="560"/>
      <c r="L576" s="560"/>
      <c r="M576" s="560"/>
      <c r="N576" s="560"/>
      <c r="O576" s="560"/>
      <c r="P576" s="560"/>
      <c r="Q576" s="560"/>
      <c r="R576" s="560"/>
      <c r="S576" s="1016"/>
      <c r="T576" s="1016"/>
      <c r="U576" s="1037"/>
      <c r="V576" s="629"/>
      <c r="W576" s="651"/>
      <c r="X576" s="655"/>
      <c r="Y576" s="561" t="s">
        <v>545</v>
      </c>
      <c r="Z576" s="635">
        <f t="shared" si="508"/>
        <v>997.74999999999989</v>
      </c>
      <c r="AA576" s="646">
        <f t="shared" si="504"/>
        <v>1.2</v>
      </c>
      <c r="AB576" s="646">
        <f t="shared" si="505"/>
        <v>484.02499999999992</v>
      </c>
      <c r="AC576" s="646">
        <f t="shared" si="506"/>
        <v>485.57499999999993</v>
      </c>
      <c r="AD576" s="646">
        <f t="shared" si="507"/>
        <v>26.95</v>
      </c>
      <c r="AE576" s="857"/>
      <c r="AF576" s="561"/>
      <c r="AG576" s="561"/>
      <c r="AH576" s="561"/>
    </row>
    <row r="577" spans="1:34">
      <c r="A577" s="102"/>
      <c r="B577" s="127"/>
      <c r="C577" s="82"/>
      <c r="D577" s="97"/>
      <c r="E577" s="97"/>
      <c r="F577" s="485"/>
      <c r="G577" s="97"/>
      <c r="H577" s="561"/>
      <c r="I577" s="593"/>
      <c r="J577" s="560"/>
      <c r="K577" s="560"/>
      <c r="L577" s="560"/>
      <c r="M577" s="560"/>
      <c r="N577" s="560"/>
      <c r="O577" s="560"/>
      <c r="P577" s="560"/>
      <c r="Q577" s="560"/>
      <c r="R577" s="560"/>
      <c r="S577" s="1016"/>
      <c r="T577" s="1016"/>
      <c r="U577" s="1037"/>
      <c r="V577" s="629"/>
      <c r="W577" s="651"/>
      <c r="X577" s="655"/>
      <c r="Y577" s="1133" t="s">
        <v>546</v>
      </c>
      <c r="Z577" s="1136">
        <f t="shared" ref="Z577:Z578" si="511">SUM(AA577:AD577)</f>
        <v>0</v>
      </c>
      <c r="AA577" s="646">
        <f t="shared" si="504"/>
        <v>0</v>
      </c>
      <c r="AB577" s="646">
        <f t="shared" si="505"/>
        <v>0</v>
      </c>
      <c r="AC577" s="646">
        <f t="shared" si="506"/>
        <v>0</v>
      </c>
      <c r="AD577" s="646">
        <f t="shared" si="507"/>
        <v>0</v>
      </c>
      <c r="AE577" s="857"/>
      <c r="AF577" s="561"/>
      <c r="AG577" s="561"/>
      <c r="AH577" s="561"/>
    </row>
    <row r="578" spans="1:34">
      <c r="A578" s="102"/>
      <c r="B578" s="127"/>
      <c r="C578" s="82"/>
      <c r="D578" s="97"/>
      <c r="E578" s="97"/>
      <c r="F578" s="485"/>
      <c r="G578" s="97"/>
      <c r="H578" s="561"/>
      <c r="I578" s="593"/>
      <c r="J578" s="560"/>
      <c r="K578" s="560"/>
      <c r="L578" s="560"/>
      <c r="M578" s="560"/>
      <c r="N578" s="560"/>
      <c r="O578" s="560"/>
      <c r="P578" s="560"/>
      <c r="Q578" s="560"/>
      <c r="R578" s="560"/>
      <c r="S578" s="603"/>
      <c r="T578" s="628"/>
      <c r="U578" s="629"/>
      <c r="V578" s="629"/>
      <c r="W578" s="651" t="s">
        <v>14</v>
      </c>
      <c r="X578" s="655" t="s">
        <v>14</v>
      </c>
      <c r="Y578" s="561" t="s">
        <v>547</v>
      </c>
      <c r="Z578" s="635">
        <f t="shared" si="511"/>
        <v>0</v>
      </c>
      <c r="AA578" s="646">
        <f t="shared" si="504"/>
        <v>0</v>
      </c>
      <c r="AB578" s="646">
        <f t="shared" si="505"/>
        <v>0</v>
      </c>
      <c r="AC578" s="646">
        <f t="shared" si="506"/>
        <v>0</v>
      </c>
      <c r="AD578" s="646">
        <f t="shared" si="507"/>
        <v>0</v>
      </c>
      <c r="AE578" s="857"/>
      <c r="AF578" s="561"/>
      <c r="AG578" s="561"/>
      <c r="AH578" s="561" t="str">
        <f>IFERROR(INDEX('Annex 2_Code'!$J$110:$J$122,MATCH('Annex 3_MAFF'!AF578,'Annex 2_Code'!$G$110:$G$122,0)),"")</f>
        <v/>
      </c>
    </row>
    <row r="579" spans="1:34">
      <c r="A579" s="102"/>
      <c r="B579" s="127"/>
      <c r="C579" s="82"/>
      <c r="D579" s="97"/>
      <c r="E579" s="97"/>
      <c r="F579" s="485"/>
      <c r="G579" s="97"/>
      <c r="H579" s="561"/>
      <c r="I579" s="593"/>
      <c r="J579" s="560"/>
      <c r="K579" s="560"/>
      <c r="L579" s="560"/>
      <c r="M579" s="560"/>
      <c r="N579" s="560"/>
      <c r="O579" s="560"/>
      <c r="P579" s="560"/>
      <c r="Q579" s="560"/>
      <c r="R579" s="560"/>
      <c r="S579" s="603"/>
      <c r="T579" s="628"/>
      <c r="U579" s="629"/>
      <c r="V579" s="629"/>
      <c r="W579" s="651" t="s">
        <v>14</v>
      </c>
      <c r="X579" s="655" t="s">
        <v>14</v>
      </c>
      <c r="Y579" s="561" t="s">
        <v>548</v>
      </c>
      <c r="Z579" s="635">
        <f t="shared" si="508"/>
        <v>0</v>
      </c>
      <c r="AA579" s="646">
        <f t="shared" si="504"/>
        <v>0</v>
      </c>
      <c r="AB579" s="646">
        <f t="shared" si="505"/>
        <v>0</v>
      </c>
      <c r="AC579" s="646">
        <f t="shared" si="506"/>
        <v>0</v>
      </c>
      <c r="AD579" s="646">
        <f t="shared" si="507"/>
        <v>0</v>
      </c>
      <c r="AE579" s="857"/>
      <c r="AF579" s="561"/>
      <c r="AG579" s="561"/>
      <c r="AH579" s="561" t="str">
        <f>IFERROR(INDEX('Annex 2_Code'!$J$110:$J$122,MATCH('Annex 3_MAFF'!AF579,'Annex 2_Code'!$G$110:$G$122,0)),"")</f>
        <v/>
      </c>
    </row>
    <row r="580" spans="1:34">
      <c r="A580" s="102"/>
      <c r="B580" s="127"/>
      <c r="C580" s="82"/>
      <c r="D580" s="97"/>
      <c r="E580" s="97"/>
      <c r="F580" s="485"/>
      <c r="G580" s="97"/>
      <c r="H580" s="561"/>
      <c r="I580" s="593"/>
      <c r="J580" s="560"/>
      <c r="K580" s="560"/>
      <c r="L580" s="560"/>
      <c r="M580" s="560"/>
      <c r="N580" s="560"/>
      <c r="O580" s="560"/>
      <c r="P580" s="560"/>
      <c r="Q580" s="560"/>
      <c r="R580" s="560"/>
      <c r="S580" s="603"/>
      <c r="T580" s="628"/>
      <c r="U580" s="629"/>
      <c r="V580" s="629"/>
      <c r="W580" s="629"/>
      <c r="X580" s="627"/>
      <c r="Y580" s="561" t="s">
        <v>549</v>
      </c>
      <c r="Z580" s="635">
        <f t="shared" si="508"/>
        <v>80</v>
      </c>
      <c r="AA580" s="646">
        <f t="shared" si="504"/>
        <v>0</v>
      </c>
      <c r="AB580" s="646">
        <f t="shared" si="505"/>
        <v>80</v>
      </c>
      <c r="AC580" s="646">
        <f t="shared" si="506"/>
        <v>0</v>
      </c>
      <c r="AD580" s="646">
        <f t="shared" si="507"/>
        <v>0</v>
      </c>
      <c r="AE580" s="857"/>
      <c r="AF580" s="561"/>
      <c r="AG580" s="561"/>
      <c r="AH580" s="561" t="str">
        <f>IFERROR(INDEX('Annex 2_Code'!$J$110:$J$122,MATCH('Annex 3_MAFF'!AF580,'Annex 2_Code'!$G$110:$G$122,0)),"")</f>
        <v/>
      </c>
    </row>
    <row r="581" spans="1:34">
      <c r="A581" s="102"/>
      <c r="B581" s="127"/>
      <c r="C581" s="82"/>
      <c r="D581" s="97"/>
      <c r="E581" s="97"/>
      <c r="F581" s="485"/>
      <c r="G581" s="97"/>
      <c r="H581" s="561"/>
      <c r="I581" s="593"/>
      <c r="J581" s="560"/>
      <c r="K581" s="560"/>
      <c r="L581" s="560"/>
      <c r="M581" s="560"/>
      <c r="N581" s="560"/>
      <c r="O581" s="560"/>
      <c r="P581" s="560"/>
      <c r="Q581" s="560"/>
      <c r="R581" s="560"/>
      <c r="S581" s="603"/>
      <c r="T581" s="628"/>
      <c r="U581" s="629"/>
      <c r="V581" s="629"/>
      <c r="W581" s="629"/>
      <c r="X581" s="627"/>
      <c r="Y581" s="561" t="s">
        <v>550</v>
      </c>
      <c r="Z581" s="635">
        <f t="shared" si="508"/>
        <v>35.200000000000003</v>
      </c>
      <c r="AA581" s="646">
        <f t="shared" si="504"/>
        <v>35.200000000000003</v>
      </c>
      <c r="AB581" s="646">
        <f t="shared" si="505"/>
        <v>0</v>
      </c>
      <c r="AC581" s="646">
        <f t="shared" si="506"/>
        <v>0</v>
      </c>
      <c r="AD581" s="646">
        <f t="shared" si="507"/>
        <v>0</v>
      </c>
      <c r="AE581" s="857"/>
      <c r="AF581" s="561"/>
      <c r="AG581" s="561"/>
      <c r="AH581" s="561" t="str">
        <f>IFERROR(INDEX('Annex 2_Code'!$J$110:$J$122,MATCH('Annex 3_MAFF'!AF581,'Annex 2_Code'!$G$110:$G$122,0)),"")</f>
        <v/>
      </c>
    </row>
    <row r="582" spans="1:34">
      <c r="A582" s="102"/>
      <c r="B582" s="127"/>
      <c r="C582" s="82"/>
      <c r="D582" s="97"/>
      <c r="E582" s="97"/>
      <c r="F582" s="485"/>
      <c r="G582" s="97"/>
      <c r="H582" s="561"/>
      <c r="I582" s="593"/>
      <c r="J582" s="560"/>
      <c r="K582" s="560"/>
      <c r="L582" s="560"/>
      <c r="M582" s="560"/>
      <c r="N582" s="560"/>
      <c r="O582" s="560"/>
      <c r="P582" s="560"/>
      <c r="Q582" s="560"/>
      <c r="R582" s="560"/>
      <c r="S582" s="603"/>
      <c r="T582" s="628"/>
      <c r="U582" s="629"/>
      <c r="V582" s="629"/>
      <c r="W582" s="629"/>
      <c r="X582" s="627"/>
      <c r="Y582" s="561" t="s">
        <v>551</v>
      </c>
      <c r="Z582" s="635">
        <f t="shared" si="508"/>
        <v>0</v>
      </c>
      <c r="AA582" s="646">
        <f t="shared" si="504"/>
        <v>0</v>
      </c>
      <c r="AB582" s="646">
        <f t="shared" si="505"/>
        <v>0</v>
      </c>
      <c r="AC582" s="646">
        <f t="shared" si="506"/>
        <v>0</v>
      </c>
      <c r="AD582" s="646">
        <f t="shared" si="507"/>
        <v>0</v>
      </c>
      <c r="AE582" s="857"/>
      <c r="AF582" s="561"/>
      <c r="AG582" s="561"/>
      <c r="AH582" s="561" t="str">
        <f>IFERROR(INDEX('Annex 2_Code'!$J$110:$J$122,MATCH('Annex 3_MAFF'!AF582,'Annex 2_Code'!$G$110:$G$122,0)),"")</f>
        <v/>
      </c>
    </row>
    <row r="583" spans="1:34">
      <c r="A583" s="102"/>
      <c r="B583" s="127"/>
      <c r="C583" s="82"/>
      <c r="D583" s="97"/>
      <c r="E583" s="97"/>
      <c r="F583" s="485"/>
      <c r="G583" s="97"/>
      <c r="H583" s="561"/>
      <c r="I583" s="593"/>
      <c r="J583" s="560"/>
      <c r="K583" s="560"/>
      <c r="L583" s="560"/>
      <c r="M583" s="560"/>
      <c r="N583" s="560"/>
      <c r="O583" s="560"/>
      <c r="P583" s="560"/>
      <c r="Q583" s="560"/>
      <c r="R583" s="560"/>
      <c r="S583" s="603"/>
      <c r="T583" s="628"/>
      <c r="U583" s="629"/>
      <c r="V583" s="629"/>
      <c r="W583" s="651" t="s">
        <v>294</v>
      </c>
      <c r="X583" s="653">
        <f>SUM(Z576:Z584)</f>
        <v>1112.95</v>
      </c>
      <c r="Y583" s="561" t="s">
        <v>552</v>
      </c>
      <c r="Z583" s="635">
        <f t="shared" si="508"/>
        <v>0</v>
      </c>
      <c r="AA583" s="646">
        <f t="shared" si="504"/>
        <v>0</v>
      </c>
      <c r="AB583" s="646">
        <f t="shared" si="505"/>
        <v>0</v>
      </c>
      <c r="AC583" s="646">
        <f t="shared" si="506"/>
        <v>0</v>
      </c>
      <c r="AD583" s="646">
        <f t="shared" si="507"/>
        <v>0</v>
      </c>
      <c r="AE583" s="857"/>
      <c r="AF583" s="561"/>
      <c r="AG583" s="561"/>
      <c r="AH583" s="561" t="str">
        <f>IFERROR(INDEX('Annex 2_Code'!$J$110:$J$122,MATCH('Annex 3_MAFF'!AF583,'Annex 2_Code'!$G$110:$G$122,0)),"")</f>
        <v/>
      </c>
    </row>
    <row r="584" spans="1:34">
      <c r="A584" s="102"/>
      <c r="B584" s="127"/>
      <c r="C584" s="82"/>
      <c r="D584" s="97"/>
      <c r="E584" s="97"/>
      <c r="F584" s="485"/>
      <c r="G584" s="97"/>
      <c r="H584" s="561"/>
      <c r="I584" s="593"/>
      <c r="J584" s="560"/>
      <c r="K584" s="560"/>
      <c r="L584" s="560"/>
      <c r="M584" s="560"/>
      <c r="N584" s="560"/>
      <c r="O584" s="560"/>
      <c r="P584" s="560"/>
      <c r="Q584" s="560"/>
      <c r="R584" s="560"/>
      <c r="S584" s="603"/>
      <c r="T584" s="628"/>
      <c r="U584" s="629"/>
      <c r="V584" s="629"/>
      <c r="W584" s="651" t="s">
        <v>58</v>
      </c>
      <c r="X584" s="627">
        <f>Z585</f>
        <v>126.12</v>
      </c>
      <c r="Y584" s="561" t="s">
        <v>553</v>
      </c>
      <c r="Z584" s="635">
        <f t="shared" si="508"/>
        <v>0</v>
      </c>
      <c r="AA584" s="646">
        <f t="shared" si="504"/>
        <v>0</v>
      </c>
      <c r="AB584" s="646">
        <f t="shared" si="505"/>
        <v>0</v>
      </c>
      <c r="AC584" s="646">
        <f t="shared" si="506"/>
        <v>0</v>
      </c>
      <c r="AD584" s="646">
        <f t="shared" si="507"/>
        <v>0</v>
      </c>
      <c r="AE584" s="857"/>
      <c r="AF584" s="561"/>
      <c r="AG584" s="561"/>
      <c r="AH584" s="561" t="str">
        <f>IFERROR(INDEX('Annex 2_Code'!$J$110:$J$122,MATCH('Annex 3_MAFF'!AF584,'Annex 2_Code'!$G$110:$G$122,0)),"")</f>
        <v/>
      </c>
    </row>
    <row r="585" spans="1:34">
      <c r="A585" s="102"/>
      <c r="B585" s="127"/>
      <c r="C585" s="82"/>
      <c r="D585" s="97"/>
      <c r="E585" s="97"/>
      <c r="F585" s="485"/>
      <c r="G585" s="97"/>
      <c r="H585" s="561"/>
      <c r="I585" s="593"/>
      <c r="J585" s="560"/>
      <c r="K585" s="560"/>
      <c r="L585" s="560"/>
      <c r="M585" s="560"/>
      <c r="N585" s="560"/>
      <c r="O585" s="560"/>
      <c r="P585" s="560"/>
      <c r="Q585" s="560"/>
      <c r="R585" s="560"/>
      <c r="S585" s="603"/>
      <c r="T585" s="628"/>
      <c r="U585" s="629"/>
      <c r="V585" s="629"/>
      <c r="W585" s="651" t="s">
        <v>261</v>
      </c>
      <c r="X585" s="627">
        <f>Z586</f>
        <v>753.83600000000001</v>
      </c>
      <c r="Y585" s="561" t="s">
        <v>58</v>
      </c>
      <c r="Z585" s="635">
        <f t="shared" si="508"/>
        <v>126.12</v>
      </c>
      <c r="AA585" s="646">
        <f t="shared" si="504"/>
        <v>30.53</v>
      </c>
      <c r="AB585" s="646">
        <f t="shared" si="505"/>
        <v>30.53</v>
      </c>
      <c r="AC585" s="646">
        <f t="shared" si="506"/>
        <v>34.53</v>
      </c>
      <c r="AD585" s="646">
        <f t="shared" si="507"/>
        <v>30.53</v>
      </c>
      <c r="AE585" s="857"/>
      <c r="AF585" s="561"/>
      <c r="AG585" s="561"/>
      <c r="AH585" s="561" t="str">
        <f>IFERROR(INDEX('Annex 2_Code'!$J$110:$J$122,MATCH('Annex 3_MAFF'!AF585,'Annex 2_Code'!$G$110:$G$122,0)),"")</f>
        <v/>
      </c>
    </row>
    <row r="586" spans="1:34">
      <c r="A586" s="102"/>
      <c r="B586" s="127"/>
      <c r="C586" s="82"/>
      <c r="D586" s="97"/>
      <c r="E586" s="97"/>
      <c r="F586" s="485"/>
      <c r="G586" s="97"/>
      <c r="H586" s="561"/>
      <c r="I586" s="593"/>
      <c r="J586" s="560"/>
      <c r="K586" s="560"/>
      <c r="L586" s="560"/>
      <c r="M586" s="560"/>
      <c r="N586" s="560"/>
      <c r="O586" s="560"/>
      <c r="P586" s="560"/>
      <c r="Q586" s="560"/>
      <c r="R586" s="560"/>
      <c r="S586" s="603"/>
      <c r="T586" s="628"/>
      <c r="U586" s="629"/>
      <c r="V586" s="629"/>
      <c r="W586" s="651" t="s">
        <v>57</v>
      </c>
      <c r="X586" s="886">
        <f>Z587</f>
        <v>1285.7000000000003</v>
      </c>
      <c r="Y586" s="561" t="s">
        <v>261</v>
      </c>
      <c r="Z586" s="635">
        <f t="shared" si="508"/>
        <v>753.83600000000001</v>
      </c>
      <c r="AA586" s="646">
        <f t="shared" si="504"/>
        <v>166.23399999999998</v>
      </c>
      <c r="AB586" s="646">
        <f t="shared" si="505"/>
        <v>346.73400000000004</v>
      </c>
      <c r="AC586" s="646">
        <f t="shared" si="506"/>
        <v>130.73399999999998</v>
      </c>
      <c r="AD586" s="646">
        <f t="shared" si="507"/>
        <v>110.13399999999999</v>
      </c>
      <c r="AE586" s="857"/>
      <c r="AF586" s="561"/>
      <c r="AG586" s="561"/>
      <c r="AH586" s="561" t="str">
        <f>IFERROR(INDEX('Annex 2_Code'!$J$110:$J$122,MATCH('Annex 3_MAFF'!AF586,'Annex 2_Code'!$G$110:$G$122,0)),"")</f>
        <v/>
      </c>
    </row>
    <row r="587" spans="1:34" ht="15" customHeight="1">
      <c r="A587" s="102"/>
      <c r="B587" s="127"/>
      <c r="C587" s="82"/>
      <c r="D587" s="97"/>
      <c r="E587" s="97"/>
      <c r="F587" s="485"/>
      <c r="G587" s="97"/>
      <c r="H587" s="561"/>
      <c r="I587" s="593"/>
      <c r="J587" s="560"/>
      <c r="K587" s="560"/>
      <c r="L587" s="560"/>
      <c r="M587" s="560"/>
      <c r="N587" s="560"/>
      <c r="O587" s="560"/>
      <c r="P587" s="560"/>
      <c r="Q587" s="560"/>
      <c r="R587" s="560"/>
      <c r="S587" s="603"/>
      <c r="T587" s="628"/>
      <c r="U587" s="629"/>
      <c r="V587" s="629"/>
      <c r="W587" s="629"/>
      <c r="X587" s="656">
        <f>SUM(X584:X586,X583,X574,X573,X566,X560)</f>
        <v>15995.239306666668</v>
      </c>
      <c r="Y587" s="561" t="s">
        <v>57</v>
      </c>
      <c r="Z587" s="635">
        <f t="shared" si="508"/>
        <v>1285.7000000000003</v>
      </c>
      <c r="AA587" s="646">
        <f t="shared" si="504"/>
        <v>17.05</v>
      </c>
      <c r="AB587" s="646">
        <f t="shared" si="505"/>
        <v>381.27000000000004</v>
      </c>
      <c r="AC587" s="646">
        <f t="shared" si="506"/>
        <v>436.03000000000009</v>
      </c>
      <c r="AD587" s="646">
        <f t="shared" si="507"/>
        <v>451.35000000000008</v>
      </c>
      <c r="AE587" s="1129"/>
      <c r="AF587" s="561"/>
      <c r="AG587" s="561"/>
      <c r="AH587" s="561" t="str">
        <f>IFERROR(INDEX('Annex 2_Code'!$J$110:$J$122,MATCH('Annex 3_MAFF'!AF587,'Annex 2_Code'!$G$110:$G$122,0)),"")</f>
        <v/>
      </c>
    </row>
    <row r="588" spans="1:34">
      <c r="A588" s="102"/>
      <c r="B588" s="127"/>
      <c r="C588" s="82"/>
      <c r="D588" s="97"/>
      <c r="E588" s="97"/>
      <c r="F588" s="485"/>
      <c r="G588" s="97"/>
      <c r="H588" s="561"/>
      <c r="I588" s="593"/>
      <c r="J588" s="560"/>
      <c r="K588" s="560"/>
      <c r="L588" s="560"/>
      <c r="M588" s="560"/>
      <c r="N588" s="560"/>
      <c r="O588" s="560"/>
      <c r="P588" s="560"/>
      <c r="Q588" s="560"/>
      <c r="R588" s="560"/>
      <c r="S588" s="603"/>
      <c r="T588" s="628"/>
      <c r="U588" s="629"/>
      <c r="V588" s="629"/>
      <c r="W588" s="629"/>
      <c r="X588" s="629"/>
      <c r="Y588" s="485"/>
      <c r="Z588" s="1009">
        <f>SUM(Z560:Z587)</f>
        <v>15995.239306666668</v>
      </c>
      <c r="AA588" s="657">
        <f>SUM(AA560:AA587)</f>
        <v>1241.4201249999999</v>
      </c>
      <c r="AB588" s="657">
        <f>SUM(AB560:AB587)</f>
        <v>5115.5561250000001</v>
      </c>
      <c r="AC588" s="657">
        <f>SUM(AC560:AC587)</f>
        <v>6015.2872749999997</v>
      </c>
      <c r="AD588" s="657">
        <f>SUM(AD560:AD587)</f>
        <v>3622.975781666667</v>
      </c>
      <c r="AE588" s="1025"/>
      <c r="AF588" s="561"/>
      <c r="AG588" s="561"/>
      <c r="AH588" s="561" t="str">
        <f>IFERROR(INDEX('Annex 2_Code'!$J$110:$J$122,MATCH('Annex 3_MAFF'!AF588,'Annex 2_Code'!$G$110:$G$122,0)),"")</f>
        <v/>
      </c>
    </row>
    <row r="589" spans="1:34">
      <c r="A589" s="102"/>
      <c r="B589" s="127"/>
      <c r="C589" s="82"/>
      <c r="D589" s="97"/>
      <c r="E589" s="97"/>
      <c r="F589" s="485"/>
      <c r="G589" s="97"/>
      <c r="H589" s="561"/>
      <c r="I589" s="593"/>
      <c r="J589" s="560"/>
      <c r="K589" s="560"/>
      <c r="L589" s="560"/>
      <c r="M589" s="560"/>
      <c r="N589" s="560"/>
      <c r="O589" s="560"/>
      <c r="P589" s="560"/>
      <c r="Q589" s="560"/>
      <c r="R589" s="560"/>
      <c r="S589" s="603"/>
      <c r="T589" s="628"/>
      <c r="U589" s="629"/>
      <c r="V589" s="629"/>
      <c r="W589" s="629"/>
      <c r="X589" s="629"/>
      <c r="Y589" s="485"/>
      <c r="Z589" s="485"/>
      <c r="AA589" s="1025">
        <f>O534</f>
        <v>1241.4201249999999</v>
      </c>
      <c r="AB589" s="1025">
        <f>P534</f>
        <v>5115.5561249999992</v>
      </c>
      <c r="AC589" s="1025">
        <f>Q534</f>
        <v>6015.2872750000006</v>
      </c>
      <c r="AD589" s="1025">
        <f>R534</f>
        <v>3622.9757816666661</v>
      </c>
      <c r="AE589" s="602"/>
      <c r="AF589" s="561"/>
      <c r="AG589" s="561"/>
      <c r="AH589" s="561" t="str">
        <f>IFERROR(INDEX('Annex 2_Code'!$J$110:$J$122,MATCH('Annex 3_MAFF'!AF589,'Annex 2_Code'!$G$110:$G$122,0)),"")</f>
        <v/>
      </c>
    </row>
    <row r="590" spans="1:34">
      <c r="A590" s="102"/>
      <c r="B590" s="127"/>
      <c r="C590" s="82"/>
      <c r="D590" s="97"/>
      <c r="E590" s="97"/>
      <c r="F590" s="485"/>
      <c r="G590" s="97"/>
      <c r="H590" s="561"/>
      <c r="I590" s="593"/>
      <c r="J590" s="560"/>
      <c r="K590" s="560"/>
      <c r="L590" s="560"/>
      <c r="M590" s="560"/>
      <c r="N590" s="560"/>
      <c r="O590" s="560"/>
      <c r="P590" s="560"/>
      <c r="Q590" s="560"/>
      <c r="R590" s="560"/>
      <c r="S590" s="603"/>
      <c r="T590" s="628"/>
      <c r="U590" s="629"/>
      <c r="V590" s="629"/>
      <c r="W590" s="629"/>
      <c r="X590" s="629"/>
      <c r="Y590" s="485"/>
      <c r="Z590" s="658">
        <f>S534-Z588</f>
        <v>0</v>
      </c>
      <c r="AA590" s="485"/>
      <c r="AB590" s="650">
        <f>AB589-AB588</f>
        <v>0</v>
      </c>
      <c r="AC590" s="650">
        <f>AC589-AC588</f>
        <v>0</v>
      </c>
      <c r="AD590" s="650">
        <f>AD589-AD588</f>
        <v>0</v>
      </c>
      <c r="AE590" s="602"/>
      <c r="AF590" s="561"/>
      <c r="AG590" s="561"/>
      <c r="AH590" s="561" t="str">
        <f>IFERROR(INDEX('Annex 2_Code'!$J$110:$J$122,MATCH('Annex 3_MAFF'!AF590,'Annex 2_Code'!$G$110:$G$122,0)),"")</f>
        <v/>
      </c>
    </row>
    <row r="591" spans="1:34">
      <c r="A591" s="102"/>
      <c r="B591" s="127"/>
      <c r="C591" s="82"/>
      <c r="D591" s="97"/>
      <c r="E591" s="97"/>
      <c r="F591" s="485"/>
      <c r="G591" s="97"/>
      <c r="H591" s="561"/>
      <c r="I591" s="593"/>
      <c r="J591" s="560"/>
      <c r="K591" s="560"/>
      <c r="L591" s="560"/>
      <c r="M591" s="560"/>
      <c r="N591" s="560"/>
      <c r="O591" s="560"/>
      <c r="P591" s="560"/>
      <c r="Q591" s="560"/>
      <c r="R591" s="560"/>
      <c r="S591" s="603"/>
      <c r="T591" s="628"/>
      <c r="U591" s="629"/>
      <c r="V591" s="629"/>
      <c r="W591" s="629"/>
      <c r="X591" s="629"/>
      <c r="Y591" s="485"/>
      <c r="Z591" s="485"/>
      <c r="AA591" s="485"/>
      <c r="AB591" s="485"/>
      <c r="AC591" s="485"/>
      <c r="AD591" s="602"/>
      <c r="AE591" s="602"/>
      <c r="AF591" s="561"/>
      <c r="AG591" s="561"/>
      <c r="AH591" s="561" t="str">
        <f>IFERROR(INDEX('Annex 2_Code'!$J$110:$J$122,MATCH('Annex 3_MAFF'!AF591,'Annex 2_Code'!$G$110:$G$122,0)),"")</f>
        <v/>
      </c>
    </row>
    <row r="592" spans="1:34">
      <c r="A592" s="102"/>
      <c r="B592" s="127"/>
      <c r="C592" s="82"/>
      <c r="D592" s="97"/>
      <c r="E592" s="97"/>
      <c r="F592" s="485"/>
      <c r="G592" s="97"/>
      <c r="H592" s="561"/>
      <c r="I592" s="593"/>
      <c r="J592" s="560"/>
      <c r="K592" s="560"/>
      <c r="L592" s="560"/>
      <c r="M592" s="560"/>
      <c r="N592" s="560"/>
      <c r="O592" s="560"/>
      <c r="P592" s="560"/>
      <c r="Q592" s="560"/>
      <c r="R592" s="560"/>
      <c r="S592" s="603"/>
      <c r="T592" s="628"/>
      <c r="U592" s="629"/>
      <c r="V592" s="629"/>
      <c r="W592" s="629"/>
      <c r="X592" s="629"/>
      <c r="Y592" s="485"/>
      <c r="Z592" s="485"/>
      <c r="AA592" s="485"/>
      <c r="AB592" s="485"/>
      <c r="AC592" s="485"/>
      <c r="AD592" s="602"/>
      <c r="AE592" s="602"/>
      <c r="AF592" s="561"/>
      <c r="AG592" s="561"/>
      <c r="AH592" s="561" t="str">
        <f>IFERROR(INDEX('Annex 2_Code'!$J$110:$J$122,MATCH('Annex 3_MAFF'!AF592,'Annex 2_Code'!$G$110:$G$122,0)),"")</f>
        <v/>
      </c>
    </row>
    <row r="593" spans="1:34">
      <c r="A593" s="102"/>
      <c r="B593" s="127"/>
      <c r="C593" s="82"/>
      <c r="D593" s="97"/>
      <c r="E593" s="97"/>
      <c r="F593" s="485"/>
      <c r="G593" s="97"/>
      <c r="H593" s="561"/>
      <c r="I593" s="593"/>
      <c r="J593" s="560"/>
      <c r="K593" s="560"/>
      <c r="L593" s="560"/>
      <c r="M593" s="560"/>
      <c r="N593" s="560"/>
      <c r="O593" s="560"/>
      <c r="P593" s="560"/>
      <c r="Q593" s="560"/>
      <c r="R593" s="560"/>
      <c r="S593" s="603"/>
      <c r="T593" s="628"/>
      <c r="U593" s="629"/>
      <c r="V593" s="629"/>
      <c r="W593" s="629"/>
      <c r="X593" s="629"/>
      <c r="Y593" s="485"/>
      <c r="Z593" s="485"/>
      <c r="AA593" s="485"/>
      <c r="AB593" s="485"/>
      <c r="AC593" s="485"/>
      <c r="AD593" s="602"/>
      <c r="AE593" s="602"/>
      <c r="AF593" s="561"/>
      <c r="AG593" s="561"/>
      <c r="AH593" s="561" t="str">
        <f>IFERROR(INDEX('Annex 2_Code'!$J$110:$J$122,MATCH('Annex 3_MAFF'!AF593,'Annex 2_Code'!$G$110:$G$122,0)),"")</f>
        <v/>
      </c>
    </row>
    <row r="594" spans="1:34">
      <c r="A594" s="102"/>
      <c r="B594" s="127"/>
      <c r="C594" s="82"/>
      <c r="D594" s="97"/>
      <c r="E594" s="97"/>
      <c r="F594" s="485"/>
      <c r="G594" s="97"/>
      <c r="H594" s="561"/>
      <c r="I594" s="593"/>
      <c r="J594" s="560"/>
      <c r="K594" s="560"/>
      <c r="L594" s="560"/>
      <c r="M594" s="560"/>
      <c r="N594" s="560"/>
      <c r="O594" s="560"/>
      <c r="P594" s="560"/>
      <c r="Q594" s="560"/>
      <c r="R594" s="560"/>
      <c r="S594" s="603"/>
      <c r="T594" s="628"/>
      <c r="U594" s="629"/>
      <c r="V594" s="629"/>
      <c r="W594" s="629"/>
      <c r="X594" s="629"/>
      <c r="Y594" s="485"/>
      <c r="Z594" s="485"/>
      <c r="AA594" s="485"/>
      <c r="AB594" s="485"/>
      <c r="AC594" s="485"/>
      <c r="AD594" s="602"/>
      <c r="AE594" s="602"/>
      <c r="AF594" s="561"/>
      <c r="AG594" s="561"/>
      <c r="AH594" s="561" t="str">
        <f>IFERROR(INDEX('Annex 2_Code'!$J$110:$J$122,MATCH('Annex 3_MAFF'!AF594,'Annex 2_Code'!$G$110:$G$122,0)),"")</f>
        <v/>
      </c>
    </row>
    <row r="595" spans="1:34">
      <c r="A595" s="102"/>
      <c r="B595" s="127"/>
      <c r="C595" s="82"/>
      <c r="D595" s="97"/>
      <c r="E595" s="97"/>
      <c r="F595" s="485"/>
      <c r="G595" s="97"/>
      <c r="H595" s="561"/>
      <c r="I595" s="593"/>
      <c r="J595" s="560"/>
      <c r="K595" s="560"/>
      <c r="L595" s="560"/>
      <c r="M595" s="560"/>
      <c r="N595" s="560"/>
      <c r="O595" s="560"/>
      <c r="P595" s="560"/>
      <c r="Q595" s="560"/>
      <c r="R595" s="560"/>
      <c r="S595" s="603"/>
      <c r="T595" s="628"/>
      <c r="U595" s="629"/>
      <c r="V595" s="629"/>
      <c r="W595" s="629"/>
      <c r="X595" s="629"/>
      <c r="Y595" s="485"/>
      <c r="Z595" s="485"/>
      <c r="AA595" s="485"/>
      <c r="AB595" s="485"/>
      <c r="AC595" s="485"/>
      <c r="AD595" s="602"/>
      <c r="AE595" s="602"/>
      <c r="AF595" s="561"/>
      <c r="AG595" s="561"/>
      <c r="AH595" s="561" t="str">
        <f>IFERROR(INDEX('Annex 2_Code'!$J$110:$J$122,MATCH('Annex 3_MAFF'!AF595,'Annex 2_Code'!$G$110:$G$122,0)),"")</f>
        <v/>
      </c>
    </row>
    <row r="596" spans="1:34">
      <c r="A596" s="102"/>
      <c r="B596" s="127"/>
      <c r="C596" s="82"/>
      <c r="D596" s="97"/>
      <c r="E596" s="97"/>
      <c r="F596" s="485"/>
      <c r="G596" s="97"/>
      <c r="H596" s="561"/>
      <c r="I596" s="593"/>
      <c r="J596" s="560"/>
      <c r="K596" s="560"/>
      <c r="L596" s="560"/>
      <c r="M596" s="560"/>
      <c r="N596" s="560"/>
      <c r="O596" s="560"/>
      <c r="P596" s="560"/>
      <c r="Q596" s="560"/>
      <c r="R596" s="560"/>
      <c r="S596" s="603"/>
      <c r="T596" s="628"/>
      <c r="U596" s="629"/>
      <c r="V596" s="629"/>
      <c r="W596" s="629"/>
      <c r="X596" s="629"/>
      <c r="Y596" s="485"/>
      <c r="Z596" s="485"/>
      <c r="AA596" s="485"/>
      <c r="AB596" s="485"/>
      <c r="AC596" s="485"/>
      <c r="AD596" s="602"/>
      <c r="AE596" s="602"/>
      <c r="AF596" s="561"/>
      <c r="AG596" s="561"/>
      <c r="AH596" s="561" t="str">
        <f>IFERROR(INDEX('Annex 2_Code'!$J$110:$J$122,MATCH('Annex 3_MAFF'!AF596,'Annex 2_Code'!$G$110:$G$122,0)),"")</f>
        <v/>
      </c>
    </row>
    <row r="597" spans="1:34">
      <c r="A597" s="102"/>
      <c r="B597" s="127"/>
      <c r="C597" s="82"/>
      <c r="D597" s="97"/>
      <c r="E597" s="97"/>
      <c r="F597" s="485"/>
      <c r="G597" s="97"/>
      <c r="H597" s="561"/>
      <c r="I597" s="593"/>
      <c r="J597" s="560"/>
      <c r="K597" s="560"/>
      <c r="L597" s="560"/>
      <c r="M597" s="560"/>
      <c r="N597" s="560"/>
      <c r="O597" s="560"/>
      <c r="P597" s="560"/>
      <c r="Q597" s="560"/>
      <c r="R597" s="560"/>
      <c r="S597" s="603"/>
      <c r="T597" s="628"/>
      <c r="U597" s="629"/>
      <c r="V597" s="629"/>
      <c r="W597" s="629"/>
      <c r="X597" s="629"/>
      <c r="Y597" s="485"/>
      <c r="Z597" s="485"/>
      <c r="AA597" s="485"/>
      <c r="AB597" s="485"/>
      <c r="AC597" s="485"/>
      <c r="AD597" s="602"/>
      <c r="AE597" s="602"/>
      <c r="AF597" s="561"/>
      <c r="AG597" s="561"/>
      <c r="AH597" s="561" t="str">
        <f>IFERROR(INDEX('Annex 2_Code'!$J$110:$J$122,MATCH('Annex 3_MAFF'!AF597,'Annex 2_Code'!$G$110:$G$122,0)),"")</f>
        <v/>
      </c>
    </row>
    <row r="598" spans="1:34">
      <c r="A598" s="102"/>
      <c r="B598" s="127"/>
      <c r="C598" s="82"/>
      <c r="D598" s="97"/>
      <c r="E598" s="97"/>
      <c r="F598" s="485"/>
      <c r="G598" s="97"/>
      <c r="H598" s="561"/>
      <c r="I598" s="593"/>
      <c r="J598" s="560"/>
      <c r="K598" s="560"/>
      <c r="L598" s="560"/>
      <c r="M598" s="560"/>
      <c r="N598" s="560"/>
      <c r="O598" s="560"/>
      <c r="P598" s="560"/>
      <c r="Q598" s="560"/>
      <c r="R598" s="560"/>
      <c r="S598" s="603"/>
      <c r="T598" s="628"/>
      <c r="U598" s="629"/>
      <c r="V598" s="629"/>
      <c r="W598" s="629"/>
      <c r="X598" s="629"/>
      <c r="Y598" s="485"/>
      <c r="Z598" s="485"/>
      <c r="AA598" s="485"/>
      <c r="AB598" s="485"/>
      <c r="AC598" s="485"/>
      <c r="AD598" s="602"/>
      <c r="AE598" s="602"/>
      <c r="AF598" s="561"/>
      <c r="AG598" s="561"/>
      <c r="AH598" s="561" t="str">
        <f>IFERROR(INDEX('Annex 2_Code'!$J$110:$J$122,MATCH('Annex 3_MAFF'!AF598,'Annex 2_Code'!$G$110:$G$122,0)),"")</f>
        <v/>
      </c>
    </row>
    <row r="599" spans="1:34">
      <c r="A599" s="102"/>
      <c r="B599" s="127"/>
      <c r="C599" s="82"/>
      <c r="D599" s="97"/>
      <c r="E599" s="97"/>
      <c r="F599" s="485"/>
      <c r="G599" s="97"/>
      <c r="H599" s="561"/>
      <c r="I599" s="593"/>
      <c r="J599" s="560"/>
      <c r="K599" s="560"/>
      <c r="L599" s="560"/>
      <c r="M599" s="560"/>
      <c r="N599" s="560"/>
      <c r="O599" s="560"/>
      <c r="P599" s="560"/>
      <c r="Q599" s="560"/>
      <c r="R599" s="560"/>
      <c r="S599" s="603"/>
      <c r="T599" s="628"/>
      <c r="U599" s="629"/>
      <c r="V599" s="629"/>
      <c r="W599" s="629"/>
      <c r="X599" s="629"/>
      <c r="Y599" s="485"/>
      <c r="Z599" s="485"/>
      <c r="AA599" s="485"/>
      <c r="AB599" s="485"/>
      <c r="AC599" s="485"/>
      <c r="AD599" s="602"/>
      <c r="AE599" s="602"/>
      <c r="AF599" s="561"/>
      <c r="AG599" s="561"/>
      <c r="AH599" s="561" t="str">
        <f>IFERROR(INDEX('Annex 2_Code'!$J$110:$J$122,MATCH('Annex 3_MAFF'!AF599,'Annex 2_Code'!$G$110:$G$122,0)),"")</f>
        <v/>
      </c>
    </row>
    <row r="600" spans="1:34">
      <c r="A600" s="102"/>
      <c r="B600" s="127"/>
      <c r="C600" s="82"/>
      <c r="D600" s="97"/>
      <c r="E600" s="97"/>
      <c r="F600" s="485"/>
      <c r="G600" s="97"/>
      <c r="H600" s="561"/>
      <c r="I600" s="593"/>
      <c r="J600" s="560"/>
      <c r="K600" s="560"/>
      <c r="L600" s="560"/>
      <c r="M600" s="560"/>
      <c r="N600" s="560"/>
      <c r="O600" s="560"/>
      <c r="P600" s="560"/>
      <c r="Q600" s="560"/>
      <c r="R600" s="560"/>
      <c r="S600" s="603"/>
      <c r="T600" s="628"/>
      <c r="U600" s="629"/>
      <c r="V600" s="629"/>
      <c r="W600" s="629"/>
      <c r="X600" s="629"/>
      <c r="Y600" s="485"/>
      <c r="Z600" s="485"/>
      <c r="AA600" s="485"/>
      <c r="AB600" s="485"/>
      <c r="AC600" s="485"/>
      <c r="AD600" s="602"/>
      <c r="AE600" s="602"/>
      <c r="AF600" s="561"/>
      <c r="AG600" s="561"/>
      <c r="AH600" s="561" t="str">
        <f>IFERROR(INDEX('Annex 2_Code'!$J$110:$J$122,MATCH('Annex 3_MAFF'!AF600,'Annex 2_Code'!$G$110:$G$122,0)),"")</f>
        <v/>
      </c>
    </row>
    <row r="601" spans="1:34">
      <c r="A601" s="102"/>
      <c r="B601" s="127"/>
      <c r="C601" s="82"/>
      <c r="D601" s="97"/>
      <c r="E601" s="97"/>
      <c r="F601" s="485"/>
      <c r="G601" s="97"/>
      <c r="H601" s="561"/>
      <c r="I601" s="593"/>
      <c r="J601" s="560"/>
      <c r="K601" s="560"/>
      <c r="L601" s="560"/>
      <c r="M601" s="560"/>
      <c r="N601" s="560"/>
      <c r="O601" s="560"/>
      <c r="P601" s="560"/>
      <c r="Q601" s="560"/>
      <c r="R601" s="560"/>
      <c r="S601" s="603"/>
      <c r="T601" s="628"/>
      <c r="U601" s="629"/>
      <c r="V601" s="629"/>
      <c r="W601" s="629"/>
      <c r="X601" s="629"/>
      <c r="Y601" s="485"/>
      <c r="Z601" s="485"/>
      <c r="AA601" s="485"/>
      <c r="AB601" s="485"/>
      <c r="AC601" s="485"/>
      <c r="AD601" s="602"/>
      <c r="AE601" s="602"/>
      <c r="AF601" s="561"/>
      <c r="AG601" s="561"/>
      <c r="AH601" s="561" t="str">
        <f>IFERROR(INDEX('Annex 2_Code'!$J$110:$J$122,MATCH('Annex 3_MAFF'!AF601,'Annex 2_Code'!$G$110:$G$122,0)),"")</f>
        <v/>
      </c>
    </row>
    <row r="602" spans="1:34">
      <c r="A602" s="102"/>
      <c r="B602" s="127"/>
      <c r="C602" s="82"/>
      <c r="D602" s="97"/>
      <c r="E602" s="97"/>
      <c r="F602" s="485"/>
      <c r="G602" s="97"/>
      <c r="H602" s="561"/>
      <c r="I602" s="593"/>
      <c r="J602" s="560"/>
      <c r="K602" s="560"/>
      <c r="L602" s="560"/>
      <c r="M602" s="560"/>
      <c r="N602" s="560"/>
      <c r="O602" s="560"/>
      <c r="P602" s="560"/>
      <c r="Q602" s="560"/>
      <c r="R602" s="560"/>
      <c r="S602" s="603"/>
      <c r="T602" s="628"/>
      <c r="U602" s="629"/>
      <c r="V602" s="629"/>
      <c r="W602" s="629"/>
      <c r="X602" s="629"/>
      <c r="Y602" s="485"/>
      <c r="Z602" s="485"/>
      <c r="AA602" s="485"/>
      <c r="AB602" s="485"/>
      <c r="AC602" s="485"/>
      <c r="AD602" s="602"/>
      <c r="AE602" s="602"/>
      <c r="AF602" s="561"/>
      <c r="AG602" s="561"/>
      <c r="AH602" s="561" t="str">
        <f>IFERROR(INDEX('Annex 2_Code'!$J$110:$J$122,MATCH('Annex 3_MAFF'!AF602,'Annex 2_Code'!$G$110:$G$122,0)),"")</f>
        <v/>
      </c>
    </row>
    <row r="603" spans="1:34">
      <c r="A603" s="102"/>
      <c r="B603" s="127"/>
      <c r="C603" s="82"/>
      <c r="D603" s="97"/>
      <c r="E603" s="97"/>
      <c r="F603" s="485"/>
      <c r="G603" s="97"/>
      <c r="H603" s="561"/>
      <c r="I603" s="593"/>
      <c r="J603" s="560"/>
      <c r="K603" s="560"/>
      <c r="L603" s="560"/>
      <c r="M603" s="560"/>
      <c r="N603" s="560"/>
      <c r="O603" s="560"/>
      <c r="P603" s="560"/>
      <c r="Q603" s="560"/>
      <c r="R603" s="560"/>
      <c r="S603" s="603"/>
      <c r="T603" s="628"/>
      <c r="U603" s="629"/>
      <c r="V603" s="629"/>
      <c r="W603" s="629"/>
      <c r="X603" s="629"/>
      <c r="Y603" s="485"/>
      <c r="Z603" s="485"/>
      <c r="AA603" s="485"/>
      <c r="AB603" s="485"/>
      <c r="AC603" s="485"/>
      <c r="AD603" s="602"/>
      <c r="AE603" s="602"/>
      <c r="AF603" s="561"/>
      <c r="AG603" s="561"/>
      <c r="AH603" s="561" t="str">
        <f>IFERROR(INDEX('Annex 2_Code'!$J$110:$J$122,MATCH('Annex 3_MAFF'!AF603,'Annex 2_Code'!$G$110:$G$122,0)),"")</f>
        <v/>
      </c>
    </row>
    <row r="604" spans="1:34">
      <c r="A604" s="102"/>
      <c r="B604" s="127"/>
      <c r="C604" s="82"/>
      <c r="D604" s="97"/>
      <c r="E604" s="97"/>
      <c r="F604" s="485"/>
      <c r="G604" s="97"/>
      <c r="H604" s="561"/>
      <c r="I604" s="593"/>
      <c r="J604" s="560"/>
      <c r="K604" s="560"/>
      <c r="L604" s="560"/>
      <c r="M604" s="560"/>
      <c r="N604" s="560"/>
      <c r="O604" s="560"/>
      <c r="P604" s="560"/>
      <c r="Q604" s="560"/>
      <c r="R604" s="560"/>
      <c r="S604" s="603"/>
      <c r="T604" s="628"/>
      <c r="U604" s="629"/>
      <c r="V604" s="629"/>
      <c r="W604" s="629"/>
      <c r="X604" s="629"/>
      <c r="Y604" s="485"/>
      <c r="Z604" s="485"/>
      <c r="AA604" s="485"/>
      <c r="AB604" s="485"/>
      <c r="AC604" s="485"/>
      <c r="AD604" s="602"/>
      <c r="AE604" s="602"/>
      <c r="AF604" s="561"/>
      <c r="AG604" s="561"/>
      <c r="AH604" s="561" t="str">
        <f>IFERROR(INDEX('Annex 2_Code'!$J$110:$J$122,MATCH('Annex 3_MAFF'!AF604,'Annex 2_Code'!$G$110:$G$122,0)),"")</f>
        <v/>
      </c>
    </row>
    <row r="605" spans="1:34">
      <c r="A605" s="102"/>
      <c r="B605" s="127"/>
      <c r="C605" s="82"/>
      <c r="D605" s="97"/>
      <c r="E605" s="97"/>
      <c r="F605" s="485"/>
      <c r="G605" s="97"/>
      <c r="H605" s="561"/>
      <c r="I605" s="593"/>
      <c r="J605" s="560"/>
      <c r="K605" s="560"/>
      <c r="L605" s="560"/>
      <c r="M605" s="560"/>
      <c r="N605" s="560"/>
      <c r="O605" s="560"/>
      <c r="P605" s="560"/>
      <c r="Q605" s="560"/>
      <c r="R605" s="560"/>
      <c r="S605" s="603"/>
      <c r="T605" s="628"/>
      <c r="U605" s="629"/>
      <c r="V605" s="629"/>
      <c r="W605" s="629"/>
      <c r="X605" s="629"/>
      <c r="Y605" s="485"/>
      <c r="Z605" s="485"/>
      <c r="AA605" s="485"/>
      <c r="AB605" s="485"/>
      <c r="AC605" s="485"/>
      <c r="AD605" s="602"/>
      <c r="AE605" s="602"/>
      <c r="AF605" s="561"/>
      <c r="AG605" s="561"/>
      <c r="AH605" s="561" t="str">
        <f>IFERROR(INDEX('Annex 2_Code'!$J$110:$J$122,MATCH('Annex 3_MAFF'!AF605,'Annex 2_Code'!$G$110:$G$122,0)),"")</f>
        <v/>
      </c>
    </row>
    <row r="606" spans="1:34">
      <c r="A606" s="102"/>
      <c r="B606" s="127"/>
      <c r="C606" s="82"/>
      <c r="D606" s="97"/>
      <c r="E606" s="97"/>
      <c r="F606" s="485"/>
      <c r="G606" s="97"/>
      <c r="H606" s="561"/>
      <c r="I606" s="593"/>
      <c r="J606" s="560"/>
      <c r="K606" s="560"/>
      <c r="L606" s="560"/>
      <c r="M606" s="560"/>
      <c r="N606" s="560"/>
      <c r="O606" s="560"/>
      <c r="P606" s="560"/>
      <c r="Q606" s="560"/>
      <c r="R606" s="560"/>
      <c r="S606" s="603"/>
      <c r="T606" s="628"/>
      <c r="U606" s="629"/>
      <c r="V606" s="629"/>
      <c r="W606" s="629"/>
      <c r="X606" s="629"/>
      <c r="Y606" s="485"/>
      <c r="Z606" s="485"/>
      <c r="AA606" s="485"/>
      <c r="AB606" s="485"/>
      <c r="AC606" s="485"/>
      <c r="AD606" s="602"/>
      <c r="AE606" s="602"/>
      <c r="AF606" s="561"/>
      <c r="AG606" s="561"/>
      <c r="AH606" s="561" t="str">
        <f>IFERROR(INDEX('Annex 2_Code'!$J$110:$J$122,MATCH('Annex 3_MAFF'!AF606,'Annex 2_Code'!$G$110:$G$122,0)),"")</f>
        <v/>
      </c>
    </row>
    <row r="607" spans="1:34">
      <c r="A607" s="102"/>
      <c r="B607" s="127"/>
      <c r="C607" s="82"/>
      <c r="D607" s="97"/>
      <c r="E607" s="97"/>
      <c r="F607" s="485"/>
      <c r="G607" s="97"/>
      <c r="H607" s="561"/>
      <c r="I607" s="593"/>
      <c r="J607" s="560"/>
      <c r="K607" s="560"/>
      <c r="L607" s="560"/>
      <c r="M607" s="560"/>
      <c r="N607" s="560"/>
      <c r="O607" s="560"/>
      <c r="P607" s="560"/>
      <c r="Q607" s="560"/>
      <c r="R607" s="560"/>
      <c r="S607" s="603"/>
      <c r="T607" s="628"/>
      <c r="U607" s="629"/>
      <c r="V607" s="629"/>
      <c r="W607" s="629"/>
      <c r="X607" s="629"/>
      <c r="Y607" s="485"/>
      <c r="Z607" s="485"/>
      <c r="AA607" s="485"/>
      <c r="AB607" s="485"/>
      <c r="AC607" s="485"/>
      <c r="AD607" s="602"/>
      <c r="AE607" s="602"/>
      <c r="AF607" s="561"/>
      <c r="AG607" s="561"/>
      <c r="AH607" s="561" t="str">
        <f>IFERROR(INDEX('Annex 2_Code'!$J$110:$J$122,MATCH('Annex 3_MAFF'!AF607,'Annex 2_Code'!$G$110:$G$122,0)),"")</f>
        <v/>
      </c>
    </row>
    <row r="608" spans="1:34">
      <c r="A608" s="102"/>
      <c r="B608" s="127"/>
      <c r="C608" s="82"/>
      <c r="D608" s="97"/>
      <c r="E608" s="97"/>
      <c r="F608" s="485"/>
      <c r="G608" s="97"/>
      <c r="H608" s="561"/>
      <c r="I608" s="593"/>
      <c r="J608" s="560"/>
      <c r="K608" s="560"/>
      <c r="L608" s="560"/>
      <c r="M608" s="560"/>
      <c r="N608" s="560"/>
      <c r="O608" s="560"/>
      <c r="P608" s="560"/>
      <c r="Q608" s="560"/>
      <c r="R608" s="560"/>
      <c r="S608" s="603"/>
      <c r="T608" s="628"/>
      <c r="U608" s="629"/>
      <c r="V608" s="629"/>
      <c r="W608" s="629"/>
      <c r="X608" s="629"/>
      <c r="Y608" s="485"/>
      <c r="Z608" s="485"/>
      <c r="AA608" s="485"/>
      <c r="AB608" s="485"/>
      <c r="AC608" s="485"/>
      <c r="AD608" s="602"/>
      <c r="AE608" s="602"/>
      <c r="AF608" s="561"/>
      <c r="AG608" s="561"/>
      <c r="AH608" s="561" t="str">
        <f>IFERROR(INDEX('Annex 2_Code'!$J$110:$J$122,MATCH('Annex 3_MAFF'!AF608,'Annex 2_Code'!$G$110:$G$122,0)),"")</f>
        <v/>
      </c>
    </row>
    <row r="609" spans="1:34">
      <c r="A609" s="102"/>
      <c r="B609" s="127"/>
      <c r="C609" s="82"/>
      <c r="D609" s="97"/>
      <c r="E609" s="97"/>
      <c r="F609" s="485"/>
      <c r="G609" s="97"/>
      <c r="H609" s="561"/>
      <c r="I609" s="593"/>
      <c r="J609" s="560"/>
      <c r="K609" s="560"/>
      <c r="L609" s="560"/>
      <c r="M609" s="560"/>
      <c r="N609" s="560"/>
      <c r="O609" s="560"/>
      <c r="P609" s="560"/>
      <c r="Q609" s="560"/>
      <c r="R609" s="560"/>
      <c r="S609" s="603"/>
      <c r="T609" s="628"/>
      <c r="U609" s="629"/>
      <c r="V609" s="629"/>
      <c r="W609" s="629"/>
      <c r="X609" s="629"/>
      <c r="Y609" s="485"/>
      <c r="Z609" s="485"/>
      <c r="AA609" s="485"/>
      <c r="AB609" s="485"/>
      <c r="AC609" s="485"/>
      <c r="AD609" s="602"/>
      <c r="AE609" s="602"/>
      <c r="AF609" s="561"/>
      <c r="AG609" s="561"/>
      <c r="AH609" s="561" t="str">
        <f>IFERROR(INDEX('Annex 2_Code'!$J$110:$J$122,MATCH('Annex 3_MAFF'!AF609,'Annex 2_Code'!$G$110:$G$122,0)),"")</f>
        <v/>
      </c>
    </row>
    <row r="610" spans="1:34">
      <c r="A610" s="102"/>
      <c r="B610" s="127"/>
      <c r="C610" s="82"/>
      <c r="D610" s="97"/>
      <c r="E610" s="97"/>
      <c r="F610" s="485"/>
      <c r="G610" s="97"/>
      <c r="H610" s="561"/>
      <c r="I610" s="593"/>
      <c r="J610" s="560"/>
      <c r="K610" s="560"/>
      <c r="L610" s="560"/>
      <c r="M610" s="560"/>
      <c r="N610" s="560"/>
      <c r="O610" s="560"/>
      <c r="P610" s="560"/>
      <c r="Q610" s="560"/>
      <c r="R610" s="560"/>
      <c r="S610" s="603"/>
      <c r="T610" s="628"/>
      <c r="U610" s="629"/>
      <c r="V610" s="629"/>
      <c r="W610" s="629"/>
      <c r="X610" s="629"/>
      <c r="Y610" s="485"/>
      <c r="Z610" s="485"/>
      <c r="AA610" s="485"/>
      <c r="AB610" s="485"/>
      <c r="AC610" s="485"/>
      <c r="AD610" s="602"/>
      <c r="AE610" s="602"/>
      <c r="AF610" s="561"/>
      <c r="AG610" s="561"/>
      <c r="AH610" s="561" t="str">
        <f>IFERROR(INDEX('Annex 2_Code'!$J$110:$J$122,MATCH('Annex 3_MAFF'!AF610,'Annex 2_Code'!$G$110:$G$122,0)),"")</f>
        <v/>
      </c>
    </row>
    <row r="611" spans="1:34">
      <c r="A611" s="102"/>
      <c r="B611" s="127"/>
      <c r="C611" s="82"/>
      <c r="D611" s="97"/>
      <c r="E611" s="97"/>
      <c r="F611" s="485"/>
      <c r="G611" s="97"/>
      <c r="H611" s="561"/>
      <c r="I611" s="593"/>
      <c r="J611" s="560"/>
      <c r="K611" s="560"/>
      <c r="L611" s="560"/>
      <c r="M611" s="560"/>
      <c r="N611" s="560"/>
      <c r="O611" s="560"/>
      <c r="P611" s="560"/>
      <c r="Q611" s="560"/>
      <c r="R611" s="560"/>
      <c r="S611" s="603"/>
      <c r="T611" s="628"/>
      <c r="U611" s="629"/>
      <c r="V611" s="629"/>
      <c r="W611" s="629"/>
      <c r="X611" s="629"/>
      <c r="Y611" s="485"/>
      <c r="Z611" s="485"/>
      <c r="AA611" s="485"/>
      <c r="AB611" s="485"/>
      <c r="AC611" s="485"/>
      <c r="AD611" s="602"/>
      <c r="AE611" s="602"/>
      <c r="AF611" s="561"/>
      <c r="AG611" s="561"/>
      <c r="AH611" s="561" t="str">
        <f>IFERROR(INDEX('Annex 2_Code'!$J$110:$J$122,MATCH('Annex 3_MAFF'!AF611,'Annex 2_Code'!$G$110:$G$122,0)),"")</f>
        <v/>
      </c>
    </row>
    <row r="612" spans="1:34">
      <c r="A612" s="102"/>
      <c r="B612" s="127"/>
      <c r="C612" s="82"/>
      <c r="D612" s="97"/>
      <c r="E612" s="97"/>
      <c r="F612" s="485"/>
      <c r="G612" s="97"/>
      <c r="H612" s="561"/>
      <c r="I612" s="593"/>
      <c r="J612" s="560"/>
      <c r="K612" s="560"/>
      <c r="L612" s="560"/>
      <c r="M612" s="560"/>
      <c r="N612" s="560"/>
      <c r="O612" s="560"/>
      <c r="P612" s="560"/>
      <c r="Q612" s="560"/>
      <c r="R612" s="560"/>
      <c r="S612" s="603"/>
      <c r="T612" s="628"/>
      <c r="U612" s="629"/>
      <c r="V612" s="629"/>
      <c r="W612" s="629"/>
      <c r="X612" s="629"/>
      <c r="Y612" s="485"/>
      <c r="Z612" s="485"/>
      <c r="AA612" s="485"/>
      <c r="AB612" s="485"/>
      <c r="AC612" s="485"/>
      <c r="AD612" s="602"/>
      <c r="AE612" s="602"/>
      <c r="AF612" s="561"/>
      <c r="AG612" s="561"/>
      <c r="AH612" s="561" t="str">
        <f>IFERROR(INDEX('Annex 2_Code'!$J$110:$J$122,MATCH('Annex 3_MAFF'!AF612,'Annex 2_Code'!$G$110:$G$122,0)),"")</f>
        <v/>
      </c>
    </row>
    <row r="613" spans="1:34">
      <c r="A613" s="102"/>
      <c r="B613" s="127"/>
      <c r="C613" s="82"/>
      <c r="D613" s="97"/>
      <c r="E613" s="97"/>
      <c r="F613" s="485"/>
      <c r="G613" s="97"/>
      <c r="H613" s="561"/>
      <c r="I613" s="593"/>
      <c r="J613" s="560"/>
      <c r="K613" s="560"/>
      <c r="L613" s="560"/>
      <c r="M613" s="560"/>
      <c r="N613" s="560"/>
      <c r="O613" s="560"/>
      <c r="P613" s="560"/>
      <c r="Q613" s="560"/>
      <c r="R613" s="560"/>
      <c r="S613" s="603"/>
      <c r="T613" s="628"/>
      <c r="U613" s="629"/>
      <c r="V613" s="629"/>
      <c r="W613" s="629"/>
      <c r="X613" s="629"/>
      <c r="Y613" s="485"/>
      <c r="Z613" s="485"/>
      <c r="AA613" s="485"/>
      <c r="AB613" s="485"/>
      <c r="AC613" s="485"/>
      <c r="AD613" s="602"/>
      <c r="AE613" s="602"/>
      <c r="AF613" s="561"/>
      <c r="AG613" s="561"/>
      <c r="AH613" s="561" t="str">
        <f>IFERROR(INDEX('Annex 2_Code'!$J$110:$J$122,MATCH('Annex 3_MAFF'!AF613,'Annex 2_Code'!$G$110:$G$122,0)),"")</f>
        <v/>
      </c>
    </row>
    <row r="614" spans="1:34">
      <c r="A614" s="102"/>
      <c r="B614" s="127"/>
      <c r="C614" s="82"/>
      <c r="D614" s="97"/>
      <c r="E614" s="97"/>
      <c r="F614" s="485"/>
      <c r="G614" s="97"/>
      <c r="H614" s="561"/>
      <c r="I614" s="593"/>
      <c r="J614" s="560"/>
      <c r="K614" s="560"/>
      <c r="L614" s="560"/>
      <c r="M614" s="560"/>
      <c r="N614" s="560"/>
      <c r="O614" s="560"/>
      <c r="P614" s="560"/>
      <c r="Q614" s="560"/>
      <c r="R614" s="560"/>
      <c r="S614" s="603"/>
      <c r="T614" s="628"/>
      <c r="U614" s="629"/>
      <c r="V614" s="629"/>
      <c r="W614" s="629"/>
      <c r="X614" s="629"/>
      <c r="Y614" s="485"/>
      <c r="Z614" s="485"/>
      <c r="AA614" s="485"/>
      <c r="AB614" s="485"/>
      <c r="AC614" s="485"/>
      <c r="AD614" s="602"/>
      <c r="AE614" s="602"/>
      <c r="AF614" s="561"/>
      <c r="AG614" s="561"/>
      <c r="AH614" s="561" t="str">
        <f>IFERROR(INDEX('Annex 2_Code'!$J$110:$J$122,MATCH('Annex 3_MAFF'!AF614,'Annex 2_Code'!$G$110:$G$122,0)),"")</f>
        <v/>
      </c>
    </row>
    <row r="615" spans="1:34">
      <c r="A615" s="102"/>
      <c r="B615" s="127"/>
      <c r="C615" s="82"/>
      <c r="D615" s="97"/>
      <c r="E615" s="97"/>
      <c r="F615" s="485"/>
      <c r="G615" s="97"/>
      <c r="H615" s="561"/>
      <c r="I615" s="593"/>
      <c r="J615" s="560"/>
      <c r="K615" s="560"/>
      <c r="L615" s="560"/>
      <c r="M615" s="560"/>
      <c r="N615" s="560"/>
      <c r="O615" s="560"/>
      <c r="P615" s="560"/>
      <c r="Q615" s="560"/>
      <c r="R615" s="560"/>
      <c r="S615" s="603"/>
      <c r="T615" s="628"/>
      <c r="U615" s="629"/>
      <c r="V615" s="629"/>
      <c r="W615" s="629"/>
      <c r="X615" s="629"/>
      <c r="Y615" s="485"/>
      <c r="Z615" s="485"/>
      <c r="AA615" s="485"/>
      <c r="AB615" s="485"/>
      <c r="AC615" s="485"/>
      <c r="AD615" s="602"/>
      <c r="AE615" s="602"/>
      <c r="AF615" s="561"/>
      <c r="AG615" s="561"/>
      <c r="AH615" s="561" t="str">
        <f>IFERROR(INDEX('Annex 2_Code'!$J$110:$J$122,MATCH('Annex 3_MAFF'!AF615,'Annex 2_Code'!$G$110:$G$122,0)),"")</f>
        <v/>
      </c>
    </row>
    <row r="616" spans="1:34">
      <c r="A616" s="102"/>
      <c r="B616" s="127"/>
      <c r="C616" s="82"/>
      <c r="D616" s="97"/>
      <c r="E616" s="97"/>
      <c r="F616" s="485"/>
      <c r="G616" s="97"/>
      <c r="H616" s="561"/>
      <c r="I616" s="593"/>
      <c r="J616" s="560"/>
      <c r="K616" s="560"/>
      <c r="L616" s="560"/>
      <c r="M616" s="560"/>
      <c r="N616" s="560"/>
      <c r="O616" s="560"/>
      <c r="P616" s="560"/>
      <c r="Q616" s="560"/>
      <c r="R616" s="560"/>
      <c r="S616" s="603"/>
      <c r="T616" s="628"/>
      <c r="U616" s="629"/>
      <c r="V616" s="629"/>
      <c r="W616" s="629"/>
      <c r="X616" s="629"/>
      <c r="Y616" s="485"/>
      <c r="Z616" s="485"/>
      <c r="AA616" s="485"/>
      <c r="AB616" s="485"/>
      <c r="AC616" s="485"/>
      <c r="AD616" s="602"/>
      <c r="AE616" s="602"/>
      <c r="AF616" s="561"/>
      <c r="AG616" s="561"/>
      <c r="AH616" s="561" t="str">
        <f>IFERROR(INDEX('Annex 2_Code'!$J$110:$J$122,MATCH('Annex 3_MAFF'!AF616,'Annex 2_Code'!$G$110:$G$122,0)),"")</f>
        <v/>
      </c>
    </row>
    <row r="617" spans="1:34">
      <c r="A617" s="102"/>
      <c r="B617" s="127"/>
      <c r="C617" s="82"/>
      <c r="D617" s="97"/>
      <c r="E617" s="97"/>
      <c r="F617" s="485"/>
      <c r="G617" s="97"/>
      <c r="H617" s="561"/>
      <c r="I617" s="593"/>
      <c r="J617" s="560"/>
      <c r="K617" s="560"/>
      <c r="L617" s="560"/>
      <c r="M617" s="560"/>
      <c r="N617" s="560"/>
      <c r="O617" s="560"/>
      <c r="P617" s="560"/>
      <c r="Q617" s="560"/>
      <c r="R617" s="560"/>
      <c r="S617" s="603"/>
      <c r="T617" s="628"/>
      <c r="U617" s="629"/>
      <c r="V617" s="629"/>
      <c r="W617" s="629"/>
      <c r="X617" s="629"/>
      <c r="Y617" s="485"/>
      <c r="Z617" s="485"/>
      <c r="AA617" s="485"/>
      <c r="AB617" s="485"/>
      <c r="AC617" s="485"/>
      <c r="AD617" s="602"/>
      <c r="AE617" s="602"/>
      <c r="AF617" s="561"/>
      <c r="AG617" s="561"/>
      <c r="AH617" s="561" t="str">
        <f>IFERROR(INDEX('Annex 2_Code'!$J$110:$J$122,MATCH('Annex 3_MAFF'!AF617,'Annex 2_Code'!$G$110:$G$122,0)),"")</f>
        <v/>
      </c>
    </row>
    <row r="618" spans="1:34">
      <c r="A618" s="102"/>
      <c r="B618" s="127"/>
      <c r="C618" s="82"/>
      <c r="D618" s="97"/>
      <c r="E618" s="97"/>
      <c r="F618" s="485"/>
      <c r="G618" s="97"/>
      <c r="H618" s="561"/>
      <c r="I618" s="593"/>
      <c r="J618" s="560"/>
      <c r="K618" s="560"/>
      <c r="L618" s="560"/>
      <c r="M618" s="560"/>
      <c r="N618" s="560"/>
      <c r="O618" s="560"/>
      <c r="P618" s="560"/>
      <c r="Q618" s="560"/>
      <c r="R618" s="560"/>
      <c r="S618" s="603"/>
      <c r="T618" s="628"/>
      <c r="U618" s="629"/>
      <c r="V618" s="629"/>
      <c r="W618" s="629"/>
      <c r="X618" s="629"/>
      <c r="Y618" s="485"/>
      <c r="Z618" s="485"/>
      <c r="AA618" s="485"/>
      <c r="AB618" s="485"/>
      <c r="AC618" s="485"/>
      <c r="AD618" s="602"/>
      <c r="AE618" s="602"/>
      <c r="AF618" s="561"/>
      <c r="AG618" s="561"/>
      <c r="AH618" s="561" t="str">
        <f>IFERROR(INDEX('Annex 2_Code'!$J$110:$J$122,MATCH('Annex 3_MAFF'!AF618,'Annex 2_Code'!$G$110:$G$122,0)),"")</f>
        <v/>
      </c>
    </row>
    <row r="619" spans="1:34">
      <c r="A619" s="102"/>
      <c r="B619" s="127"/>
      <c r="C619" s="82"/>
      <c r="D619" s="97"/>
      <c r="E619" s="97"/>
      <c r="F619" s="485"/>
      <c r="G619" s="97"/>
      <c r="H619" s="561"/>
      <c r="I619" s="593"/>
      <c r="J619" s="560"/>
      <c r="K619" s="560"/>
      <c r="L619" s="560"/>
      <c r="M619" s="560"/>
      <c r="N619" s="560"/>
      <c r="O619" s="560"/>
      <c r="P619" s="560"/>
      <c r="Q619" s="560"/>
      <c r="R619" s="560"/>
      <c r="S619" s="603"/>
      <c r="T619" s="628"/>
      <c r="U619" s="629"/>
      <c r="V619" s="629"/>
      <c r="W619" s="629"/>
      <c r="X619" s="629"/>
      <c r="Y619" s="485"/>
      <c r="Z619" s="485"/>
      <c r="AA619" s="485"/>
      <c r="AB619" s="485"/>
      <c r="AC619" s="485"/>
      <c r="AD619" s="602"/>
      <c r="AE619" s="602"/>
      <c r="AF619" s="561"/>
      <c r="AG619" s="561"/>
      <c r="AH619" s="561" t="str">
        <f>IFERROR(INDEX('Annex 2_Code'!$J$110:$J$122,MATCH('Annex 3_MAFF'!AF619,'Annex 2_Code'!$G$110:$G$122,0)),"")</f>
        <v/>
      </c>
    </row>
    <row r="620" spans="1:34">
      <c r="A620" s="102"/>
      <c r="B620" s="127"/>
      <c r="C620" s="82"/>
      <c r="D620" s="97"/>
      <c r="E620" s="97"/>
      <c r="F620" s="485"/>
      <c r="G620" s="97"/>
      <c r="H620" s="561"/>
      <c r="I620" s="593"/>
      <c r="J620" s="560"/>
      <c r="K620" s="560"/>
      <c r="L620" s="560"/>
      <c r="M620" s="560"/>
      <c r="N620" s="560"/>
      <c r="O620" s="560"/>
      <c r="P620" s="560"/>
      <c r="Q620" s="560"/>
      <c r="R620" s="560"/>
      <c r="S620" s="603"/>
      <c r="T620" s="628"/>
      <c r="U620" s="629"/>
      <c r="V620" s="629"/>
      <c r="W620" s="629"/>
      <c r="X620" s="629"/>
      <c r="Y620" s="485"/>
      <c r="Z620" s="485"/>
      <c r="AA620" s="485"/>
      <c r="AB620" s="485"/>
      <c r="AC620" s="485"/>
      <c r="AD620" s="602"/>
      <c r="AE620" s="602"/>
      <c r="AF620" s="561"/>
      <c r="AG620" s="561"/>
      <c r="AH620" s="561" t="str">
        <f>IFERROR(INDEX('Annex 2_Code'!$J$110:$J$122,MATCH('Annex 3_MAFF'!AF620,'Annex 2_Code'!$G$110:$G$122,0)),"")</f>
        <v/>
      </c>
    </row>
    <row r="621" spans="1:34">
      <c r="A621" s="102"/>
      <c r="B621" s="127"/>
      <c r="C621" s="82"/>
      <c r="D621" s="97"/>
      <c r="E621" s="97"/>
      <c r="F621" s="485"/>
      <c r="G621" s="97"/>
      <c r="H621" s="561"/>
      <c r="I621" s="593"/>
      <c r="J621" s="560"/>
      <c r="K621" s="560"/>
      <c r="L621" s="560"/>
      <c r="M621" s="560"/>
      <c r="N621" s="560"/>
      <c r="O621" s="560"/>
      <c r="P621" s="560"/>
      <c r="Q621" s="560"/>
      <c r="R621" s="560"/>
      <c r="S621" s="603"/>
      <c r="T621" s="628"/>
      <c r="U621" s="629"/>
      <c r="V621" s="629"/>
      <c r="W621" s="629"/>
      <c r="X621" s="629"/>
      <c r="Y621" s="485"/>
      <c r="Z621" s="485"/>
      <c r="AA621" s="485"/>
      <c r="AB621" s="485"/>
      <c r="AC621" s="485"/>
      <c r="AD621" s="602"/>
      <c r="AE621" s="602"/>
      <c r="AF621" s="561"/>
      <c r="AG621" s="561"/>
      <c r="AH621" s="561" t="str">
        <f>IFERROR(INDEX('Annex 2_Code'!$J$110:$J$122,MATCH('Annex 3_MAFF'!AF621,'Annex 2_Code'!$G$110:$G$122,0)),"")</f>
        <v/>
      </c>
    </row>
    <row r="622" spans="1:34">
      <c r="A622" s="102"/>
      <c r="B622" s="127"/>
      <c r="C622" s="82"/>
      <c r="D622" s="97"/>
      <c r="E622" s="97"/>
      <c r="F622" s="485"/>
      <c r="G622" s="97"/>
      <c r="H622" s="561"/>
      <c r="I622" s="593"/>
      <c r="J622" s="560"/>
      <c r="K622" s="560"/>
      <c r="L622" s="560"/>
      <c r="M622" s="560"/>
      <c r="N622" s="560"/>
      <c r="O622" s="560"/>
      <c r="P622" s="560"/>
      <c r="Q622" s="560"/>
      <c r="R622" s="560"/>
      <c r="S622" s="603"/>
      <c r="T622" s="628"/>
      <c r="U622" s="629"/>
      <c r="V622" s="629"/>
      <c r="W622" s="629"/>
      <c r="X622" s="629"/>
      <c r="Y622" s="485"/>
      <c r="Z622" s="485"/>
      <c r="AA622" s="485"/>
      <c r="AB622" s="485"/>
      <c r="AC622" s="485"/>
      <c r="AD622" s="602"/>
      <c r="AE622" s="602"/>
      <c r="AF622" s="561"/>
      <c r="AG622" s="561"/>
      <c r="AH622" s="561" t="str">
        <f>IFERROR(INDEX('Annex 2_Code'!$J$110:$J$122,MATCH('Annex 3_MAFF'!AF622,'Annex 2_Code'!$G$110:$G$122,0)),"")</f>
        <v/>
      </c>
    </row>
    <row r="623" spans="1:34">
      <c r="A623" s="102"/>
      <c r="B623" s="127"/>
      <c r="C623" s="82"/>
      <c r="D623" s="97"/>
      <c r="E623" s="97"/>
      <c r="F623" s="485"/>
      <c r="G623" s="97"/>
      <c r="H623" s="561"/>
      <c r="I623" s="593"/>
      <c r="J623" s="560"/>
      <c r="K623" s="560"/>
      <c r="L623" s="560"/>
      <c r="M623" s="560"/>
      <c r="N623" s="560"/>
      <c r="O623" s="560"/>
      <c r="P623" s="560"/>
      <c r="Q623" s="560"/>
      <c r="R623" s="560"/>
      <c r="S623" s="603"/>
      <c r="T623" s="628"/>
      <c r="U623" s="629"/>
      <c r="V623" s="629"/>
      <c r="W623" s="629"/>
      <c r="X623" s="629"/>
      <c r="Y623" s="485"/>
      <c r="Z623" s="485"/>
      <c r="AA623" s="485"/>
      <c r="AB623" s="485"/>
      <c r="AC623" s="485"/>
      <c r="AD623" s="602"/>
      <c r="AE623" s="602"/>
      <c r="AF623" s="561"/>
      <c r="AG623" s="561"/>
      <c r="AH623" s="561" t="str">
        <f>IFERROR(INDEX('Annex 2_Code'!$J$110:$J$122,MATCH('Annex 3_MAFF'!AF623,'Annex 2_Code'!$G$110:$G$122,0)),"")</f>
        <v/>
      </c>
    </row>
    <row r="624" spans="1:34">
      <c r="A624" s="102"/>
      <c r="B624" s="127"/>
      <c r="C624" s="82"/>
      <c r="D624" s="97"/>
      <c r="E624" s="97"/>
      <c r="F624" s="485"/>
      <c r="G624" s="97"/>
      <c r="H624" s="561"/>
      <c r="I624" s="593"/>
      <c r="J624" s="485"/>
      <c r="K624" s="485"/>
      <c r="L624" s="485"/>
      <c r="M624" s="485"/>
      <c r="N624" s="485"/>
      <c r="O624" s="485"/>
      <c r="P624" s="485"/>
      <c r="Q624" s="485"/>
      <c r="R624" s="485"/>
      <c r="S624" s="424"/>
      <c r="T624" s="628"/>
      <c r="U624" s="629"/>
      <c r="V624" s="629"/>
      <c r="W624" s="629"/>
      <c r="X624" s="629"/>
      <c r="Y624" s="485"/>
      <c r="Z624" s="485"/>
      <c r="AA624" s="485"/>
      <c r="AB624" s="485"/>
      <c r="AC624" s="485"/>
      <c r="AD624" s="602"/>
      <c r="AE624" s="602"/>
      <c r="AF624" s="561"/>
      <c r="AG624" s="561"/>
      <c r="AH624" s="561" t="str">
        <f>IFERROR(INDEX('Annex 2_Code'!$J$110:$J$122,MATCH('Annex 3_MAFF'!AF624,'Annex 2_Code'!$G$110:$G$122,0)),"")</f>
        <v/>
      </c>
    </row>
    <row r="625" spans="1:34">
      <c r="A625" s="102"/>
      <c r="B625" s="127"/>
      <c r="C625" s="82"/>
      <c r="D625" s="97"/>
      <c r="E625" s="97"/>
      <c r="F625" s="485"/>
      <c r="G625" s="97"/>
      <c r="H625" s="561"/>
      <c r="I625" s="593"/>
      <c r="J625" s="485"/>
      <c r="K625" s="485"/>
      <c r="L625" s="485"/>
      <c r="M625" s="485"/>
      <c r="N625" s="485"/>
      <c r="O625" s="485"/>
      <c r="P625" s="485"/>
      <c r="Q625" s="485"/>
      <c r="R625" s="485"/>
      <c r="S625" s="424"/>
      <c r="T625" s="628"/>
      <c r="U625" s="629"/>
      <c r="V625" s="629"/>
      <c r="W625" s="629"/>
      <c r="X625" s="629"/>
      <c r="Y625" s="485"/>
      <c r="Z625" s="485"/>
      <c r="AA625" s="485"/>
      <c r="AB625" s="485"/>
      <c r="AC625" s="485"/>
      <c r="AD625" s="602"/>
      <c r="AE625" s="602"/>
      <c r="AF625" s="561"/>
      <c r="AG625" s="561"/>
      <c r="AH625" s="561" t="str">
        <f>IFERROR(INDEX('Annex 2_Code'!$J$110:$J$122,MATCH('Annex 3_MAFF'!AF625,'Annex 2_Code'!$G$110:$G$122,0)),"")</f>
        <v/>
      </c>
    </row>
    <row r="626" spans="1:34">
      <c r="A626" s="102"/>
      <c r="B626" s="127"/>
      <c r="C626" s="82"/>
      <c r="D626" s="97"/>
      <c r="E626" s="97"/>
      <c r="F626" s="485"/>
      <c r="G626" s="97"/>
      <c r="H626" s="561"/>
      <c r="I626" s="593"/>
      <c r="J626" s="485"/>
      <c r="K626" s="485"/>
      <c r="L626" s="485"/>
      <c r="M626" s="485"/>
      <c r="N626" s="485"/>
      <c r="O626" s="485"/>
      <c r="P626" s="485"/>
      <c r="Q626" s="485"/>
      <c r="R626" s="485"/>
      <c r="S626" s="424"/>
      <c r="T626" s="628"/>
      <c r="U626" s="629"/>
      <c r="V626" s="629"/>
      <c r="W626" s="629"/>
      <c r="X626" s="629"/>
      <c r="Y626" s="485"/>
      <c r="Z626" s="485"/>
      <c r="AA626" s="485"/>
      <c r="AB626" s="485"/>
      <c r="AC626" s="485"/>
      <c r="AD626" s="602"/>
      <c r="AE626" s="602"/>
      <c r="AF626" s="561"/>
      <c r="AG626" s="561"/>
      <c r="AH626" s="561" t="str">
        <f>IFERROR(INDEX('Annex 2_Code'!$J$110:$J$122,MATCH('Annex 3_MAFF'!AF626,'Annex 2_Code'!$G$110:$G$122,0)),"")</f>
        <v/>
      </c>
    </row>
    <row r="627" spans="1:34">
      <c r="A627" s="102"/>
      <c r="B627" s="127"/>
      <c r="C627" s="82"/>
      <c r="D627" s="97"/>
      <c r="E627" s="97"/>
      <c r="F627" s="485"/>
      <c r="G627" s="97"/>
      <c r="H627" s="561"/>
      <c r="I627" s="593"/>
      <c r="J627" s="485"/>
      <c r="K627" s="485"/>
      <c r="L627" s="485"/>
      <c r="M627" s="485"/>
      <c r="N627" s="485"/>
      <c r="O627" s="485"/>
      <c r="P627" s="485"/>
      <c r="Q627" s="485"/>
      <c r="R627" s="485"/>
      <c r="S627" s="424"/>
      <c r="T627" s="628"/>
      <c r="U627" s="629"/>
      <c r="V627" s="629"/>
      <c r="W627" s="629"/>
      <c r="X627" s="629"/>
      <c r="Y627" s="485"/>
      <c r="Z627" s="485"/>
      <c r="AA627" s="485"/>
      <c r="AB627" s="485"/>
      <c r="AC627" s="485"/>
      <c r="AD627" s="602"/>
      <c r="AE627" s="602"/>
      <c r="AF627" s="561"/>
      <c r="AG627" s="561"/>
      <c r="AH627" s="561" t="str">
        <f>IFERROR(INDEX('Annex 2_Code'!$J$110:$J$122,MATCH('Annex 3_MAFF'!AF627,'Annex 2_Code'!$G$110:$G$122,0)),"")</f>
        <v/>
      </c>
    </row>
    <row r="628" spans="1:34">
      <c r="A628" s="102"/>
      <c r="B628" s="127"/>
      <c r="C628" s="82"/>
      <c r="D628" s="97"/>
      <c r="E628" s="97"/>
      <c r="F628" s="485"/>
      <c r="G628" s="97"/>
      <c r="H628" s="561"/>
      <c r="I628" s="593"/>
      <c r="J628" s="485"/>
      <c r="K628" s="485"/>
      <c r="L628" s="485"/>
      <c r="M628" s="485"/>
      <c r="N628" s="485"/>
      <c r="O628" s="485"/>
      <c r="P628" s="485"/>
      <c r="Q628" s="485"/>
      <c r="R628" s="485"/>
      <c r="S628" s="424"/>
      <c r="T628" s="628"/>
      <c r="U628" s="629"/>
      <c r="V628" s="629"/>
      <c r="W628" s="629"/>
      <c r="X628" s="629"/>
      <c r="Y628" s="485"/>
      <c r="Z628" s="485"/>
      <c r="AA628" s="485"/>
      <c r="AB628" s="485"/>
      <c r="AC628" s="485"/>
      <c r="AD628" s="602"/>
      <c r="AE628" s="602"/>
      <c r="AF628" s="561"/>
      <c r="AG628" s="561"/>
      <c r="AH628" s="561" t="str">
        <f>IFERROR(INDEX('Annex 2_Code'!$J$110:$J$122,MATCH('Annex 3_MAFF'!AF628,'Annex 2_Code'!$G$110:$G$122,0)),"")</f>
        <v/>
      </c>
    </row>
    <row r="629" spans="1:34">
      <c r="A629" s="102"/>
      <c r="B629" s="127"/>
      <c r="C629" s="82"/>
      <c r="D629" s="97"/>
      <c r="E629" s="97"/>
      <c r="F629" s="485"/>
      <c r="G629" s="97"/>
      <c r="H629" s="561"/>
      <c r="I629" s="593"/>
      <c r="J629" s="485"/>
      <c r="K629" s="485"/>
      <c r="L629" s="485"/>
      <c r="M629" s="485"/>
      <c r="N629" s="485"/>
      <c r="O629" s="485"/>
      <c r="P629" s="485"/>
      <c r="Q629" s="485"/>
      <c r="R629" s="485"/>
      <c r="S629" s="424"/>
      <c r="T629" s="628"/>
      <c r="U629" s="629"/>
      <c r="V629" s="629"/>
      <c r="W629" s="629"/>
      <c r="X629" s="629"/>
      <c r="Y629" s="485"/>
      <c r="Z629" s="485"/>
      <c r="AA629" s="485"/>
      <c r="AB629" s="485"/>
      <c r="AC629" s="485"/>
      <c r="AD629" s="602"/>
      <c r="AE629" s="602"/>
      <c r="AF629" s="561"/>
      <c r="AG629" s="561"/>
      <c r="AH629" s="561" t="str">
        <f>IFERROR(INDEX('Annex 2_Code'!$J$110:$J$122,MATCH('Annex 3_MAFF'!AF629,'Annex 2_Code'!$G$110:$G$122,0)),"")</f>
        <v/>
      </c>
    </row>
    <row r="630" spans="1:34">
      <c r="A630" s="102"/>
      <c r="B630" s="127"/>
      <c r="C630" s="82"/>
      <c r="D630" s="97"/>
      <c r="E630" s="97"/>
      <c r="F630" s="485"/>
      <c r="G630" s="97"/>
      <c r="H630" s="561"/>
      <c r="I630" s="593"/>
      <c r="J630" s="485"/>
      <c r="K630" s="485"/>
      <c r="L630" s="485"/>
      <c r="M630" s="485"/>
      <c r="N630" s="485"/>
      <c r="O630" s="485"/>
      <c r="P630" s="485"/>
      <c r="Q630" s="485"/>
      <c r="R630" s="485"/>
      <c r="S630" s="424"/>
      <c r="T630" s="628"/>
      <c r="U630" s="629"/>
      <c r="V630" s="629"/>
      <c r="W630" s="629"/>
      <c r="X630" s="629"/>
      <c r="Y630" s="485"/>
      <c r="Z630" s="485"/>
      <c r="AA630" s="485"/>
      <c r="AB630" s="485"/>
      <c r="AC630" s="485"/>
      <c r="AD630" s="602"/>
      <c r="AE630" s="602"/>
      <c r="AF630" s="561"/>
      <c r="AG630" s="561"/>
      <c r="AH630" s="561" t="str">
        <f>IFERROR(INDEX('Annex 2_Code'!$J$110:$J$122,MATCH('Annex 3_MAFF'!AF630,'Annex 2_Code'!$G$110:$G$122,0)),"")</f>
        <v/>
      </c>
    </row>
    <row r="631" spans="1:34">
      <c r="A631" s="102"/>
      <c r="B631" s="127"/>
      <c r="C631" s="82"/>
      <c r="D631" s="97"/>
      <c r="E631" s="97"/>
      <c r="F631" s="485"/>
      <c r="G631" s="97"/>
      <c r="H631" s="561"/>
      <c r="I631" s="593"/>
      <c r="J631" s="485"/>
      <c r="K631" s="485"/>
      <c r="L631" s="485"/>
      <c r="M631" s="485"/>
      <c r="N631" s="485"/>
      <c r="O631" s="485"/>
      <c r="P631" s="485"/>
      <c r="Q631" s="485"/>
      <c r="R631" s="485"/>
      <c r="S631" s="424"/>
      <c r="T631" s="628"/>
      <c r="U631" s="629"/>
      <c r="V631" s="629"/>
      <c r="W631" s="629"/>
      <c r="X631" s="629"/>
      <c r="Y631" s="485"/>
      <c r="Z631" s="485"/>
      <c r="AA631" s="485"/>
      <c r="AB631" s="485"/>
      <c r="AC631" s="485"/>
      <c r="AD631" s="602"/>
      <c r="AE631" s="602"/>
      <c r="AF631" s="561"/>
      <c r="AG631" s="561"/>
      <c r="AH631" s="561" t="str">
        <f>IFERROR(INDEX('Annex 2_Code'!$J$110:$J$122,MATCH('Annex 3_MAFF'!AF631,'Annex 2_Code'!$G$110:$G$122,0)),"")</f>
        <v/>
      </c>
    </row>
    <row r="632" spans="1:34">
      <c r="A632" s="102"/>
      <c r="B632" s="127"/>
      <c r="C632" s="82"/>
      <c r="D632" s="97"/>
      <c r="E632" s="97"/>
      <c r="F632" s="485"/>
      <c r="G632" s="97"/>
      <c r="H632" s="561"/>
      <c r="I632" s="593"/>
      <c r="J632" s="485"/>
      <c r="K632" s="485"/>
      <c r="L632" s="485"/>
      <c r="M632" s="485"/>
      <c r="N632" s="485"/>
      <c r="O632" s="485"/>
      <c r="P632" s="485"/>
      <c r="Q632" s="485"/>
      <c r="R632" s="485"/>
      <c r="S632" s="424"/>
      <c r="T632" s="628"/>
      <c r="U632" s="629"/>
      <c r="V632" s="629"/>
      <c r="W632" s="629"/>
      <c r="X632" s="629"/>
      <c r="Y632" s="485"/>
      <c r="Z632" s="485"/>
      <c r="AA632" s="485"/>
      <c r="AB632" s="485"/>
      <c r="AC632" s="485"/>
      <c r="AD632" s="602"/>
      <c r="AE632" s="602"/>
      <c r="AF632" s="561"/>
      <c r="AG632" s="561"/>
      <c r="AH632" s="561" t="str">
        <f>IFERROR(INDEX('Annex 2_Code'!$J$110:$J$122,MATCH('Annex 3_MAFF'!AF632,'Annex 2_Code'!$G$110:$G$122,0)),"")</f>
        <v/>
      </c>
    </row>
    <row r="633" spans="1:34">
      <c r="A633" s="102"/>
      <c r="B633" s="127"/>
      <c r="C633" s="82"/>
      <c r="D633" s="97"/>
      <c r="E633" s="97"/>
      <c r="F633" s="485"/>
      <c r="G633" s="97"/>
      <c r="H633" s="561"/>
      <c r="I633" s="593"/>
      <c r="J633" s="485"/>
      <c r="K633" s="485"/>
      <c r="L633" s="485"/>
      <c r="M633" s="485"/>
      <c r="N633" s="485"/>
      <c r="O633" s="485"/>
      <c r="P633" s="485"/>
      <c r="Q633" s="485"/>
      <c r="R633" s="485"/>
      <c r="S633" s="424"/>
      <c r="T633" s="628"/>
      <c r="U633" s="629"/>
      <c r="V633" s="629"/>
      <c r="W633" s="629"/>
      <c r="X633" s="629"/>
      <c r="Y633" s="485"/>
      <c r="Z633" s="485"/>
      <c r="AA633" s="485"/>
      <c r="AB633" s="485"/>
      <c r="AC633" s="485"/>
      <c r="AD633" s="602"/>
      <c r="AE633" s="602"/>
      <c r="AF633" s="561"/>
      <c r="AG633" s="561"/>
      <c r="AH633" s="561" t="str">
        <f>IFERROR(INDEX('Annex 2_Code'!$J$110:$J$122,MATCH('Annex 3_MAFF'!AF633,'Annex 2_Code'!$G$110:$G$122,0)),"")</f>
        <v/>
      </c>
    </row>
    <row r="634" spans="1:34">
      <c r="A634" s="102"/>
      <c r="B634" s="127"/>
      <c r="C634" s="82"/>
      <c r="D634" s="97"/>
      <c r="E634" s="97"/>
      <c r="F634" s="485"/>
      <c r="G634" s="97"/>
      <c r="H634" s="561"/>
      <c r="I634" s="593"/>
      <c r="J634" s="485"/>
      <c r="K634" s="485"/>
      <c r="L634" s="485"/>
      <c r="M634" s="485"/>
      <c r="N634" s="485"/>
      <c r="O634" s="485"/>
      <c r="P634" s="485"/>
      <c r="Q634" s="485"/>
      <c r="R634" s="485"/>
      <c r="S634" s="424"/>
      <c r="T634" s="628"/>
      <c r="U634" s="629"/>
      <c r="V634" s="629"/>
      <c r="W634" s="629"/>
      <c r="X634" s="629"/>
      <c r="Y634" s="485"/>
      <c r="Z634" s="485"/>
      <c r="AA634" s="485"/>
      <c r="AB634" s="485"/>
      <c r="AC634" s="485"/>
      <c r="AD634" s="602"/>
      <c r="AE634" s="602"/>
      <c r="AF634" s="561"/>
      <c r="AG634" s="561"/>
      <c r="AH634" s="561" t="str">
        <f>IFERROR(INDEX('Annex 2_Code'!$J$110:$J$122,MATCH('Annex 3_MAFF'!AF634,'Annex 2_Code'!$G$110:$G$122,0)),"")</f>
        <v/>
      </c>
    </row>
    <row r="635" spans="1:34">
      <c r="A635" s="102"/>
      <c r="B635" s="127"/>
      <c r="C635" s="82"/>
      <c r="D635" s="97"/>
      <c r="E635" s="97"/>
      <c r="F635" s="485"/>
      <c r="G635" s="97"/>
      <c r="H635" s="561"/>
      <c r="I635" s="593"/>
      <c r="J635" s="485"/>
      <c r="K635" s="485"/>
      <c r="L635" s="485"/>
      <c r="M635" s="485"/>
      <c r="N635" s="485"/>
      <c r="O635" s="485"/>
      <c r="P635" s="485"/>
      <c r="Q635" s="485"/>
      <c r="R635" s="485"/>
      <c r="S635" s="424"/>
      <c r="T635" s="628"/>
      <c r="U635" s="629"/>
      <c r="V635" s="629"/>
      <c r="W635" s="629"/>
      <c r="X635" s="629"/>
      <c r="Y635" s="485"/>
      <c r="Z635" s="485"/>
      <c r="AA635" s="485"/>
      <c r="AB635" s="485"/>
      <c r="AC635" s="485"/>
      <c r="AD635" s="602"/>
      <c r="AE635" s="602"/>
      <c r="AF635" s="561"/>
      <c r="AG635" s="561"/>
      <c r="AH635" s="561" t="str">
        <f>IFERROR(INDEX('Annex 2_Code'!$J$110:$J$122,MATCH('Annex 3_MAFF'!AF635,'Annex 2_Code'!$G$110:$G$122,0)),"")</f>
        <v/>
      </c>
    </row>
    <row r="636" spans="1:34">
      <c r="A636" s="102"/>
      <c r="B636" s="127"/>
      <c r="C636" s="82"/>
      <c r="D636" s="97"/>
      <c r="E636" s="97"/>
      <c r="F636" s="485"/>
      <c r="G636" s="97"/>
      <c r="H636" s="561"/>
      <c r="I636" s="593"/>
      <c r="J636" s="485"/>
      <c r="K636" s="485"/>
      <c r="L636" s="485"/>
      <c r="M636" s="485"/>
      <c r="N636" s="485"/>
      <c r="O636" s="485"/>
      <c r="P636" s="485"/>
      <c r="Q636" s="485"/>
      <c r="R636" s="485"/>
      <c r="S636" s="424"/>
      <c r="T636" s="628"/>
      <c r="U636" s="629"/>
      <c r="V636" s="629"/>
      <c r="W636" s="629"/>
      <c r="X636" s="629"/>
      <c r="Y636" s="485"/>
      <c r="Z636" s="485"/>
      <c r="AA636" s="485"/>
      <c r="AB636" s="485"/>
      <c r="AC636" s="485"/>
      <c r="AD636" s="602"/>
      <c r="AE636" s="602"/>
      <c r="AF636" s="561"/>
      <c r="AG636" s="561"/>
      <c r="AH636" s="561" t="str">
        <f>IFERROR(INDEX('Annex 2_Code'!$J$110:$J$122,MATCH('Annex 3_MAFF'!AF636,'Annex 2_Code'!$G$110:$G$122,0)),"")</f>
        <v/>
      </c>
    </row>
    <row r="637" spans="1:34">
      <c r="A637" s="102"/>
      <c r="B637" s="127"/>
      <c r="C637" s="82"/>
      <c r="D637" s="97"/>
      <c r="E637" s="97"/>
      <c r="F637" s="485"/>
      <c r="G637" s="97"/>
      <c r="H637" s="561"/>
      <c r="I637" s="593"/>
      <c r="J637" s="485"/>
      <c r="K637" s="485"/>
      <c r="L637" s="485"/>
      <c r="M637" s="485"/>
      <c r="N637" s="485"/>
      <c r="O637" s="485"/>
      <c r="P637" s="485"/>
      <c r="Q637" s="485"/>
      <c r="R637" s="485"/>
      <c r="S637" s="424"/>
      <c r="T637" s="628"/>
      <c r="U637" s="629"/>
      <c r="V637" s="629"/>
      <c r="W637" s="629"/>
      <c r="X637" s="629"/>
      <c r="Y637" s="485"/>
      <c r="Z637" s="485"/>
      <c r="AA637" s="485"/>
      <c r="AB637" s="485"/>
      <c r="AC637" s="485"/>
      <c r="AD637" s="602"/>
      <c r="AE637" s="602"/>
      <c r="AF637" s="561"/>
      <c r="AG637" s="561"/>
      <c r="AH637" s="561" t="str">
        <f>IFERROR(INDEX('Annex 2_Code'!$J$110:$J$122,MATCH('Annex 3_MAFF'!AF637,'Annex 2_Code'!$G$110:$G$122,0)),"")</f>
        <v/>
      </c>
    </row>
    <row r="638" spans="1:34">
      <c r="A638" s="102"/>
      <c r="B638" s="127"/>
      <c r="C638" s="82"/>
      <c r="D638" s="97"/>
      <c r="E638" s="97"/>
      <c r="F638" s="485"/>
      <c r="G638" s="97"/>
      <c r="H638" s="561"/>
      <c r="I638" s="593"/>
      <c r="J638" s="485"/>
      <c r="K638" s="485"/>
      <c r="L638" s="485"/>
      <c r="M638" s="485"/>
      <c r="N638" s="485"/>
      <c r="O638" s="485"/>
      <c r="P638" s="485"/>
      <c r="Q638" s="485"/>
      <c r="R638" s="485"/>
      <c r="S638" s="424"/>
      <c r="T638" s="628"/>
      <c r="U638" s="629"/>
      <c r="V638" s="629"/>
      <c r="W638" s="629"/>
      <c r="X638" s="629"/>
      <c r="Y638" s="485"/>
      <c r="Z638" s="485"/>
      <c r="AA638" s="485"/>
      <c r="AB638" s="485"/>
      <c r="AC638" s="485"/>
      <c r="AD638" s="602"/>
      <c r="AE638" s="602"/>
      <c r="AF638" s="561"/>
      <c r="AG638" s="561"/>
      <c r="AH638" s="561" t="str">
        <f>IFERROR(INDEX('Annex 2_Code'!$J$110:$J$122,MATCH('Annex 3_MAFF'!AF638,'Annex 2_Code'!$G$110:$G$122,0)),"")</f>
        <v/>
      </c>
    </row>
    <row r="639" spans="1:34">
      <c r="A639" s="102"/>
      <c r="B639" s="127"/>
      <c r="C639" s="82"/>
      <c r="D639" s="97"/>
      <c r="E639" s="97"/>
      <c r="F639" s="485"/>
      <c r="G639" s="97"/>
      <c r="H639" s="561"/>
      <c r="I639" s="593"/>
      <c r="J639" s="485"/>
      <c r="K639" s="485"/>
      <c r="L639" s="485"/>
      <c r="M639" s="485"/>
      <c r="N639" s="485"/>
      <c r="O639" s="485"/>
      <c r="P639" s="485"/>
      <c r="Q639" s="485"/>
      <c r="R639" s="485"/>
      <c r="S639" s="424"/>
      <c r="T639" s="628"/>
      <c r="U639" s="629"/>
      <c r="V639" s="629"/>
      <c r="W639" s="629"/>
      <c r="X639" s="629"/>
      <c r="Y639" s="485"/>
      <c r="Z639" s="485"/>
      <c r="AA639" s="485"/>
      <c r="AB639" s="485"/>
      <c r="AC639" s="485"/>
      <c r="AD639" s="602"/>
      <c r="AE639" s="602"/>
      <c r="AF639" s="561"/>
      <c r="AG639" s="561"/>
      <c r="AH639" s="561" t="str">
        <f>IFERROR(INDEX('Annex 2_Code'!$J$110:$J$122,MATCH('Annex 3_MAFF'!AF639,'Annex 2_Code'!$G$110:$G$122,0)),"")</f>
        <v/>
      </c>
    </row>
    <row r="640" spans="1:34">
      <c r="A640" s="102"/>
      <c r="B640" s="127"/>
      <c r="C640" s="82"/>
      <c r="D640" s="97"/>
      <c r="E640" s="97"/>
      <c r="F640" s="485"/>
      <c r="G640" s="97"/>
      <c r="H640" s="561"/>
      <c r="I640" s="593"/>
      <c r="J640" s="485"/>
      <c r="K640" s="485"/>
      <c r="L640" s="485"/>
      <c r="M640" s="485"/>
      <c r="N640" s="485"/>
      <c r="O640" s="485"/>
      <c r="P640" s="485"/>
      <c r="Q640" s="485"/>
      <c r="R640" s="485"/>
      <c r="S640" s="424"/>
      <c r="T640" s="628"/>
      <c r="U640" s="629"/>
      <c r="V640" s="629"/>
      <c r="W640" s="629"/>
      <c r="X640" s="629"/>
      <c r="Y640" s="485"/>
      <c r="Z640" s="485"/>
      <c r="AA640" s="485"/>
      <c r="AB640" s="485"/>
      <c r="AC640" s="485"/>
      <c r="AD640" s="602"/>
      <c r="AE640" s="602"/>
      <c r="AF640" s="561"/>
      <c r="AG640" s="561"/>
      <c r="AH640" s="561" t="str">
        <f>IFERROR(INDEX('Annex 2_Code'!$J$110:$J$122,MATCH('Annex 3_MAFF'!AF640,'Annex 2_Code'!$G$110:$G$122,0)),"")</f>
        <v/>
      </c>
    </row>
    <row r="641" spans="1:34">
      <c r="A641" s="102"/>
      <c r="B641" s="127"/>
      <c r="C641" s="82"/>
      <c r="D641" s="97"/>
      <c r="E641" s="97"/>
      <c r="F641" s="485"/>
      <c r="G641" s="97"/>
      <c r="H641" s="561"/>
      <c r="I641" s="593"/>
      <c r="J641" s="485"/>
      <c r="K641" s="485"/>
      <c r="L641" s="485"/>
      <c r="M641" s="485"/>
      <c r="N641" s="485"/>
      <c r="O641" s="485"/>
      <c r="P641" s="485"/>
      <c r="Q641" s="485"/>
      <c r="R641" s="485"/>
      <c r="S641" s="424"/>
      <c r="T641" s="628"/>
      <c r="U641" s="629"/>
      <c r="V641" s="629"/>
      <c r="W641" s="629"/>
      <c r="X641" s="629"/>
      <c r="Y641" s="485"/>
      <c r="Z641" s="485"/>
      <c r="AA641" s="485"/>
      <c r="AB641" s="485"/>
      <c r="AC641" s="485"/>
      <c r="AD641" s="602"/>
      <c r="AE641" s="602"/>
      <c r="AF641" s="561"/>
      <c r="AG641" s="561"/>
      <c r="AH641" s="561" t="str">
        <f>IFERROR(INDEX('Annex 2_Code'!$J$110:$J$122,MATCH('Annex 3_MAFF'!AF641,'Annex 2_Code'!$G$110:$G$122,0)),"")</f>
        <v/>
      </c>
    </row>
    <row r="642" spans="1:34">
      <c r="A642" s="102"/>
      <c r="B642" s="127"/>
      <c r="C642" s="82"/>
      <c r="D642" s="97"/>
      <c r="E642" s="97"/>
      <c r="F642" s="485"/>
      <c r="G642" s="97"/>
      <c r="H642" s="561"/>
      <c r="I642" s="593"/>
      <c r="J642" s="485"/>
      <c r="K642" s="485"/>
      <c r="L642" s="485"/>
      <c r="M642" s="485"/>
      <c r="N642" s="485"/>
      <c r="O642" s="485"/>
      <c r="P642" s="485"/>
      <c r="Q642" s="485"/>
      <c r="R642" s="485"/>
      <c r="S642" s="424"/>
      <c r="T642" s="628"/>
      <c r="U642" s="629"/>
      <c r="V642" s="629"/>
      <c r="W642" s="629"/>
      <c r="X642" s="629"/>
      <c r="Y642" s="485"/>
      <c r="Z642" s="485"/>
      <c r="AA642" s="485"/>
      <c r="AB642" s="485"/>
      <c r="AC642" s="485"/>
      <c r="AD642" s="602"/>
      <c r="AE642" s="602"/>
      <c r="AF642" s="561"/>
      <c r="AG642" s="561"/>
      <c r="AH642" s="561" t="str">
        <f>IFERROR(INDEX('Annex 2_Code'!$J$110:$J$122,MATCH('Annex 3_MAFF'!AF642,'Annex 2_Code'!$G$110:$G$122,0)),"")</f>
        <v/>
      </c>
    </row>
    <row r="643" spans="1:34">
      <c r="A643" s="102"/>
      <c r="B643" s="127"/>
      <c r="C643" s="82"/>
      <c r="D643" s="97"/>
      <c r="E643" s="97"/>
      <c r="F643" s="485"/>
      <c r="G643" s="97"/>
      <c r="H643" s="561"/>
      <c r="I643" s="593"/>
      <c r="J643" s="485"/>
      <c r="K643" s="485"/>
      <c r="L643" s="485"/>
      <c r="M643" s="485"/>
      <c r="N643" s="485"/>
      <c r="O643" s="485"/>
      <c r="P643" s="485"/>
      <c r="Q643" s="485"/>
      <c r="R643" s="485"/>
      <c r="S643" s="424"/>
      <c r="T643" s="628"/>
      <c r="U643" s="629"/>
      <c r="V643" s="629"/>
      <c r="W643" s="629"/>
      <c r="X643" s="629"/>
      <c r="Y643" s="485"/>
      <c r="Z643" s="485"/>
      <c r="AA643" s="485"/>
      <c r="AB643" s="485"/>
      <c r="AC643" s="485"/>
      <c r="AD643" s="602"/>
      <c r="AE643" s="602"/>
      <c r="AF643" s="561"/>
      <c r="AG643" s="561"/>
      <c r="AH643" s="561" t="str">
        <f>IFERROR(INDEX('Annex 2_Code'!$J$110:$J$122,MATCH('Annex 3_MAFF'!AF643,'Annex 2_Code'!$G$110:$G$122,0)),"")</f>
        <v/>
      </c>
    </row>
    <row r="644" spans="1:34">
      <c r="A644" s="102"/>
      <c r="B644" s="127"/>
      <c r="C644" s="82"/>
      <c r="D644" s="97"/>
      <c r="E644" s="97"/>
      <c r="F644" s="485"/>
      <c r="G644" s="97"/>
      <c r="H644" s="561"/>
      <c r="I644" s="593"/>
      <c r="J644" s="485"/>
      <c r="K644" s="485"/>
      <c r="L644" s="485"/>
      <c r="M644" s="485"/>
      <c r="N644" s="485"/>
      <c r="O644" s="485"/>
      <c r="P644" s="485"/>
      <c r="Q644" s="485"/>
      <c r="R644" s="485"/>
      <c r="S644" s="424"/>
      <c r="T644" s="628"/>
      <c r="U644" s="629"/>
      <c r="V644" s="629"/>
      <c r="W644" s="629"/>
      <c r="X644" s="629"/>
      <c r="Y644" s="485"/>
      <c r="Z644" s="485"/>
      <c r="AA644" s="485"/>
      <c r="AB644" s="485"/>
      <c r="AC644" s="485"/>
      <c r="AD644" s="602"/>
      <c r="AE644" s="602"/>
      <c r="AF644" s="561"/>
      <c r="AG644" s="561"/>
      <c r="AH644" s="561" t="str">
        <f>IFERROR(INDEX('Annex 2_Code'!$J$110:$J$122,MATCH('Annex 3_MAFF'!AF644,'Annex 2_Code'!$G$110:$G$122,0)),"")</f>
        <v/>
      </c>
    </row>
    <row r="645" spans="1:34">
      <c r="A645" s="102"/>
      <c r="B645" s="127"/>
      <c r="C645" s="82"/>
      <c r="D645" s="97"/>
      <c r="E645" s="97"/>
      <c r="F645" s="485"/>
      <c r="G645" s="97"/>
      <c r="H645" s="561"/>
      <c r="I645" s="593"/>
      <c r="J645" s="485"/>
      <c r="K645" s="485"/>
      <c r="L645" s="485"/>
      <c r="M645" s="485"/>
      <c r="N645" s="485"/>
      <c r="O645" s="485"/>
      <c r="P645" s="485"/>
      <c r="Q645" s="485"/>
      <c r="R645" s="485"/>
      <c r="S645" s="424"/>
      <c r="T645" s="628"/>
      <c r="U645" s="629"/>
      <c r="V645" s="629"/>
      <c r="W645" s="629"/>
      <c r="X645" s="629"/>
      <c r="Y645" s="485"/>
      <c r="Z645" s="485"/>
      <c r="AA645" s="485"/>
      <c r="AB645" s="485"/>
      <c r="AC645" s="485"/>
      <c r="AD645" s="602"/>
      <c r="AE645" s="602"/>
      <c r="AF645" s="561"/>
      <c r="AG645" s="561"/>
      <c r="AH645" s="561" t="str">
        <f>IFERROR(INDEX('Annex 2_Code'!$J$110:$J$122,MATCH('Annex 3_MAFF'!AF645,'Annex 2_Code'!$G$110:$G$122,0)),"")</f>
        <v/>
      </c>
    </row>
    <row r="646" spans="1:34">
      <c r="A646" s="102"/>
      <c r="B646" s="127"/>
      <c r="C646" s="82"/>
      <c r="D646" s="97"/>
      <c r="E646" s="97"/>
      <c r="F646" s="485"/>
      <c r="G646" s="97"/>
      <c r="H646" s="561"/>
      <c r="I646" s="593"/>
      <c r="J646" s="485"/>
      <c r="K646" s="485"/>
      <c r="L646" s="485"/>
      <c r="M646" s="485"/>
      <c r="N646" s="485"/>
      <c r="O646" s="485"/>
      <c r="P646" s="485"/>
      <c r="Q646" s="485"/>
      <c r="R646" s="485"/>
      <c r="S646" s="424"/>
      <c r="T646" s="628"/>
      <c r="U646" s="629"/>
      <c r="V646" s="629"/>
      <c r="W646" s="629"/>
      <c r="X646" s="629"/>
      <c r="Y646" s="485"/>
      <c r="Z646" s="485"/>
      <c r="AA646" s="485"/>
      <c r="AB646" s="485"/>
      <c r="AC646" s="485"/>
      <c r="AD646" s="602"/>
      <c r="AE646" s="602"/>
      <c r="AF646" s="561"/>
      <c r="AG646" s="561"/>
      <c r="AH646" s="561" t="str">
        <f>IFERROR(INDEX('Annex 2_Code'!$J$110:$J$122,MATCH('Annex 3_MAFF'!AF646,'Annex 2_Code'!$G$110:$G$122,0)),"")</f>
        <v/>
      </c>
    </row>
    <row r="647" spans="1:34">
      <c r="A647" s="102"/>
      <c r="B647" s="127"/>
      <c r="C647" s="82"/>
      <c r="D647" s="97"/>
      <c r="E647" s="97"/>
      <c r="F647" s="485"/>
      <c r="G647" s="97"/>
      <c r="H647" s="561"/>
      <c r="I647" s="593"/>
      <c r="J647" s="485"/>
      <c r="K647" s="485"/>
      <c r="L647" s="485"/>
      <c r="M647" s="485"/>
      <c r="N647" s="485"/>
      <c r="O647" s="485"/>
      <c r="P647" s="485"/>
      <c r="Q647" s="485"/>
      <c r="R647" s="485"/>
      <c r="S647" s="424"/>
      <c r="T647" s="628"/>
      <c r="U647" s="629"/>
      <c r="V647" s="629"/>
      <c r="W647" s="629"/>
      <c r="X647" s="629"/>
      <c r="Y647" s="485"/>
      <c r="Z647" s="485"/>
      <c r="AA647" s="485"/>
      <c r="AB647" s="485"/>
      <c r="AC647" s="485"/>
      <c r="AD647" s="602"/>
      <c r="AE647" s="602"/>
      <c r="AF647" s="561"/>
      <c r="AG647" s="561"/>
      <c r="AH647" s="561" t="str">
        <f>IFERROR(INDEX('Annex 2_Code'!$J$110:$J$122,MATCH('Annex 3_MAFF'!AF647,'Annex 2_Code'!$G$110:$G$122,0)),"")</f>
        <v/>
      </c>
    </row>
    <row r="648" spans="1:34">
      <c r="A648" s="102"/>
      <c r="B648" s="127"/>
      <c r="C648" s="82"/>
      <c r="D648" s="97"/>
      <c r="E648" s="97"/>
      <c r="F648" s="485"/>
      <c r="G648" s="97"/>
      <c r="H648" s="561"/>
      <c r="I648" s="593"/>
      <c r="J648" s="485"/>
      <c r="K648" s="485"/>
      <c r="L648" s="485"/>
      <c r="M648" s="485"/>
      <c r="N648" s="485"/>
      <c r="O648" s="485"/>
      <c r="P648" s="485"/>
      <c r="Q648" s="485"/>
      <c r="R648" s="485"/>
      <c r="S648" s="424"/>
      <c r="T648" s="628"/>
      <c r="U648" s="629"/>
      <c r="V648" s="629"/>
      <c r="W648" s="629"/>
      <c r="X648" s="629"/>
      <c r="Y648" s="485"/>
      <c r="Z648" s="485"/>
      <c r="AA648" s="485"/>
      <c r="AB648" s="485"/>
      <c r="AC648" s="485"/>
      <c r="AD648" s="602"/>
      <c r="AE648" s="602"/>
      <c r="AF648" s="561"/>
      <c r="AG648" s="561"/>
      <c r="AH648" s="561" t="str">
        <f>IFERROR(INDEX('Annex 2_Code'!$J$110:$J$122,MATCH('Annex 3_MAFF'!AF648,'Annex 2_Code'!$G$110:$G$122,0)),"")</f>
        <v/>
      </c>
    </row>
    <row r="649" spans="1:34">
      <c r="A649" s="102"/>
      <c r="B649" s="127"/>
      <c r="C649" s="82"/>
      <c r="D649" s="97"/>
      <c r="E649" s="97"/>
      <c r="F649" s="485"/>
      <c r="G649" s="97"/>
      <c r="H649" s="561"/>
      <c r="I649" s="593"/>
      <c r="J649" s="485"/>
      <c r="K649" s="485"/>
      <c r="L649" s="485"/>
      <c r="M649" s="485"/>
      <c r="N649" s="485"/>
      <c r="O649" s="485"/>
      <c r="P649" s="485"/>
      <c r="Q649" s="485"/>
      <c r="R649" s="485"/>
      <c r="S649" s="424"/>
      <c r="T649" s="628"/>
      <c r="U649" s="629"/>
      <c r="V649" s="629"/>
      <c r="W649" s="629"/>
      <c r="X649" s="629"/>
      <c r="Y649" s="485"/>
      <c r="Z649" s="485"/>
      <c r="AA649" s="485"/>
      <c r="AB649" s="485"/>
      <c r="AC649" s="485"/>
      <c r="AD649" s="602"/>
      <c r="AE649" s="602"/>
      <c r="AF649" s="561"/>
      <c r="AG649" s="561"/>
      <c r="AH649" s="561" t="str">
        <f>IFERROR(INDEX('Annex 2_Code'!$J$110:$J$122,MATCH('Annex 3_MAFF'!AF649,'Annex 2_Code'!$G$110:$G$122,0)),"")</f>
        <v/>
      </c>
    </row>
    <row r="650" spans="1:34">
      <c r="A650" s="102"/>
      <c r="B650" s="127"/>
      <c r="C650" s="82"/>
      <c r="D650" s="97"/>
      <c r="E650" s="97"/>
      <c r="F650" s="485"/>
      <c r="G650" s="97"/>
      <c r="H650" s="561"/>
      <c r="I650" s="593"/>
      <c r="J650" s="485"/>
      <c r="K650" s="485"/>
      <c r="L650" s="485"/>
      <c r="M650" s="485"/>
      <c r="N650" s="485"/>
      <c r="O650" s="485"/>
      <c r="P650" s="485"/>
      <c r="Q650" s="485"/>
      <c r="R650" s="485"/>
      <c r="S650" s="424"/>
      <c r="T650" s="628"/>
      <c r="U650" s="629"/>
      <c r="V650" s="629"/>
      <c r="W650" s="629"/>
      <c r="X650" s="629"/>
      <c r="Y650" s="485"/>
      <c r="Z650" s="485"/>
      <c r="AA650" s="485"/>
      <c r="AB650" s="485"/>
      <c r="AC650" s="485"/>
      <c r="AD650" s="602"/>
      <c r="AE650" s="602"/>
      <c r="AF650" s="561"/>
      <c r="AG650" s="561"/>
      <c r="AH650" s="561" t="str">
        <f>IFERROR(INDEX('Annex 2_Code'!$J$110:$J$122,MATCH('Annex 3_MAFF'!AF650,'Annex 2_Code'!$G$110:$G$122,0)),"")</f>
        <v/>
      </c>
    </row>
    <row r="651" spans="1:34">
      <c r="A651" s="102"/>
      <c r="B651" s="127"/>
      <c r="C651" s="82"/>
      <c r="D651" s="97"/>
      <c r="E651" s="97"/>
      <c r="F651" s="485"/>
      <c r="G651" s="97"/>
      <c r="H651" s="561"/>
      <c r="I651" s="593"/>
      <c r="J651" s="485"/>
      <c r="K651" s="485"/>
      <c r="L651" s="485"/>
      <c r="M651" s="485"/>
      <c r="N651" s="485"/>
      <c r="O651" s="485"/>
      <c r="P651" s="485"/>
      <c r="Q651" s="485"/>
      <c r="R651" s="485"/>
      <c r="S651" s="424"/>
      <c r="T651" s="628"/>
      <c r="U651" s="629"/>
      <c r="V651" s="629"/>
      <c r="W651" s="629"/>
      <c r="X651" s="629"/>
      <c r="Y651" s="485"/>
      <c r="Z651" s="485"/>
      <c r="AA651" s="485"/>
      <c r="AB651" s="485"/>
      <c r="AC651" s="485"/>
      <c r="AD651" s="602"/>
      <c r="AE651" s="602"/>
      <c r="AF651" s="561"/>
      <c r="AG651" s="561"/>
      <c r="AH651" s="561" t="str">
        <f>IFERROR(INDEX('Annex 2_Code'!$J$110:$J$122,MATCH('Annex 3_MAFF'!AF651,'Annex 2_Code'!$G$110:$G$122,0)),"")</f>
        <v/>
      </c>
    </row>
    <row r="652" spans="1:34">
      <c r="A652" s="102"/>
      <c r="C652" s="82"/>
      <c r="D652" s="97"/>
      <c r="E652" s="97"/>
      <c r="F652" s="485"/>
      <c r="G652" s="97"/>
      <c r="H652" s="561"/>
      <c r="I652" s="593"/>
      <c r="J652" s="485"/>
      <c r="K652" s="485"/>
      <c r="L652" s="485"/>
      <c r="M652" s="485"/>
      <c r="N652" s="485"/>
      <c r="O652" s="485"/>
      <c r="P652" s="485"/>
      <c r="Q652" s="485"/>
      <c r="R652" s="485"/>
      <c r="S652" s="424"/>
      <c r="T652" s="628"/>
      <c r="U652" s="629"/>
      <c r="V652" s="629"/>
      <c r="W652" s="629"/>
      <c r="X652" s="629"/>
      <c r="Y652" s="485"/>
      <c r="Z652" s="485"/>
      <c r="AA652" s="485"/>
      <c r="AB652" s="485"/>
      <c r="AC652" s="485"/>
      <c r="AD652" s="602"/>
      <c r="AE652" s="602"/>
      <c r="AF652" s="561"/>
      <c r="AG652" s="561"/>
      <c r="AH652" s="561" t="str">
        <f>IFERROR(INDEX('Annex 2_Code'!$J$110:$J$122,MATCH('Annex 3_MAFF'!AF652,'Annex 2_Code'!$G$110:$G$122,0)),"")</f>
        <v/>
      </c>
    </row>
    <row r="653" spans="1:34">
      <c r="A653" s="102"/>
      <c r="C653" s="82"/>
      <c r="D653" s="97"/>
      <c r="E653" s="97"/>
      <c r="F653" s="485"/>
      <c r="G653" s="97"/>
      <c r="H653" s="561"/>
      <c r="I653" s="593"/>
      <c r="J653" s="485"/>
      <c r="K653" s="485"/>
      <c r="L653" s="485"/>
      <c r="M653" s="485"/>
      <c r="N653" s="485"/>
      <c r="O653" s="485"/>
      <c r="P653" s="485"/>
      <c r="Q653" s="485"/>
      <c r="R653" s="485"/>
      <c r="S653" s="424"/>
      <c r="T653" s="628"/>
      <c r="U653" s="629"/>
      <c r="V653" s="629"/>
      <c r="W653" s="629"/>
      <c r="X653" s="629"/>
      <c r="Y653" s="485"/>
      <c r="Z653" s="485"/>
      <c r="AA653" s="485"/>
      <c r="AB653" s="485"/>
      <c r="AC653" s="485"/>
      <c r="AD653" s="602"/>
      <c r="AE653" s="602"/>
      <c r="AF653" s="561"/>
      <c r="AG653" s="561"/>
      <c r="AH653" s="561" t="str">
        <f>IFERROR(INDEX('Annex 2_Code'!$J$110:$J$122,MATCH('Annex 3_MAFF'!AF653,'Annex 2_Code'!$G$110:$G$122,0)),"")</f>
        <v/>
      </c>
    </row>
    <row r="654" spans="1:34">
      <c r="Y654" s="485"/>
      <c r="Z654" s="485"/>
      <c r="AA654" s="485"/>
      <c r="AB654" s="485"/>
      <c r="AC654" s="485"/>
      <c r="AD654" s="602"/>
      <c r="AH654" s="561" t="str">
        <f>IFERROR(INDEX('Annex 2_Code'!$J$110:$J$122,MATCH('Annex 3_MAFF'!AF654,'Annex 2_Code'!$G$110:$G$122,0)),"")</f>
        <v/>
      </c>
    </row>
    <row r="655" spans="1:34">
      <c r="AH655" s="561" t="str">
        <f>IFERROR(INDEX('Annex 2_Code'!$J$110:$J$122,MATCH('Annex 3_MAFF'!AF655,'Annex 2_Code'!$G$110:$G$122,0)),"")</f>
        <v/>
      </c>
    </row>
    <row r="656" spans="1:34">
      <c r="AH656" s="561" t="str">
        <f>IFERROR(INDEX('Annex 2_Code'!$J$110:$J$122,MATCH('Annex 3_MAFF'!AF656,'Annex 2_Code'!$G$110:$G$122,0)),"")</f>
        <v/>
      </c>
    </row>
    <row r="657" spans="1:34">
      <c r="AH657" s="561" t="str">
        <f>IFERROR(INDEX('Annex 2_Code'!$J$110:$J$122,MATCH('Annex 3_MAFF'!AF657,'Annex 2_Code'!$G$110:$G$122,0)),"")</f>
        <v/>
      </c>
    </row>
    <row r="658" spans="1:34">
      <c r="AH658" s="561" t="str">
        <f>IFERROR(INDEX('Annex 2_Code'!$J$110:$J$122,MATCH('Annex 3_MAFF'!AF658,'Annex 2_Code'!$G$110:$G$122,0)),"")</f>
        <v/>
      </c>
    </row>
    <row r="659" spans="1:34">
      <c r="AH659" s="561" t="str">
        <f>IFERROR(INDEX('Annex 2_Code'!$J$110:$J$122,MATCH('Annex 3_MAFF'!AF659,'Annex 2_Code'!$G$110:$G$122,0)),"")</f>
        <v/>
      </c>
    </row>
    <row r="660" spans="1:34">
      <c r="AH660" s="561" t="str">
        <f>IFERROR(INDEX('Annex 2_Code'!$J$110:$J$122,MATCH('Annex 3_MAFF'!AF660,'Annex 2_Code'!$G$110:$G$122,0)),"")</f>
        <v/>
      </c>
    </row>
    <row r="661" spans="1:34">
      <c r="AH661" s="561" t="str">
        <f>IFERROR(INDEX('Annex 2_Code'!$J$110:$J$122,MATCH('Annex 3_MAFF'!AF661,'Annex 2_Code'!$G$110:$G$122,0)),"")</f>
        <v/>
      </c>
    </row>
    <row r="662" spans="1:34">
      <c r="A662" s="548"/>
      <c r="B662" s="548"/>
      <c r="C662" s="548"/>
      <c r="D662" s="548"/>
      <c r="E662" s="548"/>
      <c r="G662" s="548"/>
      <c r="H662" s="548"/>
      <c r="I662" s="548"/>
      <c r="S662" s="548"/>
      <c r="T662" s="548"/>
      <c r="U662" s="548"/>
      <c r="V662" s="548"/>
      <c r="W662" s="548"/>
      <c r="X662" s="548"/>
      <c r="AH662" s="561" t="str">
        <f>IFERROR(INDEX('Annex 2_Code'!$J$110:$J$122,MATCH('Annex 3_MAFF'!AF662,'Annex 2_Code'!$G$110:$G$122,0)),"")</f>
        <v/>
      </c>
    </row>
    <row r="663" spans="1:34">
      <c r="A663" s="548"/>
      <c r="B663" s="548"/>
      <c r="C663" s="548"/>
      <c r="D663" s="548"/>
      <c r="E663" s="548"/>
      <c r="G663" s="548"/>
      <c r="H663" s="548"/>
      <c r="I663" s="548"/>
      <c r="S663" s="548"/>
      <c r="T663" s="548"/>
      <c r="U663" s="548"/>
      <c r="V663" s="548"/>
      <c r="W663" s="548"/>
      <c r="X663" s="548"/>
      <c r="AH663" s="561" t="str">
        <f>IFERROR(INDEX('Annex 2_Code'!$J$110:$J$122,MATCH('Annex 3_MAFF'!AF663,'Annex 2_Code'!$G$110:$G$122,0)),"")</f>
        <v/>
      </c>
    </row>
    <row r="664" spans="1:34">
      <c r="A664" s="548"/>
      <c r="B664" s="548"/>
      <c r="C664" s="548"/>
      <c r="D664" s="548"/>
      <c r="E664" s="548"/>
      <c r="G664" s="548"/>
      <c r="H664" s="548"/>
      <c r="I664" s="548"/>
      <c r="S664" s="548"/>
      <c r="T664" s="548"/>
      <c r="U664" s="548"/>
      <c r="V664" s="548"/>
      <c r="W664" s="548"/>
      <c r="X664" s="548"/>
      <c r="AH664" s="561" t="str">
        <f>IFERROR(INDEX('Annex 2_Code'!$J$110:$J$122,MATCH('Annex 3_MAFF'!AF664,'Annex 2_Code'!$G$110:$G$122,0)),"")</f>
        <v/>
      </c>
    </row>
    <row r="665" spans="1:34">
      <c r="A665" s="548"/>
      <c r="B665" s="548"/>
      <c r="C665" s="548"/>
      <c r="D665" s="548"/>
      <c r="E665" s="548"/>
      <c r="G665" s="548"/>
      <c r="H665" s="548"/>
      <c r="I665" s="548"/>
      <c r="S665" s="548"/>
      <c r="T665" s="548"/>
      <c r="U665" s="548"/>
      <c r="V665" s="548"/>
      <c r="W665" s="548"/>
      <c r="X665" s="548"/>
      <c r="AH665" s="561" t="str">
        <f>IFERROR(INDEX('Annex 2_Code'!$J$110:$J$122,MATCH('Annex 3_MAFF'!AF665,'Annex 2_Code'!$G$110:$G$122,0)),"")</f>
        <v/>
      </c>
    </row>
    <row r="666" spans="1:34">
      <c r="A666" s="548"/>
      <c r="B666" s="548"/>
      <c r="C666" s="548"/>
      <c r="D666" s="548"/>
      <c r="E666" s="548"/>
      <c r="G666" s="548"/>
      <c r="H666" s="548"/>
      <c r="I666" s="548"/>
      <c r="S666" s="548"/>
      <c r="T666" s="548"/>
      <c r="U666" s="548"/>
      <c r="V666" s="548"/>
      <c r="W666" s="548"/>
      <c r="X666" s="548"/>
      <c r="AH666" s="561" t="str">
        <f>IFERROR(INDEX('Annex 2_Code'!$J$110:$J$122,MATCH('Annex 3_MAFF'!AF666,'Annex 2_Code'!$G$110:$G$122,0)),"")</f>
        <v/>
      </c>
    </row>
    <row r="667" spans="1:34">
      <c r="A667" s="548"/>
      <c r="B667" s="548"/>
      <c r="C667" s="548"/>
      <c r="D667" s="548"/>
      <c r="E667" s="548"/>
      <c r="G667" s="548"/>
      <c r="H667" s="548"/>
      <c r="I667" s="548"/>
      <c r="S667" s="548"/>
      <c r="T667" s="548"/>
      <c r="U667" s="548"/>
      <c r="V667" s="548"/>
      <c r="W667" s="548"/>
      <c r="X667" s="548"/>
      <c r="AH667" s="561" t="str">
        <f>IFERROR(INDEX('Annex 2_Code'!$J$110:$J$122,MATCH('Annex 3_MAFF'!AF667,'Annex 2_Code'!$G$110:$G$122,0)),"")</f>
        <v/>
      </c>
    </row>
    <row r="668" spans="1:34">
      <c r="A668" s="548"/>
      <c r="B668" s="548"/>
      <c r="C668" s="548"/>
      <c r="D668" s="548"/>
      <c r="E668" s="548"/>
      <c r="G668" s="548"/>
      <c r="H668" s="548"/>
      <c r="I668" s="548"/>
      <c r="S668" s="548"/>
      <c r="T668" s="548"/>
      <c r="U668" s="548"/>
      <c r="V668" s="548"/>
      <c r="W668" s="548"/>
      <c r="X668" s="548"/>
      <c r="AH668" s="561" t="str">
        <f>IFERROR(INDEX('Annex 2_Code'!$J$110:$J$122,MATCH('Annex 3_MAFF'!AF668,'Annex 2_Code'!$G$110:$G$122,0)),"")</f>
        <v/>
      </c>
    </row>
    <row r="669" spans="1:34">
      <c r="A669" s="548"/>
      <c r="B669" s="548"/>
      <c r="C669" s="548"/>
      <c r="D669" s="548"/>
      <c r="E669" s="548"/>
      <c r="G669" s="548"/>
      <c r="H669" s="548"/>
      <c r="I669" s="548"/>
      <c r="S669" s="548"/>
      <c r="T669" s="548"/>
      <c r="U669" s="548"/>
      <c r="V669" s="548"/>
      <c r="W669" s="548"/>
      <c r="X669" s="548"/>
      <c r="AH669" s="561" t="str">
        <f>IFERROR(INDEX('Annex 2_Code'!$J$110:$J$122,MATCH('Annex 3_MAFF'!AF669,'Annex 2_Code'!$G$110:$G$122,0)),"")</f>
        <v/>
      </c>
    </row>
    <row r="670" spans="1:34">
      <c r="A670" s="548"/>
      <c r="B670" s="548"/>
      <c r="C670" s="548"/>
      <c r="D670" s="548"/>
      <c r="E670" s="548"/>
      <c r="G670" s="548"/>
      <c r="H670" s="548"/>
      <c r="I670" s="548"/>
      <c r="S670" s="548"/>
      <c r="T670" s="548"/>
      <c r="U670" s="548"/>
      <c r="V670" s="548"/>
      <c r="W670" s="548"/>
      <c r="X670" s="548"/>
      <c r="AH670" s="561" t="str">
        <f>IFERROR(INDEX('Annex 2_Code'!$J$110:$J$122,MATCH('Annex 3_MAFF'!AF670,'Annex 2_Code'!$G$110:$G$122,0)),"")</f>
        <v/>
      </c>
    </row>
    <row r="671" spans="1:34">
      <c r="A671" s="548"/>
      <c r="B671" s="548"/>
      <c r="C671" s="548"/>
      <c r="D671" s="548"/>
      <c r="E671" s="548"/>
      <c r="G671" s="548"/>
      <c r="H671" s="548"/>
      <c r="I671" s="548"/>
      <c r="S671" s="548"/>
      <c r="T671" s="548"/>
      <c r="U671" s="548"/>
      <c r="V671" s="548"/>
      <c r="W671" s="548"/>
      <c r="X671" s="548"/>
      <c r="AH671" s="561" t="str">
        <f>IFERROR(INDEX('Annex 2_Code'!$J$110:$J$122,MATCH('Annex 3_MAFF'!AF671,'Annex 2_Code'!$G$110:$G$122,0)),"")</f>
        <v/>
      </c>
    </row>
    <row r="672" spans="1:34">
      <c r="A672" s="548"/>
      <c r="B672" s="548"/>
      <c r="C672" s="548"/>
      <c r="D672" s="548"/>
      <c r="E672" s="548"/>
      <c r="G672" s="548"/>
      <c r="H672" s="548"/>
      <c r="I672" s="548"/>
      <c r="S672" s="548"/>
      <c r="T672" s="548"/>
      <c r="U672" s="548"/>
      <c r="V672" s="548"/>
      <c r="W672" s="548"/>
      <c r="X672" s="548"/>
      <c r="AH672" s="561" t="str">
        <f>IFERROR(INDEX('Annex 2_Code'!$J$110:$J$122,MATCH('Annex 3_MAFF'!AF672,'Annex 2_Code'!$G$110:$G$122,0)),"")</f>
        <v/>
      </c>
    </row>
    <row r="673" spans="1:34">
      <c r="A673" s="548"/>
      <c r="B673" s="548"/>
      <c r="C673" s="548"/>
      <c r="D673" s="548"/>
      <c r="E673" s="548"/>
      <c r="G673" s="548"/>
      <c r="H673" s="548"/>
      <c r="I673" s="548"/>
      <c r="S673" s="548"/>
      <c r="T673" s="548"/>
      <c r="U673" s="548"/>
      <c r="V673" s="548"/>
      <c r="W673" s="548"/>
      <c r="X673" s="548"/>
      <c r="AH673" s="561" t="str">
        <f>IFERROR(INDEX('Annex 2_Code'!$J$110:$J$122,MATCH('Annex 3_MAFF'!AF673,'Annex 2_Code'!$G$110:$G$122,0)),"")</f>
        <v/>
      </c>
    </row>
    <row r="674" spans="1:34">
      <c r="A674" s="548"/>
      <c r="B674" s="548"/>
      <c r="C674" s="548"/>
      <c r="D674" s="548"/>
      <c r="E674" s="548"/>
      <c r="G674" s="548"/>
      <c r="H674" s="548"/>
      <c r="I674" s="548"/>
      <c r="S674" s="548"/>
      <c r="T674" s="548"/>
      <c r="U674" s="548"/>
      <c r="V674" s="548"/>
      <c r="W674" s="548"/>
      <c r="X674" s="548"/>
      <c r="AH674" s="561" t="str">
        <f>IFERROR(INDEX('Annex 2_Code'!$J$110:$J$122,MATCH('Annex 3_MAFF'!AF674,'Annex 2_Code'!$G$110:$G$122,0)),"")</f>
        <v/>
      </c>
    </row>
    <row r="675" spans="1:34">
      <c r="A675" s="548"/>
      <c r="B675" s="548"/>
      <c r="C675" s="548"/>
      <c r="D675" s="548"/>
      <c r="E675" s="548"/>
      <c r="G675" s="548"/>
      <c r="H675" s="548"/>
      <c r="I675" s="548"/>
      <c r="S675" s="548"/>
      <c r="T675" s="548"/>
      <c r="U675" s="548"/>
      <c r="V675" s="548"/>
      <c r="W675" s="548"/>
      <c r="X675" s="548"/>
      <c r="AH675" s="561" t="str">
        <f>IFERROR(INDEX('Annex 2_Code'!$J$110:$J$122,MATCH('Annex 3_MAFF'!AF675,'Annex 2_Code'!$G$110:$G$122,0)),"")</f>
        <v/>
      </c>
    </row>
    <row r="676" spans="1:34">
      <c r="A676" s="548"/>
      <c r="B676" s="548"/>
      <c r="C676" s="548"/>
      <c r="D676" s="548"/>
      <c r="E676" s="548"/>
      <c r="G676" s="548"/>
      <c r="H676" s="548"/>
      <c r="I676" s="548"/>
      <c r="S676" s="548"/>
      <c r="T676" s="548"/>
      <c r="U676" s="548"/>
      <c r="V676" s="548"/>
      <c r="W676" s="548"/>
      <c r="X676" s="548"/>
      <c r="AH676" s="561" t="str">
        <f>IFERROR(INDEX('Annex 2_Code'!$J$110:$J$122,MATCH('Annex 3_MAFF'!AF676,'Annex 2_Code'!$G$110:$G$122,0)),"")</f>
        <v/>
      </c>
    </row>
    <row r="677" spans="1:34">
      <c r="A677" s="548"/>
      <c r="B677" s="548"/>
      <c r="C677" s="548"/>
      <c r="D677" s="548"/>
      <c r="E677" s="548"/>
      <c r="G677" s="548"/>
      <c r="H677" s="548"/>
      <c r="I677" s="548"/>
      <c r="S677" s="548"/>
      <c r="T677" s="548"/>
      <c r="U677" s="548"/>
      <c r="V677" s="548"/>
      <c r="W677" s="548"/>
      <c r="X677" s="548"/>
      <c r="AH677" s="561" t="str">
        <f>IFERROR(INDEX('Annex 2_Code'!$J$110:$J$122,MATCH('Annex 3_MAFF'!AF677,'Annex 2_Code'!$G$110:$G$122,0)),"")</f>
        <v/>
      </c>
    </row>
    <row r="678" spans="1:34">
      <c r="A678" s="548"/>
      <c r="B678" s="548"/>
      <c r="C678" s="548"/>
      <c r="D678" s="548"/>
      <c r="E678" s="548"/>
      <c r="G678" s="548"/>
      <c r="H678" s="548"/>
      <c r="I678" s="548"/>
      <c r="S678" s="548"/>
      <c r="T678" s="548"/>
      <c r="U678" s="548"/>
      <c r="V678" s="548"/>
      <c r="W678" s="548"/>
      <c r="X678" s="548"/>
      <c r="AH678" s="561" t="str">
        <f>IFERROR(INDEX('Annex 2_Code'!$J$110:$J$122,MATCH('Annex 3_MAFF'!AF678,'Annex 2_Code'!$G$110:$G$122,0)),"")</f>
        <v/>
      </c>
    </row>
    <row r="679" spans="1:34">
      <c r="A679" s="548"/>
      <c r="B679" s="548"/>
      <c r="C679" s="548"/>
      <c r="D679" s="548"/>
      <c r="E679" s="548"/>
      <c r="G679" s="548"/>
      <c r="H679" s="548"/>
      <c r="I679" s="548"/>
      <c r="S679" s="548"/>
      <c r="T679" s="548"/>
      <c r="U679" s="548"/>
      <c r="V679" s="548"/>
      <c r="W679" s="548"/>
      <c r="X679" s="548"/>
      <c r="AH679" s="561" t="str">
        <f>IFERROR(INDEX('Annex 2_Code'!$J$110:$J$122,MATCH('Annex 3_MAFF'!AF679,'Annex 2_Code'!$G$110:$G$122,0)),"")</f>
        <v/>
      </c>
    </row>
    <row r="680" spans="1:34">
      <c r="A680" s="548"/>
      <c r="B680" s="548"/>
      <c r="C680" s="548"/>
      <c r="D680" s="548"/>
      <c r="E680" s="548"/>
      <c r="G680" s="548"/>
      <c r="H680" s="548"/>
      <c r="I680" s="548"/>
      <c r="S680" s="548"/>
      <c r="T680" s="548"/>
      <c r="U680" s="548"/>
      <c r="V680" s="548"/>
      <c r="W680" s="548"/>
      <c r="X680" s="548"/>
      <c r="AH680" s="561" t="str">
        <f>IFERROR(INDEX('Annex 2_Code'!$J$110:$J$122,MATCH('Annex 3_MAFF'!AF680,'Annex 2_Code'!$G$110:$G$122,0)),"")</f>
        <v/>
      </c>
    </row>
    <row r="681" spans="1:34">
      <c r="A681" s="548"/>
      <c r="B681" s="548"/>
      <c r="C681" s="548"/>
      <c r="D681" s="548"/>
      <c r="E681" s="548"/>
      <c r="G681" s="548"/>
      <c r="H681" s="548"/>
      <c r="I681" s="548"/>
      <c r="S681" s="548"/>
      <c r="T681" s="548"/>
      <c r="U681" s="548"/>
      <c r="V681" s="548"/>
      <c r="W681" s="548"/>
      <c r="X681" s="548"/>
      <c r="AH681" s="561" t="str">
        <f>IFERROR(INDEX('Annex 2_Code'!$J$110:$J$122,MATCH('Annex 3_MAFF'!AF681,'Annex 2_Code'!$G$110:$G$122,0)),"")</f>
        <v/>
      </c>
    </row>
    <row r="682" spans="1:34">
      <c r="A682" s="548"/>
      <c r="B682" s="548"/>
      <c r="C682" s="548"/>
      <c r="D682" s="548"/>
      <c r="E682" s="548"/>
      <c r="G682" s="548"/>
      <c r="H682" s="548"/>
      <c r="I682" s="548"/>
      <c r="S682" s="548"/>
      <c r="T682" s="548"/>
      <c r="U682" s="548"/>
      <c r="V682" s="548"/>
      <c r="W682" s="548"/>
      <c r="X682" s="548"/>
      <c r="AH682" s="561" t="str">
        <f>IFERROR(INDEX('Annex 2_Code'!$J$110:$J$122,MATCH('Annex 3_MAFF'!AF682,'Annex 2_Code'!$G$110:$G$122,0)),"")</f>
        <v/>
      </c>
    </row>
    <row r="683" spans="1:34">
      <c r="A683" s="548"/>
      <c r="B683" s="548"/>
      <c r="C683" s="548"/>
      <c r="D683" s="548"/>
      <c r="E683" s="548"/>
      <c r="G683" s="548"/>
      <c r="H683" s="548"/>
      <c r="I683" s="548"/>
      <c r="S683" s="548"/>
      <c r="T683" s="548"/>
      <c r="U683" s="548"/>
      <c r="V683" s="548"/>
      <c r="W683" s="548"/>
      <c r="X683" s="548"/>
      <c r="AH683" s="561" t="str">
        <f>IFERROR(INDEX('Annex 2_Code'!$J$110:$J$122,MATCH('Annex 3_MAFF'!AF683,'Annex 2_Code'!$G$110:$G$122,0)),"")</f>
        <v/>
      </c>
    </row>
    <row r="684" spans="1:34">
      <c r="A684" s="548"/>
      <c r="B684" s="548"/>
      <c r="C684" s="548"/>
      <c r="D684" s="548"/>
      <c r="E684" s="548"/>
      <c r="G684" s="548"/>
      <c r="H684" s="548"/>
      <c r="I684" s="548"/>
      <c r="S684" s="548"/>
      <c r="T684" s="548"/>
      <c r="U684" s="548"/>
      <c r="V684" s="548"/>
      <c r="W684" s="548"/>
      <c r="X684" s="548"/>
      <c r="AH684" s="561" t="str">
        <f>IFERROR(INDEX('Annex 2_Code'!$J$110:$J$122,MATCH('Annex 3_MAFF'!AF684,'Annex 2_Code'!$G$110:$G$122,0)),"")</f>
        <v/>
      </c>
    </row>
    <row r="685" spans="1:34">
      <c r="A685" s="548"/>
      <c r="B685" s="548"/>
      <c r="C685" s="548"/>
      <c r="D685" s="548"/>
      <c r="E685" s="548"/>
      <c r="G685" s="548"/>
      <c r="H685" s="548"/>
      <c r="I685" s="548"/>
      <c r="S685" s="548"/>
      <c r="T685" s="548"/>
      <c r="U685" s="548"/>
      <c r="V685" s="548"/>
      <c r="W685" s="548"/>
      <c r="X685" s="548"/>
      <c r="AH685" s="561" t="str">
        <f>IFERROR(INDEX('Annex 2_Code'!$J$110:$J$122,MATCH('Annex 3_MAFF'!AF685,'Annex 2_Code'!$G$110:$G$122,0)),"")</f>
        <v/>
      </c>
    </row>
    <row r="686" spans="1:34">
      <c r="A686" s="548"/>
      <c r="B686" s="548"/>
      <c r="C686" s="548"/>
      <c r="D686" s="548"/>
      <c r="E686" s="548"/>
      <c r="G686" s="548"/>
      <c r="H686" s="548"/>
      <c r="I686" s="548"/>
      <c r="S686" s="548"/>
      <c r="T686" s="548"/>
      <c r="U686" s="548"/>
      <c r="V686" s="548"/>
      <c r="W686" s="548"/>
      <c r="X686" s="548"/>
      <c r="AH686" s="561" t="str">
        <f>IFERROR(INDEX('Annex 2_Code'!$J$110:$J$122,MATCH('Annex 3_MAFF'!AF686,'Annex 2_Code'!$G$110:$G$122,0)),"")</f>
        <v/>
      </c>
    </row>
    <row r="687" spans="1:34">
      <c r="A687" s="548"/>
      <c r="B687" s="548"/>
      <c r="C687" s="548"/>
      <c r="D687" s="548"/>
      <c r="E687" s="548"/>
      <c r="G687" s="548"/>
      <c r="H687" s="548"/>
      <c r="I687" s="548"/>
      <c r="S687" s="548"/>
      <c r="T687" s="548"/>
      <c r="U687" s="548"/>
      <c r="V687" s="548"/>
      <c r="W687" s="548"/>
      <c r="X687" s="548"/>
      <c r="AH687" s="561" t="str">
        <f>IFERROR(INDEX('Annex 2_Code'!$J$110:$J$122,MATCH('Annex 3_MAFF'!AF687,'Annex 2_Code'!$G$110:$G$122,0)),"")</f>
        <v/>
      </c>
    </row>
    <row r="688" spans="1:34">
      <c r="A688" s="548"/>
      <c r="B688" s="548"/>
      <c r="C688" s="548"/>
      <c r="D688" s="548"/>
      <c r="E688" s="548"/>
      <c r="G688" s="548"/>
      <c r="H688" s="548"/>
      <c r="I688" s="548"/>
      <c r="S688" s="548"/>
      <c r="T688" s="548"/>
      <c r="U688" s="548"/>
      <c r="V688" s="548"/>
      <c r="W688" s="548"/>
      <c r="X688" s="548"/>
      <c r="AH688" s="561" t="str">
        <f>IFERROR(INDEX('Annex 2_Code'!$J$110:$J$122,MATCH('Annex 3_MAFF'!AF688,'Annex 2_Code'!$G$110:$G$122,0)),"")</f>
        <v/>
      </c>
    </row>
    <row r="689" spans="1:34">
      <c r="A689" s="548"/>
      <c r="B689" s="548"/>
      <c r="C689" s="548"/>
      <c r="D689" s="548"/>
      <c r="E689" s="548"/>
      <c r="G689" s="548"/>
      <c r="H689" s="548"/>
      <c r="I689" s="548"/>
      <c r="S689" s="548"/>
      <c r="T689" s="548"/>
      <c r="U689" s="548"/>
      <c r="V689" s="548"/>
      <c r="W689" s="548"/>
      <c r="X689" s="548"/>
      <c r="AH689" s="561" t="str">
        <f>IFERROR(INDEX('Annex 2_Code'!$J$110:$J$122,MATCH('Annex 3_MAFF'!AF689,'Annex 2_Code'!$G$110:$G$122,0)),"")</f>
        <v/>
      </c>
    </row>
    <row r="690" spans="1:34">
      <c r="A690" s="548"/>
      <c r="B690" s="548"/>
      <c r="C690" s="548"/>
      <c r="D690" s="548"/>
      <c r="E690" s="548"/>
      <c r="G690" s="548"/>
      <c r="H690" s="548"/>
      <c r="I690" s="548"/>
      <c r="S690" s="548"/>
      <c r="T690" s="548"/>
      <c r="U690" s="548"/>
      <c r="V690" s="548"/>
      <c r="W690" s="548"/>
      <c r="X690" s="548"/>
      <c r="AH690" s="561" t="str">
        <f>IFERROR(INDEX('Annex 2_Code'!$J$110:$J$122,MATCH('Annex 3_MAFF'!AF690,'Annex 2_Code'!$G$110:$G$122,0)),"")</f>
        <v/>
      </c>
    </row>
    <row r="691" spans="1:34">
      <c r="A691" s="548"/>
      <c r="B691" s="548"/>
      <c r="C691" s="548"/>
      <c r="D691" s="548"/>
      <c r="E691" s="548"/>
      <c r="G691" s="548"/>
      <c r="H691" s="548"/>
      <c r="I691" s="548"/>
      <c r="S691" s="548"/>
      <c r="T691" s="548"/>
      <c r="U691" s="548"/>
      <c r="V691" s="548"/>
      <c r="W691" s="548"/>
      <c r="X691" s="548"/>
      <c r="AH691" s="561" t="str">
        <f>IFERROR(INDEX('Annex 2_Code'!$J$110:$J$122,MATCH('Annex 3_MAFF'!AF691,'Annex 2_Code'!$G$110:$G$122,0)),"")</f>
        <v/>
      </c>
    </row>
    <row r="692" spans="1:34">
      <c r="A692" s="548"/>
      <c r="B692" s="548"/>
      <c r="C692" s="548"/>
      <c r="D692" s="548"/>
      <c r="E692" s="548"/>
      <c r="G692" s="548"/>
      <c r="H692" s="548"/>
      <c r="I692" s="548"/>
      <c r="S692" s="548"/>
      <c r="T692" s="548"/>
      <c r="U692" s="548"/>
      <c r="V692" s="548"/>
      <c r="W692" s="548"/>
      <c r="X692" s="548"/>
      <c r="AH692" s="561" t="str">
        <f>IFERROR(INDEX('Annex 2_Code'!$J$110:$J$122,MATCH('Annex 3_MAFF'!AF692,'Annex 2_Code'!$G$110:$G$122,0)),"")</f>
        <v/>
      </c>
    </row>
    <row r="693" spans="1:34">
      <c r="A693" s="548"/>
      <c r="B693" s="548"/>
      <c r="C693" s="548"/>
      <c r="D693" s="548"/>
      <c r="E693" s="548"/>
      <c r="G693" s="548"/>
      <c r="H693" s="548"/>
      <c r="I693" s="548"/>
      <c r="S693" s="548"/>
      <c r="T693" s="548"/>
      <c r="U693" s="548"/>
      <c r="V693" s="548"/>
      <c r="W693" s="548"/>
      <c r="X693" s="548"/>
      <c r="AH693" s="561" t="str">
        <f>IFERROR(INDEX('Annex 2_Code'!$J$110:$J$122,MATCH('Annex 3_MAFF'!AF693,'Annex 2_Code'!$G$110:$G$122,0)),"")</f>
        <v/>
      </c>
    </row>
    <row r="694" spans="1:34">
      <c r="A694" s="548"/>
      <c r="B694" s="548"/>
      <c r="C694" s="548"/>
      <c r="D694" s="548"/>
      <c r="E694" s="548"/>
      <c r="G694" s="548"/>
      <c r="H694" s="548"/>
      <c r="I694" s="548"/>
      <c r="S694" s="548"/>
      <c r="T694" s="548"/>
      <c r="U694" s="548"/>
      <c r="V694" s="548"/>
      <c r="W694" s="548"/>
      <c r="X694" s="548"/>
      <c r="AH694" s="561" t="str">
        <f>IFERROR(INDEX('Annex 2_Code'!$J$110:$J$122,MATCH('Annex 3_MAFF'!AF694,'Annex 2_Code'!$G$110:$G$122,0)),"")</f>
        <v/>
      </c>
    </row>
    <row r="695" spans="1:34">
      <c r="A695" s="548"/>
      <c r="B695" s="548"/>
      <c r="C695" s="548"/>
      <c r="D695" s="548"/>
      <c r="E695" s="548"/>
      <c r="G695" s="548"/>
      <c r="H695" s="548"/>
      <c r="I695" s="548"/>
      <c r="S695" s="548"/>
      <c r="T695" s="548"/>
      <c r="U695" s="548"/>
      <c r="V695" s="548"/>
      <c r="W695" s="548"/>
      <c r="X695" s="548"/>
      <c r="AH695" s="561" t="str">
        <f>IFERROR(INDEX('Annex 2_Code'!$J$110:$J$122,MATCH('Annex 3_MAFF'!AF695,'Annex 2_Code'!$G$110:$G$122,0)),"")</f>
        <v/>
      </c>
    </row>
    <row r="696" spans="1:34">
      <c r="A696" s="548"/>
      <c r="B696" s="548"/>
      <c r="C696" s="548"/>
      <c r="D696" s="548"/>
      <c r="E696" s="548"/>
      <c r="G696" s="548"/>
      <c r="H696" s="548"/>
      <c r="I696" s="548"/>
      <c r="S696" s="548"/>
      <c r="T696" s="548"/>
      <c r="U696" s="548"/>
      <c r="V696" s="548"/>
      <c r="W696" s="548"/>
      <c r="X696" s="548"/>
      <c r="AH696" s="561" t="str">
        <f>IFERROR(INDEX('Annex 2_Code'!$J$110:$J$122,MATCH('Annex 3_MAFF'!AF696,'Annex 2_Code'!$G$110:$G$122,0)),"")</f>
        <v/>
      </c>
    </row>
    <row r="697" spans="1:34">
      <c r="A697" s="548"/>
      <c r="B697" s="548"/>
      <c r="C697" s="548"/>
      <c r="D697" s="548"/>
      <c r="E697" s="548"/>
      <c r="G697" s="548"/>
      <c r="H697" s="548"/>
      <c r="I697" s="548"/>
      <c r="S697" s="548"/>
      <c r="T697" s="548"/>
      <c r="U697" s="548"/>
      <c r="V697" s="548"/>
      <c r="W697" s="548"/>
      <c r="X697" s="548"/>
      <c r="AH697" s="561" t="str">
        <f>IFERROR(INDEX('Annex 2_Code'!$J$110:$J$122,MATCH('Annex 3_MAFF'!AF697,'Annex 2_Code'!$G$110:$G$122,0)),"")</f>
        <v/>
      </c>
    </row>
    <row r="698" spans="1:34">
      <c r="A698" s="548"/>
      <c r="B698" s="548"/>
      <c r="C698" s="548"/>
      <c r="D698" s="548"/>
      <c r="E698" s="548"/>
      <c r="G698" s="548"/>
      <c r="H698" s="548"/>
      <c r="I698" s="548"/>
      <c r="S698" s="548"/>
      <c r="T698" s="548"/>
      <c r="U698" s="548"/>
      <c r="V698" s="548"/>
      <c r="W698" s="548"/>
      <c r="X698" s="548"/>
      <c r="AH698" s="561" t="str">
        <f>IFERROR(INDEX('Annex 2_Code'!$J$110:$J$122,MATCH('Annex 3_MAFF'!AF698,'Annex 2_Code'!$G$110:$G$122,0)),"")</f>
        <v/>
      </c>
    </row>
    <row r="699" spans="1:34">
      <c r="A699" s="548"/>
      <c r="B699" s="548"/>
      <c r="C699" s="548"/>
      <c r="D699" s="548"/>
      <c r="E699" s="548"/>
      <c r="G699" s="548"/>
      <c r="H699" s="548"/>
      <c r="I699" s="548"/>
      <c r="S699" s="548"/>
      <c r="T699" s="548"/>
      <c r="U699" s="548"/>
      <c r="V699" s="548"/>
      <c r="W699" s="548"/>
      <c r="X699" s="548"/>
      <c r="AH699" s="561" t="str">
        <f>IFERROR(INDEX('Annex 2_Code'!$J$110:$J$122,MATCH('Annex 3_MAFF'!AF699,'Annex 2_Code'!$G$110:$G$122,0)),"")</f>
        <v/>
      </c>
    </row>
    <row r="700" spans="1:34">
      <c r="A700" s="548"/>
      <c r="B700" s="548"/>
      <c r="C700" s="548"/>
      <c r="D700" s="548"/>
      <c r="E700" s="548"/>
      <c r="G700" s="548"/>
      <c r="H700" s="548"/>
      <c r="I700" s="548"/>
      <c r="S700" s="548"/>
      <c r="T700" s="548"/>
      <c r="U700" s="548"/>
      <c r="V700" s="548"/>
      <c r="W700" s="548"/>
      <c r="X700" s="548"/>
      <c r="AH700" s="561" t="str">
        <f>IFERROR(INDEX('Annex 2_Code'!$J$110:$J$122,MATCH('Annex 3_MAFF'!AF700,'Annex 2_Code'!$G$110:$G$122,0)),"")</f>
        <v/>
      </c>
    </row>
    <row r="701" spans="1:34">
      <c r="A701" s="548"/>
      <c r="B701" s="548"/>
      <c r="C701" s="548"/>
      <c r="D701" s="548"/>
      <c r="E701" s="548"/>
      <c r="G701" s="548"/>
      <c r="H701" s="548"/>
      <c r="I701" s="548"/>
      <c r="S701" s="548"/>
      <c r="T701" s="548"/>
      <c r="U701" s="548"/>
      <c r="V701" s="548"/>
      <c r="W701" s="548"/>
      <c r="X701" s="548"/>
      <c r="AH701" s="561" t="str">
        <f>IFERROR(INDEX('Annex 2_Code'!$J$110:$J$122,MATCH('Annex 3_MAFF'!AF701,'Annex 2_Code'!$G$110:$G$122,0)),"")</f>
        <v/>
      </c>
    </row>
    <row r="702" spans="1:34">
      <c r="A702" s="548"/>
      <c r="B702" s="548"/>
      <c r="C702" s="548"/>
      <c r="D702" s="548"/>
      <c r="E702" s="548"/>
      <c r="G702" s="548"/>
      <c r="H702" s="548"/>
      <c r="I702" s="548"/>
      <c r="S702" s="548"/>
      <c r="T702" s="548"/>
      <c r="U702" s="548"/>
      <c r="V702" s="548"/>
      <c r="W702" s="548"/>
      <c r="X702" s="548"/>
      <c r="AH702" s="561" t="str">
        <f>IFERROR(INDEX('Annex 2_Code'!$J$110:$J$122,MATCH('Annex 3_MAFF'!AF702,'Annex 2_Code'!$G$110:$G$122,0)),"")</f>
        <v/>
      </c>
    </row>
    <row r="703" spans="1:34">
      <c r="A703" s="548"/>
      <c r="B703" s="548"/>
      <c r="C703" s="548"/>
      <c r="D703" s="548"/>
      <c r="E703" s="548"/>
      <c r="G703" s="548"/>
      <c r="H703" s="548"/>
      <c r="I703" s="548"/>
      <c r="S703" s="548"/>
      <c r="T703" s="548"/>
      <c r="U703" s="548"/>
      <c r="V703" s="548"/>
      <c r="W703" s="548"/>
      <c r="X703" s="548"/>
      <c r="AH703" s="561" t="str">
        <f>IFERROR(INDEX('Annex 2_Code'!$J$110:$J$122,MATCH('Annex 3_MAFF'!AF703,'Annex 2_Code'!$G$110:$G$122,0)),"")</f>
        <v/>
      </c>
    </row>
    <row r="704" spans="1:34">
      <c r="A704" s="548"/>
      <c r="B704" s="548"/>
      <c r="C704" s="548"/>
      <c r="D704" s="548"/>
      <c r="E704" s="548"/>
      <c r="G704" s="548"/>
      <c r="H704" s="548"/>
      <c r="I704" s="548"/>
      <c r="S704" s="548"/>
      <c r="T704" s="548"/>
      <c r="U704" s="548"/>
      <c r="V704" s="548"/>
      <c r="W704" s="548"/>
      <c r="X704" s="548"/>
      <c r="AH704" s="561" t="str">
        <f>IFERROR(INDEX('Annex 2_Code'!$J$110:$J$122,MATCH('Annex 3_MAFF'!AF704,'Annex 2_Code'!$G$110:$G$122,0)),"")</f>
        <v/>
      </c>
    </row>
    <row r="705" spans="1:34">
      <c r="A705" s="548"/>
      <c r="B705" s="548"/>
      <c r="C705" s="548"/>
      <c r="D705" s="548"/>
      <c r="E705" s="548"/>
      <c r="G705" s="548"/>
      <c r="H705" s="548"/>
      <c r="I705" s="548"/>
      <c r="S705" s="548"/>
      <c r="T705" s="548"/>
      <c r="U705" s="548"/>
      <c r="V705" s="548"/>
      <c r="W705" s="548"/>
      <c r="X705" s="548"/>
      <c r="AH705" s="561" t="str">
        <f>IFERROR(INDEX('Annex 2_Code'!$J$110:$J$122,MATCH('Annex 3_MAFF'!AF705,'Annex 2_Code'!$G$110:$G$122,0)),"")</f>
        <v/>
      </c>
    </row>
    <row r="706" spans="1:34">
      <c r="A706" s="548"/>
      <c r="B706" s="548"/>
      <c r="C706" s="548"/>
      <c r="D706" s="548"/>
      <c r="E706" s="548"/>
      <c r="G706" s="548"/>
      <c r="H706" s="548"/>
      <c r="I706" s="548"/>
      <c r="S706" s="548"/>
      <c r="T706" s="548"/>
      <c r="U706" s="548"/>
      <c r="V706" s="548"/>
      <c r="W706" s="548"/>
      <c r="X706" s="548"/>
      <c r="AH706" s="561" t="str">
        <f>IFERROR(INDEX('Annex 2_Code'!$J$110:$J$122,MATCH('Annex 3_MAFF'!AF706,'Annex 2_Code'!$G$110:$G$122,0)),"")</f>
        <v/>
      </c>
    </row>
    <row r="707" spans="1:34">
      <c r="A707" s="548"/>
      <c r="B707" s="548"/>
      <c r="C707" s="548"/>
      <c r="D707" s="548"/>
      <c r="E707" s="548"/>
      <c r="G707" s="548"/>
      <c r="H707" s="548"/>
      <c r="I707" s="548"/>
      <c r="S707" s="548"/>
      <c r="T707" s="548"/>
      <c r="U707" s="548"/>
      <c r="V707" s="548"/>
      <c r="W707" s="548"/>
      <c r="X707" s="548"/>
      <c r="AH707" s="561" t="str">
        <f>IFERROR(INDEX('Annex 2_Code'!$J$110:$J$122,MATCH('Annex 3_MAFF'!AF707,'Annex 2_Code'!$G$110:$G$122,0)),"")</f>
        <v/>
      </c>
    </row>
    <row r="708" spans="1:34">
      <c r="A708" s="548"/>
      <c r="B708" s="548"/>
      <c r="C708" s="548"/>
      <c r="D708" s="548"/>
      <c r="E708" s="548"/>
      <c r="G708" s="548"/>
      <c r="H708" s="548"/>
      <c r="I708" s="548"/>
      <c r="S708" s="548"/>
      <c r="T708" s="548"/>
      <c r="U708" s="548"/>
      <c r="V708" s="548"/>
      <c r="W708" s="548"/>
      <c r="X708" s="548"/>
      <c r="AH708" s="561" t="str">
        <f>IFERROR(INDEX('Annex 2_Code'!$J$110:$J$122,MATCH('Annex 3_MAFF'!AF708,'Annex 2_Code'!$G$110:$G$122,0)),"")</f>
        <v/>
      </c>
    </row>
    <row r="709" spans="1:34">
      <c r="A709" s="548"/>
      <c r="B709" s="548"/>
      <c r="C709" s="548"/>
      <c r="D709" s="548"/>
      <c r="E709" s="548"/>
      <c r="G709" s="548"/>
      <c r="H709" s="548"/>
      <c r="I709" s="548"/>
      <c r="S709" s="548"/>
      <c r="T709" s="548"/>
      <c r="U709" s="548"/>
      <c r="V709" s="548"/>
      <c r="W709" s="548"/>
      <c r="X709" s="548"/>
      <c r="AH709" s="561" t="str">
        <f>IFERROR(INDEX('Annex 2_Code'!$J$110:$J$122,MATCH('Annex 3_MAFF'!AF709,'Annex 2_Code'!$G$110:$G$122,0)),"")</f>
        <v/>
      </c>
    </row>
    <row r="710" spans="1:34">
      <c r="A710" s="548"/>
      <c r="B710" s="548"/>
      <c r="C710" s="548"/>
      <c r="D710" s="548"/>
      <c r="E710" s="548"/>
      <c r="G710" s="548"/>
      <c r="H710" s="548"/>
      <c r="I710" s="548"/>
      <c r="S710" s="548"/>
      <c r="T710" s="548"/>
      <c r="U710" s="548"/>
      <c r="V710" s="548"/>
      <c r="W710" s="548"/>
      <c r="X710" s="548"/>
      <c r="AH710" s="561" t="str">
        <f>IFERROR(INDEX('Annex 2_Code'!$J$110:$J$122,MATCH('Annex 3_MAFF'!AF710,'Annex 2_Code'!$G$110:$G$122,0)),"")</f>
        <v/>
      </c>
    </row>
    <row r="711" spans="1:34">
      <c r="A711" s="548"/>
      <c r="B711" s="548"/>
      <c r="C711" s="548"/>
      <c r="D711" s="548"/>
      <c r="E711" s="548"/>
      <c r="G711" s="548"/>
      <c r="H711" s="548"/>
      <c r="I711" s="548"/>
      <c r="S711" s="548"/>
      <c r="T711" s="548"/>
      <c r="U711" s="548"/>
      <c r="V711" s="548"/>
      <c r="W711" s="548"/>
      <c r="X711" s="548"/>
      <c r="AH711" s="561" t="str">
        <f>IFERROR(INDEX('Annex 2_Code'!$J$110:$J$122,MATCH('Annex 3_MAFF'!AF711,'Annex 2_Code'!$G$110:$G$122,0)),"")</f>
        <v/>
      </c>
    </row>
    <row r="712" spans="1:34">
      <c r="A712" s="548"/>
      <c r="B712" s="548"/>
      <c r="C712" s="548"/>
      <c r="D712" s="548"/>
      <c r="E712" s="548"/>
      <c r="G712" s="548"/>
      <c r="H712" s="548"/>
      <c r="I712" s="548"/>
      <c r="S712" s="548"/>
      <c r="T712" s="548"/>
      <c r="U712" s="548"/>
      <c r="V712" s="548"/>
      <c r="W712" s="548"/>
      <c r="X712" s="548"/>
      <c r="AH712" s="561" t="str">
        <f>IFERROR(INDEX('Annex 2_Code'!$J$110:$J$122,MATCH('Annex 3_MAFF'!AF712,'Annex 2_Code'!$G$110:$G$122,0)),"")</f>
        <v/>
      </c>
    </row>
    <row r="713" spans="1:34">
      <c r="A713" s="548"/>
      <c r="B713" s="548"/>
      <c r="C713" s="548"/>
      <c r="D713" s="548"/>
      <c r="E713" s="548"/>
      <c r="G713" s="548"/>
      <c r="H713" s="548"/>
      <c r="I713" s="548"/>
      <c r="S713" s="548"/>
      <c r="T713" s="548"/>
      <c r="U713" s="548"/>
      <c r="V713" s="548"/>
      <c r="W713" s="548"/>
      <c r="X713" s="548"/>
      <c r="AH713" s="561" t="str">
        <f>IFERROR(INDEX('Annex 2_Code'!$J$110:$J$122,MATCH('Annex 3_MAFF'!AF713,'Annex 2_Code'!$G$110:$G$122,0)),"")</f>
        <v/>
      </c>
    </row>
    <row r="714" spans="1:34">
      <c r="A714" s="548"/>
      <c r="B714" s="548"/>
      <c r="C714" s="548"/>
      <c r="D714" s="548"/>
      <c r="E714" s="548"/>
      <c r="G714" s="548"/>
      <c r="H714" s="548"/>
      <c r="I714" s="548"/>
      <c r="S714" s="548"/>
      <c r="T714" s="548"/>
      <c r="U714" s="548"/>
      <c r="V714" s="548"/>
      <c r="W714" s="548"/>
      <c r="X714" s="548"/>
      <c r="AH714" s="561" t="str">
        <f>IFERROR(INDEX('Annex 2_Code'!$J$110:$J$122,MATCH('Annex 3_MAFF'!AF714,'Annex 2_Code'!$G$110:$G$122,0)),"")</f>
        <v/>
      </c>
    </row>
    <row r="715" spans="1:34">
      <c r="A715" s="548"/>
      <c r="B715" s="548"/>
      <c r="C715" s="548"/>
      <c r="D715" s="548"/>
      <c r="E715" s="548"/>
      <c r="G715" s="548"/>
      <c r="H715" s="548"/>
      <c r="I715" s="548"/>
      <c r="S715" s="548"/>
      <c r="T715" s="548"/>
      <c r="U715" s="548"/>
      <c r="V715" s="548"/>
      <c r="W715" s="548"/>
      <c r="X715" s="548"/>
      <c r="AH715" s="561" t="str">
        <f>IFERROR(INDEX('Annex 2_Code'!$J$110:$J$122,MATCH('Annex 3_MAFF'!AF715,'Annex 2_Code'!$G$110:$G$122,0)),"")</f>
        <v/>
      </c>
    </row>
    <row r="716" spans="1:34">
      <c r="A716" s="548"/>
      <c r="B716" s="548"/>
      <c r="C716" s="548"/>
      <c r="D716" s="548"/>
      <c r="E716" s="548"/>
      <c r="G716" s="548"/>
      <c r="H716" s="548"/>
      <c r="I716" s="548"/>
      <c r="S716" s="548"/>
      <c r="T716" s="548"/>
      <c r="U716" s="548"/>
      <c r="V716" s="548"/>
      <c r="W716" s="548"/>
      <c r="X716" s="548"/>
      <c r="AH716" s="561" t="str">
        <f>IFERROR(INDEX('Annex 2_Code'!$J$110:$J$122,MATCH('Annex 3_MAFF'!AF716,'Annex 2_Code'!$G$110:$G$122,0)),"")</f>
        <v/>
      </c>
    </row>
    <row r="717" spans="1:34">
      <c r="A717" s="548"/>
      <c r="B717" s="548"/>
      <c r="C717" s="548"/>
      <c r="D717" s="548"/>
      <c r="E717" s="548"/>
      <c r="G717" s="548"/>
      <c r="H717" s="548"/>
      <c r="I717" s="548"/>
      <c r="S717" s="548"/>
      <c r="T717" s="548"/>
      <c r="U717" s="548"/>
      <c r="V717" s="548"/>
      <c r="W717" s="548"/>
      <c r="X717" s="548"/>
      <c r="AH717" s="561" t="str">
        <f>IFERROR(INDEX('Annex 2_Code'!$J$110:$J$122,MATCH('Annex 3_MAFF'!AF717,'Annex 2_Code'!$G$110:$G$122,0)),"")</f>
        <v/>
      </c>
    </row>
    <row r="718" spans="1:34">
      <c r="A718" s="548"/>
      <c r="B718" s="548"/>
      <c r="C718" s="548"/>
      <c r="D718" s="548"/>
      <c r="E718" s="548"/>
      <c r="G718" s="548"/>
      <c r="H718" s="548"/>
      <c r="I718" s="548"/>
      <c r="S718" s="548"/>
      <c r="T718" s="548"/>
      <c r="U718" s="548"/>
      <c r="V718" s="548"/>
      <c r="W718" s="548"/>
      <c r="X718" s="548"/>
      <c r="AH718" s="561" t="str">
        <f>IFERROR(INDEX('Annex 2_Code'!$J$110:$J$122,MATCH('Annex 3_MAFF'!AF718,'Annex 2_Code'!$G$110:$G$122,0)),"")</f>
        <v/>
      </c>
    </row>
    <row r="719" spans="1:34">
      <c r="A719" s="548"/>
      <c r="B719" s="548"/>
      <c r="C719" s="548"/>
      <c r="D719" s="548"/>
      <c r="E719" s="548"/>
      <c r="G719" s="548"/>
      <c r="H719" s="548"/>
      <c r="I719" s="548"/>
      <c r="S719" s="548"/>
      <c r="T719" s="548"/>
      <c r="U719" s="548"/>
      <c r="V719" s="548"/>
      <c r="W719" s="548"/>
      <c r="X719" s="548"/>
      <c r="AH719" s="561" t="str">
        <f>IFERROR(INDEX('Annex 2_Code'!$J$110:$J$122,MATCH('Annex 3_MAFF'!AF719,'Annex 2_Code'!$G$110:$G$122,0)),"")</f>
        <v/>
      </c>
    </row>
    <row r="720" spans="1:34">
      <c r="A720" s="548"/>
      <c r="B720" s="548"/>
      <c r="C720" s="548"/>
      <c r="D720" s="548"/>
      <c r="E720" s="548"/>
      <c r="G720" s="548"/>
      <c r="H720" s="548"/>
      <c r="I720" s="548"/>
      <c r="S720" s="548"/>
      <c r="T720" s="548"/>
      <c r="U720" s="548"/>
      <c r="V720" s="548"/>
      <c r="W720" s="548"/>
      <c r="X720" s="548"/>
      <c r="AH720" s="561" t="str">
        <f>IFERROR(INDEX('Annex 2_Code'!$J$110:$J$122,MATCH('Annex 3_MAFF'!AF720,'Annex 2_Code'!$G$110:$G$122,0)),"")</f>
        <v/>
      </c>
    </row>
    <row r="721" spans="1:34">
      <c r="A721" s="548"/>
      <c r="B721" s="548"/>
      <c r="C721" s="548"/>
      <c r="D721" s="548"/>
      <c r="E721" s="548"/>
      <c r="G721" s="548"/>
      <c r="H721" s="548"/>
      <c r="I721" s="548"/>
      <c r="S721" s="548"/>
      <c r="T721" s="548"/>
      <c r="U721" s="548"/>
      <c r="V721" s="548"/>
      <c r="W721" s="548"/>
      <c r="X721" s="548"/>
      <c r="AH721" s="561" t="str">
        <f>IFERROR(INDEX('Annex 2_Code'!$J$110:$J$122,MATCH('Annex 3_MAFF'!AF721,'Annex 2_Code'!$G$110:$G$122,0)),"")</f>
        <v/>
      </c>
    </row>
    <row r="722" spans="1:34">
      <c r="A722" s="548"/>
      <c r="B722" s="548"/>
      <c r="C722" s="548"/>
      <c r="D722" s="548"/>
      <c r="E722" s="548"/>
      <c r="G722" s="548"/>
      <c r="H722" s="548"/>
      <c r="I722" s="548"/>
      <c r="S722" s="548"/>
      <c r="T722" s="548"/>
      <c r="U722" s="548"/>
      <c r="V722" s="548"/>
      <c r="W722" s="548"/>
      <c r="X722" s="548"/>
      <c r="AH722" s="561" t="str">
        <f>IFERROR(INDEX('Annex 2_Code'!$J$110:$J$122,MATCH('Annex 3_MAFF'!AF722,'Annex 2_Code'!$G$110:$G$122,0)),"")</f>
        <v/>
      </c>
    </row>
    <row r="723" spans="1:34">
      <c r="A723" s="548"/>
      <c r="B723" s="548"/>
      <c r="C723" s="548"/>
      <c r="D723" s="548"/>
      <c r="E723" s="548"/>
      <c r="G723" s="548"/>
      <c r="H723" s="548"/>
      <c r="I723" s="548"/>
      <c r="S723" s="548"/>
      <c r="T723" s="548"/>
      <c r="U723" s="548"/>
      <c r="V723" s="548"/>
      <c r="W723" s="548"/>
      <c r="X723" s="548"/>
      <c r="AH723" s="561" t="str">
        <f>IFERROR(INDEX('Annex 2_Code'!$J$110:$J$122,MATCH('Annex 3_MAFF'!AF723,'Annex 2_Code'!$G$110:$G$122,0)),"")</f>
        <v/>
      </c>
    </row>
    <row r="724" spans="1:34">
      <c r="A724" s="548"/>
      <c r="B724" s="548"/>
      <c r="C724" s="548"/>
      <c r="D724" s="548"/>
      <c r="E724" s="548"/>
      <c r="G724" s="548"/>
      <c r="H724" s="548"/>
      <c r="I724" s="548"/>
      <c r="S724" s="548"/>
      <c r="T724" s="548"/>
      <c r="U724" s="548"/>
      <c r="V724" s="548"/>
      <c r="W724" s="548"/>
      <c r="X724" s="548"/>
      <c r="AH724" s="561" t="str">
        <f>IFERROR(INDEX('Annex 2_Code'!$J$110:$J$122,MATCH('Annex 3_MAFF'!AF724,'Annex 2_Code'!$G$110:$G$122,0)),"")</f>
        <v/>
      </c>
    </row>
    <row r="725" spans="1:34">
      <c r="A725" s="548"/>
      <c r="B725" s="548"/>
      <c r="C725" s="548"/>
      <c r="D725" s="548"/>
      <c r="E725" s="548"/>
      <c r="G725" s="548"/>
      <c r="H725" s="548"/>
      <c r="I725" s="548"/>
      <c r="S725" s="548"/>
      <c r="T725" s="548"/>
      <c r="U725" s="548"/>
      <c r="V725" s="548"/>
      <c r="W725" s="548"/>
      <c r="X725" s="548"/>
      <c r="AH725" s="561" t="str">
        <f>IFERROR(INDEX('Annex 2_Code'!$J$110:$J$122,MATCH('Annex 3_MAFF'!AF725,'Annex 2_Code'!$G$110:$G$122,0)),"")</f>
        <v/>
      </c>
    </row>
    <row r="726" spans="1:34">
      <c r="A726" s="548"/>
      <c r="B726" s="548"/>
      <c r="C726" s="548"/>
      <c r="D726" s="548"/>
      <c r="E726" s="548"/>
      <c r="G726" s="548"/>
      <c r="H726" s="548"/>
      <c r="I726" s="548"/>
      <c r="S726" s="548"/>
      <c r="T726" s="548"/>
      <c r="U726" s="548"/>
      <c r="V726" s="548"/>
      <c r="W726" s="548"/>
      <c r="X726" s="548"/>
      <c r="AH726" s="561" t="str">
        <f>IFERROR(INDEX('Annex 2_Code'!$J$110:$J$122,MATCH('Annex 3_MAFF'!AF726,'Annex 2_Code'!$G$110:$G$122,0)),"")</f>
        <v/>
      </c>
    </row>
    <row r="727" spans="1:34">
      <c r="A727" s="548"/>
      <c r="B727" s="548"/>
      <c r="C727" s="548"/>
      <c r="D727" s="548"/>
      <c r="E727" s="548"/>
      <c r="G727" s="548"/>
      <c r="H727" s="548"/>
      <c r="I727" s="548"/>
      <c r="S727" s="548"/>
      <c r="T727" s="548"/>
      <c r="U727" s="548"/>
      <c r="V727" s="548"/>
      <c r="W727" s="548"/>
      <c r="X727" s="548"/>
      <c r="AH727" s="561" t="str">
        <f>IFERROR(INDEX('Annex 2_Code'!$J$110:$J$122,MATCH('Annex 3_MAFF'!AF727,'Annex 2_Code'!$G$110:$G$122,0)),"")</f>
        <v/>
      </c>
    </row>
    <row r="728" spans="1:34">
      <c r="A728" s="548"/>
      <c r="B728" s="548"/>
      <c r="C728" s="548"/>
      <c r="D728" s="548"/>
      <c r="E728" s="548"/>
      <c r="G728" s="548"/>
      <c r="H728" s="548"/>
      <c r="I728" s="548"/>
      <c r="S728" s="548"/>
      <c r="T728" s="548"/>
      <c r="U728" s="548"/>
      <c r="V728" s="548"/>
      <c r="W728" s="548"/>
      <c r="X728" s="548"/>
      <c r="AH728" s="561" t="str">
        <f>IFERROR(INDEX('Annex 2_Code'!$J$110:$J$122,MATCH('Annex 3_MAFF'!AF728,'Annex 2_Code'!$G$110:$G$122,0)),"")</f>
        <v/>
      </c>
    </row>
    <row r="729" spans="1:34">
      <c r="A729" s="548"/>
      <c r="B729" s="548"/>
      <c r="C729" s="548"/>
      <c r="D729" s="548"/>
      <c r="E729" s="548"/>
      <c r="G729" s="548"/>
      <c r="H729" s="548"/>
      <c r="I729" s="548"/>
      <c r="S729" s="548"/>
      <c r="T729" s="548"/>
      <c r="U729" s="548"/>
      <c r="V729" s="548"/>
      <c r="W729" s="548"/>
      <c r="X729" s="548"/>
      <c r="AH729" s="561" t="str">
        <f>IFERROR(INDEX('Annex 2_Code'!$J$110:$J$122,MATCH('Annex 3_MAFF'!AF729,'Annex 2_Code'!$G$110:$G$122,0)),"")</f>
        <v/>
      </c>
    </row>
    <row r="730" spans="1:34">
      <c r="A730" s="548"/>
      <c r="B730" s="548"/>
      <c r="C730" s="548"/>
      <c r="D730" s="548"/>
      <c r="E730" s="548"/>
      <c r="G730" s="548"/>
      <c r="H730" s="548"/>
      <c r="I730" s="548"/>
      <c r="S730" s="548"/>
      <c r="T730" s="548"/>
      <c r="U730" s="548"/>
      <c r="V730" s="548"/>
      <c r="W730" s="548"/>
      <c r="X730" s="548"/>
      <c r="AH730" s="561" t="str">
        <f>IFERROR(INDEX('Annex 2_Code'!$J$110:$J$122,MATCH('Annex 3_MAFF'!AF730,'Annex 2_Code'!$G$110:$G$122,0)),"")</f>
        <v/>
      </c>
    </row>
    <row r="731" spans="1:34">
      <c r="A731" s="548"/>
      <c r="B731" s="548"/>
      <c r="C731" s="548"/>
      <c r="D731" s="548"/>
      <c r="E731" s="548"/>
      <c r="G731" s="548"/>
      <c r="H731" s="548"/>
      <c r="I731" s="548"/>
      <c r="S731" s="548"/>
      <c r="T731" s="548"/>
      <c r="U731" s="548"/>
      <c r="V731" s="548"/>
      <c r="W731" s="548"/>
      <c r="X731" s="548"/>
      <c r="AH731" s="561" t="str">
        <f>IFERROR(INDEX('Annex 2_Code'!$J$110:$J$122,MATCH('Annex 3_MAFF'!AF731,'Annex 2_Code'!$G$110:$G$122,0)),"")</f>
        <v/>
      </c>
    </row>
    <row r="732" spans="1:34">
      <c r="A732" s="548"/>
      <c r="B732" s="548"/>
      <c r="C732" s="548"/>
      <c r="D732" s="548"/>
      <c r="E732" s="548"/>
      <c r="G732" s="548"/>
      <c r="H732" s="548"/>
      <c r="I732" s="548"/>
      <c r="S732" s="548"/>
      <c r="T732" s="548"/>
      <c r="U732" s="548"/>
      <c r="V732" s="548"/>
      <c r="W732" s="548"/>
      <c r="X732" s="548"/>
      <c r="AH732" s="561" t="str">
        <f>IFERROR(INDEX('Annex 2_Code'!$J$110:$J$122,MATCH('Annex 3_MAFF'!AF732,'Annex 2_Code'!$G$110:$G$122,0)),"")</f>
        <v/>
      </c>
    </row>
    <row r="733" spans="1:34">
      <c r="A733" s="548"/>
      <c r="B733" s="548"/>
      <c r="C733" s="548"/>
      <c r="D733" s="548"/>
      <c r="E733" s="548"/>
      <c r="G733" s="548"/>
      <c r="H733" s="548"/>
      <c r="I733" s="548"/>
      <c r="S733" s="548"/>
      <c r="T733" s="548"/>
      <c r="U733" s="548"/>
      <c r="V733" s="548"/>
      <c r="W733" s="548"/>
      <c r="X733" s="548"/>
      <c r="AH733" s="561" t="str">
        <f>IFERROR(INDEX('Annex 2_Code'!$J$110:$J$122,MATCH('Annex 3_MAFF'!AF733,'Annex 2_Code'!$G$110:$G$122,0)),"")</f>
        <v/>
      </c>
    </row>
    <row r="734" spans="1:34">
      <c r="A734" s="548"/>
      <c r="B734" s="548"/>
      <c r="C734" s="548"/>
      <c r="D734" s="548"/>
      <c r="E734" s="548"/>
      <c r="G734" s="548"/>
      <c r="H734" s="548"/>
      <c r="I734" s="548"/>
      <c r="S734" s="548"/>
      <c r="T734" s="548"/>
      <c r="U734" s="548"/>
      <c r="V734" s="548"/>
      <c r="W734" s="548"/>
      <c r="X734" s="548"/>
      <c r="AH734" s="561" t="str">
        <f>IFERROR(INDEX('Annex 2_Code'!$J$110:$J$122,MATCH('Annex 3_MAFF'!AF734,'Annex 2_Code'!$G$110:$G$122,0)),"")</f>
        <v/>
      </c>
    </row>
    <row r="735" spans="1:34">
      <c r="A735" s="548"/>
      <c r="B735" s="548"/>
      <c r="C735" s="548"/>
      <c r="D735" s="548"/>
      <c r="E735" s="548"/>
      <c r="G735" s="548"/>
      <c r="H735" s="548"/>
      <c r="I735" s="548"/>
      <c r="S735" s="548"/>
      <c r="T735" s="548"/>
      <c r="U735" s="548"/>
      <c r="V735" s="548"/>
      <c r="W735" s="548"/>
      <c r="X735" s="548"/>
      <c r="AH735" s="561" t="str">
        <f>IFERROR(INDEX('Annex 2_Code'!$J$110:$J$122,MATCH('Annex 3_MAFF'!AF735,'Annex 2_Code'!$G$110:$G$122,0)),"")</f>
        <v/>
      </c>
    </row>
    <row r="736" spans="1:34">
      <c r="A736" s="548"/>
      <c r="B736" s="548"/>
      <c r="C736" s="548"/>
      <c r="D736" s="548"/>
      <c r="E736" s="548"/>
      <c r="G736" s="548"/>
      <c r="H736" s="548"/>
      <c r="I736" s="548"/>
      <c r="S736" s="548"/>
      <c r="T736" s="548"/>
      <c r="U736" s="548"/>
      <c r="V736" s="548"/>
      <c r="W736" s="548"/>
      <c r="X736" s="548"/>
      <c r="AH736" s="561" t="str">
        <f>IFERROR(INDEX('Annex 2_Code'!$J$110:$J$122,MATCH('Annex 3_MAFF'!AF736,'Annex 2_Code'!$G$110:$G$122,0)),"")</f>
        <v/>
      </c>
    </row>
    <row r="737" spans="1:34">
      <c r="A737" s="548"/>
      <c r="B737" s="548"/>
      <c r="C737" s="548"/>
      <c r="D737" s="548"/>
      <c r="E737" s="548"/>
      <c r="G737" s="548"/>
      <c r="H737" s="548"/>
      <c r="I737" s="548"/>
      <c r="S737" s="548"/>
      <c r="T737" s="548"/>
      <c r="U737" s="548"/>
      <c r="V737" s="548"/>
      <c r="W737" s="548"/>
      <c r="X737" s="548"/>
      <c r="AH737" s="561" t="str">
        <f>IFERROR(INDEX('Annex 2_Code'!$J$110:$J$122,MATCH('Annex 3_MAFF'!AF737,'Annex 2_Code'!$G$110:$G$122,0)),"")</f>
        <v/>
      </c>
    </row>
    <row r="738" spans="1:34">
      <c r="A738" s="548"/>
      <c r="B738" s="548"/>
      <c r="C738" s="548"/>
      <c r="D738" s="548"/>
      <c r="E738" s="548"/>
      <c r="G738" s="548"/>
      <c r="H738" s="548"/>
      <c r="I738" s="548"/>
      <c r="S738" s="548"/>
      <c r="T738" s="548"/>
      <c r="U738" s="548"/>
      <c r="V738" s="548"/>
      <c r="W738" s="548"/>
      <c r="X738" s="548"/>
      <c r="AH738" s="561" t="str">
        <f>IFERROR(INDEX('Annex 2_Code'!$J$110:$J$122,MATCH('Annex 3_MAFF'!AF738,'Annex 2_Code'!$G$110:$G$122,0)),"")</f>
        <v/>
      </c>
    </row>
    <row r="739" spans="1:34">
      <c r="A739" s="548"/>
      <c r="B739" s="548"/>
      <c r="C739" s="548"/>
      <c r="D739" s="548"/>
      <c r="E739" s="548"/>
      <c r="G739" s="548"/>
      <c r="H739" s="548"/>
      <c r="I739" s="548"/>
      <c r="S739" s="548"/>
      <c r="T739" s="548"/>
      <c r="U739" s="548"/>
      <c r="V739" s="548"/>
      <c r="W739" s="548"/>
      <c r="X739" s="548"/>
      <c r="AH739" s="561" t="str">
        <f>IFERROR(INDEX('Annex 2_Code'!$J$110:$J$122,MATCH('Annex 3_MAFF'!AF739,'Annex 2_Code'!$G$110:$G$122,0)),"")</f>
        <v/>
      </c>
    </row>
    <row r="740" spans="1:34">
      <c r="A740" s="548"/>
      <c r="B740" s="548"/>
      <c r="C740" s="548"/>
      <c r="D740" s="548"/>
      <c r="E740" s="548"/>
      <c r="G740" s="548"/>
      <c r="H740" s="548"/>
      <c r="I740" s="548"/>
      <c r="S740" s="548"/>
      <c r="T740" s="548"/>
      <c r="U740" s="548"/>
      <c r="V740" s="548"/>
      <c r="W740" s="548"/>
      <c r="X740" s="548"/>
      <c r="AH740" s="561" t="str">
        <f>IFERROR(INDEX('Annex 2_Code'!$J$110:$J$122,MATCH('Annex 3_MAFF'!AF740,'Annex 2_Code'!$G$110:$G$122,0)),"")</f>
        <v/>
      </c>
    </row>
    <row r="741" spans="1:34">
      <c r="A741" s="548"/>
      <c r="B741" s="548"/>
      <c r="C741" s="548"/>
      <c r="D741" s="548"/>
      <c r="E741" s="548"/>
      <c r="G741" s="548"/>
      <c r="H741" s="548"/>
      <c r="I741" s="548"/>
      <c r="S741" s="548"/>
      <c r="T741" s="548"/>
      <c r="U741" s="548"/>
      <c r="V741" s="548"/>
      <c r="W741" s="548"/>
      <c r="X741" s="548"/>
      <c r="AH741" s="561" t="str">
        <f>IFERROR(INDEX('Annex 2_Code'!$J$110:$J$122,MATCH('Annex 3_MAFF'!AF741,'Annex 2_Code'!$G$110:$G$122,0)),"")</f>
        <v/>
      </c>
    </row>
    <row r="742" spans="1:34">
      <c r="A742" s="548"/>
      <c r="B742" s="548"/>
      <c r="C742" s="548"/>
      <c r="D742" s="548"/>
      <c r="E742" s="548"/>
      <c r="G742" s="548"/>
      <c r="H742" s="548"/>
      <c r="I742" s="548"/>
      <c r="S742" s="548"/>
      <c r="T742" s="548"/>
      <c r="U742" s="548"/>
      <c r="V742" s="548"/>
      <c r="W742" s="548"/>
      <c r="X742" s="548"/>
      <c r="AH742" s="561" t="str">
        <f>IFERROR(INDEX('Annex 2_Code'!$J$110:$J$122,MATCH('Annex 3_MAFF'!AF742,'Annex 2_Code'!$G$110:$G$122,0)),"")</f>
        <v/>
      </c>
    </row>
    <row r="743" spans="1:34">
      <c r="A743" s="548"/>
      <c r="B743" s="548"/>
      <c r="C743" s="548"/>
      <c r="D743" s="548"/>
      <c r="E743" s="548"/>
      <c r="G743" s="548"/>
      <c r="H743" s="548"/>
      <c r="I743" s="548"/>
      <c r="S743" s="548"/>
      <c r="T743" s="548"/>
      <c r="U743" s="548"/>
      <c r="V743" s="548"/>
      <c r="W743" s="548"/>
      <c r="X743" s="548"/>
      <c r="AH743" s="561" t="str">
        <f>IFERROR(INDEX('Annex 2_Code'!$J$110:$J$122,MATCH('Annex 3_MAFF'!AF743,'Annex 2_Code'!$G$110:$G$122,0)),"")</f>
        <v/>
      </c>
    </row>
    <row r="744" spans="1:34">
      <c r="A744" s="548"/>
      <c r="B744" s="548"/>
      <c r="C744" s="548"/>
      <c r="D744" s="548"/>
      <c r="E744" s="548"/>
      <c r="G744" s="548"/>
      <c r="H744" s="548"/>
      <c r="I744" s="548"/>
      <c r="S744" s="548"/>
      <c r="T744" s="548"/>
      <c r="U744" s="548"/>
      <c r="V744" s="548"/>
      <c r="W744" s="548"/>
      <c r="X744" s="548"/>
      <c r="AH744" s="561" t="str">
        <f>IFERROR(INDEX('Annex 2_Code'!$J$110:$J$122,MATCH('Annex 3_MAFF'!AF744,'Annex 2_Code'!$G$110:$G$122,0)),"")</f>
        <v/>
      </c>
    </row>
    <row r="745" spans="1:34">
      <c r="A745" s="548"/>
      <c r="B745" s="548"/>
      <c r="C745" s="548"/>
      <c r="D745" s="548"/>
      <c r="E745" s="548"/>
      <c r="G745" s="548"/>
      <c r="H745" s="548"/>
      <c r="I745" s="548"/>
      <c r="S745" s="548"/>
      <c r="T745" s="548"/>
      <c r="U745" s="548"/>
      <c r="V745" s="548"/>
      <c r="W745" s="548"/>
      <c r="X745" s="548"/>
      <c r="AH745" s="561" t="str">
        <f>IFERROR(INDEX('Annex 2_Code'!$J$110:$J$122,MATCH('Annex 3_MAFF'!AF745,'Annex 2_Code'!$G$110:$G$122,0)),"")</f>
        <v/>
      </c>
    </row>
    <row r="746" spans="1:34">
      <c r="A746" s="548"/>
      <c r="B746" s="548"/>
      <c r="C746" s="548"/>
      <c r="D746" s="548"/>
      <c r="E746" s="548"/>
      <c r="G746" s="548"/>
      <c r="H746" s="548"/>
      <c r="I746" s="548"/>
      <c r="S746" s="548"/>
      <c r="T746" s="548"/>
      <c r="U746" s="548"/>
      <c r="V746" s="548"/>
      <c r="W746" s="548"/>
      <c r="X746" s="548"/>
      <c r="AH746" s="561" t="str">
        <f>IFERROR(INDEX('Annex 2_Code'!$J$110:$J$122,MATCH('Annex 3_MAFF'!AF746,'Annex 2_Code'!$G$110:$G$122,0)),"")</f>
        <v/>
      </c>
    </row>
    <row r="747" spans="1:34">
      <c r="A747" s="548"/>
      <c r="B747" s="548"/>
      <c r="C747" s="548"/>
      <c r="D747" s="548"/>
      <c r="E747" s="548"/>
      <c r="G747" s="548"/>
      <c r="H747" s="548"/>
      <c r="I747" s="548"/>
      <c r="S747" s="548"/>
      <c r="T747" s="548"/>
      <c r="U747" s="548"/>
      <c r="V747" s="548"/>
      <c r="W747" s="548"/>
      <c r="X747" s="548"/>
      <c r="AH747" s="561" t="str">
        <f>IFERROR(INDEX('Annex 2_Code'!$J$110:$J$122,MATCH('Annex 3_MAFF'!AF747,'Annex 2_Code'!$G$110:$G$122,0)),"")</f>
        <v/>
      </c>
    </row>
    <row r="748" spans="1:34">
      <c r="A748" s="548"/>
      <c r="B748" s="548"/>
      <c r="C748" s="548"/>
      <c r="D748" s="548"/>
      <c r="E748" s="548"/>
      <c r="G748" s="548"/>
      <c r="H748" s="548"/>
      <c r="I748" s="548"/>
      <c r="S748" s="548"/>
      <c r="T748" s="548"/>
      <c r="U748" s="548"/>
      <c r="V748" s="548"/>
      <c r="W748" s="548"/>
      <c r="X748" s="548"/>
      <c r="AH748" s="561" t="str">
        <f>IFERROR(INDEX('Annex 2_Code'!$J$110:$J$122,MATCH('Annex 3_MAFF'!AF748,'Annex 2_Code'!$G$110:$G$122,0)),"")</f>
        <v/>
      </c>
    </row>
    <row r="749" spans="1:34">
      <c r="A749" s="548"/>
      <c r="B749" s="548"/>
      <c r="C749" s="548"/>
      <c r="D749" s="548"/>
      <c r="E749" s="548"/>
      <c r="G749" s="548"/>
      <c r="H749" s="548"/>
      <c r="I749" s="548"/>
      <c r="S749" s="548"/>
      <c r="T749" s="548"/>
      <c r="U749" s="548"/>
      <c r="V749" s="548"/>
      <c r="W749" s="548"/>
      <c r="X749" s="548"/>
      <c r="AH749" s="561" t="str">
        <f>IFERROR(INDEX('Annex 2_Code'!$J$110:$J$122,MATCH('Annex 3_MAFF'!AF749,'Annex 2_Code'!$G$110:$G$122,0)),"")</f>
        <v/>
      </c>
    </row>
    <row r="750" spans="1:34">
      <c r="A750" s="548"/>
      <c r="B750" s="548"/>
      <c r="C750" s="548"/>
      <c r="D750" s="548"/>
      <c r="E750" s="548"/>
      <c r="G750" s="548"/>
      <c r="H750" s="548"/>
      <c r="I750" s="548"/>
      <c r="S750" s="548"/>
      <c r="T750" s="548"/>
      <c r="U750" s="548"/>
      <c r="V750" s="548"/>
      <c r="W750" s="548"/>
      <c r="X750" s="548"/>
      <c r="AH750" s="561" t="str">
        <f>IFERROR(INDEX('Annex 2_Code'!$J$110:$J$122,MATCH('Annex 3_MAFF'!AF750,'Annex 2_Code'!$G$110:$G$122,0)),"")</f>
        <v/>
      </c>
    </row>
    <row r="751" spans="1:34">
      <c r="A751" s="548"/>
      <c r="B751" s="548"/>
      <c r="C751" s="548"/>
      <c r="D751" s="548"/>
      <c r="E751" s="548"/>
      <c r="G751" s="548"/>
      <c r="H751" s="548"/>
      <c r="I751" s="548"/>
      <c r="S751" s="548"/>
      <c r="T751" s="548"/>
      <c r="U751" s="548"/>
      <c r="V751" s="548"/>
      <c r="W751" s="548"/>
      <c r="X751" s="548"/>
      <c r="AH751" s="561" t="str">
        <f>IFERROR(INDEX('Annex 2_Code'!$J$110:$J$122,MATCH('Annex 3_MAFF'!AF751,'Annex 2_Code'!$G$110:$G$122,0)),"")</f>
        <v/>
      </c>
    </row>
    <row r="752" spans="1:34">
      <c r="A752" s="548"/>
      <c r="B752" s="548"/>
      <c r="C752" s="548"/>
      <c r="D752" s="548"/>
      <c r="E752" s="548"/>
      <c r="G752" s="548"/>
      <c r="H752" s="548"/>
      <c r="I752" s="548"/>
      <c r="S752" s="548"/>
      <c r="T752" s="548"/>
      <c r="U752" s="548"/>
      <c r="V752" s="548"/>
      <c r="W752" s="548"/>
      <c r="X752" s="548"/>
      <c r="AH752" s="561" t="str">
        <f>IFERROR(INDEX('Annex 2_Code'!$J$110:$J$122,MATCH('Annex 3_MAFF'!AF752,'Annex 2_Code'!$G$110:$G$122,0)),"")</f>
        <v/>
      </c>
    </row>
    <row r="753" spans="1:34">
      <c r="A753" s="548"/>
      <c r="B753" s="548"/>
      <c r="C753" s="548"/>
      <c r="D753" s="548"/>
      <c r="E753" s="548"/>
      <c r="G753" s="548"/>
      <c r="H753" s="548"/>
      <c r="I753" s="548"/>
      <c r="S753" s="548"/>
      <c r="T753" s="548"/>
      <c r="U753" s="548"/>
      <c r="V753" s="548"/>
      <c r="W753" s="548"/>
      <c r="X753" s="548"/>
      <c r="AH753" s="561" t="str">
        <f>IFERROR(INDEX('Annex 2_Code'!$J$110:$J$122,MATCH('Annex 3_MAFF'!AF753,'Annex 2_Code'!$G$110:$G$122,0)),"")</f>
        <v/>
      </c>
    </row>
    <row r="754" spans="1:34">
      <c r="A754" s="548"/>
      <c r="B754" s="548"/>
      <c r="C754" s="548"/>
      <c r="D754" s="548"/>
      <c r="E754" s="548"/>
      <c r="G754" s="548"/>
      <c r="H754" s="548"/>
      <c r="I754" s="548"/>
      <c r="S754" s="548"/>
      <c r="T754" s="548"/>
      <c r="U754" s="548"/>
      <c r="V754" s="548"/>
      <c r="W754" s="548"/>
      <c r="X754" s="548"/>
      <c r="AH754" s="561" t="str">
        <f>IFERROR(INDEX('Annex 2_Code'!$J$110:$J$122,MATCH('Annex 3_MAFF'!AF754,'Annex 2_Code'!$G$110:$G$122,0)),"")</f>
        <v/>
      </c>
    </row>
    <row r="755" spans="1:34">
      <c r="A755" s="548"/>
      <c r="B755" s="548"/>
      <c r="C755" s="548"/>
      <c r="D755" s="548"/>
      <c r="E755" s="548"/>
      <c r="G755" s="548"/>
      <c r="H755" s="548"/>
      <c r="I755" s="548"/>
      <c r="S755" s="548"/>
      <c r="T755" s="548"/>
      <c r="U755" s="548"/>
      <c r="V755" s="548"/>
      <c r="W755" s="548"/>
      <c r="X755" s="548"/>
      <c r="AH755" s="561" t="str">
        <f>IFERROR(INDEX('Annex 2_Code'!$J$110:$J$122,MATCH('Annex 3_MAFF'!AF755,'Annex 2_Code'!$G$110:$G$122,0)),"")</f>
        <v/>
      </c>
    </row>
    <row r="756" spans="1:34">
      <c r="A756" s="548"/>
      <c r="B756" s="548"/>
      <c r="C756" s="548"/>
      <c r="D756" s="548"/>
      <c r="E756" s="548"/>
      <c r="G756" s="548"/>
      <c r="H756" s="548"/>
      <c r="I756" s="548"/>
      <c r="S756" s="548"/>
      <c r="T756" s="548"/>
      <c r="U756" s="548"/>
      <c r="V756" s="548"/>
      <c r="W756" s="548"/>
      <c r="X756" s="548"/>
      <c r="AH756" s="561" t="str">
        <f>IFERROR(INDEX('Annex 2_Code'!$J$110:$J$122,MATCH('Annex 3_MAFF'!AF756,'Annex 2_Code'!$G$110:$G$122,0)),"")</f>
        <v/>
      </c>
    </row>
    <row r="757" spans="1:34">
      <c r="A757" s="548"/>
      <c r="B757" s="548"/>
      <c r="C757" s="548"/>
      <c r="D757" s="548"/>
      <c r="E757" s="548"/>
      <c r="G757" s="548"/>
      <c r="H757" s="548"/>
      <c r="I757" s="548"/>
      <c r="S757" s="548"/>
      <c r="T757" s="548"/>
      <c r="U757" s="548"/>
      <c r="V757" s="548"/>
      <c r="W757" s="548"/>
      <c r="X757" s="548"/>
      <c r="AH757" s="561" t="str">
        <f>IFERROR(INDEX('Annex 2_Code'!$J$110:$J$122,MATCH('Annex 3_MAFF'!AF757,'Annex 2_Code'!$G$110:$G$122,0)),"")</f>
        <v/>
      </c>
    </row>
    <row r="758" spans="1:34">
      <c r="A758" s="548"/>
      <c r="B758" s="548"/>
      <c r="C758" s="548"/>
      <c r="D758" s="548"/>
      <c r="E758" s="548"/>
      <c r="G758" s="548"/>
      <c r="H758" s="548"/>
      <c r="I758" s="548"/>
      <c r="S758" s="548"/>
      <c r="T758" s="548"/>
      <c r="U758" s="548"/>
      <c r="V758" s="548"/>
      <c r="W758" s="548"/>
      <c r="X758" s="548"/>
      <c r="AH758" s="561" t="str">
        <f>IFERROR(INDEX('Annex 2_Code'!$J$110:$J$122,MATCH('Annex 3_MAFF'!AF758,'Annex 2_Code'!$G$110:$G$122,0)),"")</f>
        <v/>
      </c>
    </row>
    <row r="759" spans="1:34">
      <c r="A759" s="548"/>
      <c r="B759" s="548"/>
      <c r="C759" s="548"/>
      <c r="D759" s="548"/>
      <c r="E759" s="548"/>
      <c r="G759" s="548"/>
      <c r="H759" s="548"/>
      <c r="I759" s="548"/>
      <c r="S759" s="548"/>
      <c r="T759" s="548"/>
      <c r="U759" s="548"/>
      <c r="V759" s="548"/>
      <c r="W759" s="548"/>
      <c r="X759" s="548"/>
      <c r="AH759" s="561" t="str">
        <f>IFERROR(INDEX('Annex 2_Code'!$J$110:$J$122,MATCH('Annex 3_MAFF'!AF759,'Annex 2_Code'!$G$110:$G$122,0)),"")</f>
        <v/>
      </c>
    </row>
    <row r="760" spans="1:34">
      <c r="A760" s="548"/>
      <c r="B760" s="548"/>
      <c r="C760" s="548"/>
      <c r="D760" s="548"/>
      <c r="E760" s="548"/>
      <c r="G760" s="548"/>
      <c r="H760" s="548"/>
      <c r="I760" s="548"/>
      <c r="S760" s="548"/>
      <c r="T760" s="548"/>
      <c r="U760" s="548"/>
      <c r="V760" s="548"/>
      <c r="W760" s="548"/>
      <c r="X760" s="548"/>
      <c r="AH760" s="561" t="str">
        <f>IFERROR(INDEX('Annex 2_Code'!$J$110:$J$122,MATCH('Annex 3_MAFF'!AF760,'Annex 2_Code'!$G$110:$G$122,0)),"")</f>
        <v/>
      </c>
    </row>
    <row r="761" spans="1:34">
      <c r="A761" s="548"/>
      <c r="B761" s="548"/>
      <c r="C761" s="548"/>
      <c r="D761" s="548"/>
      <c r="E761" s="548"/>
      <c r="G761" s="548"/>
      <c r="H761" s="548"/>
      <c r="I761" s="548"/>
      <c r="S761" s="548"/>
      <c r="T761" s="548"/>
      <c r="U761" s="548"/>
      <c r="V761" s="548"/>
      <c r="W761" s="548"/>
      <c r="X761" s="548"/>
      <c r="AH761" s="561" t="str">
        <f>IFERROR(INDEX('Annex 2_Code'!$J$110:$J$122,MATCH('Annex 3_MAFF'!AF761,'Annex 2_Code'!$G$110:$G$122,0)),"")</f>
        <v/>
      </c>
    </row>
    <row r="762" spans="1:34">
      <c r="A762" s="548"/>
      <c r="B762" s="548"/>
      <c r="C762" s="548"/>
      <c r="D762" s="548"/>
      <c r="E762" s="548"/>
      <c r="G762" s="548"/>
      <c r="H762" s="548"/>
      <c r="I762" s="548"/>
      <c r="S762" s="548"/>
      <c r="T762" s="548"/>
      <c r="U762" s="548"/>
      <c r="V762" s="548"/>
      <c r="W762" s="548"/>
      <c r="X762" s="548"/>
      <c r="AH762" s="561" t="str">
        <f>IFERROR(INDEX('Annex 2_Code'!$J$110:$J$122,MATCH('Annex 3_MAFF'!AF762,'Annex 2_Code'!$G$110:$G$122,0)),"")</f>
        <v/>
      </c>
    </row>
    <row r="763" spans="1:34">
      <c r="A763" s="548"/>
      <c r="B763" s="548"/>
      <c r="C763" s="548"/>
      <c r="D763" s="548"/>
      <c r="E763" s="548"/>
      <c r="G763" s="548"/>
      <c r="H763" s="548"/>
      <c r="I763" s="548"/>
      <c r="S763" s="548"/>
      <c r="T763" s="548"/>
      <c r="U763" s="548"/>
      <c r="V763" s="548"/>
      <c r="W763" s="548"/>
      <c r="X763" s="548"/>
      <c r="AH763" s="561" t="str">
        <f>IFERROR(INDEX('Annex 2_Code'!$J$110:$J$122,MATCH('Annex 3_MAFF'!AF763,'Annex 2_Code'!$G$110:$G$122,0)),"")</f>
        <v/>
      </c>
    </row>
    <row r="764" spans="1:34">
      <c r="A764" s="548"/>
      <c r="B764" s="548"/>
      <c r="C764" s="548"/>
      <c r="D764" s="548"/>
      <c r="E764" s="548"/>
      <c r="G764" s="548"/>
      <c r="H764" s="548"/>
      <c r="I764" s="548"/>
      <c r="S764" s="548"/>
      <c r="T764" s="548"/>
      <c r="U764" s="548"/>
      <c r="V764" s="548"/>
      <c r="W764" s="548"/>
      <c r="X764" s="548"/>
      <c r="AH764" s="561" t="str">
        <f>IFERROR(INDEX('Annex 2_Code'!$J$110:$J$122,MATCH('Annex 3_MAFF'!AF764,'Annex 2_Code'!$G$110:$G$122,0)),"")</f>
        <v/>
      </c>
    </row>
    <row r="765" spans="1:34">
      <c r="A765" s="548"/>
      <c r="B765" s="548"/>
      <c r="C765" s="548"/>
      <c r="D765" s="548"/>
      <c r="E765" s="548"/>
      <c r="G765" s="548"/>
      <c r="H765" s="548"/>
      <c r="I765" s="548"/>
      <c r="S765" s="548"/>
      <c r="T765" s="548"/>
      <c r="U765" s="548"/>
      <c r="V765" s="548"/>
      <c r="W765" s="548"/>
      <c r="X765" s="548"/>
      <c r="AH765" s="561" t="str">
        <f>IFERROR(INDEX('Annex 2_Code'!$J$110:$J$122,MATCH('Annex 3_MAFF'!AF765,'Annex 2_Code'!$G$110:$G$122,0)),"")</f>
        <v/>
      </c>
    </row>
    <row r="766" spans="1:34">
      <c r="A766" s="548"/>
      <c r="B766" s="548"/>
      <c r="C766" s="548"/>
      <c r="D766" s="548"/>
      <c r="E766" s="548"/>
      <c r="G766" s="548"/>
      <c r="H766" s="548"/>
      <c r="I766" s="548"/>
      <c r="S766" s="548"/>
      <c r="T766" s="548"/>
      <c r="U766" s="548"/>
      <c r="V766" s="548"/>
      <c r="W766" s="548"/>
      <c r="X766" s="548"/>
      <c r="AH766" s="561" t="str">
        <f>IFERROR(INDEX('Annex 2_Code'!$J$110:$J$122,MATCH('Annex 3_MAFF'!AF766,'Annex 2_Code'!$G$110:$G$122,0)),"")</f>
        <v/>
      </c>
    </row>
    <row r="767" spans="1:34">
      <c r="A767" s="548"/>
      <c r="B767" s="548"/>
      <c r="C767" s="548"/>
      <c r="D767" s="548"/>
      <c r="E767" s="548"/>
      <c r="G767" s="548"/>
      <c r="H767" s="548"/>
      <c r="I767" s="548"/>
      <c r="S767" s="548"/>
      <c r="T767" s="548"/>
      <c r="U767" s="548"/>
      <c r="V767" s="548"/>
      <c r="W767" s="548"/>
      <c r="X767" s="548"/>
      <c r="AH767" s="561" t="str">
        <f>IFERROR(INDEX('Annex 2_Code'!$J$110:$J$122,MATCH('Annex 3_MAFF'!AF767,'Annex 2_Code'!$G$110:$G$122,0)),"")</f>
        <v/>
      </c>
    </row>
    <row r="768" spans="1:34">
      <c r="A768" s="548"/>
      <c r="B768" s="548"/>
      <c r="C768" s="548"/>
      <c r="D768" s="548"/>
      <c r="E768" s="548"/>
      <c r="G768" s="548"/>
      <c r="H768" s="548"/>
      <c r="I768" s="548"/>
      <c r="S768" s="548"/>
      <c r="T768" s="548"/>
      <c r="U768" s="548"/>
      <c r="V768" s="548"/>
      <c r="W768" s="548"/>
      <c r="X768" s="548"/>
      <c r="AH768" s="561" t="str">
        <f>IFERROR(INDEX('Annex 2_Code'!$J$110:$J$122,MATCH('Annex 3_MAFF'!AF768,'Annex 2_Code'!$G$110:$G$122,0)),"")</f>
        <v/>
      </c>
    </row>
    <row r="769" spans="1:34">
      <c r="A769" s="548"/>
      <c r="B769" s="548"/>
      <c r="C769" s="548"/>
      <c r="D769" s="548"/>
      <c r="E769" s="548"/>
      <c r="G769" s="548"/>
      <c r="H769" s="548"/>
      <c r="I769" s="548"/>
      <c r="S769" s="548"/>
      <c r="T769" s="548"/>
      <c r="U769" s="548"/>
      <c r="V769" s="548"/>
      <c r="W769" s="548"/>
      <c r="X769" s="548"/>
      <c r="AH769" s="561" t="str">
        <f>IFERROR(INDEX('Annex 2_Code'!$J$110:$J$122,MATCH('Annex 3_MAFF'!AF769,'Annex 2_Code'!$G$110:$G$122,0)),"")</f>
        <v/>
      </c>
    </row>
    <row r="770" spans="1:34">
      <c r="A770" s="548"/>
      <c r="B770" s="548"/>
      <c r="C770" s="548"/>
      <c r="D770" s="548"/>
      <c r="E770" s="548"/>
      <c r="G770" s="548"/>
      <c r="H770" s="548"/>
      <c r="I770" s="548"/>
      <c r="S770" s="548"/>
      <c r="T770" s="548"/>
      <c r="U770" s="548"/>
      <c r="V770" s="548"/>
      <c r="W770" s="548"/>
      <c r="X770" s="548"/>
      <c r="AH770" s="561" t="str">
        <f>IFERROR(INDEX('Annex 2_Code'!$J$110:$J$122,MATCH('Annex 3_MAFF'!AF770,'Annex 2_Code'!$G$110:$G$122,0)),"")</f>
        <v/>
      </c>
    </row>
    <row r="771" spans="1:34">
      <c r="A771" s="548"/>
      <c r="B771" s="548"/>
      <c r="C771" s="548"/>
      <c r="D771" s="548"/>
      <c r="E771" s="548"/>
      <c r="G771" s="548"/>
      <c r="H771" s="548"/>
      <c r="I771" s="548"/>
      <c r="S771" s="548"/>
      <c r="T771" s="548"/>
      <c r="U771" s="548"/>
      <c r="V771" s="548"/>
      <c r="W771" s="548"/>
      <c r="X771" s="548"/>
      <c r="AH771" s="561" t="str">
        <f>IFERROR(INDEX('Annex 2_Code'!$J$110:$J$122,MATCH('Annex 3_MAFF'!AF771,'Annex 2_Code'!$G$110:$G$122,0)),"")</f>
        <v/>
      </c>
    </row>
    <row r="772" spans="1:34">
      <c r="A772" s="548"/>
      <c r="B772" s="548"/>
      <c r="C772" s="548"/>
      <c r="D772" s="548"/>
      <c r="E772" s="548"/>
      <c r="G772" s="548"/>
      <c r="H772" s="548"/>
      <c r="I772" s="548"/>
      <c r="S772" s="548"/>
      <c r="T772" s="548"/>
      <c r="U772" s="548"/>
      <c r="V772" s="548"/>
      <c r="W772" s="548"/>
      <c r="X772" s="548"/>
      <c r="AH772" s="561" t="str">
        <f>IFERROR(INDEX('Annex 2_Code'!$J$110:$J$122,MATCH('Annex 3_MAFF'!AF772,'Annex 2_Code'!$G$110:$G$122,0)),"")</f>
        <v/>
      </c>
    </row>
    <row r="773" spans="1:34">
      <c r="A773" s="548"/>
      <c r="B773" s="548"/>
      <c r="C773" s="548"/>
      <c r="D773" s="548"/>
      <c r="E773" s="548"/>
      <c r="G773" s="548"/>
      <c r="H773" s="548"/>
      <c r="I773" s="548"/>
      <c r="S773" s="548"/>
      <c r="T773" s="548"/>
      <c r="U773" s="548"/>
      <c r="V773" s="548"/>
      <c r="W773" s="548"/>
      <c r="X773" s="548"/>
      <c r="AH773" s="561" t="str">
        <f>IFERROR(INDEX('Annex 2_Code'!$J$110:$J$122,MATCH('Annex 3_MAFF'!AF773,'Annex 2_Code'!$G$110:$G$122,0)),"")</f>
        <v/>
      </c>
    </row>
    <row r="774" spans="1:34">
      <c r="A774" s="548"/>
      <c r="B774" s="548"/>
      <c r="C774" s="548"/>
      <c r="D774" s="548"/>
      <c r="E774" s="548"/>
      <c r="G774" s="548"/>
      <c r="H774" s="548"/>
      <c r="I774" s="548"/>
      <c r="S774" s="548"/>
      <c r="T774" s="548"/>
      <c r="U774" s="548"/>
      <c r="V774" s="548"/>
      <c r="W774" s="548"/>
      <c r="X774" s="548"/>
      <c r="AH774" s="561" t="str">
        <f>IFERROR(INDEX('Annex 2_Code'!$J$110:$J$122,MATCH('Annex 3_MAFF'!AF774,'Annex 2_Code'!$G$110:$G$122,0)),"")</f>
        <v/>
      </c>
    </row>
    <row r="775" spans="1:34">
      <c r="A775" s="548"/>
      <c r="B775" s="548"/>
      <c r="C775" s="548"/>
      <c r="D775" s="548"/>
      <c r="E775" s="548"/>
      <c r="G775" s="548"/>
      <c r="H775" s="548"/>
      <c r="I775" s="548"/>
      <c r="S775" s="548"/>
      <c r="T775" s="548"/>
      <c r="U775" s="548"/>
      <c r="V775" s="548"/>
      <c r="W775" s="548"/>
      <c r="X775" s="548"/>
      <c r="AH775" s="561" t="str">
        <f>IFERROR(INDEX('Annex 2_Code'!$J$110:$J$122,MATCH('Annex 3_MAFF'!AF775,'Annex 2_Code'!$G$110:$G$122,0)),"")</f>
        <v/>
      </c>
    </row>
    <row r="776" spans="1:34">
      <c r="A776" s="548"/>
      <c r="B776" s="548"/>
      <c r="C776" s="548"/>
      <c r="D776" s="548"/>
      <c r="E776" s="548"/>
      <c r="G776" s="548"/>
      <c r="H776" s="548"/>
      <c r="I776" s="548"/>
      <c r="S776" s="548"/>
      <c r="T776" s="548"/>
      <c r="U776" s="548"/>
      <c r="V776" s="548"/>
      <c r="W776" s="548"/>
      <c r="X776" s="548"/>
      <c r="AH776" s="561" t="str">
        <f>IFERROR(INDEX('Annex 2_Code'!$J$110:$J$122,MATCH('Annex 3_MAFF'!AF776,'Annex 2_Code'!$G$110:$G$122,0)),"")</f>
        <v/>
      </c>
    </row>
    <row r="777" spans="1:34">
      <c r="A777" s="548"/>
      <c r="B777" s="548"/>
      <c r="C777" s="548"/>
      <c r="D777" s="548"/>
      <c r="E777" s="548"/>
      <c r="G777" s="548"/>
      <c r="H777" s="548"/>
      <c r="I777" s="548"/>
      <c r="S777" s="548"/>
      <c r="T777" s="548"/>
      <c r="U777" s="548"/>
      <c r="V777" s="548"/>
      <c r="W777" s="548"/>
      <c r="X777" s="548"/>
      <c r="AH777" s="561" t="str">
        <f>IFERROR(INDEX('Annex 2_Code'!$J$110:$J$122,MATCH('Annex 3_MAFF'!AF777,'Annex 2_Code'!$G$110:$G$122,0)),"")</f>
        <v/>
      </c>
    </row>
    <row r="778" spans="1:34">
      <c r="A778" s="548"/>
      <c r="B778" s="548"/>
      <c r="C778" s="548"/>
      <c r="D778" s="548"/>
      <c r="E778" s="548"/>
      <c r="G778" s="548"/>
      <c r="H778" s="548"/>
      <c r="I778" s="548"/>
      <c r="S778" s="548"/>
      <c r="T778" s="548"/>
      <c r="U778" s="548"/>
      <c r="V778" s="548"/>
      <c r="W778" s="548"/>
      <c r="X778" s="548"/>
      <c r="AH778" s="561" t="str">
        <f>IFERROR(INDEX('Annex 2_Code'!$J$110:$J$122,MATCH('Annex 3_MAFF'!AF778,'Annex 2_Code'!$G$110:$G$122,0)),"")</f>
        <v/>
      </c>
    </row>
    <row r="779" spans="1:34">
      <c r="A779" s="548"/>
      <c r="B779" s="548"/>
      <c r="C779" s="548"/>
      <c r="D779" s="548"/>
      <c r="E779" s="548"/>
      <c r="G779" s="548"/>
      <c r="H779" s="548"/>
      <c r="I779" s="548"/>
      <c r="S779" s="548"/>
      <c r="T779" s="548"/>
      <c r="U779" s="548"/>
      <c r="V779" s="548"/>
      <c r="W779" s="548"/>
      <c r="X779" s="548"/>
      <c r="AH779" s="561" t="str">
        <f>IFERROR(INDEX('Annex 2_Code'!$J$110:$J$122,MATCH('Annex 3_MAFF'!AF779,'Annex 2_Code'!$G$110:$G$122,0)),"")</f>
        <v/>
      </c>
    </row>
    <row r="780" spans="1:34">
      <c r="A780" s="548"/>
      <c r="B780" s="548"/>
      <c r="C780" s="548"/>
      <c r="D780" s="548"/>
      <c r="E780" s="548"/>
      <c r="G780" s="548"/>
      <c r="H780" s="548"/>
      <c r="I780" s="548"/>
      <c r="S780" s="548"/>
      <c r="T780" s="548"/>
      <c r="U780" s="548"/>
      <c r="V780" s="548"/>
      <c r="W780" s="548"/>
      <c r="X780" s="548"/>
      <c r="AH780" s="561" t="str">
        <f>IFERROR(INDEX('Annex 2_Code'!$J$110:$J$122,MATCH('Annex 3_MAFF'!AF780,'Annex 2_Code'!$G$110:$G$122,0)),"")</f>
        <v/>
      </c>
    </row>
    <row r="781" spans="1:34">
      <c r="A781" s="548"/>
      <c r="B781" s="548"/>
      <c r="C781" s="548"/>
      <c r="D781" s="548"/>
      <c r="E781" s="548"/>
      <c r="G781" s="548"/>
      <c r="H781" s="548"/>
      <c r="I781" s="548"/>
      <c r="S781" s="548"/>
      <c r="T781" s="548"/>
      <c r="U781" s="548"/>
      <c r="V781" s="548"/>
      <c r="W781" s="548"/>
      <c r="X781" s="548"/>
      <c r="AH781" s="561" t="str">
        <f>IFERROR(INDEX('Annex 2_Code'!$J$110:$J$122,MATCH('Annex 3_MAFF'!AF781,'Annex 2_Code'!$G$110:$G$122,0)),"")</f>
        <v/>
      </c>
    </row>
    <row r="782" spans="1:34">
      <c r="A782" s="548"/>
      <c r="B782" s="548"/>
      <c r="C782" s="548"/>
      <c r="D782" s="548"/>
      <c r="E782" s="548"/>
      <c r="G782" s="548"/>
      <c r="H782" s="548"/>
      <c r="I782" s="548"/>
      <c r="S782" s="548"/>
      <c r="T782" s="548"/>
      <c r="U782" s="548"/>
      <c r="V782" s="548"/>
      <c r="W782" s="548"/>
      <c r="X782" s="548"/>
      <c r="AH782" s="561" t="str">
        <f>IFERROR(INDEX('Annex 2_Code'!$J$110:$J$122,MATCH('Annex 3_MAFF'!AF782,'Annex 2_Code'!$G$110:$G$122,0)),"")</f>
        <v/>
      </c>
    </row>
    <row r="783" spans="1:34">
      <c r="A783" s="548"/>
      <c r="B783" s="548"/>
      <c r="C783" s="548"/>
      <c r="D783" s="548"/>
      <c r="E783" s="548"/>
      <c r="G783" s="548"/>
      <c r="H783" s="548"/>
      <c r="I783" s="548"/>
      <c r="S783" s="548"/>
      <c r="T783" s="548"/>
      <c r="U783" s="548"/>
      <c r="V783" s="548"/>
      <c r="W783" s="548"/>
      <c r="X783" s="548"/>
      <c r="AH783" s="561" t="str">
        <f>IFERROR(INDEX('Annex 2_Code'!$J$110:$J$122,MATCH('Annex 3_MAFF'!AF783,'Annex 2_Code'!$G$110:$G$122,0)),"")</f>
        <v/>
      </c>
    </row>
    <row r="784" spans="1:34">
      <c r="A784" s="548"/>
      <c r="B784" s="548"/>
      <c r="C784" s="548"/>
      <c r="D784" s="548"/>
      <c r="E784" s="548"/>
      <c r="G784" s="548"/>
      <c r="H784" s="548"/>
      <c r="I784" s="548"/>
      <c r="S784" s="548"/>
      <c r="T784" s="548"/>
      <c r="U784" s="548"/>
      <c r="V784" s="548"/>
      <c r="W784" s="548"/>
      <c r="X784" s="548"/>
      <c r="AH784" s="561" t="str">
        <f>IFERROR(INDEX('Annex 2_Code'!$J$110:$J$122,MATCH('Annex 3_MAFF'!AF784,'Annex 2_Code'!$G$110:$G$122,0)),"")</f>
        <v/>
      </c>
    </row>
    <row r="785" spans="1:34">
      <c r="A785" s="548"/>
      <c r="B785" s="548"/>
      <c r="C785" s="548"/>
      <c r="D785" s="548"/>
      <c r="E785" s="548"/>
      <c r="G785" s="548"/>
      <c r="H785" s="548"/>
      <c r="I785" s="548"/>
      <c r="S785" s="548"/>
      <c r="T785" s="548"/>
      <c r="U785" s="548"/>
      <c r="V785" s="548"/>
      <c r="W785" s="548"/>
      <c r="X785" s="548"/>
      <c r="AH785" s="561" t="str">
        <f>IFERROR(INDEX('Annex 2_Code'!$J$110:$J$122,MATCH('Annex 3_MAFF'!AF785,'Annex 2_Code'!$G$110:$G$122,0)),"")</f>
        <v/>
      </c>
    </row>
    <row r="786" spans="1:34">
      <c r="A786" s="548"/>
      <c r="B786" s="548"/>
      <c r="C786" s="548"/>
      <c r="D786" s="548"/>
      <c r="E786" s="548"/>
      <c r="G786" s="548"/>
      <c r="H786" s="548"/>
      <c r="I786" s="548"/>
      <c r="S786" s="548"/>
      <c r="T786" s="548"/>
      <c r="U786" s="548"/>
      <c r="V786" s="548"/>
      <c r="W786" s="548"/>
      <c r="X786" s="548"/>
      <c r="AH786" s="561" t="str">
        <f>IFERROR(INDEX('Annex 2_Code'!$J$110:$J$122,MATCH('Annex 3_MAFF'!AF786,'Annex 2_Code'!$G$110:$G$122,0)),"")</f>
        <v/>
      </c>
    </row>
    <row r="787" spans="1:34">
      <c r="A787" s="548"/>
      <c r="B787" s="548"/>
      <c r="C787" s="548"/>
      <c r="D787" s="548"/>
      <c r="E787" s="548"/>
      <c r="G787" s="548"/>
      <c r="H787" s="548"/>
      <c r="I787" s="548"/>
      <c r="S787" s="548"/>
      <c r="T787" s="548"/>
      <c r="U787" s="548"/>
      <c r="V787" s="548"/>
      <c r="W787" s="548"/>
      <c r="X787" s="548"/>
      <c r="AH787" s="561" t="str">
        <f>IFERROR(INDEX('Annex 2_Code'!$J$110:$J$122,MATCH('Annex 3_MAFF'!AF787,'Annex 2_Code'!$G$110:$G$122,0)),"")</f>
        <v/>
      </c>
    </row>
    <row r="788" spans="1:34">
      <c r="A788" s="548"/>
      <c r="B788" s="548"/>
      <c r="C788" s="548"/>
      <c r="D788" s="548"/>
      <c r="E788" s="548"/>
      <c r="G788" s="548"/>
      <c r="H788" s="548"/>
      <c r="I788" s="548"/>
      <c r="S788" s="548"/>
      <c r="T788" s="548"/>
      <c r="U788" s="548"/>
      <c r="V788" s="548"/>
      <c r="W788" s="548"/>
      <c r="X788" s="548"/>
      <c r="AH788" s="561" t="str">
        <f>IFERROR(INDEX('Annex 2_Code'!$J$110:$J$122,MATCH('Annex 3_MAFF'!AF788,'Annex 2_Code'!$G$110:$G$122,0)),"")</f>
        <v/>
      </c>
    </row>
    <row r="789" spans="1:34">
      <c r="A789" s="548"/>
      <c r="B789" s="548"/>
      <c r="C789" s="548"/>
      <c r="D789" s="548"/>
      <c r="E789" s="548"/>
      <c r="G789" s="548"/>
      <c r="H789" s="548"/>
      <c r="I789" s="548"/>
      <c r="S789" s="548"/>
      <c r="T789" s="548"/>
      <c r="U789" s="548"/>
      <c r="V789" s="548"/>
      <c r="W789" s="548"/>
      <c r="X789" s="548"/>
      <c r="AH789" s="561" t="str">
        <f>IFERROR(INDEX('Annex 2_Code'!$J$110:$J$122,MATCH('Annex 3_MAFF'!AF789,'Annex 2_Code'!$G$110:$G$122,0)),"")</f>
        <v/>
      </c>
    </row>
    <row r="790" spans="1:34">
      <c r="A790" s="548"/>
      <c r="B790" s="548"/>
      <c r="C790" s="548"/>
      <c r="D790" s="548"/>
      <c r="E790" s="548"/>
      <c r="G790" s="548"/>
      <c r="H790" s="548"/>
      <c r="I790" s="548"/>
      <c r="S790" s="548"/>
      <c r="T790" s="548"/>
      <c r="U790" s="548"/>
      <c r="V790" s="548"/>
      <c r="W790" s="548"/>
      <c r="X790" s="548"/>
      <c r="AH790" s="561" t="str">
        <f>IFERROR(INDEX('Annex 2_Code'!$J$110:$J$122,MATCH('Annex 3_MAFF'!AF790,'Annex 2_Code'!$G$110:$G$122,0)),"")</f>
        <v/>
      </c>
    </row>
    <row r="791" spans="1:34">
      <c r="A791" s="548"/>
      <c r="B791" s="548"/>
      <c r="C791" s="548"/>
      <c r="D791" s="548"/>
      <c r="E791" s="548"/>
      <c r="G791" s="548"/>
      <c r="H791" s="548"/>
      <c r="I791" s="548"/>
      <c r="S791" s="548"/>
      <c r="T791" s="548"/>
      <c r="U791" s="548"/>
      <c r="V791" s="548"/>
      <c r="W791" s="548"/>
      <c r="X791" s="548"/>
      <c r="AH791" s="561" t="str">
        <f>IFERROR(INDEX('Annex 2_Code'!$J$110:$J$122,MATCH('Annex 3_MAFF'!AF791,'Annex 2_Code'!$G$110:$G$122,0)),"")</f>
        <v/>
      </c>
    </row>
    <row r="792" spans="1:34">
      <c r="A792" s="548"/>
      <c r="B792" s="548"/>
      <c r="C792" s="548"/>
      <c r="D792" s="548"/>
      <c r="E792" s="548"/>
      <c r="G792" s="548"/>
      <c r="H792" s="548"/>
      <c r="I792" s="548"/>
      <c r="S792" s="548"/>
      <c r="T792" s="548"/>
      <c r="U792" s="548"/>
      <c r="V792" s="548"/>
      <c r="W792" s="548"/>
      <c r="X792" s="548"/>
      <c r="AH792" s="561" t="str">
        <f>IFERROR(INDEX('Annex 2_Code'!$J$110:$J$122,MATCH('Annex 3_MAFF'!AF792,'Annex 2_Code'!$G$110:$G$122,0)),"")</f>
        <v/>
      </c>
    </row>
    <row r="793" spans="1:34">
      <c r="A793" s="548"/>
      <c r="B793" s="548"/>
      <c r="C793" s="548"/>
      <c r="D793" s="548"/>
      <c r="E793" s="548"/>
      <c r="G793" s="548"/>
      <c r="H793" s="548"/>
      <c r="I793" s="548"/>
      <c r="S793" s="548"/>
      <c r="T793" s="548"/>
      <c r="U793" s="548"/>
      <c r="V793" s="548"/>
      <c r="W793" s="548"/>
      <c r="X793" s="548"/>
      <c r="AH793" s="561" t="str">
        <f>IFERROR(INDEX('Annex 2_Code'!$J$110:$J$122,MATCH('Annex 3_MAFF'!AF793,'Annex 2_Code'!$G$110:$G$122,0)),"")</f>
        <v/>
      </c>
    </row>
    <row r="794" spans="1:34">
      <c r="A794" s="548"/>
      <c r="B794" s="548"/>
      <c r="C794" s="548"/>
      <c r="D794" s="548"/>
      <c r="E794" s="548"/>
      <c r="G794" s="548"/>
      <c r="H794" s="548"/>
      <c r="I794" s="548"/>
      <c r="S794" s="548"/>
      <c r="T794" s="548"/>
      <c r="U794" s="548"/>
      <c r="V794" s="548"/>
      <c r="W794" s="548"/>
      <c r="X794" s="548"/>
      <c r="AH794" s="561" t="str">
        <f>IFERROR(INDEX('Annex 2_Code'!$J$110:$J$122,MATCH('Annex 3_MAFF'!AF794,'Annex 2_Code'!$G$110:$G$122,0)),"")</f>
        <v/>
      </c>
    </row>
    <row r="795" spans="1:34">
      <c r="A795" s="548"/>
      <c r="B795" s="548"/>
      <c r="C795" s="548"/>
      <c r="D795" s="548"/>
      <c r="E795" s="548"/>
      <c r="G795" s="548"/>
      <c r="H795" s="548"/>
      <c r="I795" s="548"/>
      <c r="S795" s="548"/>
      <c r="T795" s="548"/>
      <c r="U795" s="548"/>
      <c r="V795" s="548"/>
      <c r="W795" s="548"/>
      <c r="X795" s="548"/>
      <c r="AH795" s="561" t="str">
        <f>IFERROR(INDEX('Annex 2_Code'!$J$110:$J$122,MATCH('Annex 3_MAFF'!AF795,'Annex 2_Code'!$G$110:$G$122,0)),"")</f>
        <v/>
      </c>
    </row>
    <row r="796" spans="1:34">
      <c r="A796" s="548"/>
      <c r="B796" s="548"/>
      <c r="C796" s="548"/>
      <c r="D796" s="548"/>
      <c r="E796" s="548"/>
      <c r="G796" s="548"/>
      <c r="H796" s="548"/>
      <c r="I796" s="548"/>
      <c r="S796" s="548"/>
      <c r="T796" s="548"/>
      <c r="U796" s="548"/>
      <c r="V796" s="548"/>
      <c r="W796" s="548"/>
      <c r="X796" s="548"/>
      <c r="AH796" s="561" t="str">
        <f>IFERROR(INDEX('Annex 2_Code'!$J$110:$J$122,MATCH('Annex 3_MAFF'!AF796,'Annex 2_Code'!$G$110:$G$122,0)),"")</f>
        <v/>
      </c>
    </row>
    <row r="797" spans="1:34">
      <c r="A797" s="548"/>
      <c r="B797" s="548"/>
      <c r="C797" s="548"/>
      <c r="D797" s="548"/>
      <c r="E797" s="548"/>
      <c r="G797" s="548"/>
      <c r="H797" s="548"/>
      <c r="I797" s="548"/>
      <c r="S797" s="548"/>
      <c r="T797" s="548"/>
      <c r="U797" s="548"/>
      <c r="V797" s="548"/>
      <c r="W797" s="548"/>
      <c r="X797" s="548"/>
      <c r="AH797" s="561" t="str">
        <f>IFERROR(INDEX('Annex 2_Code'!$J$110:$J$122,MATCH('Annex 3_MAFF'!AF797,'Annex 2_Code'!$G$110:$G$122,0)),"")</f>
        <v/>
      </c>
    </row>
    <row r="798" spans="1:34">
      <c r="A798" s="548"/>
      <c r="B798" s="548"/>
      <c r="C798" s="548"/>
      <c r="D798" s="548"/>
      <c r="E798" s="548"/>
      <c r="G798" s="548"/>
      <c r="H798" s="548"/>
      <c r="I798" s="548"/>
      <c r="S798" s="548"/>
      <c r="T798" s="548"/>
      <c r="U798" s="548"/>
      <c r="V798" s="548"/>
      <c r="W798" s="548"/>
      <c r="X798" s="548"/>
      <c r="AH798" s="561" t="str">
        <f>IFERROR(INDEX('Annex 2_Code'!$J$110:$J$122,MATCH('Annex 3_MAFF'!AF798,'Annex 2_Code'!$G$110:$G$122,0)),"")</f>
        <v/>
      </c>
    </row>
    <row r="799" spans="1:34">
      <c r="A799" s="548"/>
      <c r="B799" s="548"/>
      <c r="C799" s="548"/>
      <c r="D799" s="548"/>
      <c r="E799" s="548"/>
      <c r="G799" s="548"/>
      <c r="H799" s="548"/>
      <c r="I799" s="548"/>
      <c r="S799" s="548"/>
      <c r="T799" s="548"/>
      <c r="U799" s="548"/>
      <c r="V799" s="548"/>
      <c r="W799" s="548"/>
      <c r="X799" s="548"/>
      <c r="AH799" s="561" t="str">
        <f>IFERROR(INDEX('Annex 2_Code'!$J$110:$J$122,MATCH('Annex 3_MAFF'!AF799,'Annex 2_Code'!$G$110:$G$122,0)),"")</f>
        <v/>
      </c>
    </row>
    <row r="800" spans="1:34">
      <c r="A800" s="548"/>
      <c r="B800" s="548"/>
      <c r="C800" s="548"/>
      <c r="D800" s="548"/>
      <c r="E800" s="548"/>
      <c r="G800" s="548"/>
      <c r="H800" s="548"/>
      <c r="I800" s="548"/>
      <c r="S800" s="548"/>
      <c r="T800" s="548"/>
      <c r="U800" s="548"/>
      <c r="V800" s="548"/>
      <c r="W800" s="548"/>
      <c r="X800" s="548"/>
      <c r="AH800" s="561" t="str">
        <f>IFERROR(INDEX('Annex 2_Code'!$J$110:$J$122,MATCH('Annex 3_MAFF'!AF800,'Annex 2_Code'!$G$110:$G$122,0)),"")</f>
        <v/>
      </c>
    </row>
    <row r="801" spans="1:34">
      <c r="A801" s="548"/>
      <c r="B801" s="548"/>
      <c r="C801" s="548"/>
      <c r="D801" s="548"/>
      <c r="E801" s="548"/>
      <c r="G801" s="548"/>
      <c r="H801" s="548"/>
      <c r="I801" s="548"/>
      <c r="S801" s="548"/>
      <c r="T801" s="548"/>
      <c r="U801" s="548"/>
      <c r="V801" s="548"/>
      <c r="W801" s="548"/>
      <c r="X801" s="548"/>
      <c r="AH801" s="561" t="str">
        <f>IFERROR(INDEX('Annex 2_Code'!$J$110:$J$122,MATCH('Annex 3_MAFF'!AF801,'Annex 2_Code'!$G$110:$G$122,0)),"")</f>
        <v/>
      </c>
    </row>
    <row r="802" spans="1:34">
      <c r="A802" s="548"/>
      <c r="B802" s="548"/>
      <c r="C802" s="548"/>
      <c r="D802" s="548"/>
      <c r="E802" s="548"/>
      <c r="G802" s="548"/>
      <c r="H802" s="548"/>
      <c r="I802" s="548"/>
      <c r="S802" s="548"/>
      <c r="T802" s="548"/>
      <c r="U802" s="548"/>
      <c r="V802" s="548"/>
      <c r="W802" s="548"/>
      <c r="X802" s="548"/>
      <c r="AH802" s="561" t="str">
        <f>IFERROR(INDEX('Annex 2_Code'!$J$110:$J$122,MATCH('Annex 3_MAFF'!AF802,'Annex 2_Code'!$G$110:$G$122,0)),"")</f>
        <v/>
      </c>
    </row>
    <row r="803" spans="1:34">
      <c r="A803" s="548"/>
      <c r="B803" s="548"/>
      <c r="C803" s="548"/>
      <c r="D803" s="548"/>
      <c r="E803" s="548"/>
      <c r="G803" s="548"/>
      <c r="H803" s="548"/>
      <c r="I803" s="548"/>
      <c r="S803" s="548"/>
      <c r="T803" s="548"/>
      <c r="U803" s="548"/>
      <c r="V803" s="548"/>
      <c r="W803" s="548"/>
      <c r="X803" s="548"/>
      <c r="AH803" s="561" t="str">
        <f>IFERROR(INDEX('Annex 2_Code'!$J$110:$J$122,MATCH('Annex 3_MAFF'!AF803,'Annex 2_Code'!$G$110:$G$122,0)),"")</f>
        <v/>
      </c>
    </row>
    <row r="804" spans="1:34">
      <c r="A804" s="548"/>
      <c r="B804" s="548"/>
      <c r="C804" s="548"/>
      <c r="D804" s="548"/>
      <c r="E804" s="548"/>
      <c r="G804" s="548"/>
      <c r="H804" s="548"/>
      <c r="I804" s="548"/>
      <c r="S804" s="548"/>
      <c r="T804" s="548"/>
      <c r="U804" s="548"/>
      <c r="V804" s="548"/>
      <c r="W804" s="548"/>
      <c r="X804" s="548"/>
      <c r="AH804" s="561" t="str">
        <f>IFERROR(INDEX('Annex 2_Code'!$J$110:$J$122,MATCH('Annex 3_MAFF'!AF804,'Annex 2_Code'!$G$110:$G$122,0)),"")</f>
        <v/>
      </c>
    </row>
    <row r="805" spans="1:34">
      <c r="A805" s="548"/>
      <c r="B805" s="548"/>
      <c r="C805" s="548"/>
      <c r="D805" s="548"/>
      <c r="E805" s="548"/>
      <c r="G805" s="548"/>
      <c r="H805" s="548"/>
      <c r="I805" s="548"/>
      <c r="S805" s="548"/>
      <c r="T805" s="548"/>
      <c r="U805" s="548"/>
      <c r="V805" s="548"/>
      <c r="W805" s="548"/>
      <c r="X805" s="548"/>
      <c r="AH805" s="561" t="str">
        <f>IFERROR(INDEX('Annex 2_Code'!$J$110:$J$122,MATCH('Annex 3_MAFF'!AF805,'Annex 2_Code'!$G$110:$G$122,0)),"")</f>
        <v/>
      </c>
    </row>
    <row r="806" spans="1:34">
      <c r="A806" s="548"/>
      <c r="B806" s="548"/>
      <c r="C806" s="548"/>
      <c r="D806" s="548"/>
      <c r="E806" s="548"/>
      <c r="G806" s="548"/>
      <c r="H806" s="548"/>
      <c r="I806" s="548"/>
      <c r="S806" s="548"/>
      <c r="T806" s="548"/>
      <c r="U806" s="548"/>
      <c r="V806" s="548"/>
      <c r="W806" s="548"/>
      <c r="X806" s="548"/>
      <c r="AH806" s="561" t="str">
        <f>IFERROR(INDEX('Annex 2_Code'!$J$110:$J$122,MATCH('Annex 3_MAFF'!AF806,'Annex 2_Code'!$G$110:$G$122,0)),"")</f>
        <v/>
      </c>
    </row>
    <row r="807" spans="1:34">
      <c r="A807" s="548"/>
      <c r="B807" s="548"/>
      <c r="C807" s="548"/>
      <c r="D807" s="548"/>
      <c r="E807" s="548"/>
      <c r="G807" s="548"/>
      <c r="H807" s="548"/>
      <c r="I807" s="548"/>
      <c r="S807" s="548"/>
      <c r="T807" s="548"/>
      <c r="U807" s="548"/>
      <c r="V807" s="548"/>
      <c r="W807" s="548"/>
      <c r="X807" s="548"/>
      <c r="AH807" s="561" t="str">
        <f>IFERROR(INDEX('Annex 2_Code'!$J$110:$J$122,MATCH('Annex 3_MAFF'!AF807,'Annex 2_Code'!$G$110:$G$122,0)),"")</f>
        <v/>
      </c>
    </row>
    <row r="808" spans="1:34">
      <c r="A808" s="548"/>
      <c r="B808" s="548"/>
      <c r="C808" s="548"/>
      <c r="D808" s="548"/>
      <c r="E808" s="548"/>
      <c r="G808" s="548"/>
      <c r="H808" s="548"/>
      <c r="I808" s="548"/>
      <c r="S808" s="548"/>
      <c r="T808" s="548"/>
      <c r="U808" s="548"/>
      <c r="V808" s="548"/>
      <c r="W808" s="548"/>
      <c r="X808" s="548"/>
      <c r="AH808" s="561" t="str">
        <f>IFERROR(INDEX('Annex 2_Code'!$J$110:$J$122,MATCH('Annex 3_MAFF'!AF808,'Annex 2_Code'!$G$110:$G$122,0)),"")</f>
        <v/>
      </c>
    </row>
    <row r="809" spans="1:34">
      <c r="A809" s="548"/>
      <c r="B809" s="548"/>
      <c r="C809" s="548"/>
      <c r="D809" s="548"/>
      <c r="E809" s="548"/>
      <c r="G809" s="548"/>
      <c r="H809" s="548"/>
      <c r="I809" s="548"/>
      <c r="S809" s="548"/>
      <c r="T809" s="548"/>
      <c r="U809" s="548"/>
      <c r="V809" s="548"/>
      <c r="W809" s="548"/>
      <c r="X809" s="548"/>
      <c r="AH809" s="561" t="str">
        <f>IFERROR(INDEX('Annex 2_Code'!$J$110:$J$122,MATCH('Annex 3_MAFF'!AF809,'Annex 2_Code'!$G$110:$G$122,0)),"")</f>
        <v/>
      </c>
    </row>
    <row r="810" spans="1:34">
      <c r="A810" s="548"/>
      <c r="B810" s="548"/>
      <c r="C810" s="548"/>
      <c r="D810" s="548"/>
      <c r="E810" s="548"/>
      <c r="G810" s="548"/>
      <c r="H810" s="548"/>
      <c r="I810" s="548"/>
      <c r="S810" s="548"/>
      <c r="T810" s="548"/>
      <c r="U810" s="548"/>
      <c r="V810" s="548"/>
      <c r="W810" s="548"/>
      <c r="X810" s="548"/>
      <c r="AH810" s="561" t="str">
        <f>IFERROR(INDEX('Annex 2_Code'!$J$110:$J$122,MATCH('Annex 3_MAFF'!AF810,'Annex 2_Code'!$G$110:$G$122,0)),"")</f>
        <v/>
      </c>
    </row>
    <row r="811" spans="1:34">
      <c r="A811" s="548"/>
      <c r="B811" s="548"/>
      <c r="C811" s="548"/>
      <c r="D811" s="548"/>
      <c r="E811" s="548"/>
      <c r="G811" s="548"/>
      <c r="H811" s="548"/>
      <c r="I811" s="548"/>
      <c r="S811" s="548"/>
      <c r="T811" s="548"/>
      <c r="U811" s="548"/>
      <c r="V811" s="548"/>
      <c r="W811" s="548"/>
      <c r="X811" s="548"/>
      <c r="AH811" s="561" t="str">
        <f>IFERROR(INDEX('Annex 2_Code'!$J$110:$J$122,MATCH('Annex 3_MAFF'!AF811,'Annex 2_Code'!$G$110:$G$122,0)),"")</f>
        <v/>
      </c>
    </row>
    <row r="812" spans="1:34">
      <c r="A812" s="548"/>
      <c r="B812" s="548"/>
      <c r="C812" s="548"/>
      <c r="D812" s="548"/>
      <c r="E812" s="548"/>
      <c r="G812" s="548"/>
      <c r="H812" s="548"/>
      <c r="I812" s="548"/>
      <c r="S812" s="548"/>
      <c r="T812" s="548"/>
      <c r="U812" s="548"/>
      <c r="V812" s="548"/>
      <c r="W812" s="548"/>
      <c r="X812" s="548"/>
      <c r="AH812" s="561" t="str">
        <f>IFERROR(INDEX('Annex 2_Code'!$J$110:$J$122,MATCH('Annex 3_MAFF'!AF812,'Annex 2_Code'!$G$110:$G$122,0)),"")</f>
        <v/>
      </c>
    </row>
    <row r="813" spans="1:34">
      <c r="A813" s="548"/>
      <c r="B813" s="548"/>
      <c r="C813" s="548"/>
      <c r="D813" s="548"/>
      <c r="E813" s="548"/>
      <c r="G813" s="548"/>
      <c r="H813" s="548"/>
      <c r="I813" s="548"/>
      <c r="S813" s="548"/>
      <c r="T813" s="548"/>
      <c r="U813" s="548"/>
      <c r="V813" s="548"/>
      <c r="W813" s="548"/>
      <c r="X813" s="548"/>
      <c r="AH813" s="561" t="str">
        <f>IFERROR(INDEX('Annex 2_Code'!$J$110:$J$122,MATCH('Annex 3_MAFF'!AF813,'Annex 2_Code'!$G$110:$G$122,0)),"")</f>
        <v/>
      </c>
    </row>
    <row r="814" spans="1:34">
      <c r="A814" s="548"/>
      <c r="B814" s="548"/>
      <c r="C814" s="548"/>
      <c r="D814" s="548"/>
      <c r="E814" s="548"/>
      <c r="G814" s="548"/>
      <c r="H814" s="548"/>
      <c r="I814" s="548"/>
      <c r="S814" s="548"/>
      <c r="T814" s="548"/>
      <c r="U814" s="548"/>
      <c r="V814" s="548"/>
      <c r="W814" s="548"/>
      <c r="X814" s="548"/>
      <c r="AH814" s="561" t="str">
        <f>IFERROR(INDEX('Annex 2_Code'!$J$110:$J$122,MATCH('Annex 3_MAFF'!AF814,'Annex 2_Code'!$G$110:$G$122,0)),"")</f>
        <v/>
      </c>
    </row>
    <row r="815" spans="1:34">
      <c r="A815" s="548"/>
      <c r="B815" s="548"/>
      <c r="C815" s="548"/>
      <c r="D815" s="548"/>
      <c r="E815" s="548"/>
      <c r="G815" s="548"/>
      <c r="H815" s="548"/>
      <c r="I815" s="548"/>
      <c r="S815" s="548"/>
      <c r="T815" s="548"/>
      <c r="U815" s="548"/>
      <c r="V815" s="548"/>
      <c r="W815" s="548"/>
      <c r="X815" s="548"/>
      <c r="AH815" s="561" t="str">
        <f>IFERROR(INDEX('Annex 2_Code'!$J$110:$J$122,MATCH('Annex 3_MAFF'!AF815,'Annex 2_Code'!$G$110:$G$122,0)),"")</f>
        <v/>
      </c>
    </row>
    <row r="816" spans="1:34">
      <c r="A816" s="548"/>
      <c r="B816" s="548"/>
      <c r="C816" s="548"/>
      <c r="D816" s="548"/>
      <c r="E816" s="548"/>
      <c r="G816" s="548"/>
      <c r="H816" s="548"/>
      <c r="I816" s="548"/>
      <c r="S816" s="548"/>
      <c r="T816" s="548"/>
      <c r="U816" s="548"/>
      <c r="V816" s="548"/>
      <c r="W816" s="548"/>
      <c r="X816" s="548"/>
      <c r="AH816" s="561" t="str">
        <f>IFERROR(INDEX('Annex 2_Code'!$J$110:$J$122,MATCH('Annex 3_MAFF'!AF816,'Annex 2_Code'!$G$110:$G$122,0)),"")</f>
        <v/>
      </c>
    </row>
    <row r="817" spans="1:34">
      <c r="A817" s="548"/>
      <c r="B817" s="548"/>
      <c r="C817" s="548"/>
      <c r="D817" s="548"/>
      <c r="E817" s="548"/>
      <c r="G817" s="548"/>
      <c r="H817" s="548"/>
      <c r="I817" s="548"/>
      <c r="S817" s="548"/>
      <c r="T817" s="548"/>
      <c r="U817" s="548"/>
      <c r="V817" s="548"/>
      <c r="W817" s="548"/>
      <c r="X817" s="548"/>
      <c r="AH817" s="561" t="str">
        <f>IFERROR(INDEX('Annex 2_Code'!$J$110:$J$122,MATCH('Annex 3_MAFF'!AF817,'Annex 2_Code'!$G$110:$G$122,0)),"")</f>
        <v/>
      </c>
    </row>
    <row r="818" spans="1:34">
      <c r="A818" s="548"/>
      <c r="B818" s="548"/>
      <c r="C818" s="548"/>
      <c r="D818" s="548"/>
      <c r="E818" s="548"/>
      <c r="G818" s="548"/>
      <c r="H818" s="548"/>
      <c r="I818" s="548"/>
      <c r="S818" s="548"/>
      <c r="T818" s="548"/>
      <c r="U818" s="548"/>
      <c r="V818" s="548"/>
      <c r="W818" s="548"/>
      <c r="X818" s="548"/>
      <c r="AH818" s="561" t="str">
        <f>IFERROR(INDEX('Annex 2_Code'!$J$110:$J$122,MATCH('Annex 3_MAFF'!AF818,'Annex 2_Code'!$G$110:$G$122,0)),"")</f>
        <v/>
      </c>
    </row>
    <row r="819" spans="1:34">
      <c r="A819" s="548"/>
      <c r="B819" s="548"/>
      <c r="C819" s="548"/>
      <c r="D819" s="548"/>
      <c r="E819" s="548"/>
      <c r="G819" s="548"/>
      <c r="H819" s="548"/>
      <c r="I819" s="548"/>
      <c r="S819" s="548"/>
      <c r="T819" s="548"/>
      <c r="U819" s="548"/>
      <c r="V819" s="548"/>
      <c r="W819" s="548"/>
      <c r="X819" s="548"/>
      <c r="AH819" s="561" t="str">
        <f>IFERROR(INDEX('Annex 2_Code'!$J$110:$J$122,MATCH('Annex 3_MAFF'!AF819,'Annex 2_Code'!$G$110:$G$122,0)),"")</f>
        <v/>
      </c>
    </row>
    <row r="820" spans="1:34">
      <c r="A820" s="548"/>
      <c r="B820" s="548"/>
      <c r="C820" s="548"/>
      <c r="D820" s="548"/>
      <c r="E820" s="548"/>
      <c r="G820" s="548"/>
      <c r="H820" s="548"/>
      <c r="I820" s="548"/>
      <c r="S820" s="548"/>
      <c r="T820" s="548"/>
      <c r="U820" s="548"/>
      <c r="V820" s="548"/>
      <c r="W820" s="548"/>
      <c r="X820" s="548"/>
      <c r="AH820" s="561" t="str">
        <f>IFERROR(INDEX('Annex 2_Code'!$J$110:$J$122,MATCH('Annex 3_MAFF'!AF820,'Annex 2_Code'!$G$110:$G$122,0)),"")</f>
        <v/>
      </c>
    </row>
    <row r="821" spans="1:34">
      <c r="A821" s="548"/>
      <c r="B821" s="548"/>
      <c r="C821" s="548"/>
      <c r="D821" s="548"/>
      <c r="E821" s="548"/>
      <c r="G821" s="548"/>
      <c r="H821" s="548"/>
      <c r="I821" s="548"/>
      <c r="S821" s="548"/>
      <c r="T821" s="548"/>
      <c r="U821" s="548"/>
      <c r="V821" s="548"/>
      <c r="W821" s="548"/>
      <c r="X821" s="548"/>
      <c r="AH821" s="561" t="str">
        <f>IFERROR(INDEX('Annex 2_Code'!$J$110:$J$122,MATCH('Annex 3_MAFF'!AF821,'Annex 2_Code'!$G$110:$G$122,0)),"")</f>
        <v/>
      </c>
    </row>
    <row r="822" spans="1:34">
      <c r="A822" s="548"/>
      <c r="B822" s="548"/>
      <c r="C822" s="548"/>
      <c r="D822" s="548"/>
      <c r="E822" s="548"/>
      <c r="G822" s="548"/>
      <c r="H822" s="548"/>
      <c r="I822" s="548"/>
      <c r="S822" s="548"/>
      <c r="T822" s="548"/>
      <c r="U822" s="548"/>
      <c r="V822" s="548"/>
      <c r="W822" s="548"/>
      <c r="X822" s="548"/>
      <c r="AH822" s="561" t="str">
        <f>IFERROR(INDEX('Annex 2_Code'!$J$110:$J$122,MATCH('Annex 3_MAFF'!AF822,'Annex 2_Code'!$G$110:$G$122,0)),"")</f>
        <v/>
      </c>
    </row>
    <row r="823" spans="1:34">
      <c r="A823" s="548"/>
      <c r="B823" s="548"/>
      <c r="C823" s="548"/>
      <c r="D823" s="548"/>
      <c r="E823" s="548"/>
      <c r="G823" s="548"/>
      <c r="H823" s="548"/>
      <c r="I823" s="548"/>
      <c r="S823" s="548"/>
      <c r="T823" s="548"/>
      <c r="U823" s="548"/>
      <c r="V823" s="548"/>
      <c r="W823" s="548"/>
      <c r="X823" s="548"/>
      <c r="AH823" s="561" t="str">
        <f>IFERROR(INDEX('Annex 2_Code'!$J$110:$J$122,MATCH('Annex 3_MAFF'!AF823,'Annex 2_Code'!$G$110:$G$122,0)),"")</f>
        <v/>
      </c>
    </row>
    <row r="824" spans="1:34">
      <c r="A824" s="548"/>
      <c r="B824" s="548"/>
      <c r="C824" s="548"/>
      <c r="D824" s="548"/>
      <c r="E824" s="548"/>
      <c r="G824" s="548"/>
      <c r="H824" s="548"/>
      <c r="I824" s="548"/>
      <c r="S824" s="548"/>
      <c r="T824" s="548"/>
      <c r="U824" s="548"/>
      <c r="V824" s="548"/>
      <c r="W824" s="548"/>
      <c r="X824" s="548"/>
      <c r="AH824" s="561" t="str">
        <f>IFERROR(INDEX('Annex 2_Code'!$J$110:$J$122,MATCH('Annex 3_MAFF'!AF824,'Annex 2_Code'!$G$110:$G$122,0)),"")</f>
        <v/>
      </c>
    </row>
    <row r="825" spans="1:34">
      <c r="A825" s="548"/>
      <c r="B825" s="548"/>
      <c r="C825" s="548"/>
      <c r="D825" s="548"/>
      <c r="E825" s="548"/>
      <c r="G825" s="548"/>
      <c r="H825" s="548"/>
      <c r="I825" s="548"/>
      <c r="S825" s="548"/>
      <c r="T825" s="548"/>
      <c r="U825" s="548"/>
      <c r="V825" s="548"/>
      <c r="W825" s="548"/>
      <c r="X825" s="548"/>
      <c r="AH825" s="561" t="str">
        <f>IFERROR(INDEX('Annex 2_Code'!$J$110:$J$122,MATCH('Annex 3_MAFF'!AF825,'Annex 2_Code'!$G$110:$G$122,0)),"")</f>
        <v/>
      </c>
    </row>
    <row r="826" spans="1:34">
      <c r="A826" s="548"/>
      <c r="B826" s="548"/>
      <c r="C826" s="548"/>
      <c r="D826" s="548"/>
      <c r="E826" s="548"/>
      <c r="G826" s="548"/>
      <c r="H826" s="548"/>
      <c r="I826" s="548"/>
      <c r="S826" s="548"/>
      <c r="T826" s="548"/>
      <c r="U826" s="548"/>
      <c r="V826" s="548"/>
      <c r="W826" s="548"/>
      <c r="X826" s="548"/>
      <c r="AH826" s="561" t="str">
        <f>IFERROR(INDEX('Annex 2_Code'!$J$110:$J$122,MATCH('Annex 3_MAFF'!AF826,'Annex 2_Code'!$G$110:$G$122,0)),"")</f>
        <v/>
      </c>
    </row>
    <row r="827" spans="1:34">
      <c r="A827" s="548"/>
      <c r="B827" s="548"/>
      <c r="C827" s="548"/>
      <c r="D827" s="548"/>
      <c r="E827" s="548"/>
      <c r="G827" s="548"/>
      <c r="H827" s="548"/>
      <c r="I827" s="548"/>
      <c r="S827" s="548"/>
      <c r="T827" s="548"/>
      <c r="U827" s="548"/>
      <c r="V827" s="548"/>
      <c r="W827" s="548"/>
      <c r="X827" s="548"/>
      <c r="AH827" s="561" t="str">
        <f>IFERROR(INDEX('Annex 2_Code'!$J$110:$J$122,MATCH('Annex 3_MAFF'!AF827,'Annex 2_Code'!$G$110:$G$122,0)),"")</f>
        <v/>
      </c>
    </row>
    <row r="828" spans="1:34">
      <c r="A828" s="548"/>
      <c r="B828" s="548"/>
      <c r="C828" s="548"/>
      <c r="D828" s="548"/>
      <c r="E828" s="548"/>
      <c r="G828" s="548"/>
      <c r="H828" s="548"/>
      <c r="I828" s="548"/>
      <c r="S828" s="548"/>
      <c r="T828" s="548"/>
      <c r="U828" s="548"/>
      <c r="V828" s="548"/>
      <c r="W828" s="548"/>
      <c r="X828" s="548"/>
      <c r="AH828" s="561" t="str">
        <f>IFERROR(INDEX('Annex 2_Code'!$J$110:$J$122,MATCH('Annex 3_MAFF'!AF828,'Annex 2_Code'!$G$110:$G$122,0)),"")</f>
        <v/>
      </c>
    </row>
    <row r="829" spans="1:34">
      <c r="A829" s="548"/>
      <c r="B829" s="548"/>
      <c r="C829" s="548"/>
      <c r="D829" s="548"/>
      <c r="E829" s="548"/>
      <c r="G829" s="548"/>
      <c r="H829" s="548"/>
      <c r="I829" s="548"/>
      <c r="S829" s="548"/>
      <c r="T829" s="548"/>
      <c r="U829" s="548"/>
      <c r="V829" s="548"/>
      <c r="W829" s="548"/>
      <c r="X829" s="548"/>
      <c r="AH829" s="561" t="str">
        <f>IFERROR(INDEX('Annex 2_Code'!$J$110:$J$122,MATCH('Annex 3_MAFF'!AF829,'Annex 2_Code'!$G$110:$G$122,0)),"")</f>
        <v/>
      </c>
    </row>
    <row r="830" spans="1:34">
      <c r="A830" s="548"/>
      <c r="B830" s="548"/>
      <c r="C830" s="548"/>
      <c r="D830" s="548"/>
      <c r="E830" s="548"/>
      <c r="G830" s="548"/>
      <c r="H830" s="548"/>
      <c r="I830" s="548"/>
      <c r="S830" s="548"/>
      <c r="T830" s="548"/>
      <c r="U830" s="548"/>
      <c r="V830" s="548"/>
      <c r="W830" s="548"/>
      <c r="X830" s="548"/>
      <c r="AH830" s="561" t="str">
        <f>IFERROR(INDEX('Annex 2_Code'!$J$110:$J$122,MATCH('Annex 3_MAFF'!AF830,'Annex 2_Code'!$G$110:$G$122,0)),"")</f>
        <v/>
      </c>
    </row>
    <row r="831" spans="1:34">
      <c r="A831" s="548"/>
      <c r="B831" s="548"/>
      <c r="C831" s="548"/>
      <c r="D831" s="548"/>
      <c r="E831" s="548"/>
      <c r="G831" s="548"/>
      <c r="H831" s="548"/>
      <c r="I831" s="548"/>
      <c r="S831" s="548"/>
      <c r="T831" s="548"/>
      <c r="U831" s="548"/>
      <c r="V831" s="548"/>
      <c r="W831" s="548"/>
      <c r="X831" s="548"/>
      <c r="AH831" s="561" t="str">
        <f>IFERROR(INDEX('Annex 2_Code'!$J$110:$J$122,MATCH('Annex 3_MAFF'!AF831,'Annex 2_Code'!$G$110:$G$122,0)),"")</f>
        <v/>
      </c>
    </row>
    <row r="832" spans="1:34">
      <c r="A832" s="548"/>
      <c r="B832" s="548"/>
      <c r="C832" s="548"/>
      <c r="D832" s="548"/>
      <c r="E832" s="548"/>
      <c r="G832" s="548"/>
      <c r="H832" s="548"/>
      <c r="I832" s="548"/>
      <c r="S832" s="548"/>
      <c r="T832" s="548"/>
      <c r="U832" s="548"/>
      <c r="V832" s="548"/>
      <c r="W832" s="548"/>
      <c r="X832" s="548"/>
      <c r="AH832" s="561" t="str">
        <f>IFERROR(INDEX('Annex 2_Code'!$J$110:$J$122,MATCH('Annex 3_MAFF'!AF832,'Annex 2_Code'!$G$110:$G$122,0)),"")</f>
        <v/>
      </c>
    </row>
    <row r="833" spans="1:34">
      <c r="A833" s="548"/>
      <c r="B833" s="548"/>
      <c r="C833" s="548"/>
      <c r="D833" s="548"/>
      <c r="E833" s="548"/>
      <c r="G833" s="548"/>
      <c r="H833" s="548"/>
      <c r="I833" s="548"/>
      <c r="S833" s="548"/>
      <c r="T833" s="548"/>
      <c r="U833" s="548"/>
      <c r="V833" s="548"/>
      <c r="W833" s="548"/>
      <c r="X833" s="548"/>
      <c r="AH833" s="561" t="str">
        <f>IFERROR(INDEX('Annex 2_Code'!$J$110:$J$122,MATCH('Annex 3_MAFF'!AF833,'Annex 2_Code'!$G$110:$G$122,0)),"")</f>
        <v/>
      </c>
    </row>
    <row r="834" spans="1:34">
      <c r="A834" s="548"/>
      <c r="B834" s="548"/>
      <c r="C834" s="548"/>
      <c r="D834" s="548"/>
      <c r="E834" s="548"/>
      <c r="G834" s="548"/>
      <c r="H834" s="548"/>
      <c r="I834" s="548"/>
      <c r="S834" s="548"/>
      <c r="T834" s="548"/>
      <c r="U834" s="548"/>
      <c r="V834" s="548"/>
      <c r="W834" s="548"/>
      <c r="X834" s="548"/>
      <c r="AH834" s="561" t="str">
        <f>IFERROR(INDEX('Annex 2_Code'!$J$110:$J$122,MATCH('Annex 3_MAFF'!AF834,'Annex 2_Code'!$G$110:$G$122,0)),"")</f>
        <v/>
      </c>
    </row>
    <row r="835" spans="1:34">
      <c r="A835" s="548"/>
      <c r="B835" s="548"/>
      <c r="C835" s="548"/>
      <c r="D835" s="548"/>
      <c r="E835" s="548"/>
      <c r="G835" s="548"/>
      <c r="H835" s="548"/>
      <c r="I835" s="548"/>
      <c r="S835" s="548"/>
      <c r="T835" s="548"/>
      <c r="U835" s="548"/>
      <c r="V835" s="548"/>
      <c r="W835" s="548"/>
      <c r="X835" s="548"/>
      <c r="AH835" s="561" t="str">
        <f>IFERROR(INDEX('Annex 2_Code'!$J$110:$J$122,MATCH('Annex 3_MAFF'!AF835,'Annex 2_Code'!$G$110:$G$122,0)),"")</f>
        <v/>
      </c>
    </row>
    <row r="836" spans="1:34">
      <c r="A836" s="548"/>
      <c r="B836" s="548"/>
      <c r="C836" s="548"/>
      <c r="D836" s="548"/>
      <c r="E836" s="548"/>
      <c r="G836" s="548"/>
      <c r="H836" s="548"/>
      <c r="I836" s="548"/>
      <c r="S836" s="548"/>
      <c r="T836" s="548"/>
      <c r="U836" s="548"/>
      <c r="V836" s="548"/>
      <c r="W836" s="548"/>
      <c r="X836" s="548"/>
      <c r="AH836" s="561" t="str">
        <f>IFERROR(INDEX('Annex 2_Code'!$J$110:$J$122,MATCH('Annex 3_MAFF'!AF836,'Annex 2_Code'!$G$110:$G$122,0)),"")</f>
        <v/>
      </c>
    </row>
    <row r="837" spans="1:34">
      <c r="A837" s="548"/>
      <c r="B837" s="548"/>
      <c r="C837" s="548"/>
      <c r="D837" s="548"/>
      <c r="E837" s="548"/>
      <c r="G837" s="548"/>
      <c r="H837" s="548"/>
      <c r="I837" s="548"/>
      <c r="S837" s="548"/>
      <c r="T837" s="548"/>
      <c r="U837" s="548"/>
      <c r="V837" s="548"/>
      <c r="W837" s="548"/>
      <c r="X837" s="548"/>
      <c r="AH837" s="561" t="str">
        <f>IFERROR(INDEX('Annex 2_Code'!$J$110:$J$122,MATCH('Annex 3_MAFF'!AF837,'Annex 2_Code'!$G$110:$G$122,0)),"")</f>
        <v/>
      </c>
    </row>
    <row r="838" spans="1:34">
      <c r="A838" s="548"/>
      <c r="B838" s="548"/>
      <c r="C838" s="548"/>
      <c r="D838" s="548"/>
      <c r="E838" s="548"/>
      <c r="G838" s="548"/>
      <c r="H838" s="548"/>
      <c r="I838" s="548"/>
      <c r="S838" s="548"/>
      <c r="T838" s="548"/>
      <c r="U838" s="548"/>
      <c r="V838" s="548"/>
      <c r="W838" s="548"/>
      <c r="X838" s="548"/>
      <c r="AH838" s="561" t="str">
        <f>IFERROR(INDEX('Annex 2_Code'!$J$110:$J$122,MATCH('Annex 3_MAFF'!AF838,'Annex 2_Code'!$G$110:$G$122,0)),"")</f>
        <v/>
      </c>
    </row>
    <row r="839" spans="1:34">
      <c r="A839" s="548"/>
      <c r="B839" s="548"/>
      <c r="C839" s="548"/>
      <c r="D839" s="548"/>
      <c r="E839" s="548"/>
      <c r="G839" s="548"/>
      <c r="H839" s="548"/>
      <c r="I839" s="548"/>
      <c r="S839" s="548"/>
      <c r="T839" s="548"/>
      <c r="U839" s="548"/>
      <c r="V839" s="548"/>
      <c r="W839" s="548"/>
      <c r="X839" s="548"/>
      <c r="AH839" s="561" t="str">
        <f>IFERROR(INDEX('Annex 2_Code'!$J$110:$J$122,MATCH('Annex 3_MAFF'!AF839,'Annex 2_Code'!$G$110:$G$122,0)),"")</f>
        <v/>
      </c>
    </row>
    <row r="840" spans="1:34">
      <c r="A840" s="548"/>
      <c r="B840" s="548"/>
      <c r="C840" s="548"/>
      <c r="D840" s="548"/>
      <c r="E840" s="548"/>
      <c r="G840" s="548"/>
      <c r="H840" s="548"/>
      <c r="I840" s="548"/>
      <c r="S840" s="548"/>
      <c r="T840" s="548"/>
      <c r="U840" s="548"/>
      <c r="V840" s="548"/>
      <c r="W840" s="548"/>
      <c r="X840" s="548"/>
      <c r="AH840" s="561" t="str">
        <f>IFERROR(INDEX('Annex 2_Code'!$J$110:$J$122,MATCH('Annex 3_MAFF'!AF840,'Annex 2_Code'!$G$110:$G$122,0)),"")</f>
        <v/>
      </c>
    </row>
    <row r="841" spans="1:34">
      <c r="A841" s="548"/>
      <c r="B841" s="548"/>
      <c r="C841" s="548"/>
      <c r="D841" s="548"/>
      <c r="E841" s="548"/>
      <c r="G841" s="548"/>
      <c r="H841" s="548"/>
      <c r="I841" s="548"/>
      <c r="S841" s="548"/>
      <c r="T841" s="548"/>
      <c r="U841" s="548"/>
      <c r="V841" s="548"/>
      <c r="W841" s="548"/>
      <c r="X841" s="548"/>
      <c r="AH841" s="561" t="str">
        <f>IFERROR(INDEX('Annex 2_Code'!$J$110:$J$122,MATCH('Annex 3_MAFF'!AF841,'Annex 2_Code'!$G$110:$G$122,0)),"")</f>
        <v/>
      </c>
    </row>
    <row r="842" spans="1:34">
      <c r="A842" s="548"/>
      <c r="B842" s="548"/>
      <c r="C842" s="548"/>
      <c r="D842" s="548"/>
      <c r="E842" s="548"/>
      <c r="G842" s="548"/>
      <c r="H842" s="548"/>
      <c r="I842" s="548"/>
      <c r="S842" s="548"/>
      <c r="T842" s="548"/>
      <c r="U842" s="548"/>
      <c r="V842" s="548"/>
      <c r="W842" s="548"/>
      <c r="X842" s="548"/>
      <c r="AH842" s="561" t="str">
        <f>IFERROR(INDEX('Annex 2_Code'!$J$110:$J$122,MATCH('Annex 3_MAFF'!AF842,'Annex 2_Code'!$G$110:$G$122,0)),"")</f>
        <v/>
      </c>
    </row>
    <row r="843" spans="1:34">
      <c r="A843" s="548"/>
      <c r="B843" s="548"/>
      <c r="C843" s="548"/>
      <c r="D843" s="548"/>
      <c r="E843" s="548"/>
      <c r="G843" s="548"/>
      <c r="H843" s="548"/>
      <c r="I843" s="548"/>
      <c r="S843" s="548"/>
      <c r="T843" s="548"/>
      <c r="U843" s="548"/>
      <c r="V843" s="548"/>
      <c r="W843" s="548"/>
      <c r="X843" s="548"/>
      <c r="AH843" s="561" t="str">
        <f>IFERROR(INDEX('Annex 2_Code'!$J$110:$J$122,MATCH('Annex 3_MAFF'!AF843,'Annex 2_Code'!$G$110:$G$122,0)),"")</f>
        <v/>
      </c>
    </row>
    <row r="844" spans="1:34">
      <c r="A844" s="548"/>
      <c r="B844" s="548"/>
      <c r="C844" s="548"/>
      <c r="D844" s="548"/>
      <c r="E844" s="548"/>
      <c r="G844" s="548"/>
      <c r="H844" s="548"/>
      <c r="I844" s="548"/>
      <c r="S844" s="548"/>
      <c r="T844" s="548"/>
      <c r="U844" s="548"/>
      <c r="V844" s="548"/>
      <c r="W844" s="548"/>
      <c r="X844" s="548"/>
      <c r="AH844" s="561" t="str">
        <f>IFERROR(INDEX('Annex 2_Code'!$J$110:$J$122,MATCH('Annex 3_MAFF'!AF844,'Annex 2_Code'!$G$110:$G$122,0)),"")</f>
        <v/>
      </c>
    </row>
    <row r="845" spans="1:34">
      <c r="A845" s="548"/>
      <c r="B845" s="548"/>
      <c r="C845" s="548"/>
      <c r="D845" s="548"/>
      <c r="E845" s="548"/>
      <c r="G845" s="548"/>
      <c r="H845" s="548"/>
      <c r="I845" s="548"/>
      <c r="S845" s="548"/>
      <c r="T845" s="548"/>
      <c r="U845" s="548"/>
      <c r="V845" s="548"/>
      <c r="W845" s="548"/>
      <c r="X845" s="548"/>
      <c r="AH845" s="561" t="str">
        <f>IFERROR(INDEX('Annex 2_Code'!$J$110:$J$122,MATCH('Annex 3_MAFF'!AF845,'Annex 2_Code'!$G$110:$G$122,0)),"")</f>
        <v/>
      </c>
    </row>
    <row r="846" spans="1:34">
      <c r="A846" s="548"/>
      <c r="B846" s="548"/>
      <c r="C846" s="548"/>
      <c r="D846" s="548"/>
      <c r="E846" s="548"/>
      <c r="G846" s="548"/>
      <c r="H846" s="548"/>
      <c r="I846" s="548"/>
      <c r="S846" s="548"/>
      <c r="T846" s="548"/>
      <c r="U846" s="548"/>
      <c r="V846" s="548"/>
      <c r="W846" s="548"/>
      <c r="X846" s="548"/>
      <c r="AH846" s="561" t="str">
        <f>IFERROR(INDEX('Annex 2_Code'!$J$110:$J$122,MATCH('Annex 3_MAFF'!AF846,'Annex 2_Code'!$G$110:$G$122,0)),"")</f>
        <v/>
      </c>
    </row>
    <row r="847" spans="1:34">
      <c r="A847" s="548"/>
      <c r="B847" s="548"/>
      <c r="C847" s="548"/>
      <c r="D847" s="548"/>
      <c r="E847" s="548"/>
      <c r="G847" s="548"/>
      <c r="H847" s="548"/>
      <c r="I847" s="548"/>
      <c r="S847" s="548"/>
      <c r="T847" s="548"/>
      <c r="U847" s="548"/>
      <c r="V847" s="548"/>
      <c r="W847" s="548"/>
      <c r="X847" s="548"/>
      <c r="AH847" s="561" t="str">
        <f>IFERROR(INDEX('Annex 2_Code'!$J$110:$J$122,MATCH('Annex 3_MAFF'!AF847,'Annex 2_Code'!$G$110:$G$122,0)),"")</f>
        <v/>
      </c>
    </row>
    <row r="848" spans="1:34">
      <c r="A848" s="548"/>
      <c r="B848" s="548"/>
      <c r="C848" s="548"/>
      <c r="D848" s="548"/>
      <c r="E848" s="548"/>
      <c r="G848" s="548"/>
      <c r="H848" s="548"/>
      <c r="I848" s="548"/>
      <c r="S848" s="548"/>
      <c r="T848" s="548"/>
      <c r="U848" s="548"/>
      <c r="V848" s="548"/>
      <c r="W848" s="548"/>
      <c r="X848" s="548"/>
      <c r="AH848" s="561" t="str">
        <f>IFERROR(INDEX('Annex 2_Code'!$J$110:$J$122,MATCH('Annex 3_MAFF'!AF848,'Annex 2_Code'!$G$110:$G$122,0)),"")</f>
        <v/>
      </c>
    </row>
    <row r="849" spans="1:34">
      <c r="A849" s="548"/>
      <c r="B849" s="548"/>
      <c r="C849" s="548"/>
      <c r="D849" s="548"/>
      <c r="E849" s="548"/>
      <c r="G849" s="548"/>
      <c r="H849" s="548"/>
      <c r="I849" s="548"/>
      <c r="S849" s="548"/>
      <c r="T849" s="548"/>
      <c r="U849" s="548"/>
      <c r="V849" s="548"/>
      <c r="W849" s="548"/>
      <c r="X849" s="548"/>
      <c r="AH849" s="561" t="str">
        <f>IFERROR(INDEX('Annex 2_Code'!$J$110:$J$122,MATCH('Annex 3_MAFF'!AF849,'Annex 2_Code'!$G$110:$G$122,0)),"")</f>
        <v/>
      </c>
    </row>
    <row r="850" spans="1:34">
      <c r="A850" s="548"/>
      <c r="B850" s="548"/>
      <c r="C850" s="548"/>
      <c r="D850" s="548"/>
      <c r="E850" s="548"/>
      <c r="G850" s="548"/>
      <c r="H850" s="548"/>
      <c r="I850" s="548"/>
      <c r="S850" s="548"/>
      <c r="T850" s="548"/>
      <c r="U850" s="548"/>
      <c r="V850" s="548"/>
      <c r="W850" s="548"/>
      <c r="X850" s="548"/>
      <c r="AH850" s="561" t="str">
        <f>IFERROR(INDEX('Annex 2_Code'!$J$110:$J$122,MATCH('Annex 3_MAFF'!AF850,'Annex 2_Code'!$G$110:$G$122,0)),"")</f>
        <v/>
      </c>
    </row>
    <row r="851" spans="1:34">
      <c r="A851" s="548"/>
      <c r="B851" s="548"/>
      <c r="C851" s="548"/>
      <c r="D851" s="548"/>
      <c r="E851" s="548"/>
      <c r="G851" s="548"/>
      <c r="H851" s="548"/>
      <c r="I851" s="548"/>
      <c r="S851" s="548"/>
      <c r="T851" s="548"/>
      <c r="U851" s="548"/>
      <c r="V851" s="548"/>
      <c r="W851" s="548"/>
      <c r="X851" s="548"/>
      <c r="AH851" s="561" t="str">
        <f>IFERROR(INDEX('Annex 2_Code'!$J$110:$J$122,MATCH('Annex 3_MAFF'!AF851,'Annex 2_Code'!$G$110:$G$122,0)),"")</f>
        <v/>
      </c>
    </row>
    <row r="852" spans="1:34">
      <c r="A852" s="548"/>
      <c r="B852" s="548"/>
      <c r="C852" s="548"/>
      <c r="D852" s="548"/>
      <c r="E852" s="548"/>
      <c r="G852" s="548"/>
      <c r="H852" s="548"/>
      <c r="I852" s="548"/>
      <c r="S852" s="548"/>
      <c r="T852" s="548"/>
      <c r="U852" s="548"/>
      <c r="V852" s="548"/>
      <c r="W852" s="548"/>
      <c r="X852" s="548"/>
      <c r="AH852" s="561" t="str">
        <f>IFERROR(INDEX('Annex 2_Code'!$J$110:$J$122,MATCH('Annex 3_MAFF'!AF852,'Annex 2_Code'!$G$110:$G$122,0)),"")</f>
        <v/>
      </c>
    </row>
    <row r="853" spans="1:34">
      <c r="A853" s="548"/>
      <c r="B853" s="548"/>
      <c r="C853" s="548"/>
      <c r="D853" s="548"/>
      <c r="E853" s="548"/>
      <c r="G853" s="548"/>
      <c r="H853" s="548"/>
      <c r="I853" s="548"/>
      <c r="S853" s="548"/>
      <c r="T853" s="548"/>
      <c r="U853" s="548"/>
      <c r="V853" s="548"/>
      <c r="W853" s="548"/>
      <c r="X853" s="548"/>
      <c r="AH853" s="561" t="str">
        <f>IFERROR(INDEX('Annex 2_Code'!$J$110:$J$122,MATCH('Annex 3_MAFF'!AF853,'Annex 2_Code'!$G$110:$G$122,0)),"")</f>
        <v/>
      </c>
    </row>
    <row r="854" spans="1:34">
      <c r="A854" s="548"/>
      <c r="B854" s="548"/>
      <c r="C854" s="548"/>
      <c r="D854" s="548"/>
      <c r="E854" s="548"/>
      <c r="G854" s="548"/>
      <c r="H854" s="548"/>
      <c r="I854" s="548"/>
      <c r="S854" s="548"/>
      <c r="T854" s="548"/>
      <c r="U854" s="548"/>
      <c r="V854" s="548"/>
      <c r="W854" s="548"/>
      <c r="X854" s="548"/>
      <c r="AH854" s="561" t="str">
        <f>IFERROR(INDEX('Annex 2_Code'!$J$110:$J$122,MATCH('Annex 3_MAFF'!AF854,'Annex 2_Code'!$G$110:$G$122,0)),"")</f>
        <v/>
      </c>
    </row>
    <row r="855" spans="1:34">
      <c r="A855" s="548"/>
      <c r="B855" s="548"/>
      <c r="C855" s="548"/>
      <c r="D855" s="548"/>
      <c r="E855" s="548"/>
      <c r="G855" s="548"/>
      <c r="H855" s="548"/>
      <c r="I855" s="548"/>
      <c r="S855" s="548"/>
      <c r="T855" s="548"/>
      <c r="U855" s="548"/>
      <c r="V855" s="548"/>
      <c r="W855" s="548"/>
      <c r="X855" s="548"/>
      <c r="AH855" s="561" t="str">
        <f>IFERROR(INDEX('Annex 2_Code'!$J$110:$J$122,MATCH('Annex 3_MAFF'!AF855,'Annex 2_Code'!$G$110:$G$122,0)),"")</f>
        <v/>
      </c>
    </row>
    <row r="856" spans="1:34">
      <c r="A856" s="548"/>
      <c r="B856" s="548"/>
      <c r="C856" s="548"/>
      <c r="D856" s="548"/>
      <c r="E856" s="548"/>
      <c r="G856" s="548"/>
      <c r="H856" s="548"/>
      <c r="I856" s="548"/>
      <c r="S856" s="548"/>
      <c r="T856" s="548"/>
      <c r="U856" s="548"/>
      <c r="V856" s="548"/>
      <c r="W856" s="548"/>
      <c r="X856" s="548"/>
      <c r="AH856" s="561" t="str">
        <f>IFERROR(INDEX('Annex 2_Code'!$J$110:$J$122,MATCH('Annex 3_MAFF'!AF856,'Annex 2_Code'!$G$110:$G$122,0)),"")</f>
        <v/>
      </c>
    </row>
    <row r="857" spans="1:34">
      <c r="A857" s="548"/>
      <c r="B857" s="548"/>
      <c r="C857" s="548"/>
      <c r="D857" s="548"/>
      <c r="E857" s="548"/>
      <c r="G857" s="548"/>
      <c r="H857" s="548"/>
      <c r="I857" s="548"/>
      <c r="S857" s="548"/>
      <c r="T857" s="548"/>
      <c r="U857" s="548"/>
      <c r="V857" s="548"/>
      <c r="W857" s="548"/>
      <c r="X857" s="548"/>
      <c r="AH857" s="561" t="str">
        <f>IFERROR(INDEX('Annex 2_Code'!$J$110:$J$122,MATCH('Annex 3_MAFF'!AF857,'Annex 2_Code'!$G$110:$G$122,0)),"")</f>
        <v/>
      </c>
    </row>
    <row r="858" spans="1:34">
      <c r="A858" s="548"/>
      <c r="B858" s="548"/>
      <c r="C858" s="548"/>
      <c r="D858" s="548"/>
      <c r="E858" s="548"/>
      <c r="G858" s="548"/>
      <c r="H858" s="548"/>
      <c r="I858" s="548"/>
      <c r="S858" s="548"/>
      <c r="T858" s="548"/>
      <c r="U858" s="548"/>
      <c r="V858" s="548"/>
      <c r="W858" s="548"/>
      <c r="X858" s="548"/>
      <c r="AH858" s="561" t="str">
        <f>IFERROR(INDEX('Annex 2_Code'!$J$110:$J$122,MATCH('Annex 3_MAFF'!AF858,'Annex 2_Code'!$G$110:$G$122,0)),"")</f>
        <v/>
      </c>
    </row>
    <row r="859" spans="1:34">
      <c r="A859" s="548"/>
      <c r="B859" s="548"/>
      <c r="C859" s="548"/>
      <c r="D859" s="548"/>
      <c r="E859" s="548"/>
      <c r="G859" s="548"/>
      <c r="H859" s="548"/>
      <c r="I859" s="548"/>
      <c r="S859" s="548"/>
      <c r="T859" s="548"/>
      <c r="U859" s="548"/>
      <c r="V859" s="548"/>
      <c r="W859" s="548"/>
      <c r="X859" s="548"/>
      <c r="AH859" s="561" t="str">
        <f>IFERROR(INDEX('Annex 2_Code'!$J$110:$J$122,MATCH('Annex 3_MAFF'!AF859,'Annex 2_Code'!$G$110:$G$122,0)),"")</f>
        <v/>
      </c>
    </row>
    <row r="860" spans="1:34">
      <c r="A860" s="548"/>
      <c r="B860" s="548"/>
      <c r="C860" s="548"/>
      <c r="D860" s="548"/>
      <c r="E860" s="548"/>
      <c r="G860" s="548"/>
      <c r="H860" s="548"/>
      <c r="I860" s="548"/>
      <c r="S860" s="548"/>
      <c r="T860" s="548"/>
      <c r="U860" s="548"/>
      <c r="V860" s="548"/>
      <c r="W860" s="548"/>
      <c r="X860" s="548"/>
      <c r="AH860" s="561" t="str">
        <f>IFERROR(INDEX('Annex 2_Code'!$J$110:$J$122,MATCH('Annex 3_MAFF'!AF860,'Annex 2_Code'!$G$110:$G$122,0)),"")</f>
        <v/>
      </c>
    </row>
    <row r="861" spans="1:34">
      <c r="A861" s="548"/>
      <c r="B861" s="548"/>
      <c r="C861" s="548"/>
      <c r="D861" s="548"/>
      <c r="E861" s="548"/>
      <c r="G861" s="548"/>
      <c r="H861" s="548"/>
      <c r="I861" s="548"/>
      <c r="S861" s="548"/>
      <c r="T861" s="548"/>
      <c r="U861" s="548"/>
      <c r="V861" s="548"/>
      <c r="W861" s="548"/>
      <c r="X861" s="548"/>
      <c r="AH861" s="561" t="str">
        <f>IFERROR(INDEX('Annex 2_Code'!$J$110:$J$122,MATCH('Annex 3_MAFF'!AF861,'Annex 2_Code'!$G$110:$G$122,0)),"")</f>
        <v/>
      </c>
    </row>
    <row r="862" spans="1:34">
      <c r="A862" s="548"/>
      <c r="B862" s="548"/>
      <c r="C862" s="548"/>
      <c r="D862" s="548"/>
      <c r="E862" s="548"/>
      <c r="G862" s="548"/>
      <c r="H862" s="548"/>
      <c r="I862" s="548"/>
      <c r="S862" s="548"/>
      <c r="T862" s="548"/>
      <c r="U862" s="548"/>
      <c r="V862" s="548"/>
      <c r="W862" s="548"/>
      <c r="X862" s="548"/>
      <c r="AH862" s="561" t="str">
        <f>IFERROR(INDEX('Annex 2_Code'!$J$110:$J$122,MATCH('Annex 3_MAFF'!AF862,'Annex 2_Code'!$G$110:$G$122,0)),"")</f>
        <v/>
      </c>
    </row>
    <row r="863" spans="1:34">
      <c r="A863" s="548"/>
      <c r="B863" s="548"/>
      <c r="C863" s="548"/>
      <c r="D863" s="548"/>
      <c r="E863" s="548"/>
      <c r="G863" s="548"/>
      <c r="H863" s="548"/>
      <c r="I863" s="548"/>
      <c r="S863" s="548"/>
      <c r="T863" s="548"/>
      <c r="U863" s="548"/>
      <c r="V863" s="548"/>
      <c r="W863" s="548"/>
      <c r="X863" s="548"/>
      <c r="AH863" s="561" t="str">
        <f>IFERROR(INDEX('Annex 2_Code'!$J$110:$J$122,MATCH('Annex 3_MAFF'!AF863,'Annex 2_Code'!$G$110:$G$122,0)),"")</f>
        <v/>
      </c>
    </row>
    <row r="864" spans="1:34">
      <c r="A864" s="548"/>
      <c r="B864" s="548"/>
      <c r="C864" s="548"/>
      <c r="D864" s="548"/>
      <c r="E864" s="548"/>
      <c r="G864" s="548"/>
      <c r="H864" s="548"/>
      <c r="I864" s="548"/>
      <c r="S864" s="548"/>
      <c r="T864" s="548"/>
      <c r="U864" s="548"/>
      <c r="V864" s="548"/>
      <c r="W864" s="548"/>
      <c r="X864" s="548"/>
      <c r="AH864" s="561" t="str">
        <f>IFERROR(INDEX('Annex 2_Code'!$J$110:$J$122,MATCH('Annex 3_MAFF'!AF864,'Annex 2_Code'!$G$110:$G$122,0)),"")</f>
        <v/>
      </c>
    </row>
    <row r="865" spans="1:34">
      <c r="A865" s="548"/>
      <c r="B865" s="548"/>
      <c r="C865" s="548"/>
      <c r="D865" s="548"/>
      <c r="E865" s="548"/>
      <c r="G865" s="548"/>
      <c r="H865" s="548"/>
      <c r="I865" s="548"/>
      <c r="S865" s="548"/>
      <c r="T865" s="548"/>
      <c r="U865" s="548"/>
      <c r="V865" s="548"/>
      <c r="W865" s="548"/>
      <c r="X865" s="548"/>
      <c r="AH865" s="561" t="str">
        <f>IFERROR(INDEX('Annex 2_Code'!$J$110:$J$122,MATCH('Annex 3_MAFF'!AF865,'Annex 2_Code'!$G$110:$G$122,0)),"")</f>
        <v/>
      </c>
    </row>
    <row r="866" spans="1:34">
      <c r="A866" s="548"/>
      <c r="B866" s="548"/>
      <c r="C866" s="548"/>
      <c r="D866" s="548"/>
      <c r="E866" s="548"/>
      <c r="G866" s="548"/>
      <c r="H866" s="548"/>
      <c r="I866" s="548"/>
      <c r="S866" s="548"/>
      <c r="T866" s="548"/>
      <c r="U866" s="548"/>
      <c r="V866" s="548"/>
      <c r="W866" s="548"/>
      <c r="X866" s="548"/>
      <c r="AH866" s="561" t="str">
        <f>IFERROR(INDEX('Annex 2_Code'!$J$110:$J$122,MATCH('Annex 3_MAFF'!AF866,'Annex 2_Code'!$G$110:$G$122,0)),"")</f>
        <v/>
      </c>
    </row>
    <row r="867" spans="1:34">
      <c r="A867" s="548"/>
      <c r="B867" s="548"/>
      <c r="C867" s="548"/>
      <c r="D867" s="548"/>
      <c r="E867" s="548"/>
      <c r="G867" s="548"/>
      <c r="H867" s="548"/>
      <c r="I867" s="548"/>
      <c r="S867" s="548"/>
      <c r="T867" s="548"/>
      <c r="U867" s="548"/>
      <c r="V867" s="548"/>
      <c r="W867" s="548"/>
      <c r="X867" s="548"/>
      <c r="AH867" s="561" t="str">
        <f>IFERROR(INDEX('Annex 2_Code'!$J$110:$J$122,MATCH('Annex 3_MAFF'!AF867,'Annex 2_Code'!$G$110:$G$122,0)),"")</f>
        <v/>
      </c>
    </row>
    <row r="868" spans="1:34">
      <c r="A868" s="548"/>
      <c r="B868" s="548"/>
      <c r="C868" s="548"/>
      <c r="D868" s="548"/>
      <c r="E868" s="548"/>
      <c r="G868" s="548"/>
      <c r="H868" s="548"/>
      <c r="I868" s="548"/>
      <c r="S868" s="548"/>
      <c r="T868" s="548"/>
      <c r="U868" s="548"/>
      <c r="V868" s="548"/>
      <c r="W868" s="548"/>
      <c r="X868" s="548"/>
      <c r="AH868" s="561" t="str">
        <f>IFERROR(INDEX('Annex 2_Code'!$J$110:$J$122,MATCH('Annex 3_MAFF'!AF868,'Annex 2_Code'!$G$110:$G$122,0)),"")</f>
        <v/>
      </c>
    </row>
    <row r="869" spans="1:34">
      <c r="A869" s="548"/>
      <c r="B869" s="548"/>
      <c r="C869" s="548"/>
      <c r="D869" s="548"/>
      <c r="E869" s="548"/>
      <c r="G869" s="548"/>
      <c r="H869" s="548"/>
      <c r="I869" s="548"/>
      <c r="S869" s="548"/>
      <c r="T869" s="548"/>
      <c r="U869" s="548"/>
      <c r="V869" s="548"/>
      <c r="W869" s="548"/>
      <c r="X869" s="548"/>
      <c r="AH869" s="561" t="str">
        <f>IFERROR(INDEX('Annex 2_Code'!$J$110:$J$122,MATCH('Annex 3_MAFF'!AF869,'Annex 2_Code'!$G$110:$G$122,0)),"")</f>
        <v/>
      </c>
    </row>
    <row r="870" spans="1:34">
      <c r="A870" s="548"/>
      <c r="B870" s="548"/>
      <c r="C870" s="548"/>
      <c r="D870" s="548"/>
      <c r="E870" s="548"/>
      <c r="G870" s="548"/>
      <c r="H870" s="548"/>
      <c r="I870" s="548"/>
      <c r="S870" s="548"/>
      <c r="T870" s="548"/>
      <c r="U870" s="548"/>
      <c r="V870" s="548"/>
      <c r="W870" s="548"/>
      <c r="X870" s="548"/>
      <c r="AH870" s="561" t="str">
        <f>IFERROR(INDEX('Annex 2_Code'!$J$110:$J$122,MATCH('Annex 3_MAFF'!AF870,'Annex 2_Code'!$G$110:$G$122,0)),"")</f>
        <v/>
      </c>
    </row>
    <row r="871" spans="1:34">
      <c r="A871" s="548"/>
      <c r="B871" s="548"/>
      <c r="C871" s="548"/>
      <c r="D871" s="548"/>
      <c r="E871" s="548"/>
      <c r="G871" s="548"/>
      <c r="H871" s="548"/>
      <c r="I871" s="548"/>
      <c r="S871" s="548"/>
      <c r="T871" s="548"/>
      <c r="U871" s="548"/>
      <c r="V871" s="548"/>
      <c r="W871" s="548"/>
      <c r="X871" s="548"/>
      <c r="AH871" s="561" t="str">
        <f>IFERROR(INDEX('Annex 2_Code'!$J$110:$J$122,MATCH('Annex 3_MAFF'!AF871,'Annex 2_Code'!$G$110:$G$122,0)),"")</f>
        <v/>
      </c>
    </row>
    <row r="872" spans="1:34">
      <c r="A872" s="548"/>
      <c r="B872" s="548"/>
      <c r="C872" s="548"/>
      <c r="D872" s="548"/>
      <c r="E872" s="548"/>
      <c r="G872" s="548"/>
      <c r="H872" s="548"/>
      <c r="I872" s="548"/>
      <c r="S872" s="548"/>
      <c r="T872" s="548"/>
      <c r="U872" s="548"/>
      <c r="V872" s="548"/>
      <c r="W872" s="548"/>
      <c r="X872" s="548"/>
      <c r="AH872" s="561" t="str">
        <f>IFERROR(INDEX('Annex 2_Code'!$J$110:$J$122,MATCH('Annex 3_MAFF'!AF872,'Annex 2_Code'!$G$110:$G$122,0)),"")</f>
        <v/>
      </c>
    </row>
    <row r="873" spans="1:34">
      <c r="A873" s="548"/>
      <c r="B873" s="548"/>
      <c r="C873" s="548"/>
      <c r="D873" s="548"/>
      <c r="E873" s="548"/>
      <c r="G873" s="548"/>
      <c r="H873" s="548"/>
      <c r="I873" s="548"/>
      <c r="S873" s="548"/>
      <c r="T873" s="548"/>
      <c r="U873" s="548"/>
      <c r="V873" s="548"/>
      <c r="W873" s="548"/>
      <c r="X873" s="548"/>
      <c r="AH873" s="561" t="str">
        <f>IFERROR(INDEX('Annex 2_Code'!$J$110:$J$122,MATCH('Annex 3_MAFF'!AF873,'Annex 2_Code'!$G$110:$G$122,0)),"")</f>
        <v/>
      </c>
    </row>
    <row r="874" spans="1:34">
      <c r="A874" s="548"/>
      <c r="B874" s="548"/>
      <c r="C874" s="548"/>
      <c r="D874" s="548"/>
      <c r="E874" s="548"/>
      <c r="G874" s="548"/>
      <c r="H874" s="548"/>
      <c r="I874" s="548"/>
      <c r="S874" s="548"/>
      <c r="T874" s="548"/>
      <c r="U874" s="548"/>
      <c r="V874" s="548"/>
      <c r="W874" s="548"/>
      <c r="X874" s="548"/>
      <c r="AH874" s="561" t="str">
        <f>IFERROR(INDEX('Annex 2_Code'!$J$110:$J$122,MATCH('Annex 3_MAFF'!AF874,'Annex 2_Code'!$G$110:$G$122,0)),"")</f>
        <v/>
      </c>
    </row>
    <row r="875" spans="1:34">
      <c r="A875" s="548"/>
      <c r="B875" s="548"/>
      <c r="C875" s="548"/>
      <c r="D875" s="548"/>
      <c r="E875" s="548"/>
      <c r="G875" s="548"/>
      <c r="H875" s="548"/>
      <c r="I875" s="548"/>
      <c r="S875" s="548"/>
      <c r="T875" s="548"/>
      <c r="U875" s="548"/>
      <c r="V875" s="548"/>
      <c r="W875" s="548"/>
      <c r="X875" s="548"/>
      <c r="AH875" s="561" t="str">
        <f>IFERROR(INDEX('Annex 2_Code'!$J$110:$J$122,MATCH('Annex 3_MAFF'!AF875,'Annex 2_Code'!$G$110:$G$122,0)),"")</f>
        <v/>
      </c>
    </row>
    <row r="876" spans="1:34">
      <c r="A876" s="548"/>
      <c r="B876" s="548"/>
      <c r="C876" s="548"/>
      <c r="D876" s="548"/>
      <c r="E876" s="548"/>
      <c r="G876" s="548"/>
      <c r="H876" s="548"/>
      <c r="I876" s="548"/>
      <c r="S876" s="548"/>
      <c r="T876" s="548"/>
      <c r="U876" s="548"/>
      <c r="V876" s="548"/>
      <c r="W876" s="548"/>
      <c r="X876" s="548"/>
      <c r="AH876" s="561" t="str">
        <f>IFERROR(INDEX('Annex 2_Code'!$J$110:$J$122,MATCH('Annex 3_MAFF'!AF876,'Annex 2_Code'!$G$110:$G$122,0)),"")</f>
        <v/>
      </c>
    </row>
    <row r="877" spans="1:34">
      <c r="A877" s="548"/>
      <c r="B877" s="548"/>
      <c r="C877" s="548"/>
      <c r="D877" s="548"/>
      <c r="E877" s="548"/>
      <c r="G877" s="548"/>
      <c r="H877" s="548"/>
      <c r="I877" s="548"/>
      <c r="S877" s="548"/>
      <c r="T877" s="548"/>
      <c r="U877" s="548"/>
      <c r="V877" s="548"/>
      <c r="W877" s="548"/>
      <c r="X877" s="548"/>
      <c r="AH877" s="561" t="str">
        <f>IFERROR(INDEX('Annex 2_Code'!$J$110:$J$122,MATCH('Annex 3_MAFF'!AF877,'Annex 2_Code'!$G$110:$G$122,0)),"")</f>
        <v/>
      </c>
    </row>
    <row r="878" spans="1:34">
      <c r="A878" s="548"/>
      <c r="B878" s="548"/>
      <c r="C878" s="548"/>
      <c r="D878" s="548"/>
      <c r="E878" s="548"/>
      <c r="G878" s="548"/>
      <c r="H878" s="548"/>
      <c r="I878" s="548"/>
      <c r="S878" s="548"/>
      <c r="T878" s="548"/>
      <c r="U878" s="548"/>
      <c r="V878" s="548"/>
      <c r="W878" s="548"/>
      <c r="X878" s="548"/>
      <c r="AH878" s="561" t="str">
        <f>IFERROR(INDEX('Annex 2_Code'!$J$110:$J$122,MATCH('Annex 3_MAFF'!AF878,'Annex 2_Code'!$G$110:$G$122,0)),"")</f>
        <v/>
      </c>
    </row>
    <row r="879" spans="1:34">
      <c r="A879" s="548"/>
      <c r="B879" s="548"/>
      <c r="C879" s="548"/>
      <c r="D879" s="548"/>
      <c r="E879" s="548"/>
      <c r="G879" s="548"/>
      <c r="H879" s="548"/>
      <c r="I879" s="548"/>
      <c r="S879" s="548"/>
      <c r="T879" s="548"/>
      <c r="U879" s="548"/>
      <c r="V879" s="548"/>
      <c r="W879" s="548"/>
      <c r="X879" s="548"/>
      <c r="AH879" s="561" t="str">
        <f>IFERROR(INDEX('Annex 2_Code'!$J$110:$J$122,MATCH('Annex 3_MAFF'!AF879,'Annex 2_Code'!$G$110:$G$122,0)),"")</f>
        <v/>
      </c>
    </row>
    <row r="880" spans="1:34">
      <c r="A880" s="548"/>
      <c r="B880" s="548"/>
      <c r="C880" s="548"/>
      <c r="D880" s="548"/>
      <c r="E880" s="548"/>
      <c r="G880" s="548"/>
      <c r="H880" s="548"/>
      <c r="I880" s="548"/>
      <c r="S880" s="548"/>
      <c r="T880" s="548"/>
      <c r="U880" s="548"/>
      <c r="V880" s="548"/>
      <c r="W880" s="548"/>
      <c r="X880" s="548"/>
      <c r="AH880" s="561" t="str">
        <f>IFERROR(INDEX('Annex 2_Code'!$J$110:$J$122,MATCH('Annex 3_MAFF'!AF880,'Annex 2_Code'!$G$110:$G$122,0)),"")</f>
        <v/>
      </c>
    </row>
    <row r="881" spans="1:34">
      <c r="A881" s="548"/>
      <c r="B881" s="548"/>
      <c r="C881" s="548"/>
      <c r="D881" s="548"/>
      <c r="E881" s="548"/>
      <c r="G881" s="548"/>
      <c r="H881" s="548"/>
      <c r="I881" s="548"/>
      <c r="S881" s="548"/>
      <c r="T881" s="548"/>
      <c r="U881" s="548"/>
      <c r="V881" s="548"/>
      <c r="W881" s="548"/>
      <c r="X881" s="548"/>
      <c r="AH881" s="561" t="str">
        <f>IFERROR(INDEX('Annex 2_Code'!$J$110:$J$122,MATCH('Annex 3_MAFF'!AF881,'Annex 2_Code'!$G$110:$G$122,0)),"")</f>
        <v/>
      </c>
    </row>
    <row r="882" spans="1:34">
      <c r="A882" s="548"/>
      <c r="B882" s="548"/>
      <c r="C882" s="548"/>
      <c r="D882" s="548"/>
      <c r="E882" s="548"/>
      <c r="G882" s="548"/>
      <c r="H882" s="548"/>
      <c r="I882" s="548"/>
      <c r="S882" s="548"/>
      <c r="T882" s="548"/>
      <c r="U882" s="548"/>
      <c r="V882" s="548"/>
      <c r="W882" s="548"/>
      <c r="X882" s="548"/>
      <c r="AH882" s="561" t="str">
        <f>IFERROR(INDEX('Annex 2_Code'!$J$110:$J$122,MATCH('Annex 3_MAFF'!AF882,'Annex 2_Code'!$G$110:$G$122,0)),"")</f>
        <v/>
      </c>
    </row>
    <row r="883" spans="1:34">
      <c r="A883" s="548"/>
      <c r="B883" s="548"/>
      <c r="C883" s="548"/>
      <c r="D883" s="548"/>
      <c r="E883" s="548"/>
      <c r="G883" s="548"/>
      <c r="H883" s="548"/>
      <c r="I883" s="548"/>
      <c r="S883" s="548"/>
      <c r="T883" s="548"/>
      <c r="U883" s="548"/>
      <c r="V883" s="548"/>
      <c r="W883" s="548"/>
      <c r="X883" s="548"/>
      <c r="AH883" s="561" t="str">
        <f>IFERROR(INDEX('Annex 2_Code'!$J$110:$J$122,MATCH('Annex 3_MAFF'!AF883,'Annex 2_Code'!$G$110:$G$122,0)),"")</f>
        <v/>
      </c>
    </row>
    <row r="884" spans="1:34">
      <c r="A884" s="548"/>
      <c r="B884" s="548"/>
      <c r="C884" s="548"/>
      <c r="D884" s="548"/>
      <c r="E884" s="548"/>
      <c r="G884" s="548"/>
      <c r="H884" s="548"/>
      <c r="I884" s="548"/>
      <c r="S884" s="548"/>
      <c r="T884" s="548"/>
      <c r="U884" s="548"/>
      <c r="V884" s="548"/>
      <c r="W884" s="548"/>
      <c r="X884" s="548"/>
      <c r="AH884" s="561" t="str">
        <f>IFERROR(INDEX('Annex 2_Code'!$J$110:$J$122,MATCH('Annex 3_MAFF'!AF884,'Annex 2_Code'!$G$110:$G$122,0)),"")</f>
        <v/>
      </c>
    </row>
    <row r="885" spans="1:34">
      <c r="A885" s="548"/>
      <c r="B885" s="548"/>
      <c r="C885" s="548"/>
      <c r="D885" s="548"/>
      <c r="E885" s="548"/>
      <c r="G885" s="548"/>
      <c r="H885" s="548"/>
      <c r="I885" s="548"/>
      <c r="S885" s="548"/>
      <c r="T885" s="548"/>
      <c r="U885" s="548"/>
      <c r="V885" s="548"/>
      <c r="W885" s="548"/>
      <c r="X885" s="548"/>
      <c r="AH885" s="561" t="str">
        <f>IFERROR(INDEX('Annex 2_Code'!$J$110:$J$122,MATCH('Annex 3_MAFF'!AF885,'Annex 2_Code'!$G$110:$G$122,0)),"")</f>
        <v/>
      </c>
    </row>
    <row r="886" spans="1:34">
      <c r="A886" s="548"/>
      <c r="B886" s="548"/>
      <c r="C886" s="548"/>
      <c r="D886" s="548"/>
      <c r="E886" s="548"/>
      <c r="G886" s="548"/>
      <c r="H886" s="548"/>
      <c r="I886" s="548"/>
      <c r="S886" s="548"/>
      <c r="T886" s="548"/>
      <c r="U886" s="548"/>
      <c r="V886" s="548"/>
      <c r="W886" s="548"/>
      <c r="X886" s="548"/>
      <c r="AH886" s="561" t="str">
        <f>IFERROR(INDEX('Annex 2_Code'!$J$110:$J$122,MATCH('Annex 3_MAFF'!AF886,'Annex 2_Code'!$G$110:$G$122,0)),"")</f>
        <v/>
      </c>
    </row>
    <row r="887" spans="1:34">
      <c r="A887" s="548"/>
      <c r="B887" s="548"/>
      <c r="C887" s="548"/>
      <c r="D887" s="548"/>
      <c r="E887" s="548"/>
      <c r="G887" s="548"/>
      <c r="H887" s="548"/>
      <c r="I887" s="548"/>
      <c r="S887" s="548"/>
      <c r="T887" s="548"/>
      <c r="U887" s="548"/>
      <c r="V887" s="548"/>
      <c r="W887" s="548"/>
      <c r="X887" s="548"/>
      <c r="AH887" s="561" t="str">
        <f>IFERROR(INDEX('Annex 2_Code'!$J$110:$J$122,MATCH('Annex 3_MAFF'!AF887,'Annex 2_Code'!$G$110:$G$122,0)),"")</f>
        <v/>
      </c>
    </row>
    <row r="888" spans="1:34">
      <c r="A888" s="548"/>
      <c r="B888" s="548"/>
      <c r="C888" s="548"/>
      <c r="D888" s="548"/>
      <c r="E888" s="548"/>
      <c r="G888" s="548"/>
      <c r="H888" s="548"/>
      <c r="I888" s="548"/>
      <c r="S888" s="548"/>
      <c r="T888" s="548"/>
      <c r="U888" s="548"/>
      <c r="V888" s="548"/>
      <c r="W888" s="548"/>
      <c r="X888" s="548"/>
      <c r="AH888" s="561" t="str">
        <f>IFERROR(INDEX('Annex 2_Code'!$J$110:$J$122,MATCH('Annex 3_MAFF'!AF888,'Annex 2_Code'!$G$110:$G$122,0)),"")</f>
        <v/>
      </c>
    </row>
    <row r="889" spans="1:34">
      <c r="A889" s="548"/>
      <c r="B889" s="548"/>
      <c r="C889" s="548"/>
      <c r="D889" s="548"/>
      <c r="E889" s="548"/>
      <c r="G889" s="548"/>
      <c r="H889" s="548"/>
      <c r="I889" s="548"/>
      <c r="S889" s="548"/>
      <c r="T889" s="548"/>
      <c r="U889" s="548"/>
      <c r="V889" s="548"/>
      <c r="W889" s="548"/>
      <c r="X889" s="548"/>
      <c r="AH889" s="561" t="str">
        <f>IFERROR(INDEX('Annex 2_Code'!$J$110:$J$122,MATCH('Annex 3_MAFF'!AF889,'Annex 2_Code'!$G$110:$G$122,0)),"")</f>
        <v/>
      </c>
    </row>
    <row r="890" spans="1:34">
      <c r="A890" s="548"/>
      <c r="B890" s="548"/>
      <c r="C890" s="548"/>
      <c r="D890" s="548"/>
      <c r="E890" s="548"/>
      <c r="G890" s="548"/>
      <c r="H890" s="548"/>
      <c r="I890" s="548"/>
      <c r="S890" s="548"/>
      <c r="T890" s="548"/>
      <c r="U890" s="548"/>
      <c r="V890" s="548"/>
      <c r="W890" s="548"/>
      <c r="X890" s="548"/>
      <c r="AH890" s="561" t="str">
        <f>IFERROR(INDEX('Annex 2_Code'!$J$110:$J$122,MATCH('Annex 3_MAFF'!AF890,'Annex 2_Code'!$G$110:$G$122,0)),"")</f>
        <v/>
      </c>
    </row>
    <row r="891" spans="1:34">
      <c r="A891" s="548"/>
      <c r="B891" s="548"/>
      <c r="C891" s="548"/>
      <c r="D891" s="548"/>
      <c r="E891" s="548"/>
      <c r="G891" s="548"/>
      <c r="H891" s="548"/>
      <c r="I891" s="548"/>
      <c r="S891" s="548"/>
      <c r="T891" s="548"/>
      <c r="U891" s="548"/>
      <c r="V891" s="548"/>
      <c r="W891" s="548"/>
      <c r="X891" s="548"/>
      <c r="AH891" s="561" t="str">
        <f>IFERROR(INDEX('Annex 2_Code'!$J$110:$J$122,MATCH('Annex 3_MAFF'!AF891,'Annex 2_Code'!$G$110:$G$122,0)),"")</f>
        <v/>
      </c>
    </row>
    <row r="892" spans="1:34">
      <c r="A892" s="548"/>
      <c r="B892" s="548"/>
      <c r="C892" s="548"/>
      <c r="D892" s="548"/>
      <c r="E892" s="548"/>
      <c r="G892" s="548"/>
      <c r="H892" s="548"/>
      <c r="I892" s="548"/>
      <c r="S892" s="548"/>
      <c r="T892" s="548"/>
      <c r="U892" s="548"/>
      <c r="V892" s="548"/>
      <c r="W892" s="548"/>
      <c r="X892" s="548"/>
      <c r="AH892" s="561" t="str">
        <f>IFERROR(INDEX('Annex 2_Code'!$J$110:$J$122,MATCH('Annex 3_MAFF'!AF892,'Annex 2_Code'!$G$110:$G$122,0)),"")</f>
        <v/>
      </c>
    </row>
    <row r="893" spans="1:34">
      <c r="A893" s="548"/>
      <c r="B893" s="548"/>
      <c r="C893" s="548"/>
      <c r="D893" s="548"/>
      <c r="E893" s="548"/>
      <c r="G893" s="548"/>
      <c r="H893" s="548"/>
      <c r="I893" s="548"/>
      <c r="S893" s="548"/>
      <c r="T893" s="548"/>
      <c r="U893" s="548"/>
      <c r="V893" s="548"/>
      <c r="W893" s="548"/>
      <c r="X893" s="548"/>
      <c r="AH893" s="561" t="str">
        <f>IFERROR(INDEX('Annex 2_Code'!$J$110:$J$122,MATCH('Annex 3_MAFF'!AF893,'Annex 2_Code'!$G$110:$G$122,0)),"")</f>
        <v/>
      </c>
    </row>
    <row r="894" spans="1:34">
      <c r="A894" s="548"/>
      <c r="B894" s="548"/>
      <c r="C894" s="548"/>
      <c r="D894" s="548"/>
      <c r="E894" s="548"/>
      <c r="G894" s="548"/>
      <c r="H894" s="548"/>
      <c r="I894" s="548"/>
      <c r="S894" s="548"/>
      <c r="T894" s="548"/>
      <c r="U894" s="548"/>
      <c r="V894" s="548"/>
      <c r="W894" s="548"/>
      <c r="X894" s="548"/>
      <c r="AH894" s="561" t="str">
        <f>IFERROR(INDEX('Annex 2_Code'!$J$110:$J$122,MATCH('Annex 3_MAFF'!AF894,'Annex 2_Code'!$G$110:$G$122,0)),"")</f>
        <v/>
      </c>
    </row>
    <row r="895" spans="1:34">
      <c r="A895" s="548"/>
      <c r="B895" s="548"/>
      <c r="C895" s="548"/>
      <c r="D895" s="548"/>
      <c r="E895" s="548"/>
      <c r="G895" s="548"/>
      <c r="H895" s="548"/>
      <c r="I895" s="548"/>
      <c r="S895" s="548"/>
      <c r="T895" s="548"/>
      <c r="U895" s="548"/>
      <c r="V895" s="548"/>
      <c r="W895" s="548"/>
      <c r="X895" s="548"/>
      <c r="AH895" s="561" t="str">
        <f>IFERROR(INDEX('Annex 2_Code'!$J$110:$J$122,MATCH('Annex 3_MAFF'!AF895,'Annex 2_Code'!$G$110:$G$122,0)),"")</f>
        <v/>
      </c>
    </row>
    <row r="896" spans="1:34">
      <c r="A896" s="548"/>
      <c r="B896" s="548"/>
      <c r="C896" s="548"/>
      <c r="D896" s="548"/>
      <c r="E896" s="548"/>
      <c r="G896" s="548"/>
      <c r="H896" s="548"/>
      <c r="I896" s="548"/>
      <c r="S896" s="548"/>
      <c r="T896" s="548"/>
      <c r="U896" s="548"/>
      <c r="V896" s="548"/>
      <c r="W896" s="548"/>
      <c r="X896" s="548"/>
      <c r="AH896" s="561" t="str">
        <f>IFERROR(INDEX('Annex 2_Code'!$J$110:$J$122,MATCH('Annex 3_MAFF'!AF896,'Annex 2_Code'!$G$110:$G$122,0)),"")</f>
        <v/>
      </c>
    </row>
    <row r="897" spans="1:34">
      <c r="A897" s="548"/>
      <c r="B897" s="548"/>
      <c r="C897" s="548"/>
      <c r="D897" s="548"/>
      <c r="E897" s="548"/>
      <c r="G897" s="548"/>
      <c r="H897" s="548"/>
      <c r="I897" s="548"/>
      <c r="S897" s="548"/>
      <c r="T897" s="548"/>
      <c r="U897" s="548"/>
      <c r="V897" s="548"/>
      <c r="W897" s="548"/>
      <c r="X897" s="548"/>
      <c r="AH897" s="561" t="str">
        <f>IFERROR(INDEX('Annex 2_Code'!$J$110:$J$122,MATCH('Annex 3_MAFF'!AF897,'Annex 2_Code'!$G$110:$G$122,0)),"")</f>
        <v/>
      </c>
    </row>
    <row r="898" spans="1:34">
      <c r="A898" s="548"/>
      <c r="B898" s="548"/>
      <c r="C898" s="548"/>
      <c r="D898" s="548"/>
      <c r="E898" s="548"/>
      <c r="G898" s="548"/>
      <c r="H898" s="548"/>
      <c r="I898" s="548"/>
      <c r="S898" s="548"/>
      <c r="T898" s="548"/>
      <c r="U898" s="548"/>
      <c r="V898" s="548"/>
      <c r="W898" s="548"/>
      <c r="X898" s="548"/>
      <c r="AH898" s="561" t="str">
        <f>IFERROR(INDEX('Annex 2_Code'!$J$110:$J$122,MATCH('Annex 3_MAFF'!AF898,'Annex 2_Code'!$G$110:$G$122,0)),"")</f>
        <v/>
      </c>
    </row>
    <row r="899" spans="1:34">
      <c r="A899" s="548"/>
      <c r="B899" s="548"/>
      <c r="C899" s="548"/>
      <c r="D899" s="548"/>
      <c r="E899" s="548"/>
      <c r="G899" s="548"/>
      <c r="H899" s="548"/>
      <c r="I899" s="548"/>
      <c r="S899" s="548"/>
      <c r="T899" s="548"/>
      <c r="U899" s="548"/>
      <c r="V899" s="548"/>
      <c r="W899" s="548"/>
      <c r="X899" s="548"/>
      <c r="AH899" s="561" t="str">
        <f>IFERROR(INDEX('Annex 2_Code'!$J$110:$J$122,MATCH('Annex 3_MAFF'!AF899,'Annex 2_Code'!$G$110:$G$122,0)),"")</f>
        <v/>
      </c>
    </row>
    <row r="900" spans="1:34">
      <c r="A900" s="548"/>
      <c r="B900" s="548"/>
      <c r="C900" s="548"/>
      <c r="D900" s="548"/>
      <c r="E900" s="548"/>
      <c r="G900" s="548"/>
      <c r="H900" s="548"/>
      <c r="I900" s="548"/>
      <c r="S900" s="548"/>
      <c r="T900" s="548"/>
      <c r="U900" s="548"/>
      <c r="V900" s="548"/>
      <c r="W900" s="548"/>
      <c r="X900" s="548"/>
      <c r="AH900" s="561" t="str">
        <f>IFERROR(INDEX('Annex 2_Code'!$J$110:$J$122,MATCH('Annex 3_MAFF'!AF900,'Annex 2_Code'!$G$110:$G$122,0)),"")</f>
        <v/>
      </c>
    </row>
    <row r="901" spans="1:34">
      <c r="A901" s="548"/>
      <c r="B901" s="548"/>
      <c r="C901" s="548"/>
      <c r="D901" s="548"/>
      <c r="E901" s="548"/>
      <c r="G901" s="548"/>
      <c r="H901" s="548"/>
      <c r="I901" s="548"/>
      <c r="S901" s="548"/>
      <c r="T901" s="548"/>
      <c r="U901" s="548"/>
      <c r="V901" s="548"/>
      <c r="W901" s="548"/>
      <c r="X901" s="548"/>
      <c r="AH901" s="561" t="str">
        <f>IFERROR(INDEX('Annex 2_Code'!$J$110:$J$122,MATCH('Annex 3_MAFF'!AF901,'Annex 2_Code'!$G$110:$G$122,0)),"")</f>
        <v/>
      </c>
    </row>
    <row r="902" spans="1:34">
      <c r="A902" s="548"/>
      <c r="B902" s="548"/>
      <c r="C902" s="548"/>
      <c r="D902" s="548"/>
      <c r="E902" s="548"/>
      <c r="G902" s="548"/>
      <c r="H902" s="548"/>
      <c r="I902" s="548"/>
      <c r="S902" s="548"/>
      <c r="T902" s="548"/>
      <c r="U902" s="548"/>
      <c r="V902" s="548"/>
      <c r="W902" s="548"/>
      <c r="X902" s="548"/>
      <c r="AH902" s="561" t="str">
        <f>IFERROR(INDEX('Annex 2_Code'!$J$110:$J$122,MATCH('Annex 3_MAFF'!AF902,'Annex 2_Code'!$G$110:$G$122,0)),"")</f>
        <v/>
      </c>
    </row>
    <row r="903" spans="1:34">
      <c r="A903" s="548"/>
      <c r="B903" s="548"/>
      <c r="C903" s="548"/>
      <c r="D903" s="548"/>
      <c r="E903" s="548"/>
      <c r="G903" s="548"/>
      <c r="H903" s="548"/>
      <c r="I903" s="548"/>
      <c r="S903" s="548"/>
      <c r="T903" s="548"/>
      <c r="U903" s="548"/>
      <c r="V903" s="548"/>
      <c r="W903" s="548"/>
      <c r="X903" s="548"/>
      <c r="AH903" s="561" t="str">
        <f>IFERROR(INDEX('Annex 2_Code'!$J$110:$J$122,MATCH('Annex 3_MAFF'!AF903,'Annex 2_Code'!$G$110:$G$122,0)),"")</f>
        <v/>
      </c>
    </row>
    <row r="904" spans="1:34">
      <c r="A904" s="548"/>
      <c r="B904" s="548"/>
      <c r="C904" s="548"/>
      <c r="D904" s="548"/>
      <c r="E904" s="548"/>
      <c r="G904" s="548"/>
      <c r="H904" s="548"/>
      <c r="I904" s="548"/>
      <c r="S904" s="548"/>
      <c r="T904" s="548"/>
      <c r="U904" s="548"/>
      <c r="V904" s="548"/>
      <c r="W904" s="548"/>
      <c r="X904" s="548"/>
      <c r="AH904" s="561" t="str">
        <f>IFERROR(INDEX('Annex 2_Code'!$J$110:$J$122,MATCH('Annex 3_MAFF'!AF904,'Annex 2_Code'!$G$110:$G$122,0)),"")</f>
        <v/>
      </c>
    </row>
    <row r="905" spans="1:34">
      <c r="A905" s="548"/>
      <c r="B905" s="548"/>
      <c r="C905" s="548"/>
      <c r="D905" s="548"/>
      <c r="E905" s="548"/>
      <c r="G905" s="548"/>
      <c r="H905" s="548"/>
      <c r="I905" s="548"/>
      <c r="S905" s="548"/>
      <c r="T905" s="548"/>
      <c r="U905" s="548"/>
      <c r="V905" s="548"/>
      <c r="W905" s="548"/>
      <c r="X905" s="548"/>
      <c r="AH905" s="561" t="str">
        <f>IFERROR(INDEX('Annex 2_Code'!$J$110:$J$122,MATCH('Annex 3_MAFF'!AF905,'Annex 2_Code'!$G$110:$G$122,0)),"")</f>
        <v/>
      </c>
    </row>
    <row r="906" spans="1:34">
      <c r="A906" s="548"/>
      <c r="B906" s="548"/>
      <c r="C906" s="548"/>
      <c r="D906" s="548"/>
      <c r="E906" s="548"/>
      <c r="G906" s="548"/>
      <c r="H906" s="548"/>
      <c r="I906" s="548"/>
      <c r="S906" s="548"/>
      <c r="T906" s="548"/>
      <c r="U906" s="548"/>
      <c r="V906" s="548"/>
      <c r="W906" s="548"/>
      <c r="X906" s="548"/>
      <c r="AH906" s="561" t="str">
        <f>IFERROR(INDEX('Annex 2_Code'!$J$110:$J$122,MATCH('Annex 3_MAFF'!AF906,'Annex 2_Code'!$G$110:$G$122,0)),"")</f>
        <v/>
      </c>
    </row>
    <row r="907" spans="1:34">
      <c r="A907" s="548"/>
      <c r="B907" s="548"/>
      <c r="C907" s="548"/>
      <c r="D907" s="548"/>
      <c r="E907" s="548"/>
      <c r="G907" s="548"/>
      <c r="H907" s="548"/>
      <c r="I907" s="548"/>
      <c r="S907" s="548"/>
      <c r="T907" s="548"/>
      <c r="U907" s="548"/>
      <c r="V907" s="548"/>
      <c r="W907" s="548"/>
      <c r="X907" s="548"/>
      <c r="AH907" s="561" t="str">
        <f>IFERROR(INDEX('Annex 2_Code'!$J$110:$J$122,MATCH('Annex 3_MAFF'!AF907,'Annex 2_Code'!$G$110:$G$122,0)),"")</f>
        <v/>
      </c>
    </row>
    <row r="908" spans="1:34">
      <c r="A908" s="548"/>
      <c r="B908" s="548"/>
      <c r="C908" s="548"/>
      <c r="D908" s="548"/>
      <c r="E908" s="548"/>
      <c r="G908" s="548"/>
      <c r="H908" s="548"/>
      <c r="I908" s="548"/>
      <c r="S908" s="548"/>
      <c r="T908" s="548"/>
      <c r="U908" s="548"/>
      <c r="V908" s="548"/>
      <c r="W908" s="548"/>
      <c r="X908" s="548"/>
      <c r="AH908" s="561" t="str">
        <f>IFERROR(INDEX('Annex 2_Code'!$J$110:$J$122,MATCH('Annex 3_MAFF'!AF908,'Annex 2_Code'!$G$110:$G$122,0)),"")</f>
        <v/>
      </c>
    </row>
    <row r="909" spans="1:34">
      <c r="A909" s="548"/>
      <c r="B909" s="548"/>
      <c r="C909" s="548"/>
      <c r="D909" s="548"/>
      <c r="E909" s="548"/>
      <c r="G909" s="548"/>
      <c r="H909" s="548"/>
      <c r="I909" s="548"/>
      <c r="S909" s="548"/>
      <c r="T909" s="548"/>
      <c r="U909" s="548"/>
      <c r="V909" s="548"/>
      <c r="W909" s="548"/>
      <c r="X909" s="548"/>
      <c r="AH909" s="561" t="str">
        <f>IFERROR(INDEX('Annex 2_Code'!$J$110:$J$122,MATCH('Annex 3_MAFF'!AF909,'Annex 2_Code'!$G$110:$G$122,0)),"")</f>
        <v/>
      </c>
    </row>
    <row r="910" spans="1:34">
      <c r="A910" s="548"/>
      <c r="B910" s="548"/>
      <c r="C910" s="548"/>
      <c r="D910" s="548"/>
      <c r="E910" s="548"/>
      <c r="G910" s="548"/>
      <c r="H910" s="548"/>
      <c r="I910" s="548"/>
      <c r="S910" s="548"/>
      <c r="T910" s="548"/>
      <c r="U910" s="548"/>
      <c r="V910" s="548"/>
      <c r="W910" s="548"/>
      <c r="X910" s="548"/>
      <c r="AH910" s="561" t="str">
        <f>IFERROR(INDEX('Annex 2_Code'!$J$110:$J$122,MATCH('Annex 3_MAFF'!AF910,'Annex 2_Code'!$G$110:$G$122,0)),"")</f>
        <v/>
      </c>
    </row>
    <row r="911" spans="1:34">
      <c r="A911" s="548"/>
      <c r="B911" s="548"/>
      <c r="C911" s="548"/>
      <c r="D911" s="548"/>
      <c r="E911" s="548"/>
      <c r="G911" s="548"/>
      <c r="H911" s="548"/>
      <c r="I911" s="548"/>
      <c r="S911" s="548"/>
      <c r="T911" s="548"/>
      <c r="U911" s="548"/>
      <c r="V911" s="548"/>
      <c r="W911" s="548"/>
      <c r="X911" s="548"/>
      <c r="AH911" s="561" t="str">
        <f>IFERROR(INDEX('Annex 2_Code'!$J$110:$J$122,MATCH('Annex 3_MAFF'!AF911,'Annex 2_Code'!$G$110:$G$122,0)),"")</f>
        <v/>
      </c>
    </row>
    <row r="912" spans="1:34">
      <c r="A912" s="548"/>
      <c r="B912" s="548"/>
      <c r="C912" s="548"/>
      <c r="D912" s="548"/>
      <c r="E912" s="548"/>
      <c r="G912" s="548"/>
      <c r="H912" s="548"/>
      <c r="I912" s="548"/>
      <c r="S912" s="548"/>
      <c r="T912" s="548"/>
      <c r="U912" s="548"/>
      <c r="V912" s="548"/>
      <c r="W912" s="548"/>
      <c r="X912" s="548"/>
      <c r="AH912" s="561" t="str">
        <f>IFERROR(INDEX('Annex 2_Code'!$J$110:$J$122,MATCH('Annex 3_MAFF'!AF912,'Annex 2_Code'!$G$110:$G$122,0)),"")</f>
        <v/>
      </c>
    </row>
    <row r="913" spans="1:34">
      <c r="A913" s="548"/>
      <c r="B913" s="548"/>
      <c r="C913" s="548"/>
      <c r="D913" s="548"/>
      <c r="E913" s="548"/>
      <c r="G913" s="548"/>
      <c r="H913" s="548"/>
      <c r="I913" s="548"/>
      <c r="S913" s="548"/>
      <c r="T913" s="548"/>
      <c r="U913" s="548"/>
      <c r="V913" s="548"/>
      <c r="W913" s="548"/>
      <c r="X913" s="548"/>
      <c r="AH913" s="561" t="str">
        <f>IFERROR(INDEX('Annex 2_Code'!$J$110:$J$122,MATCH('Annex 3_MAFF'!AF913,'Annex 2_Code'!$G$110:$G$122,0)),"")</f>
        <v/>
      </c>
    </row>
    <row r="914" spans="1:34">
      <c r="A914" s="548"/>
      <c r="B914" s="548"/>
      <c r="C914" s="548"/>
      <c r="D914" s="548"/>
      <c r="E914" s="548"/>
      <c r="G914" s="548"/>
      <c r="H914" s="548"/>
      <c r="I914" s="548"/>
      <c r="S914" s="548"/>
      <c r="T914" s="548"/>
      <c r="U914" s="548"/>
      <c r="V914" s="548"/>
      <c r="W914" s="548"/>
      <c r="X914" s="548"/>
      <c r="AH914" s="561" t="str">
        <f>IFERROR(INDEX('Annex 2_Code'!$J$110:$J$122,MATCH('Annex 3_MAFF'!AF914,'Annex 2_Code'!$G$110:$G$122,0)),"")</f>
        <v/>
      </c>
    </row>
    <row r="915" spans="1:34">
      <c r="A915" s="548"/>
      <c r="B915" s="548"/>
      <c r="C915" s="548"/>
      <c r="D915" s="548"/>
      <c r="E915" s="548"/>
      <c r="G915" s="548"/>
      <c r="H915" s="548"/>
      <c r="I915" s="548"/>
      <c r="S915" s="548"/>
      <c r="T915" s="548"/>
      <c r="U915" s="548"/>
      <c r="V915" s="548"/>
      <c r="W915" s="548"/>
      <c r="X915" s="548"/>
      <c r="AH915" s="561" t="str">
        <f>IFERROR(INDEX('Annex 2_Code'!$J$110:$J$122,MATCH('Annex 3_MAFF'!AF915,'Annex 2_Code'!$G$110:$G$122,0)),"")</f>
        <v/>
      </c>
    </row>
    <row r="916" spans="1:34">
      <c r="A916" s="548"/>
      <c r="B916" s="548"/>
      <c r="C916" s="548"/>
      <c r="D916" s="548"/>
      <c r="E916" s="548"/>
      <c r="G916" s="548"/>
      <c r="H916" s="548"/>
      <c r="I916" s="548"/>
      <c r="S916" s="548"/>
      <c r="T916" s="548"/>
      <c r="U916" s="548"/>
      <c r="V916" s="548"/>
      <c r="W916" s="548"/>
      <c r="X916" s="548"/>
      <c r="AH916" s="561" t="str">
        <f>IFERROR(INDEX('Annex 2_Code'!$J$110:$J$122,MATCH('Annex 3_MAFF'!AF916,'Annex 2_Code'!$G$110:$G$122,0)),"")</f>
        <v/>
      </c>
    </row>
    <row r="917" spans="1:34">
      <c r="A917" s="548"/>
      <c r="B917" s="548"/>
      <c r="C917" s="548"/>
      <c r="D917" s="548"/>
      <c r="E917" s="548"/>
      <c r="G917" s="548"/>
      <c r="H917" s="548"/>
      <c r="I917" s="548"/>
      <c r="S917" s="548"/>
      <c r="T917" s="548"/>
      <c r="U917" s="548"/>
      <c r="V917" s="548"/>
      <c r="W917" s="548"/>
      <c r="X917" s="548"/>
      <c r="AH917" s="561" t="str">
        <f>IFERROR(INDEX('Annex 2_Code'!$J$110:$J$122,MATCH('Annex 3_MAFF'!AF917,'Annex 2_Code'!$G$110:$G$122,0)),"")</f>
        <v/>
      </c>
    </row>
    <row r="918" spans="1:34">
      <c r="A918" s="548"/>
      <c r="B918" s="548"/>
      <c r="C918" s="548"/>
      <c r="D918" s="548"/>
      <c r="E918" s="548"/>
      <c r="G918" s="548"/>
      <c r="H918" s="548"/>
      <c r="I918" s="548"/>
      <c r="S918" s="548"/>
      <c r="T918" s="548"/>
      <c r="U918" s="548"/>
      <c r="V918" s="548"/>
      <c r="W918" s="548"/>
      <c r="X918" s="548"/>
      <c r="AH918" s="561" t="str">
        <f>IFERROR(INDEX('Annex 2_Code'!$J$110:$J$122,MATCH('Annex 3_MAFF'!AF918,'Annex 2_Code'!$G$110:$G$122,0)),"")</f>
        <v/>
      </c>
    </row>
    <row r="919" spans="1:34">
      <c r="A919" s="548"/>
      <c r="B919" s="548"/>
      <c r="C919" s="548"/>
      <c r="D919" s="548"/>
      <c r="E919" s="548"/>
      <c r="G919" s="548"/>
      <c r="H919" s="548"/>
      <c r="I919" s="548"/>
      <c r="S919" s="548"/>
      <c r="T919" s="548"/>
      <c r="U919" s="548"/>
      <c r="V919" s="548"/>
      <c r="W919" s="548"/>
      <c r="X919" s="548"/>
      <c r="AH919" s="561" t="str">
        <f>IFERROR(INDEX('Annex 2_Code'!$J$110:$J$122,MATCH('Annex 3_MAFF'!AF919,'Annex 2_Code'!$G$110:$G$122,0)),"")</f>
        <v/>
      </c>
    </row>
    <row r="920" spans="1:34">
      <c r="A920" s="548"/>
      <c r="B920" s="548"/>
      <c r="C920" s="548"/>
      <c r="D920" s="548"/>
      <c r="E920" s="548"/>
      <c r="G920" s="548"/>
      <c r="H920" s="548"/>
      <c r="I920" s="548"/>
      <c r="S920" s="548"/>
      <c r="T920" s="548"/>
      <c r="U920" s="548"/>
      <c r="V920" s="548"/>
      <c r="W920" s="548"/>
      <c r="X920" s="548"/>
      <c r="AH920" s="561" t="str">
        <f>IFERROR(INDEX('Annex 2_Code'!$J$110:$J$122,MATCH('Annex 3_MAFF'!AF920,'Annex 2_Code'!$G$110:$G$122,0)),"")</f>
        <v/>
      </c>
    </row>
    <row r="921" spans="1:34">
      <c r="A921" s="548"/>
      <c r="B921" s="548"/>
      <c r="C921" s="548"/>
      <c r="D921" s="548"/>
      <c r="E921" s="548"/>
      <c r="G921" s="548"/>
      <c r="H921" s="548"/>
      <c r="I921" s="548"/>
      <c r="S921" s="548"/>
      <c r="T921" s="548"/>
      <c r="U921" s="548"/>
      <c r="V921" s="548"/>
      <c r="W921" s="548"/>
      <c r="X921" s="548"/>
      <c r="AH921" s="561" t="str">
        <f>IFERROR(INDEX('Annex 2_Code'!$J$110:$J$122,MATCH('Annex 3_MAFF'!AF921,'Annex 2_Code'!$G$110:$G$122,0)),"")</f>
        <v/>
      </c>
    </row>
    <row r="922" spans="1:34">
      <c r="A922" s="548"/>
      <c r="B922" s="548"/>
      <c r="C922" s="548"/>
      <c r="D922" s="548"/>
      <c r="E922" s="548"/>
      <c r="G922" s="548"/>
      <c r="H922" s="548"/>
      <c r="I922" s="548"/>
      <c r="S922" s="548"/>
      <c r="T922" s="548"/>
      <c r="U922" s="548"/>
      <c r="V922" s="548"/>
      <c r="W922" s="548"/>
      <c r="X922" s="548"/>
      <c r="AH922" s="561" t="str">
        <f>IFERROR(INDEX('Annex 2_Code'!$J$110:$J$122,MATCH('Annex 3_MAFF'!AF922,'Annex 2_Code'!$G$110:$G$122,0)),"")</f>
        <v/>
      </c>
    </row>
    <row r="923" spans="1:34">
      <c r="A923" s="548"/>
      <c r="B923" s="548"/>
      <c r="C923" s="548"/>
      <c r="D923" s="548"/>
      <c r="E923" s="548"/>
      <c r="G923" s="548"/>
      <c r="H923" s="548"/>
      <c r="I923" s="548"/>
      <c r="S923" s="548"/>
      <c r="T923" s="548"/>
      <c r="U923" s="548"/>
      <c r="V923" s="548"/>
      <c r="W923" s="548"/>
      <c r="X923" s="548"/>
      <c r="AH923" s="561" t="str">
        <f>IFERROR(INDEX('Annex 2_Code'!$J$110:$J$122,MATCH('Annex 3_MAFF'!AF923,'Annex 2_Code'!$G$110:$G$122,0)),"")</f>
        <v/>
      </c>
    </row>
    <row r="924" spans="1:34">
      <c r="A924" s="548"/>
      <c r="B924" s="548"/>
      <c r="C924" s="548"/>
      <c r="D924" s="548"/>
      <c r="E924" s="548"/>
      <c r="G924" s="548"/>
      <c r="H924" s="548"/>
      <c r="I924" s="548"/>
      <c r="S924" s="548"/>
      <c r="T924" s="548"/>
      <c r="U924" s="548"/>
      <c r="V924" s="548"/>
      <c r="W924" s="548"/>
      <c r="X924" s="548"/>
      <c r="AH924" s="561" t="str">
        <f>IFERROR(INDEX('Annex 2_Code'!$J$110:$J$122,MATCH('Annex 3_MAFF'!AF924,'Annex 2_Code'!$G$110:$G$122,0)),"")</f>
        <v/>
      </c>
    </row>
    <row r="925" spans="1:34">
      <c r="A925" s="548"/>
      <c r="B925" s="548"/>
      <c r="C925" s="548"/>
      <c r="D925" s="548"/>
      <c r="E925" s="548"/>
      <c r="G925" s="548"/>
      <c r="H925" s="548"/>
      <c r="I925" s="548"/>
      <c r="S925" s="548"/>
      <c r="T925" s="548"/>
      <c r="U925" s="548"/>
      <c r="V925" s="548"/>
      <c r="W925" s="548"/>
      <c r="X925" s="548"/>
      <c r="AH925" s="561" t="str">
        <f>IFERROR(INDEX('Annex 2_Code'!$J$110:$J$122,MATCH('Annex 3_MAFF'!AF925,'Annex 2_Code'!$G$110:$G$122,0)),"")</f>
        <v/>
      </c>
    </row>
    <row r="926" spans="1:34">
      <c r="A926" s="548"/>
      <c r="B926" s="548"/>
      <c r="C926" s="548"/>
      <c r="D926" s="548"/>
      <c r="E926" s="548"/>
      <c r="G926" s="548"/>
      <c r="H926" s="548"/>
      <c r="I926" s="548"/>
      <c r="S926" s="548"/>
      <c r="T926" s="548"/>
      <c r="U926" s="548"/>
      <c r="V926" s="548"/>
      <c r="W926" s="548"/>
      <c r="X926" s="548"/>
      <c r="AH926" s="561" t="str">
        <f>IFERROR(INDEX('Annex 2_Code'!$J$110:$J$122,MATCH('Annex 3_MAFF'!AF926,'Annex 2_Code'!$G$110:$G$122,0)),"")</f>
        <v/>
      </c>
    </row>
    <row r="927" spans="1:34">
      <c r="A927" s="548"/>
      <c r="B927" s="548"/>
      <c r="C927" s="548"/>
      <c r="D927" s="548"/>
      <c r="E927" s="548"/>
      <c r="G927" s="548"/>
      <c r="H927" s="548"/>
      <c r="I927" s="548"/>
      <c r="S927" s="548"/>
      <c r="T927" s="548"/>
      <c r="U927" s="548"/>
      <c r="V927" s="548"/>
      <c r="W927" s="548"/>
      <c r="X927" s="548"/>
      <c r="AH927" s="561" t="str">
        <f>IFERROR(INDEX('Annex 2_Code'!$J$110:$J$122,MATCH('Annex 3_MAFF'!AF927,'Annex 2_Code'!$G$110:$G$122,0)),"")</f>
        <v/>
      </c>
    </row>
    <row r="928" spans="1:34">
      <c r="A928" s="548"/>
      <c r="B928" s="548"/>
      <c r="C928" s="548"/>
      <c r="D928" s="548"/>
      <c r="E928" s="548"/>
      <c r="G928" s="548"/>
      <c r="H928" s="548"/>
      <c r="I928" s="548"/>
      <c r="S928" s="548"/>
      <c r="T928" s="548"/>
      <c r="U928" s="548"/>
      <c r="V928" s="548"/>
      <c r="W928" s="548"/>
      <c r="X928" s="548"/>
      <c r="AH928" s="561" t="str">
        <f>IFERROR(INDEX('Annex 2_Code'!$J$110:$J$122,MATCH('Annex 3_MAFF'!AF928,'Annex 2_Code'!$G$110:$G$122,0)),"")</f>
        <v/>
      </c>
    </row>
    <row r="929" spans="1:34">
      <c r="A929" s="548"/>
      <c r="B929" s="548"/>
      <c r="C929" s="548"/>
      <c r="D929" s="548"/>
      <c r="E929" s="548"/>
      <c r="G929" s="548"/>
      <c r="H929" s="548"/>
      <c r="I929" s="548"/>
      <c r="S929" s="548"/>
      <c r="T929" s="548"/>
      <c r="U929" s="548"/>
      <c r="V929" s="548"/>
      <c r="W929" s="548"/>
      <c r="X929" s="548"/>
      <c r="AH929" s="561" t="str">
        <f>IFERROR(INDEX('Annex 2_Code'!$J$110:$J$122,MATCH('Annex 3_MAFF'!AF929,'Annex 2_Code'!$G$110:$G$122,0)),"")</f>
        <v/>
      </c>
    </row>
    <row r="930" spans="1:34">
      <c r="A930" s="548"/>
      <c r="B930" s="548"/>
      <c r="C930" s="548"/>
      <c r="D930" s="548"/>
      <c r="E930" s="548"/>
      <c r="G930" s="548"/>
      <c r="H930" s="548"/>
      <c r="I930" s="548"/>
      <c r="S930" s="548"/>
      <c r="T930" s="548"/>
      <c r="U930" s="548"/>
      <c r="V930" s="548"/>
      <c r="W930" s="548"/>
      <c r="X930" s="548"/>
      <c r="AH930" s="561" t="str">
        <f>IFERROR(INDEX('Annex 2_Code'!$J$110:$J$122,MATCH('Annex 3_MAFF'!AF930,'Annex 2_Code'!$G$110:$G$122,0)),"")</f>
        <v/>
      </c>
    </row>
    <row r="931" spans="1:34">
      <c r="A931" s="548"/>
      <c r="B931" s="548"/>
      <c r="C931" s="548"/>
      <c r="D931" s="548"/>
      <c r="E931" s="548"/>
      <c r="G931" s="548"/>
      <c r="H931" s="548"/>
      <c r="I931" s="548"/>
      <c r="S931" s="548"/>
      <c r="T931" s="548"/>
      <c r="U931" s="548"/>
      <c r="V931" s="548"/>
      <c r="W931" s="548"/>
      <c r="X931" s="548"/>
      <c r="AH931" s="561" t="str">
        <f>IFERROR(INDEX('Annex 2_Code'!$J$110:$J$122,MATCH('Annex 3_MAFF'!AF931,'Annex 2_Code'!$G$110:$G$122,0)),"")</f>
        <v/>
      </c>
    </row>
    <row r="932" spans="1:34">
      <c r="A932" s="548"/>
      <c r="B932" s="548"/>
      <c r="C932" s="548"/>
      <c r="D932" s="548"/>
      <c r="E932" s="548"/>
      <c r="G932" s="548"/>
      <c r="H932" s="548"/>
      <c r="I932" s="548"/>
      <c r="S932" s="548"/>
      <c r="T932" s="548"/>
      <c r="U932" s="548"/>
      <c r="V932" s="548"/>
      <c r="W932" s="548"/>
      <c r="X932" s="548"/>
      <c r="AH932" s="561" t="str">
        <f>IFERROR(INDEX('Annex 2_Code'!$J$110:$J$122,MATCH('Annex 3_MAFF'!AF932,'Annex 2_Code'!$G$110:$G$122,0)),"")</f>
        <v/>
      </c>
    </row>
    <row r="933" spans="1:34">
      <c r="A933" s="548"/>
      <c r="B933" s="548"/>
      <c r="C933" s="548"/>
      <c r="D933" s="548"/>
      <c r="E933" s="548"/>
      <c r="G933" s="548"/>
      <c r="H933" s="548"/>
      <c r="I933" s="548"/>
      <c r="S933" s="548"/>
      <c r="T933" s="548"/>
      <c r="U933" s="548"/>
      <c r="V933" s="548"/>
      <c r="W933" s="548"/>
      <c r="X933" s="548"/>
      <c r="AH933" s="561" t="str">
        <f>IFERROR(INDEX('Annex 2_Code'!$J$110:$J$122,MATCH('Annex 3_MAFF'!AF933,'Annex 2_Code'!$G$110:$G$122,0)),"")</f>
        <v/>
      </c>
    </row>
    <row r="934" spans="1:34">
      <c r="A934" s="548"/>
      <c r="B934" s="548"/>
      <c r="C934" s="548"/>
      <c r="D934" s="548"/>
      <c r="E934" s="548"/>
      <c r="G934" s="548"/>
      <c r="H934" s="548"/>
      <c r="I934" s="548"/>
      <c r="S934" s="548"/>
      <c r="T934" s="548"/>
      <c r="U934" s="548"/>
      <c r="V934" s="548"/>
      <c r="W934" s="548"/>
      <c r="X934" s="548"/>
      <c r="AH934" s="561" t="str">
        <f>IFERROR(INDEX('Annex 2_Code'!$J$110:$J$122,MATCH('Annex 3_MAFF'!AF934,'Annex 2_Code'!$G$110:$G$122,0)),"")</f>
        <v/>
      </c>
    </row>
    <row r="935" spans="1:34">
      <c r="A935" s="548"/>
      <c r="B935" s="548"/>
      <c r="C935" s="548"/>
      <c r="D935" s="548"/>
      <c r="E935" s="548"/>
      <c r="G935" s="548"/>
      <c r="H935" s="548"/>
      <c r="I935" s="548"/>
      <c r="S935" s="548"/>
      <c r="T935" s="548"/>
      <c r="U935" s="548"/>
      <c r="V935" s="548"/>
      <c r="W935" s="548"/>
      <c r="X935" s="548"/>
      <c r="AH935" s="561" t="str">
        <f>IFERROR(INDEX('Annex 2_Code'!$J$110:$J$122,MATCH('Annex 3_MAFF'!AF935,'Annex 2_Code'!$G$110:$G$122,0)),"")</f>
        <v/>
      </c>
    </row>
    <row r="936" spans="1:34">
      <c r="A936" s="548"/>
      <c r="B936" s="548"/>
      <c r="C936" s="548"/>
      <c r="D936" s="548"/>
      <c r="E936" s="548"/>
      <c r="G936" s="548"/>
      <c r="H936" s="548"/>
      <c r="I936" s="548"/>
      <c r="S936" s="548"/>
      <c r="T936" s="548"/>
      <c r="U936" s="548"/>
      <c r="V936" s="548"/>
      <c r="W936" s="548"/>
      <c r="X936" s="548"/>
      <c r="AH936" s="561" t="str">
        <f>IFERROR(INDEX('Annex 2_Code'!$J$110:$J$122,MATCH('Annex 3_MAFF'!AF936,'Annex 2_Code'!$G$110:$G$122,0)),"")</f>
        <v/>
      </c>
    </row>
    <row r="937" spans="1:34">
      <c r="A937" s="548"/>
      <c r="B937" s="548"/>
      <c r="C937" s="548"/>
      <c r="D937" s="548"/>
      <c r="E937" s="548"/>
      <c r="G937" s="548"/>
      <c r="H937" s="548"/>
      <c r="I937" s="548"/>
      <c r="S937" s="548"/>
      <c r="T937" s="548"/>
      <c r="U937" s="548"/>
      <c r="V937" s="548"/>
      <c r="W937" s="548"/>
      <c r="X937" s="548"/>
      <c r="AH937" s="561" t="str">
        <f>IFERROR(INDEX('Annex 2_Code'!$J$110:$J$122,MATCH('Annex 3_MAFF'!AF937,'Annex 2_Code'!$G$110:$G$122,0)),"")</f>
        <v/>
      </c>
    </row>
    <row r="938" spans="1:34">
      <c r="A938" s="548"/>
      <c r="B938" s="548"/>
      <c r="C938" s="548"/>
      <c r="D938" s="548"/>
      <c r="E938" s="548"/>
      <c r="G938" s="548"/>
      <c r="H938" s="548"/>
      <c r="I938" s="548"/>
      <c r="S938" s="548"/>
      <c r="T938" s="548"/>
      <c r="U938" s="548"/>
      <c r="V938" s="548"/>
      <c r="W938" s="548"/>
      <c r="X938" s="548"/>
      <c r="AH938" s="561" t="str">
        <f>IFERROR(INDEX('Annex 2_Code'!$J$110:$J$122,MATCH('Annex 3_MAFF'!AF938,'Annex 2_Code'!$G$110:$G$122,0)),"")</f>
        <v/>
      </c>
    </row>
    <row r="939" spans="1:34">
      <c r="A939" s="548"/>
      <c r="B939" s="548"/>
      <c r="C939" s="548"/>
      <c r="D939" s="548"/>
      <c r="E939" s="548"/>
      <c r="G939" s="548"/>
      <c r="H939" s="548"/>
      <c r="I939" s="548"/>
      <c r="S939" s="548"/>
      <c r="T939" s="548"/>
      <c r="U939" s="548"/>
      <c r="V939" s="548"/>
      <c r="W939" s="548"/>
      <c r="X939" s="548"/>
      <c r="AH939" s="561" t="str">
        <f>IFERROR(INDEX('Annex 2_Code'!$J$110:$J$122,MATCH('Annex 3_MAFF'!AF939,'Annex 2_Code'!$G$110:$G$122,0)),"")</f>
        <v/>
      </c>
    </row>
    <row r="940" spans="1:34">
      <c r="A940" s="548"/>
      <c r="B940" s="548"/>
      <c r="C940" s="548"/>
      <c r="D940" s="548"/>
      <c r="E940" s="548"/>
      <c r="G940" s="548"/>
      <c r="H940" s="548"/>
      <c r="I940" s="548"/>
      <c r="S940" s="548"/>
      <c r="T940" s="548"/>
      <c r="U940" s="548"/>
      <c r="V940" s="548"/>
      <c r="W940" s="548"/>
      <c r="X940" s="548"/>
      <c r="AH940" s="561" t="str">
        <f>IFERROR(INDEX('Annex 2_Code'!$J$110:$J$122,MATCH('Annex 3_MAFF'!AF940,'Annex 2_Code'!$G$110:$G$122,0)),"")</f>
        <v/>
      </c>
    </row>
    <row r="941" spans="1:34">
      <c r="A941" s="548"/>
      <c r="B941" s="548"/>
      <c r="C941" s="548"/>
      <c r="D941" s="548"/>
      <c r="E941" s="548"/>
      <c r="G941" s="548"/>
      <c r="H941" s="548"/>
      <c r="I941" s="548"/>
      <c r="S941" s="548"/>
      <c r="T941" s="548"/>
      <c r="U941" s="548"/>
      <c r="V941" s="548"/>
      <c r="W941" s="548"/>
      <c r="X941" s="548"/>
      <c r="AH941" s="561" t="str">
        <f>IFERROR(INDEX('Annex 2_Code'!$J$110:$J$122,MATCH('Annex 3_MAFF'!AF941,'Annex 2_Code'!$G$110:$G$122,0)),"")</f>
        <v/>
      </c>
    </row>
    <row r="942" spans="1:34">
      <c r="A942" s="548"/>
      <c r="B942" s="548"/>
      <c r="C942" s="548"/>
      <c r="D942" s="548"/>
      <c r="E942" s="548"/>
      <c r="G942" s="548"/>
      <c r="H942" s="548"/>
      <c r="I942" s="548"/>
      <c r="S942" s="548"/>
      <c r="T942" s="548"/>
      <c r="U942" s="548"/>
      <c r="V942" s="548"/>
      <c r="W942" s="548"/>
      <c r="X942" s="548"/>
      <c r="AH942" s="561" t="str">
        <f>IFERROR(INDEX('Annex 2_Code'!$J$110:$J$122,MATCH('Annex 3_MAFF'!AF942,'Annex 2_Code'!$G$110:$G$122,0)),"")</f>
        <v/>
      </c>
    </row>
    <row r="943" spans="1:34">
      <c r="A943" s="548"/>
      <c r="B943" s="548"/>
      <c r="C943" s="548"/>
      <c r="D943" s="548"/>
      <c r="E943" s="548"/>
      <c r="G943" s="548"/>
      <c r="H943" s="548"/>
      <c r="I943" s="548"/>
      <c r="S943" s="548"/>
      <c r="T943" s="548"/>
      <c r="U943" s="548"/>
      <c r="V943" s="548"/>
      <c r="W943" s="548"/>
      <c r="X943" s="548"/>
      <c r="AH943" s="561" t="str">
        <f>IFERROR(INDEX('Annex 2_Code'!$J$110:$J$122,MATCH('Annex 3_MAFF'!AF943,'Annex 2_Code'!$G$110:$G$122,0)),"")</f>
        <v/>
      </c>
    </row>
    <row r="944" spans="1:34">
      <c r="A944" s="548"/>
      <c r="B944" s="548"/>
      <c r="C944" s="548"/>
      <c r="D944" s="548"/>
      <c r="E944" s="548"/>
      <c r="G944" s="548"/>
      <c r="H944" s="548"/>
      <c r="I944" s="548"/>
      <c r="S944" s="548"/>
      <c r="T944" s="548"/>
      <c r="U944" s="548"/>
      <c r="V944" s="548"/>
      <c r="W944" s="548"/>
      <c r="X944" s="548"/>
      <c r="AH944" s="561" t="str">
        <f>IFERROR(INDEX('Annex 2_Code'!$J$110:$J$122,MATCH('Annex 3_MAFF'!AF944,'Annex 2_Code'!$G$110:$G$122,0)),"")</f>
        <v/>
      </c>
    </row>
    <row r="945" spans="1:34">
      <c r="A945" s="548"/>
      <c r="B945" s="548"/>
      <c r="C945" s="548"/>
      <c r="D945" s="548"/>
      <c r="E945" s="548"/>
      <c r="G945" s="548"/>
      <c r="H945" s="548"/>
      <c r="I945" s="548"/>
      <c r="S945" s="548"/>
      <c r="T945" s="548"/>
      <c r="U945" s="548"/>
      <c r="V945" s="548"/>
      <c r="W945" s="548"/>
      <c r="X945" s="548"/>
      <c r="AH945" s="561" t="str">
        <f>IFERROR(INDEX('Annex 2_Code'!$J$110:$J$122,MATCH('Annex 3_MAFF'!AF945,'Annex 2_Code'!$G$110:$G$122,0)),"")</f>
        <v/>
      </c>
    </row>
    <row r="946" spans="1:34">
      <c r="A946" s="548"/>
      <c r="B946" s="548"/>
      <c r="C946" s="548"/>
      <c r="D946" s="548"/>
      <c r="E946" s="548"/>
      <c r="G946" s="548"/>
      <c r="H946" s="548"/>
      <c r="I946" s="548"/>
      <c r="S946" s="548"/>
      <c r="T946" s="548"/>
      <c r="U946" s="548"/>
      <c r="V946" s="548"/>
      <c r="W946" s="548"/>
      <c r="X946" s="548"/>
      <c r="AH946" s="561" t="str">
        <f>IFERROR(INDEX('Annex 2_Code'!$J$110:$J$122,MATCH('Annex 3_MAFF'!AF946,'Annex 2_Code'!$G$110:$G$122,0)),"")</f>
        <v/>
      </c>
    </row>
    <row r="947" spans="1:34">
      <c r="A947" s="548"/>
      <c r="B947" s="548"/>
      <c r="C947" s="548"/>
      <c r="D947" s="548"/>
      <c r="E947" s="548"/>
      <c r="G947" s="548"/>
      <c r="H947" s="548"/>
      <c r="I947" s="548"/>
      <c r="S947" s="548"/>
      <c r="T947" s="548"/>
      <c r="U947" s="548"/>
      <c r="V947" s="548"/>
      <c r="W947" s="548"/>
      <c r="X947" s="548"/>
      <c r="AH947" s="561" t="str">
        <f>IFERROR(INDEX('Annex 2_Code'!$J$110:$J$122,MATCH('Annex 3_MAFF'!AF947,'Annex 2_Code'!$G$110:$G$122,0)),"")</f>
        <v/>
      </c>
    </row>
    <row r="948" spans="1:34">
      <c r="A948" s="548"/>
      <c r="B948" s="548"/>
      <c r="C948" s="548"/>
      <c r="D948" s="548"/>
      <c r="E948" s="548"/>
      <c r="G948" s="548"/>
      <c r="H948" s="548"/>
      <c r="I948" s="548"/>
      <c r="S948" s="548"/>
      <c r="T948" s="548"/>
      <c r="U948" s="548"/>
      <c r="V948" s="548"/>
      <c r="W948" s="548"/>
      <c r="X948" s="548"/>
      <c r="AH948" s="561" t="str">
        <f>IFERROR(INDEX('Annex 2_Code'!$J$110:$J$122,MATCH('Annex 3_MAFF'!AF948,'Annex 2_Code'!$G$110:$G$122,0)),"")</f>
        <v/>
      </c>
    </row>
    <row r="949" spans="1:34">
      <c r="A949" s="548"/>
      <c r="B949" s="548"/>
      <c r="C949" s="548"/>
      <c r="D949" s="548"/>
      <c r="E949" s="548"/>
      <c r="G949" s="548"/>
      <c r="H949" s="548"/>
      <c r="I949" s="548"/>
      <c r="S949" s="548"/>
      <c r="T949" s="548"/>
      <c r="U949" s="548"/>
      <c r="V949" s="548"/>
      <c r="W949" s="548"/>
      <c r="X949" s="548"/>
      <c r="AH949" s="561" t="str">
        <f>IFERROR(INDEX('Annex 2_Code'!$J$110:$J$122,MATCH('Annex 3_MAFF'!AF949,'Annex 2_Code'!$G$110:$G$122,0)),"")</f>
        <v/>
      </c>
    </row>
    <row r="950" spans="1:34">
      <c r="A950" s="548"/>
      <c r="B950" s="548"/>
      <c r="C950" s="548"/>
      <c r="D950" s="548"/>
      <c r="E950" s="548"/>
      <c r="G950" s="548"/>
      <c r="H950" s="548"/>
      <c r="I950" s="548"/>
      <c r="S950" s="548"/>
      <c r="T950" s="548"/>
      <c r="U950" s="548"/>
      <c r="V950" s="548"/>
      <c r="W950" s="548"/>
      <c r="X950" s="548"/>
      <c r="AH950" s="561" t="str">
        <f>IFERROR(INDEX('Annex 2_Code'!$J$110:$J$122,MATCH('Annex 3_MAFF'!AF950,'Annex 2_Code'!$G$110:$G$122,0)),"")</f>
        <v/>
      </c>
    </row>
    <row r="951" spans="1:34">
      <c r="A951" s="548"/>
      <c r="B951" s="548"/>
      <c r="C951" s="548"/>
      <c r="D951" s="548"/>
      <c r="E951" s="548"/>
      <c r="G951" s="548"/>
      <c r="H951" s="548"/>
      <c r="I951" s="548"/>
      <c r="S951" s="548"/>
      <c r="T951" s="548"/>
      <c r="U951" s="548"/>
      <c r="V951" s="548"/>
      <c r="W951" s="548"/>
      <c r="X951" s="548"/>
      <c r="AH951" s="561" t="str">
        <f>IFERROR(INDEX('Annex 2_Code'!$J$110:$J$122,MATCH('Annex 3_MAFF'!AF951,'Annex 2_Code'!$G$110:$G$122,0)),"")</f>
        <v/>
      </c>
    </row>
    <row r="952" spans="1:34">
      <c r="A952" s="548"/>
      <c r="B952" s="548"/>
      <c r="C952" s="548"/>
      <c r="D952" s="548"/>
      <c r="E952" s="548"/>
      <c r="G952" s="548"/>
      <c r="H952" s="548"/>
      <c r="I952" s="548"/>
      <c r="S952" s="548"/>
      <c r="T952" s="548"/>
      <c r="U952" s="548"/>
      <c r="V952" s="548"/>
      <c r="W952" s="548"/>
      <c r="X952" s="548"/>
      <c r="AH952" s="561" t="str">
        <f>IFERROR(INDEX('Annex 2_Code'!$J$110:$J$122,MATCH('Annex 3_MAFF'!AF952,'Annex 2_Code'!$G$110:$G$122,0)),"")</f>
        <v/>
      </c>
    </row>
    <row r="953" spans="1:34">
      <c r="A953" s="548"/>
      <c r="B953" s="548"/>
      <c r="C953" s="548"/>
      <c r="D953" s="548"/>
      <c r="E953" s="548"/>
      <c r="G953" s="548"/>
      <c r="H953" s="548"/>
      <c r="I953" s="548"/>
      <c r="S953" s="548"/>
      <c r="T953" s="548"/>
      <c r="U953" s="548"/>
      <c r="V953" s="548"/>
      <c r="W953" s="548"/>
      <c r="X953" s="548"/>
      <c r="AH953" s="561" t="str">
        <f>IFERROR(INDEX('Annex 2_Code'!$J$110:$J$122,MATCH('Annex 3_MAFF'!AF953,'Annex 2_Code'!$G$110:$G$122,0)),"")</f>
        <v/>
      </c>
    </row>
    <row r="954" spans="1:34">
      <c r="A954" s="548"/>
      <c r="B954" s="548"/>
      <c r="C954" s="548"/>
      <c r="D954" s="548"/>
      <c r="E954" s="548"/>
      <c r="G954" s="548"/>
      <c r="H954" s="548"/>
      <c r="I954" s="548"/>
      <c r="S954" s="548"/>
      <c r="T954" s="548"/>
      <c r="U954" s="548"/>
      <c r="V954" s="548"/>
      <c r="W954" s="548"/>
      <c r="X954" s="548"/>
      <c r="AH954" s="561" t="str">
        <f>IFERROR(INDEX('Annex 2_Code'!$J$110:$J$122,MATCH('Annex 3_MAFF'!AF954,'Annex 2_Code'!$G$110:$G$122,0)),"")</f>
        <v/>
      </c>
    </row>
    <row r="955" spans="1:34">
      <c r="A955" s="548"/>
      <c r="B955" s="548"/>
      <c r="C955" s="548"/>
      <c r="D955" s="548"/>
      <c r="E955" s="548"/>
      <c r="G955" s="548"/>
      <c r="H955" s="548"/>
      <c r="I955" s="548"/>
      <c r="S955" s="548"/>
      <c r="T955" s="548"/>
      <c r="U955" s="548"/>
      <c r="V955" s="548"/>
      <c r="W955" s="548"/>
      <c r="X955" s="548"/>
      <c r="AH955" s="561" t="str">
        <f>IFERROR(INDEX('Annex 2_Code'!$J$110:$J$122,MATCH('Annex 3_MAFF'!AF955,'Annex 2_Code'!$G$110:$G$122,0)),"")</f>
        <v/>
      </c>
    </row>
    <row r="956" spans="1:34">
      <c r="A956" s="548"/>
      <c r="B956" s="548"/>
      <c r="C956" s="548"/>
      <c r="D956" s="548"/>
      <c r="E956" s="548"/>
      <c r="G956" s="548"/>
      <c r="H956" s="548"/>
      <c r="I956" s="548"/>
      <c r="S956" s="548"/>
      <c r="T956" s="548"/>
      <c r="U956" s="548"/>
      <c r="V956" s="548"/>
      <c r="W956" s="548"/>
      <c r="X956" s="548"/>
      <c r="AH956" s="561" t="str">
        <f>IFERROR(INDEX('Annex 2_Code'!$J$110:$J$122,MATCH('Annex 3_MAFF'!AF956,'Annex 2_Code'!$G$110:$G$122,0)),"")</f>
        <v/>
      </c>
    </row>
    <row r="957" spans="1:34">
      <c r="A957" s="548"/>
      <c r="B957" s="548"/>
      <c r="C957" s="548"/>
      <c r="D957" s="548"/>
      <c r="E957" s="548"/>
      <c r="G957" s="548"/>
      <c r="H957" s="548"/>
      <c r="I957" s="548"/>
      <c r="S957" s="548"/>
      <c r="T957" s="548"/>
      <c r="U957" s="548"/>
      <c r="V957" s="548"/>
      <c r="W957" s="548"/>
      <c r="X957" s="548"/>
      <c r="AH957" s="561" t="str">
        <f>IFERROR(INDEX('Annex 2_Code'!$J$110:$J$122,MATCH('Annex 3_MAFF'!AF957,'Annex 2_Code'!$G$110:$G$122,0)),"")</f>
        <v/>
      </c>
    </row>
    <row r="958" spans="1:34">
      <c r="A958" s="548"/>
      <c r="B958" s="548"/>
      <c r="C958" s="548"/>
      <c r="D958" s="548"/>
      <c r="E958" s="548"/>
      <c r="G958" s="548"/>
      <c r="H958" s="548"/>
      <c r="I958" s="548"/>
      <c r="S958" s="548"/>
      <c r="T958" s="548"/>
      <c r="U958" s="548"/>
      <c r="V958" s="548"/>
      <c r="W958" s="548"/>
      <c r="X958" s="548"/>
      <c r="AH958" s="561" t="str">
        <f>IFERROR(INDEX('Annex 2_Code'!$J$110:$J$122,MATCH('Annex 3_MAFF'!AF958,'Annex 2_Code'!$G$110:$G$122,0)),"")</f>
        <v/>
      </c>
    </row>
    <row r="959" spans="1:34">
      <c r="A959" s="548"/>
      <c r="B959" s="548"/>
      <c r="C959" s="548"/>
      <c r="D959" s="548"/>
      <c r="E959" s="548"/>
      <c r="G959" s="548"/>
      <c r="H959" s="548"/>
      <c r="I959" s="548"/>
      <c r="S959" s="548"/>
      <c r="T959" s="548"/>
      <c r="U959" s="548"/>
      <c r="V959" s="548"/>
      <c r="W959" s="548"/>
      <c r="X959" s="548"/>
      <c r="AH959" s="561" t="str">
        <f>IFERROR(INDEX('Annex 2_Code'!$J$110:$J$122,MATCH('Annex 3_MAFF'!AF959,'Annex 2_Code'!$G$110:$G$122,0)),"")</f>
        <v/>
      </c>
    </row>
    <row r="960" spans="1:34">
      <c r="A960" s="548"/>
      <c r="B960" s="548"/>
      <c r="C960" s="548"/>
      <c r="D960" s="548"/>
      <c r="E960" s="548"/>
      <c r="G960" s="548"/>
      <c r="H960" s="548"/>
      <c r="I960" s="548"/>
      <c r="S960" s="548"/>
      <c r="T960" s="548"/>
      <c r="U960" s="548"/>
      <c r="V960" s="548"/>
      <c r="W960" s="548"/>
      <c r="X960" s="548"/>
      <c r="AH960" s="561" t="str">
        <f>IFERROR(INDEX('Annex 2_Code'!$J$110:$J$122,MATCH('Annex 3_MAFF'!AF960,'Annex 2_Code'!$G$110:$G$122,0)),"")</f>
        <v/>
      </c>
    </row>
    <row r="961" spans="1:34">
      <c r="A961" s="548"/>
      <c r="B961" s="548"/>
      <c r="C961" s="548"/>
      <c r="D961" s="548"/>
      <c r="E961" s="548"/>
      <c r="G961" s="548"/>
      <c r="H961" s="548"/>
      <c r="I961" s="548"/>
      <c r="S961" s="548"/>
      <c r="T961" s="548"/>
      <c r="U961" s="548"/>
      <c r="V961" s="548"/>
      <c r="W961" s="548"/>
      <c r="X961" s="548"/>
      <c r="AH961" s="561" t="str">
        <f>IFERROR(INDEX('Annex 2_Code'!$J$110:$J$122,MATCH('Annex 3_MAFF'!AF961,'Annex 2_Code'!$G$110:$G$122,0)),"")</f>
        <v/>
      </c>
    </row>
    <row r="962" spans="1:34">
      <c r="A962" s="548"/>
      <c r="B962" s="548"/>
      <c r="C962" s="548"/>
      <c r="D962" s="548"/>
      <c r="E962" s="548"/>
      <c r="G962" s="548"/>
      <c r="H962" s="548"/>
      <c r="I962" s="548"/>
      <c r="S962" s="548"/>
      <c r="T962" s="548"/>
      <c r="U962" s="548"/>
      <c r="V962" s="548"/>
      <c r="W962" s="548"/>
      <c r="X962" s="548"/>
      <c r="AH962" s="561" t="str">
        <f>IFERROR(INDEX('Annex 2_Code'!$J$110:$J$122,MATCH('Annex 3_MAFF'!AF962,'Annex 2_Code'!$G$110:$G$122,0)),"")</f>
        <v/>
      </c>
    </row>
    <row r="963" spans="1:34">
      <c r="A963" s="548"/>
      <c r="B963" s="548"/>
      <c r="C963" s="548"/>
      <c r="D963" s="548"/>
      <c r="E963" s="548"/>
      <c r="G963" s="548"/>
      <c r="H963" s="548"/>
      <c r="I963" s="548"/>
      <c r="S963" s="548"/>
      <c r="T963" s="548"/>
      <c r="U963" s="548"/>
      <c r="V963" s="548"/>
      <c r="W963" s="548"/>
      <c r="X963" s="548"/>
      <c r="AH963" s="561" t="str">
        <f>IFERROR(INDEX('Annex 2_Code'!$J$110:$J$122,MATCH('Annex 3_MAFF'!AF963,'Annex 2_Code'!$G$110:$G$122,0)),"")</f>
        <v/>
      </c>
    </row>
    <row r="964" spans="1:34">
      <c r="A964" s="548"/>
      <c r="B964" s="548"/>
      <c r="C964" s="548"/>
      <c r="D964" s="548"/>
      <c r="E964" s="548"/>
      <c r="G964" s="548"/>
      <c r="H964" s="548"/>
      <c r="I964" s="548"/>
      <c r="S964" s="548"/>
      <c r="T964" s="548"/>
      <c r="U964" s="548"/>
      <c r="V964" s="548"/>
      <c r="W964" s="548"/>
      <c r="X964" s="548"/>
      <c r="AH964" s="561" t="str">
        <f>IFERROR(INDEX('Annex 2_Code'!$J$110:$J$122,MATCH('Annex 3_MAFF'!AF964,'Annex 2_Code'!$G$110:$G$122,0)),"")</f>
        <v/>
      </c>
    </row>
    <row r="965" spans="1:34">
      <c r="A965" s="548"/>
      <c r="B965" s="548"/>
      <c r="C965" s="548"/>
      <c r="D965" s="548"/>
      <c r="E965" s="548"/>
      <c r="G965" s="548"/>
      <c r="H965" s="548"/>
      <c r="I965" s="548"/>
      <c r="S965" s="548"/>
      <c r="T965" s="548"/>
      <c r="U965" s="548"/>
      <c r="V965" s="548"/>
      <c r="W965" s="548"/>
      <c r="X965" s="548"/>
      <c r="AH965" s="561" t="str">
        <f>IFERROR(INDEX('Annex 2_Code'!$J$110:$J$122,MATCH('Annex 3_MAFF'!AF965,'Annex 2_Code'!$G$110:$G$122,0)),"")</f>
        <v/>
      </c>
    </row>
    <row r="966" spans="1:34">
      <c r="A966" s="548"/>
      <c r="B966" s="548"/>
      <c r="C966" s="548"/>
      <c r="D966" s="548"/>
      <c r="E966" s="548"/>
      <c r="G966" s="548"/>
      <c r="H966" s="548"/>
      <c r="I966" s="548"/>
      <c r="S966" s="548"/>
      <c r="T966" s="548"/>
      <c r="U966" s="548"/>
      <c r="V966" s="548"/>
      <c r="W966" s="548"/>
      <c r="X966" s="548"/>
      <c r="AH966" s="561" t="str">
        <f>IFERROR(INDEX('Annex 2_Code'!$J$110:$J$122,MATCH('Annex 3_MAFF'!AF966,'Annex 2_Code'!$G$110:$G$122,0)),"")</f>
        <v/>
      </c>
    </row>
    <row r="967" spans="1:34">
      <c r="A967" s="548"/>
      <c r="B967" s="548"/>
      <c r="C967" s="548"/>
      <c r="D967" s="548"/>
      <c r="E967" s="548"/>
      <c r="G967" s="548"/>
      <c r="H967" s="548"/>
      <c r="I967" s="548"/>
      <c r="S967" s="548"/>
      <c r="T967" s="548"/>
      <c r="U967" s="548"/>
      <c r="V967" s="548"/>
      <c r="W967" s="548"/>
      <c r="X967" s="548"/>
      <c r="AH967" s="561" t="str">
        <f>IFERROR(INDEX('Annex 2_Code'!$J$110:$J$122,MATCH('Annex 3_MAFF'!AF967,'Annex 2_Code'!$G$110:$G$122,0)),"")</f>
        <v/>
      </c>
    </row>
    <row r="968" spans="1:34">
      <c r="A968" s="548"/>
      <c r="B968" s="548"/>
      <c r="C968" s="548"/>
      <c r="D968" s="548"/>
      <c r="E968" s="548"/>
      <c r="G968" s="548"/>
      <c r="H968" s="548"/>
      <c r="I968" s="548"/>
      <c r="S968" s="548"/>
      <c r="T968" s="548"/>
      <c r="U968" s="548"/>
      <c r="V968" s="548"/>
      <c r="W968" s="548"/>
      <c r="X968" s="548"/>
      <c r="AH968" s="561" t="str">
        <f>IFERROR(INDEX('Annex 2_Code'!$J$110:$J$122,MATCH('Annex 3_MAFF'!AF968,'Annex 2_Code'!$G$110:$G$122,0)),"")</f>
        <v/>
      </c>
    </row>
    <row r="969" spans="1:34">
      <c r="A969" s="548"/>
      <c r="B969" s="548"/>
      <c r="C969" s="548"/>
      <c r="D969" s="548"/>
      <c r="E969" s="548"/>
      <c r="G969" s="548"/>
      <c r="H969" s="548"/>
      <c r="I969" s="548"/>
      <c r="S969" s="548"/>
      <c r="T969" s="548"/>
      <c r="U969" s="548"/>
      <c r="V969" s="548"/>
      <c r="W969" s="548"/>
      <c r="X969" s="548"/>
      <c r="AH969" s="561" t="str">
        <f>IFERROR(INDEX('Annex 2_Code'!$J$110:$J$122,MATCH('Annex 3_MAFF'!AF969,'Annex 2_Code'!$G$110:$G$122,0)),"")</f>
        <v/>
      </c>
    </row>
    <row r="970" spans="1:34">
      <c r="A970" s="548"/>
      <c r="B970" s="548"/>
      <c r="C970" s="548"/>
      <c r="D970" s="548"/>
      <c r="E970" s="548"/>
      <c r="G970" s="548"/>
      <c r="H970" s="548"/>
      <c r="I970" s="548"/>
      <c r="S970" s="548"/>
      <c r="T970" s="548"/>
      <c r="U970" s="548"/>
      <c r="V970" s="548"/>
      <c r="W970" s="548"/>
      <c r="X970" s="548"/>
      <c r="AH970" s="561" t="str">
        <f>IFERROR(INDEX('Annex 2_Code'!$J$110:$J$122,MATCH('Annex 3_MAFF'!AF970,'Annex 2_Code'!$G$110:$G$122,0)),"")</f>
        <v/>
      </c>
    </row>
    <row r="971" spans="1:34">
      <c r="A971" s="548"/>
      <c r="B971" s="548"/>
      <c r="C971" s="548"/>
      <c r="D971" s="548"/>
      <c r="E971" s="548"/>
      <c r="G971" s="548"/>
      <c r="H971" s="548"/>
      <c r="I971" s="548"/>
      <c r="S971" s="548"/>
      <c r="T971" s="548"/>
      <c r="U971" s="548"/>
      <c r="V971" s="548"/>
      <c r="W971" s="548"/>
      <c r="X971" s="548"/>
      <c r="AH971" s="561" t="str">
        <f>IFERROR(INDEX('Annex 2_Code'!$J$110:$J$122,MATCH('Annex 3_MAFF'!AF971,'Annex 2_Code'!$G$110:$G$122,0)),"")</f>
        <v/>
      </c>
    </row>
    <row r="972" spans="1:34">
      <c r="A972" s="548"/>
      <c r="B972" s="548"/>
      <c r="C972" s="548"/>
      <c r="D972" s="548"/>
      <c r="E972" s="548"/>
      <c r="G972" s="548"/>
      <c r="H972" s="548"/>
      <c r="I972" s="548"/>
      <c r="S972" s="548"/>
      <c r="T972" s="548"/>
      <c r="U972" s="548"/>
      <c r="V972" s="548"/>
      <c r="W972" s="548"/>
      <c r="X972" s="548"/>
      <c r="AH972" s="561" t="str">
        <f>IFERROR(INDEX('Annex 2_Code'!$J$110:$J$122,MATCH('Annex 3_MAFF'!AF972,'Annex 2_Code'!$G$110:$G$122,0)),"")</f>
        <v/>
      </c>
    </row>
    <row r="973" spans="1:34">
      <c r="A973" s="548"/>
      <c r="B973" s="548"/>
      <c r="C973" s="548"/>
      <c r="D973" s="548"/>
      <c r="E973" s="548"/>
      <c r="G973" s="548"/>
      <c r="H973" s="548"/>
      <c r="I973" s="548"/>
      <c r="S973" s="548"/>
      <c r="T973" s="548"/>
      <c r="U973" s="548"/>
      <c r="V973" s="548"/>
      <c r="W973" s="548"/>
      <c r="X973" s="548"/>
      <c r="AH973" s="561" t="str">
        <f>IFERROR(INDEX('Annex 2_Code'!$J$110:$J$122,MATCH('Annex 3_MAFF'!AF973,'Annex 2_Code'!$G$110:$G$122,0)),"")</f>
        <v/>
      </c>
    </row>
    <row r="974" spans="1:34">
      <c r="A974" s="548"/>
      <c r="B974" s="548"/>
      <c r="C974" s="548"/>
      <c r="D974" s="548"/>
      <c r="E974" s="548"/>
      <c r="G974" s="548"/>
      <c r="H974" s="548"/>
      <c r="I974" s="548"/>
      <c r="S974" s="548"/>
      <c r="T974" s="548"/>
      <c r="U974" s="548"/>
      <c r="V974" s="548"/>
      <c r="W974" s="548"/>
      <c r="X974" s="548"/>
      <c r="AH974" s="561" t="str">
        <f>IFERROR(INDEX('Annex 2_Code'!$J$110:$J$122,MATCH('Annex 3_MAFF'!AF974,'Annex 2_Code'!$G$110:$G$122,0)),"")</f>
        <v/>
      </c>
    </row>
    <row r="975" spans="1:34">
      <c r="A975" s="548"/>
      <c r="B975" s="548"/>
      <c r="C975" s="548"/>
      <c r="D975" s="548"/>
      <c r="E975" s="548"/>
      <c r="G975" s="548"/>
      <c r="H975" s="548"/>
      <c r="I975" s="548"/>
      <c r="S975" s="548"/>
      <c r="T975" s="548"/>
      <c r="U975" s="548"/>
      <c r="V975" s="548"/>
      <c r="W975" s="548"/>
      <c r="X975" s="548"/>
      <c r="AH975" s="561" t="str">
        <f>IFERROR(INDEX('Annex 2_Code'!$J$110:$J$122,MATCH('Annex 3_MAFF'!AF975,'Annex 2_Code'!$G$110:$G$122,0)),"")</f>
        <v/>
      </c>
    </row>
    <row r="976" spans="1:34">
      <c r="A976" s="548"/>
      <c r="B976" s="548"/>
      <c r="C976" s="548"/>
      <c r="D976" s="548"/>
      <c r="E976" s="548"/>
      <c r="G976" s="548"/>
      <c r="H976" s="548"/>
      <c r="I976" s="548"/>
      <c r="S976" s="548"/>
      <c r="T976" s="548"/>
      <c r="U976" s="548"/>
      <c r="V976" s="548"/>
      <c r="W976" s="548"/>
      <c r="X976" s="548"/>
      <c r="AH976" s="561" t="str">
        <f>IFERROR(INDEX('Annex 2_Code'!$J$110:$J$122,MATCH('Annex 3_MAFF'!AF976,'Annex 2_Code'!$G$110:$G$122,0)),"")</f>
        <v/>
      </c>
    </row>
    <row r="977" spans="1:34">
      <c r="A977" s="548"/>
      <c r="B977" s="548"/>
      <c r="C977" s="548"/>
      <c r="D977" s="548"/>
      <c r="E977" s="548"/>
      <c r="G977" s="548"/>
      <c r="H977" s="548"/>
      <c r="I977" s="548"/>
      <c r="S977" s="548"/>
      <c r="T977" s="548"/>
      <c r="U977" s="548"/>
      <c r="V977" s="548"/>
      <c r="W977" s="548"/>
      <c r="X977" s="548"/>
      <c r="AH977" s="561" t="str">
        <f>IFERROR(INDEX('Annex 2_Code'!$J$110:$J$122,MATCH('Annex 3_MAFF'!AF977,'Annex 2_Code'!$G$110:$G$122,0)),"")</f>
        <v/>
      </c>
    </row>
    <row r="978" spans="1:34">
      <c r="A978" s="548"/>
      <c r="B978" s="548"/>
      <c r="C978" s="548"/>
      <c r="D978" s="548"/>
      <c r="E978" s="548"/>
      <c r="G978" s="548"/>
      <c r="H978" s="548"/>
      <c r="I978" s="548"/>
      <c r="S978" s="548"/>
      <c r="T978" s="548"/>
      <c r="U978" s="548"/>
      <c r="V978" s="548"/>
      <c r="W978" s="548"/>
      <c r="X978" s="548"/>
      <c r="AH978" s="561" t="str">
        <f>IFERROR(INDEX('Annex 2_Code'!$J$110:$J$122,MATCH('Annex 3_MAFF'!AF978,'Annex 2_Code'!$G$110:$G$122,0)),"")</f>
        <v/>
      </c>
    </row>
    <row r="979" spans="1:34">
      <c r="A979" s="548"/>
      <c r="B979" s="548"/>
      <c r="C979" s="548"/>
      <c r="D979" s="548"/>
      <c r="E979" s="548"/>
      <c r="G979" s="548"/>
      <c r="H979" s="548"/>
      <c r="I979" s="548"/>
      <c r="S979" s="548"/>
      <c r="T979" s="548"/>
      <c r="U979" s="548"/>
      <c r="V979" s="548"/>
      <c r="W979" s="548"/>
      <c r="X979" s="548"/>
      <c r="AH979" s="561" t="str">
        <f>IFERROR(INDEX('Annex 2_Code'!$J$110:$J$122,MATCH('Annex 3_MAFF'!AF979,'Annex 2_Code'!$G$110:$G$122,0)),"")</f>
        <v/>
      </c>
    </row>
    <row r="980" spans="1:34">
      <c r="A980" s="548"/>
      <c r="B980" s="548"/>
      <c r="C980" s="548"/>
      <c r="D980" s="548"/>
      <c r="E980" s="548"/>
      <c r="G980" s="548"/>
      <c r="H980" s="548"/>
      <c r="I980" s="548"/>
      <c r="S980" s="548"/>
      <c r="T980" s="548"/>
      <c r="U980" s="548"/>
      <c r="V980" s="548"/>
      <c r="W980" s="548"/>
      <c r="X980" s="548"/>
      <c r="AH980" s="561" t="str">
        <f>IFERROR(INDEX('Annex 2_Code'!$J$110:$J$122,MATCH('Annex 3_MAFF'!AF980,'Annex 2_Code'!$G$110:$G$122,0)),"")</f>
        <v/>
      </c>
    </row>
    <row r="981" spans="1:34">
      <c r="A981" s="548"/>
      <c r="B981" s="548"/>
      <c r="C981" s="548"/>
      <c r="D981" s="548"/>
      <c r="E981" s="548"/>
      <c r="G981" s="548"/>
      <c r="H981" s="548"/>
      <c r="I981" s="548"/>
      <c r="S981" s="548"/>
      <c r="T981" s="548"/>
      <c r="U981" s="548"/>
      <c r="V981" s="548"/>
      <c r="W981" s="548"/>
      <c r="X981" s="548"/>
      <c r="AH981" s="561" t="str">
        <f>IFERROR(INDEX('Annex 2_Code'!$J$110:$J$122,MATCH('Annex 3_MAFF'!AF981,'Annex 2_Code'!$G$110:$G$122,0)),"")</f>
        <v/>
      </c>
    </row>
    <row r="982" spans="1:34">
      <c r="A982" s="548"/>
      <c r="B982" s="548"/>
      <c r="C982" s="548"/>
      <c r="D982" s="548"/>
      <c r="E982" s="548"/>
      <c r="G982" s="548"/>
      <c r="H982" s="548"/>
      <c r="I982" s="548"/>
      <c r="S982" s="548"/>
      <c r="T982" s="548"/>
      <c r="U982" s="548"/>
      <c r="V982" s="548"/>
      <c r="W982" s="548"/>
      <c r="X982" s="548"/>
      <c r="AH982" s="561" t="str">
        <f>IFERROR(INDEX('Annex 2_Code'!$J$110:$J$122,MATCH('Annex 3_MAFF'!AF982,'Annex 2_Code'!$G$110:$G$122,0)),"")</f>
        <v/>
      </c>
    </row>
    <row r="983" spans="1:34">
      <c r="A983" s="548"/>
      <c r="B983" s="548"/>
      <c r="C983" s="548"/>
      <c r="D983" s="548"/>
      <c r="E983" s="548"/>
      <c r="G983" s="548"/>
      <c r="H983" s="548"/>
      <c r="I983" s="548"/>
      <c r="S983" s="548"/>
      <c r="T983" s="548"/>
      <c r="U983" s="548"/>
      <c r="V983" s="548"/>
      <c r="W983" s="548"/>
      <c r="X983" s="548"/>
      <c r="AH983" s="561" t="str">
        <f>IFERROR(INDEX('Annex 2_Code'!$J$110:$J$122,MATCH('Annex 3_MAFF'!AF983,'Annex 2_Code'!$G$110:$G$122,0)),"")</f>
        <v/>
      </c>
    </row>
    <row r="984" spans="1:34">
      <c r="A984" s="548"/>
      <c r="B984" s="548"/>
      <c r="C984" s="548"/>
      <c r="D984" s="548"/>
      <c r="E984" s="548"/>
      <c r="G984" s="548"/>
      <c r="H984" s="548"/>
      <c r="I984" s="548"/>
      <c r="S984" s="548"/>
      <c r="T984" s="548"/>
      <c r="U984" s="548"/>
      <c r="V984" s="548"/>
      <c r="W984" s="548"/>
      <c r="X984" s="548"/>
      <c r="AH984" s="561" t="str">
        <f>IFERROR(INDEX('Annex 2_Code'!$J$110:$J$122,MATCH('Annex 3_MAFF'!AF984,'Annex 2_Code'!$G$110:$G$122,0)),"")</f>
        <v/>
      </c>
    </row>
    <row r="985" spans="1:34">
      <c r="A985" s="548"/>
      <c r="B985" s="548"/>
      <c r="C985" s="548"/>
      <c r="D985" s="548"/>
      <c r="E985" s="548"/>
      <c r="G985" s="548"/>
      <c r="H985" s="548"/>
      <c r="I985" s="548"/>
      <c r="S985" s="548"/>
      <c r="T985" s="548"/>
      <c r="U985" s="548"/>
      <c r="V985" s="548"/>
      <c r="W985" s="548"/>
      <c r="X985" s="548"/>
      <c r="AH985" s="561" t="str">
        <f>IFERROR(INDEX('Annex 2_Code'!$J$110:$J$122,MATCH('Annex 3_MAFF'!AF985,'Annex 2_Code'!$G$110:$G$122,0)),"")</f>
        <v/>
      </c>
    </row>
    <row r="986" spans="1:34">
      <c r="A986" s="548"/>
      <c r="B986" s="548"/>
      <c r="C986" s="548"/>
      <c r="D986" s="548"/>
      <c r="E986" s="548"/>
      <c r="G986" s="548"/>
      <c r="H986" s="548"/>
      <c r="I986" s="548"/>
      <c r="S986" s="548"/>
      <c r="T986" s="548"/>
      <c r="U986" s="548"/>
      <c r="V986" s="548"/>
      <c r="W986" s="548"/>
      <c r="X986" s="548"/>
      <c r="AH986" s="561" t="str">
        <f>IFERROR(INDEX('Annex 2_Code'!$J$110:$J$122,MATCH('Annex 3_MAFF'!AF986,'Annex 2_Code'!$G$110:$G$122,0)),"")</f>
        <v/>
      </c>
    </row>
    <row r="987" spans="1:34">
      <c r="A987" s="548"/>
      <c r="B987" s="548"/>
      <c r="C987" s="548"/>
      <c r="D987" s="548"/>
      <c r="E987" s="548"/>
      <c r="G987" s="548"/>
      <c r="H987" s="548"/>
      <c r="I987" s="548"/>
      <c r="S987" s="548"/>
      <c r="T987" s="548"/>
      <c r="U987" s="548"/>
      <c r="V987" s="548"/>
      <c r="W987" s="548"/>
      <c r="X987" s="548"/>
      <c r="AH987" s="561" t="str">
        <f>IFERROR(INDEX('Annex 2_Code'!$J$110:$J$122,MATCH('Annex 3_MAFF'!AF987,'Annex 2_Code'!$G$110:$G$122,0)),"")</f>
        <v/>
      </c>
    </row>
    <row r="988" spans="1:34">
      <c r="A988" s="548"/>
      <c r="B988" s="548"/>
      <c r="C988" s="548"/>
      <c r="D988" s="548"/>
      <c r="E988" s="548"/>
      <c r="G988" s="548"/>
      <c r="H988" s="548"/>
      <c r="I988" s="548"/>
      <c r="S988" s="548"/>
      <c r="T988" s="548"/>
      <c r="U988" s="548"/>
      <c r="V988" s="548"/>
      <c r="W988" s="548"/>
      <c r="X988" s="548"/>
      <c r="AH988" s="561" t="str">
        <f>IFERROR(INDEX('Annex 2_Code'!$J$110:$J$122,MATCH('Annex 3_MAFF'!AF988,'Annex 2_Code'!$G$110:$G$122,0)),"")</f>
        <v/>
      </c>
    </row>
    <row r="989" spans="1:34">
      <c r="A989" s="548"/>
      <c r="B989" s="548"/>
      <c r="C989" s="548"/>
      <c r="D989" s="548"/>
      <c r="E989" s="548"/>
      <c r="G989" s="548"/>
      <c r="H989" s="548"/>
      <c r="I989" s="548"/>
      <c r="S989" s="548"/>
      <c r="T989" s="548"/>
      <c r="U989" s="548"/>
      <c r="V989" s="548"/>
      <c r="W989" s="548"/>
      <c r="X989" s="548"/>
      <c r="AH989" s="561" t="str">
        <f>IFERROR(INDEX('Annex 2_Code'!$J$110:$J$122,MATCH('Annex 3_MAFF'!AF989,'Annex 2_Code'!$G$110:$G$122,0)),"")</f>
        <v/>
      </c>
    </row>
    <row r="990" spans="1:34">
      <c r="A990" s="548"/>
      <c r="B990" s="548"/>
      <c r="C990" s="548"/>
      <c r="D990" s="548"/>
      <c r="E990" s="548"/>
      <c r="G990" s="548"/>
      <c r="H990" s="548"/>
      <c r="I990" s="548"/>
      <c r="S990" s="548"/>
      <c r="T990" s="548"/>
      <c r="U990" s="548"/>
      <c r="V990" s="548"/>
      <c r="W990" s="548"/>
      <c r="X990" s="548"/>
      <c r="AH990" s="561" t="str">
        <f>IFERROR(INDEX('Annex 2_Code'!$J$110:$J$122,MATCH('Annex 3_MAFF'!AF990,'Annex 2_Code'!$G$110:$G$122,0)),"")</f>
        <v/>
      </c>
    </row>
    <row r="991" spans="1:34">
      <c r="A991" s="548"/>
      <c r="B991" s="548"/>
      <c r="C991" s="548"/>
      <c r="D991" s="548"/>
      <c r="E991" s="548"/>
      <c r="G991" s="548"/>
      <c r="H991" s="548"/>
      <c r="I991" s="548"/>
      <c r="S991" s="548"/>
      <c r="T991" s="548"/>
      <c r="U991" s="548"/>
      <c r="V991" s="548"/>
      <c r="W991" s="548"/>
      <c r="X991" s="548"/>
      <c r="AH991" s="561" t="str">
        <f>IFERROR(INDEX('Annex 2_Code'!$J$110:$J$122,MATCH('Annex 3_MAFF'!AF991,'Annex 2_Code'!$G$110:$G$122,0)),"")</f>
        <v/>
      </c>
    </row>
    <row r="992" spans="1:34">
      <c r="A992" s="548"/>
      <c r="B992" s="548"/>
      <c r="C992" s="548"/>
      <c r="D992" s="548"/>
      <c r="E992" s="548"/>
      <c r="G992" s="548"/>
      <c r="H992" s="548"/>
      <c r="I992" s="548"/>
      <c r="S992" s="548"/>
      <c r="T992" s="548"/>
      <c r="U992" s="548"/>
      <c r="V992" s="548"/>
      <c r="W992" s="548"/>
      <c r="X992" s="548"/>
      <c r="AH992" s="561" t="str">
        <f>IFERROR(INDEX('Annex 2_Code'!$J$110:$J$122,MATCH('Annex 3_MAFF'!AF992,'Annex 2_Code'!$G$110:$G$122,0)),"")</f>
        <v/>
      </c>
    </row>
    <row r="993" spans="1:34">
      <c r="A993" s="548"/>
      <c r="B993" s="548"/>
      <c r="C993" s="548"/>
      <c r="D993" s="548"/>
      <c r="E993" s="548"/>
      <c r="G993" s="548"/>
      <c r="H993" s="548"/>
      <c r="I993" s="548"/>
      <c r="S993" s="548"/>
      <c r="T993" s="548"/>
      <c r="U993" s="548"/>
      <c r="V993" s="548"/>
      <c r="W993" s="548"/>
      <c r="X993" s="548"/>
      <c r="AH993" s="561" t="str">
        <f>IFERROR(INDEX('Annex 2_Code'!$J$110:$J$122,MATCH('Annex 3_MAFF'!AF993,'Annex 2_Code'!$G$110:$G$122,0)),"")</f>
        <v/>
      </c>
    </row>
    <row r="994" spans="1:34">
      <c r="A994" s="548"/>
      <c r="B994" s="548"/>
      <c r="C994" s="548"/>
      <c r="D994" s="548"/>
      <c r="E994" s="548"/>
      <c r="G994" s="548"/>
      <c r="H994" s="548"/>
      <c r="I994" s="548"/>
      <c r="S994" s="548"/>
      <c r="T994" s="548"/>
      <c r="U994" s="548"/>
      <c r="V994" s="548"/>
      <c r="W994" s="548"/>
      <c r="X994" s="548"/>
      <c r="AH994" s="561" t="str">
        <f>IFERROR(INDEX('Annex 2_Code'!$J$110:$J$122,MATCH('Annex 3_MAFF'!AF994,'Annex 2_Code'!$G$110:$G$122,0)),"")</f>
        <v/>
      </c>
    </row>
    <row r="995" spans="1:34">
      <c r="A995" s="548"/>
      <c r="B995" s="548"/>
      <c r="C995" s="548"/>
      <c r="D995" s="548"/>
      <c r="E995" s="548"/>
      <c r="G995" s="548"/>
      <c r="H995" s="548"/>
      <c r="I995" s="548"/>
      <c r="S995" s="548"/>
      <c r="T995" s="548"/>
      <c r="U995" s="548"/>
      <c r="V995" s="548"/>
      <c r="W995" s="548"/>
      <c r="X995" s="548"/>
      <c r="AH995" s="561" t="str">
        <f>IFERROR(INDEX('Annex 2_Code'!$J$110:$J$122,MATCH('Annex 3_MAFF'!AF995,'Annex 2_Code'!$G$110:$G$122,0)),"")</f>
        <v/>
      </c>
    </row>
    <row r="996" spans="1:34">
      <c r="A996" s="548"/>
      <c r="B996" s="548"/>
      <c r="C996" s="548"/>
      <c r="D996" s="548"/>
      <c r="E996" s="548"/>
      <c r="G996" s="548"/>
      <c r="H996" s="548"/>
      <c r="I996" s="548"/>
      <c r="S996" s="548"/>
      <c r="T996" s="548"/>
      <c r="U996" s="548"/>
      <c r="V996" s="548"/>
      <c r="W996" s="548"/>
      <c r="X996" s="548"/>
      <c r="AH996" s="561" t="str">
        <f>IFERROR(INDEX('Annex 2_Code'!$J$110:$J$122,MATCH('Annex 3_MAFF'!AF996,'Annex 2_Code'!$G$110:$G$122,0)),"")</f>
        <v/>
      </c>
    </row>
    <row r="997" spans="1:34">
      <c r="A997" s="548"/>
      <c r="B997" s="548"/>
      <c r="C997" s="548"/>
      <c r="D997" s="548"/>
      <c r="E997" s="548"/>
      <c r="G997" s="548"/>
      <c r="H997" s="548"/>
      <c r="I997" s="548"/>
      <c r="S997" s="548"/>
      <c r="T997" s="548"/>
      <c r="U997" s="548"/>
      <c r="V997" s="548"/>
      <c r="W997" s="548"/>
      <c r="X997" s="548"/>
      <c r="AH997" s="561" t="str">
        <f>IFERROR(INDEX('Annex 2_Code'!$J$110:$J$122,MATCH('Annex 3_MAFF'!AF997,'Annex 2_Code'!$G$110:$G$122,0)),"")</f>
        <v/>
      </c>
    </row>
    <row r="998" spans="1:34">
      <c r="A998" s="548"/>
      <c r="B998" s="548"/>
      <c r="C998" s="548"/>
      <c r="D998" s="548"/>
      <c r="E998" s="548"/>
      <c r="G998" s="548"/>
      <c r="H998" s="548"/>
      <c r="I998" s="548"/>
      <c r="S998" s="548"/>
      <c r="T998" s="548"/>
      <c r="U998" s="548"/>
      <c r="V998" s="548"/>
      <c r="W998" s="548"/>
      <c r="X998" s="548"/>
      <c r="AH998" s="561" t="str">
        <f>IFERROR(INDEX('Annex 2_Code'!$J$110:$J$122,MATCH('Annex 3_MAFF'!AF998,'Annex 2_Code'!$G$110:$G$122,0)),"")</f>
        <v/>
      </c>
    </row>
    <row r="999" spans="1:34">
      <c r="A999" s="548"/>
      <c r="B999" s="548"/>
      <c r="C999" s="548"/>
      <c r="D999" s="548"/>
      <c r="E999" s="548"/>
      <c r="G999" s="548"/>
      <c r="H999" s="548"/>
      <c r="I999" s="548"/>
      <c r="S999" s="548"/>
      <c r="T999" s="548"/>
      <c r="U999" s="548"/>
      <c r="V999" s="548"/>
      <c r="W999" s="548"/>
      <c r="X999" s="548"/>
      <c r="AH999" s="561" t="str">
        <f>IFERROR(INDEX('Annex 2_Code'!$J$110:$J$122,MATCH('Annex 3_MAFF'!AF999,'Annex 2_Code'!$G$110:$G$122,0)),"")</f>
        <v/>
      </c>
    </row>
    <row r="1000" spans="1:34">
      <c r="A1000" s="548"/>
      <c r="B1000" s="548"/>
      <c r="C1000" s="548"/>
      <c r="D1000" s="548"/>
      <c r="E1000" s="548"/>
      <c r="G1000" s="548"/>
      <c r="H1000" s="548"/>
      <c r="I1000" s="548"/>
      <c r="S1000" s="548"/>
      <c r="T1000" s="548"/>
      <c r="U1000" s="548"/>
      <c r="V1000" s="548"/>
      <c r="W1000" s="548"/>
      <c r="X1000" s="548"/>
      <c r="AH1000" s="561" t="str">
        <f>IFERROR(INDEX('Annex 2_Code'!$J$110:$J$122,MATCH('Annex 3_MAFF'!AF1000,'Annex 2_Code'!$G$110:$G$122,0)),"")</f>
        <v/>
      </c>
    </row>
    <row r="1001" spans="1:34">
      <c r="A1001" s="548"/>
      <c r="B1001" s="548"/>
      <c r="C1001" s="548"/>
      <c r="D1001" s="548"/>
      <c r="E1001" s="548"/>
      <c r="G1001" s="548"/>
      <c r="H1001" s="548"/>
      <c r="I1001" s="548"/>
      <c r="S1001" s="548"/>
      <c r="T1001" s="548"/>
      <c r="U1001" s="548"/>
      <c r="V1001" s="548"/>
      <c r="W1001" s="548"/>
      <c r="X1001" s="548"/>
      <c r="AH1001" s="561" t="str">
        <f>IFERROR(INDEX('Annex 2_Code'!$J$110:$J$122,MATCH('Annex 3_MAFF'!AF1001,'Annex 2_Code'!$G$110:$G$122,0)),"")</f>
        <v/>
      </c>
    </row>
    <row r="1002" spans="1:34">
      <c r="A1002" s="548"/>
      <c r="B1002" s="548"/>
      <c r="C1002" s="548"/>
      <c r="D1002" s="548"/>
      <c r="E1002" s="548"/>
      <c r="G1002" s="548"/>
      <c r="H1002" s="548"/>
      <c r="I1002" s="548"/>
      <c r="S1002" s="548"/>
      <c r="T1002" s="548"/>
      <c r="U1002" s="548"/>
      <c r="V1002" s="548"/>
      <c r="W1002" s="548"/>
      <c r="X1002" s="548"/>
      <c r="AH1002" s="561" t="str">
        <f>IFERROR(INDEX('Annex 2_Code'!$J$110:$J$122,MATCH('Annex 3_MAFF'!AF1002,'Annex 2_Code'!$G$110:$G$122,0)),"")</f>
        <v/>
      </c>
    </row>
    <row r="1003" spans="1:34">
      <c r="A1003" s="548"/>
      <c r="B1003" s="548"/>
      <c r="C1003" s="548"/>
      <c r="D1003" s="548"/>
      <c r="E1003" s="548"/>
      <c r="G1003" s="548"/>
      <c r="H1003" s="548"/>
      <c r="I1003" s="548"/>
      <c r="S1003" s="548"/>
      <c r="T1003" s="548"/>
      <c r="U1003" s="548"/>
      <c r="V1003" s="548"/>
      <c r="W1003" s="548"/>
      <c r="X1003" s="548"/>
      <c r="AH1003" s="561" t="str">
        <f>IFERROR(INDEX('Annex 2_Code'!$J$110:$J$122,MATCH('Annex 3_MAFF'!AF1003,'Annex 2_Code'!$G$110:$G$122,0)),"")</f>
        <v/>
      </c>
    </row>
    <row r="1004" spans="1:34">
      <c r="A1004" s="548"/>
      <c r="B1004" s="548"/>
      <c r="C1004" s="548"/>
      <c r="D1004" s="548"/>
      <c r="E1004" s="548"/>
      <c r="G1004" s="548"/>
      <c r="H1004" s="548"/>
      <c r="I1004" s="548"/>
      <c r="S1004" s="548"/>
      <c r="T1004" s="548"/>
      <c r="U1004" s="548"/>
      <c r="V1004" s="548"/>
      <c r="W1004" s="548"/>
      <c r="X1004" s="548"/>
      <c r="AH1004" s="561" t="str">
        <f>IFERROR(INDEX('Annex 2_Code'!$J$110:$J$122,MATCH('Annex 3_MAFF'!AF1004,'Annex 2_Code'!$G$110:$G$122,0)),"")</f>
        <v/>
      </c>
    </row>
    <row r="1005" spans="1:34">
      <c r="A1005" s="548"/>
      <c r="B1005" s="548"/>
      <c r="C1005" s="548"/>
      <c r="D1005" s="548"/>
      <c r="E1005" s="548"/>
      <c r="G1005" s="548"/>
      <c r="H1005" s="548"/>
      <c r="I1005" s="548"/>
      <c r="S1005" s="548"/>
      <c r="T1005" s="548"/>
      <c r="U1005" s="548"/>
      <c r="V1005" s="548"/>
      <c r="W1005" s="548"/>
      <c r="X1005" s="548"/>
      <c r="AH1005" s="561" t="str">
        <f>IFERROR(INDEX('Annex 2_Code'!$J$110:$J$122,MATCH('Annex 3_MAFF'!AF1005,'Annex 2_Code'!$G$110:$G$122,0)),"")</f>
        <v/>
      </c>
    </row>
    <row r="1006" spans="1:34">
      <c r="A1006" s="548"/>
      <c r="B1006" s="548"/>
      <c r="C1006" s="548"/>
      <c r="D1006" s="548"/>
      <c r="E1006" s="548"/>
      <c r="G1006" s="548"/>
      <c r="H1006" s="548"/>
      <c r="I1006" s="548"/>
      <c r="S1006" s="548"/>
      <c r="T1006" s="548"/>
      <c r="U1006" s="548"/>
      <c r="V1006" s="548"/>
      <c r="W1006" s="548"/>
      <c r="X1006" s="548"/>
      <c r="AH1006" s="561" t="str">
        <f>IFERROR(INDEX('Annex 2_Code'!$J$110:$J$122,MATCH('Annex 3_MAFF'!AF1006,'Annex 2_Code'!$G$110:$G$122,0)),"")</f>
        <v/>
      </c>
    </row>
    <row r="1007" spans="1:34">
      <c r="A1007" s="548"/>
      <c r="B1007" s="548"/>
      <c r="C1007" s="548"/>
      <c r="D1007" s="548"/>
      <c r="E1007" s="548"/>
      <c r="G1007" s="548"/>
      <c r="H1007" s="548"/>
      <c r="I1007" s="548"/>
      <c r="S1007" s="548"/>
      <c r="T1007" s="548"/>
      <c r="U1007" s="548"/>
      <c r="V1007" s="548"/>
      <c r="W1007" s="548"/>
      <c r="X1007" s="548"/>
      <c r="AH1007" s="561" t="str">
        <f>IFERROR(INDEX('Annex 2_Code'!$J$110:$J$122,MATCH('Annex 3_MAFF'!AF1007,'Annex 2_Code'!$G$110:$G$122,0)),"")</f>
        <v/>
      </c>
    </row>
    <row r="1008" spans="1:34">
      <c r="A1008" s="548"/>
      <c r="B1008" s="548"/>
      <c r="C1008" s="548"/>
      <c r="D1008" s="548"/>
      <c r="E1008" s="548"/>
      <c r="G1008" s="548"/>
      <c r="H1008" s="548"/>
      <c r="I1008" s="548"/>
      <c r="S1008" s="548"/>
      <c r="T1008" s="548"/>
      <c r="U1008" s="548"/>
      <c r="V1008" s="548"/>
      <c r="W1008" s="548"/>
      <c r="X1008" s="548"/>
      <c r="AH1008" s="561" t="str">
        <f>IFERROR(INDEX('Annex 2_Code'!$J$110:$J$122,MATCH('Annex 3_MAFF'!AF1008,'Annex 2_Code'!$G$110:$G$122,0)),"")</f>
        <v/>
      </c>
    </row>
    <row r="1009" spans="1:34">
      <c r="A1009" s="548"/>
      <c r="B1009" s="548"/>
      <c r="C1009" s="548"/>
      <c r="D1009" s="548"/>
      <c r="E1009" s="548"/>
      <c r="G1009" s="548"/>
      <c r="H1009" s="548"/>
      <c r="I1009" s="548"/>
      <c r="S1009" s="548"/>
      <c r="T1009" s="548"/>
      <c r="U1009" s="548"/>
      <c r="V1009" s="548"/>
      <c r="W1009" s="548"/>
      <c r="X1009" s="548"/>
      <c r="AH1009" s="561" t="str">
        <f>IFERROR(INDEX('Annex 2_Code'!$J$110:$J$122,MATCH('Annex 3_MAFF'!AF1009,'Annex 2_Code'!$G$110:$G$122,0)),"")</f>
        <v/>
      </c>
    </row>
    <row r="1010" spans="1:34">
      <c r="A1010" s="548"/>
      <c r="B1010" s="548"/>
      <c r="C1010" s="548"/>
      <c r="D1010" s="548"/>
      <c r="E1010" s="548"/>
      <c r="G1010" s="548"/>
      <c r="H1010" s="548"/>
      <c r="I1010" s="548"/>
      <c r="S1010" s="548"/>
      <c r="T1010" s="548"/>
      <c r="U1010" s="548"/>
      <c r="V1010" s="548"/>
      <c r="W1010" s="548"/>
      <c r="X1010" s="548"/>
      <c r="AH1010" s="561" t="str">
        <f>IFERROR(INDEX('Annex 2_Code'!$J$110:$J$122,MATCH('Annex 3_MAFF'!AF1010,'Annex 2_Code'!$G$110:$G$122,0)),"")</f>
        <v/>
      </c>
    </row>
    <row r="1011" spans="1:34">
      <c r="A1011" s="548"/>
      <c r="B1011" s="548"/>
      <c r="C1011" s="548"/>
      <c r="D1011" s="548"/>
      <c r="E1011" s="548"/>
      <c r="G1011" s="548"/>
      <c r="H1011" s="548"/>
      <c r="I1011" s="548"/>
      <c r="S1011" s="548"/>
      <c r="T1011" s="548"/>
      <c r="U1011" s="548"/>
      <c r="V1011" s="548"/>
      <c r="W1011" s="548"/>
      <c r="X1011" s="548"/>
      <c r="AH1011" s="561" t="str">
        <f>IFERROR(INDEX('Annex 2_Code'!$J$110:$J$122,MATCH('Annex 3_MAFF'!AF1011,'Annex 2_Code'!$G$110:$G$122,0)),"")</f>
        <v/>
      </c>
    </row>
    <row r="1012" spans="1:34">
      <c r="A1012" s="548"/>
      <c r="B1012" s="548"/>
      <c r="C1012" s="548"/>
      <c r="D1012" s="548"/>
      <c r="E1012" s="548"/>
      <c r="G1012" s="548"/>
      <c r="H1012" s="548"/>
      <c r="I1012" s="548"/>
      <c r="S1012" s="548"/>
      <c r="T1012" s="548"/>
      <c r="U1012" s="548"/>
      <c r="V1012" s="548"/>
      <c r="W1012" s="548"/>
      <c r="X1012" s="548"/>
      <c r="AH1012" s="561" t="str">
        <f>IFERROR(INDEX('Annex 2_Code'!$J$110:$J$122,MATCH('Annex 3_MAFF'!AF1012,'Annex 2_Code'!$G$110:$G$122,0)),"")</f>
        <v/>
      </c>
    </row>
    <row r="1013" spans="1:34">
      <c r="A1013" s="548"/>
      <c r="B1013" s="548"/>
      <c r="C1013" s="548"/>
      <c r="D1013" s="548"/>
      <c r="E1013" s="548"/>
      <c r="G1013" s="548"/>
      <c r="H1013" s="548"/>
      <c r="I1013" s="548"/>
      <c r="S1013" s="548"/>
      <c r="T1013" s="548"/>
      <c r="U1013" s="548"/>
      <c r="V1013" s="548"/>
      <c r="W1013" s="548"/>
      <c r="X1013" s="548"/>
      <c r="AH1013" s="561" t="str">
        <f>IFERROR(INDEX('Annex 2_Code'!$J$110:$J$122,MATCH('Annex 3_MAFF'!AF1013,'Annex 2_Code'!$G$110:$G$122,0)),"")</f>
        <v/>
      </c>
    </row>
    <row r="1014" spans="1:34">
      <c r="A1014" s="548"/>
      <c r="B1014" s="548"/>
      <c r="C1014" s="548"/>
      <c r="D1014" s="548"/>
      <c r="E1014" s="548"/>
      <c r="G1014" s="548"/>
      <c r="H1014" s="548"/>
      <c r="I1014" s="548"/>
      <c r="S1014" s="548"/>
      <c r="T1014" s="548"/>
      <c r="U1014" s="548"/>
      <c r="V1014" s="548"/>
      <c r="W1014" s="548"/>
      <c r="X1014" s="548"/>
      <c r="AH1014" s="561" t="str">
        <f>IFERROR(INDEX('Annex 2_Code'!$J$110:$J$122,MATCH('Annex 3_MAFF'!AF1014,'Annex 2_Code'!$G$110:$G$122,0)),"")</f>
        <v/>
      </c>
    </row>
    <row r="1015" spans="1:34">
      <c r="A1015" s="548"/>
      <c r="B1015" s="548"/>
      <c r="C1015" s="548"/>
      <c r="D1015" s="548"/>
      <c r="E1015" s="548"/>
      <c r="G1015" s="548"/>
      <c r="H1015" s="548"/>
      <c r="I1015" s="548"/>
      <c r="S1015" s="548"/>
      <c r="T1015" s="548"/>
      <c r="U1015" s="548"/>
      <c r="V1015" s="548"/>
      <c r="W1015" s="548"/>
      <c r="X1015" s="548"/>
      <c r="AH1015" s="561" t="str">
        <f>IFERROR(INDEX('Annex 2_Code'!$J$110:$J$122,MATCH('Annex 3_MAFF'!AF1015,'Annex 2_Code'!$G$110:$G$122,0)),"")</f>
        <v/>
      </c>
    </row>
    <row r="1016" spans="1:34">
      <c r="A1016" s="548"/>
      <c r="B1016" s="548"/>
      <c r="C1016" s="548"/>
      <c r="D1016" s="548"/>
      <c r="E1016" s="548"/>
      <c r="G1016" s="548"/>
      <c r="H1016" s="548"/>
      <c r="I1016" s="548"/>
      <c r="S1016" s="548"/>
      <c r="T1016" s="548"/>
      <c r="U1016" s="548"/>
      <c r="V1016" s="548"/>
      <c r="W1016" s="548"/>
      <c r="X1016" s="548"/>
      <c r="AH1016" s="561" t="str">
        <f>IFERROR(INDEX('Annex 2_Code'!$J$110:$J$122,MATCH('Annex 3_MAFF'!AF1016,'Annex 2_Code'!$G$110:$G$122,0)),"")</f>
        <v/>
      </c>
    </row>
    <row r="1017" spans="1:34">
      <c r="A1017" s="548"/>
      <c r="B1017" s="548"/>
      <c r="C1017" s="548"/>
      <c r="D1017" s="548"/>
      <c r="E1017" s="548"/>
      <c r="G1017" s="548"/>
      <c r="H1017" s="548"/>
      <c r="I1017" s="548"/>
      <c r="S1017" s="548"/>
      <c r="T1017" s="548"/>
      <c r="U1017" s="548"/>
      <c r="V1017" s="548"/>
      <c r="W1017" s="548"/>
      <c r="X1017" s="548"/>
      <c r="AH1017" s="561" t="str">
        <f>IFERROR(INDEX('Annex 2_Code'!$J$110:$J$122,MATCH('Annex 3_MAFF'!AF1017,'Annex 2_Code'!$G$110:$G$122,0)),"")</f>
        <v/>
      </c>
    </row>
    <row r="1018" spans="1:34">
      <c r="A1018" s="548"/>
      <c r="B1018" s="548"/>
      <c r="C1018" s="548"/>
      <c r="D1018" s="548"/>
      <c r="E1018" s="548"/>
      <c r="G1018" s="548"/>
      <c r="H1018" s="548"/>
      <c r="I1018" s="548"/>
      <c r="S1018" s="548"/>
      <c r="T1018" s="548"/>
      <c r="U1018" s="548"/>
      <c r="V1018" s="548"/>
      <c r="W1018" s="548"/>
      <c r="X1018" s="548"/>
      <c r="AH1018" s="561" t="str">
        <f>IFERROR(INDEX('Annex 2_Code'!$J$110:$J$122,MATCH('Annex 3_MAFF'!AF1018,'Annex 2_Code'!$G$110:$G$122,0)),"")</f>
        <v/>
      </c>
    </row>
    <row r="1019" spans="1:34">
      <c r="A1019" s="548"/>
      <c r="B1019" s="548"/>
      <c r="C1019" s="548"/>
      <c r="D1019" s="548"/>
      <c r="E1019" s="548"/>
      <c r="G1019" s="548"/>
      <c r="H1019" s="548"/>
      <c r="I1019" s="548"/>
      <c r="S1019" s="548"/>
      <c r="T1019" s="548"/>
      <c r="U1019" s="548"/>
      <c r="V1019" s="548"/>
      <c r="W1019" s="548"/>
      <c r="X1019" s="548"/>
      <c r="AH1019" s="561" t="str">
        <f>IFERROR(INDEX('Annex 2_Code'!$J$110:$J$122,MATCH('Annex 3_MAFF'!AF1019,'Annex 2_Code'!$G$110:$G$122,0)),"")</f>
        <v/>
      </c>
    </row>
    <row r="1020" spans="1:34">
      <c r="A1020" s="548"/>
      <c r="B1020" s="548"/>
      <c r="C1020" s="548"/>
      <c r="D1020" s="548"/>
      <c r="E1020" s="548"/>
      <c r="G1020" s="548"/>
      <c r="H1020" s="548"/>
      <c r="I1020" s="548"/>
      <c r="S1020" s="548"/>
      <c r="T1020" s="548"/>
      <c r="U1020" s="548"/>
      <c r="V1020" s="548"/>
      <c r="W1020" s="548"/>
      <c r="X1020" s="548"/>
      <c r="AH1020" s="561" t="str">
        <f>IFERROR(INDEX('Annex 2_Code'!$J$110:$J$122,MATCH('Annex 3_MAFF'!AF1020,'Annex 2_Code'!$G$110:$G$122,0)),"")</f>
        <v/>
      </c>
    </row>
    <row r="1021" spans="1:34">
      <c r="A1021" s="548"/>
      <c r="B1021" s="548"/>
      <c r="C1021" s="548"/>
      <c r="D1021" s="548"/>
      <c r="E1021" s="548"/>
      <c r="G1021" s="548"/>
      <c r="H1021" s="548"/>
      <c r="I1021" s="548"/>
      <c r="S1021" s="548"/>
      <c r="T1021" s="548"/>
      <c r="U1021" s="548"/>
      <c r="V1021" s="548"/>
      <c r="W1021" s="548"/>
      <c r="X1021" s="548"/>
      <c r="AH1021" s="561" t="str">
        <f>IFERROR(INDEX('Annex 2_Code'!$J$110:$J$122,MATCH('Annex 3_MAFF'!AF1021,'Annex 2_Code'!$G$110:$G$122,0)),"")</f>
        <v/>
      </c>
    </row>
    <row r="1022" spans="1:34">
      <c r="A1022" s="548"/>
      <c r="B1022" s="548"/>
      <c r="C1022" s="548"/>
      <c r="D1022" s="548"/>
      <c r="E1022" s="548"/>
      <c r="G1022" s="548"/>
      <c r="H1022" s="548"/>
      <c r="I1022" s="548"/>
      <c r="S1022" s="548"/>
      <c r="T1022" s="548"/>
      <c r="U1022" s="548"/>
      <c r="V1022" s="548"/>
      <c r="W1022" s="548"/>
      <c r="X1022" s="548"/>
      <c r="AH1022" s="561" t="str">
        <f>IFERROR(INDEX('Annex 2_Code'!$J$110:$J$122,MATCH('Annex 3_MAFF'!AF1022,'Annex 2_Code'!$G$110:$G$122,0)),"")</f>
        <v/>
      </c>
    </row>
    <row r="1023" spans="1:34">
      <c r="A1023" s="548"/>
      <c r="B1023" s="548"/>
      <c r="C1023" s="548"/>
      <c r="D1023" s="548"/>
      <c r="E1023" s="548"/>
      <c r="G1023" s="548"/>
      <c r="H1023" s="548"/>
      <c r="I1023" s="548"/>
      <c r="S1023" s="548"/>
      <c r="T1023" s="548"/>
      <c r="U1023" s="548"/>
      <c r="V1023" s="548"/>
      <c r="W1023" s="548"/>
      <c r="X1023" s="548"/>
      <c r="AH1023" s="561" t="str">
        <f>IFERROR(INDEX('Annex 2_Code'!$J$110:$J$122,MATCH('Annex 3_MAFF'!AF1023,'Annex 2_Code'!$G$110:$G$122,0)),"")</f>
        <v/>
      </c>
    </row>
    <row r="1024" spans="1:34">
      <c r="A1024" s="548"/>
      <c r="B1024" s="548"/>
      <c r="C1024" s="548"/>
      <c r="D1024" s="548"/>
      <c r="E1024" s="548"/>
      <c r="G1024" s="548"/>
      <c r="H1024" s="548"/>
      <c r="I1024" s="548"/>
      <c r="S1024" s="548"/>
      <c r="T1024" s="548"/>
      <c r="U1024" s="548"/>
      <c r="V1024" s="548"/>
      <c r="W1024" s="548"/>
      <c r="X1024" s="548"/>
      <c r="AH1024" s="561" t="str">
        <f>IFERROR(INDEX('Annex 2_Code'!$J$110:$J$122,MATCH('Annex 3_MAFF'!AF1024,'Annex 2_Code'!$G$110:$G$122,0)),"")</f>
        <v/>
      </c>
    </row>
    <row r="1025" spans="1:34">
      <c r="A1025" s="548"/>
      <c r="B1025" s="548"/>
      <c r="C1025" s="548"/>
      <c r="D1025" s="548"/>
      <c r="E1025" s="548"/>
      <c r="G1025" s="548"/>
      <c r="H1025" s="548"/>
      <c r="I1025" s="548"/>
      <c r="S1025" s="548"/>
      <c r="T1025" s="548"/>
      <c r="U1025" s="548"/>
      <c r="V1025" s="548"/>
      <c r="W1025" s="548"/>
      <c r="X1025" s="548"/>
      <c r="AH1025" s="561" t="str">
        <f>IFERROR(INDEX('Annex 2_Code'!$J$110:$J$122,MATCH('Annex 3_MAFF'!AF1025,'Annex 2_Code'!$G$110:$G$122,0)),"")</f>
        <v/>
      </c>
    </row>
    <row r="1026" spans="1:34">
      <c r="A1026" s="548"/>
      <c r="B1026" s="548"/>
      <c r="C1026" s="548"/>
      <c r="D1026" s="548"/>
      <c r="E1026" s="548"/>
      <c r="G1026" s="548"/>
      <c r="H1026" s="548"/>
      <c r="I1026" s="548"/>
      <c r="S1026" s="548"/>
      <c r="T1026" s="548"/>
      <c r="U1026" s="548"/>
      <c r="V1026" s="548"/>
      <c r="W1026" s="548"/>
      <c r="X1026" s="548"/>
      <c r="AH1026" s="561" t="str">
        <f>IFERROR(INDEX('Annex 2_Code'!$J$110:$J$122,MATCH('Annex 3_MAFF'!AF1026,'Annex 2_Code'!$G$110:$G$122,0)),"")</f>
        <v/>
      </c>
    </row>
    <row r="1027" spans="1:34">
      <c r="A1027" s="548"/>
      <c r="B1027" s="548"/>
      <c r="C1027" s="548"/>
      <c r="D1027" s="548"/>
      <c r="E1027" s="548"/>
      <c r="G1027" s="548"/>
      <c r="H1027" s="548"/>
      <c r="I1027" s="548"/>
      <c r="S1027" s="548"/>
      <c r="T1027" s="548"/>
      <c r="U1027" s="548"/>
      <c r="V1027" s="548"/>
      <c r="W1027" s="548"/>
      <c r="X1027" s="548"/>
      <c r="AH1027" s="561" t="str">
        <f>IFERROR(INDEX('Annex 2_Code'!$J$110:$J$122,MATCH('Annex 3_MAFF'!AF1027,'Annex 2_Code'!$G$110:$G$122,0)),"")</f>
        <v/>
      </c>
    </row>
    <row r="1028" spans="1:34">
      <c r="A1028" s="548"/>
      <c r="B1028" s="548"/>
      <c r="C1028" s="548"/>
      <c r="D1028" s="548"/>
      <c r="E1028" s="548"/>
      <c r="G1028" s="548"/>
      <c r="H1028" s="548"/>
      <c r="I1028" s="548"/>
      <c r="S1028" s="548"/>
      <c r="T1028" s="548"/>
      <c r="U1028" s="548"/>
      <c r="V1028" s="548"/>
      <c r="W1028" s="548"/>
      <c r="X1028" s="548"/>
      <c r="AH1028" s="561" t="str">
        <f>IFERROR(INDEX('Annex 2_Code'!$J$110:$J$122,MATCH('Annex 3_MAFF'!AF1028,'Annex 2_Code'!$G$110:$G$122,0)),"")</f>
        <v/>
      </c>
    </row>
    <row r="1029" spans="1:34">
      <c r="A1029" s="548"/>
      <c r="B1029" s="548"/>
      <c r="C1029" s="548"/>
      <c r="D1029" s="548"/>
      <c r="E1029" s="548"/>
      <c r="G1029" s="548"/>
      <c r="H1029" s="548"/>
      <c r="I1029" s="548"/>
      <c r="S1029" s="548"/>
      <c r="T1029" s="548"/>
      <c r="U1029" s="548"/>
      <c r="V1029" s="548"/>
      <c r="W1029" s="548"/>
      <c r="X1029" s="548"/>
      <c r="AH1029" s="561" t="str">
        <f>IFERROR(INDEX('Annex 2_Code'!$J$110:$J$122,MATCH('Annex 3_MAFF'!AF1029,'Annex 2_Code'!$G$110:$G$122,0)),"")</f>
        <v/>
      </c>
    </row>
    <row r="1030" spans="1:34">
      <c r="A1030" s="548"/>
      <c r="B1030" s="548"/>
      <c r="C1030" s="548"/>
      <c r="D1030" s="548"/>
      <c r="E1030" s="548"/>
      <c r="G1030" s="548"/>
      <c r="H1030" s="548"/>
      <c r="I1030" s="548"/>
      <c r="S1030" s="548"/>
      <c r="T1030" s="548"/>
      <c r="U1030" s="548"/>
      <c r="V1030" s="548"/>
      <c r="W1030" s="548"/>
      <c r="X1030" s="548"/>
      <c r="AH1030" s="561" t="str">
        <f>IFERROR(INDEX('Annex 2_Code'!$J$110:$J$122,MATCH('Annex 3_MAFF'!AF1030,'Annex 2_Code'!$G$110:$G$122,0)),"")</f>
        <v/>
      </c>
    </row>
    <row r="1031" spans="1:34">
      <c r="A1031" s="548"/>
      <c r="B1031" s="548"/>
      <c r="C1031" s="548"/>
      <c r="D1031" s="548"/>
      <c r="E1031" s="548"/>
      <c r="G1031" s="548"/>
      <c r="H1031" s="548"/>
      <c r="I1031" s="548"/>
      <c r="S1031" s="548"/>
      <c r="T1031" s="548"/>
      <c r="U1031" s="548"/>
      <c r="V1031" s="548"/>
      <c r="W1031" s="548"/>
      <c r="X1031" s="548"/>
      <c r="AH1031" s="561" t="str">
        <f>IFERROR(INDEX('Annex 2_Code'!$J$110:$J$122,MATCH('Annex 3_MAFF'!AF1031,'Annex 2_Code'!$G$110:$G$122,0)),"")</f>
        <v/>
      </c>
    </row>
    <row r="1032" spans="1:34">
      <c r="A1032" s="548"/>
      <c r="B1032" s="548"/>
      <c r="C1032" s="548"/>
      <c r="D1032" s="548"/>
      <c r="E1032" s="548"/>
      <c r="G1032" s="548"/>
      <c r="H1032" s="548"/>
      <c r="I1032" s="548"/>
      <c r="S1032" s="548"/>
      <c r="T1032" s="548"/>
      <c r="U1032" s="548"/>
      <c r="V1032" s="548"/>
      <c r="W1032" s="548"/>
      <c r="X1032" s="548"/>
      <c r="AH1032" s="561" t="str">
        <f>IFERROR(INDEX('Annex 2_Code'!$J$110:$J$122,MATCH('Annex 3_MAFF'!AF1032,'Annex 2_Code'!$G$110:$G$122,0)),"")</f>
        <v/>
      </c>
    </row>
    <row r="1033" spans="1:34">
      <c r="A1033" s="548"/>
      <c r="B1033" s="548"/>
      <c r="C1033" s="548"/>
      <c r="D1033" s="548"/>
      <c r="E1033" s="548"/>
      <c r="G1033" s="548"/>
      <c r="H1033" s="548"/>
      <c r="I1033" s="548"/>
      <c r="S1033" s="548"/>
      <c r="T1033" s="548"/>
      <c r="U1033" s="548"/>
      <c r="V1033" s="548"/>
      <c r="W1033" s="548"/>
      <c r="X1033" s="548"/>
      <c r="AH1033" s="561" t="str">
        <f>IFERROR(INDEX('Annex 2_Code'!$J$110:$J$122,MATCH('Annex 3_MAFF'!AF1033,'Annex 2_Code'!$G$110:$G$122,0)),"")</f>
        <v/>
      </c>
    </row>
    <row r="1034" spans="1:34">
      <c r="A1034" s="548"/>
      <c r="B1034" s="548"/>
      <c r="C1034" s="548"/>
      <c r="D1034" s="548"/>
      <c r="E1034" s="548"/>
      <c r="G1034" s="548"/>
      <c r="H1034" s="548"/>
      <c r="I1034" s="548"/>
      <c r="S1034" s="548"/>
      <c r="T1034" s="548"/>
      <c r="U1034" s="548"/>
      <c r="V1034" s="548"/>
      <c r="W1034" s="548"/>
      <c r="X1034" s="548"/>
      <c r="AH1034" s="561" t="str">
        <f>IFERROR(INDEX('Annex 2_Code'!$J$110:$J$122,MATCH('Annex 3_MAFF'!AF1034,'Annex 2_Code'!$G$110:$G$122,0)),"")</f>
        <v/>
      </c>
    </row>
    <row r="1035" spans="1:34">
      <c r="A1035" s="548"/>
      <c r="B1035" s="548"/>
      <c r="C1035" s="548"/>
      <c r="D1035" s="548"/>
      <c r="E1035" s="548"/>
      <c r="G1035" s="548"/>
      <c r="H1035" s="548"/>
      <c r="I1035" s="548"/>
      <c r="S1035" s="548"/>
      <c r="T1035" s="548"/>
      <c r="U1035" s="548"/>
      <c r="V1035" s="548"/>
      <c r="W1035" s="548"/>
      <c r="X1035" s="548"/>
      <c r="AH1035" s="561" t="str">
        <f>IFERROR(INDEX('Annex 2_Code'!$J$110:$J$122,MATCH('Annex 3_MAFF'!AF1035,'Annex 2_Code'!$G$110:$G$122,0)),"")</f>
        <v/>
      </c>
    </row>
    <row r="1036" spans="1:34">
      <c r="A1036" s="548"/>
      <c r="B1036" s="548"/>
      <c r="C1036" s="548"/>
      <c r="D1036" s="548"/>
      <c r="E1036" s="548"/>
      <c r="G1036" s="548"/>
      <c r="H1036" s="548"/>
      <c r="I1036" s="548"/>
      <c r="S1036" s="548"/>
      <c r="T1036" s="548"/>
      <c r="U1036" s="548"/>
      <c r="V1036" s="548"/>
      <c r="W1036" s="548"/>
      <c r="X1036" s="548"/>
      <c r="AH1036" s="561" t="str">
        <f>IFERROR(INDEX('Annex 2_Code'!$J$110:$J$122,MATCH('Annex 3_MAFF'!AF1036,'Annex 2_Code'!$G$110:$G$122,0)),"")</f>
        <v/>
      </c>
    </row>
    <row r="1037" spans="1:34">
      <c r="A1037" s="548"/>
      <c r="B1037" s="548"/>
      <c r="C1037" s="548"/>
      <c r="D1037" s="548"/>
      <c r="E1037" s="548"/>
      <c r="G1037" s="548"/>
      <c r="H1037" s="548"/>
      <c r="I1037" s="548"/>
      <c r="S1037" s="548"/>
      <c r="T1037" s="548"/>
      <c r="U1037" s="548"/>
      <c r="V1037" s="548"/>
      <c r="W1037" s="548"/>
      <c r="X1037" s="548"/>
      <c r="AH1037" s="561" t="str">
        <f>IFERROR(INDEX('Annex 2_Code'!$J$110:$J$122,MATCH('Annex 3_MAFF'!AF1037,'Annex 2_Code'!$G$110:$G$122,0)),"")</f>
        <v/>
      </c>
    </row>
    <row r="1038" spans="1:34">
      <c r="A1038" s="548"/>
      <c r="B1038" s="548"/>
      <c r="C1038" s="548"/>
      <c r="D1038" s="548"/>
      <c r="E1038" s="548"/>
      <c r="G1038" s="548"/>
      <c r="H1038" s="548"/>
      <c r="I1038" s="548"/>
      <c r="S1038" s="548"/>
      <c r="T1038" s="548"/>
      <c r="U1038" s="548"/>
      <c r="V1038" s="548"/>
      <c r="W1038" s="548"/>
      <c r="X1038" s="548"/>
      <c r="AH1038" s="561" t="str">
        <f>IFERROR(INDEX('Annex 2_Code'!$J$110:$J$122,MATCH('Annex 3_MAFF'!AF1038,'Annex 2_Code'!$G$110:$G$122,0)),"")</f>
        <v/>
      </c>
    </row>
    <row r="1039" spans="1:34">
      <c r="A1039" s="548"/>
      <c r="B1039" s="548"/>
      <c r="C1039" s="548"/>
      <c r="D1039" s="548"/>
      <c r="E1039" s="548"/>
      <c r="G1039" s="548"/>
      <c r="H1039" s="548"/>
      <c r="I1039" s="548"/>
      <c r="S1039" s="548"/>
      <c r="T1039" s="548"/>
      <c r="U1039" s="548"/>
      <c r="V1039" s="548"/>
      <c r="W1039" s="548"/>
      <c r="X1039" s="548"/>
      <c r="AH1039" s="561" t="str">
        <f>IFERROR(INDEX('Annex 2_Code'!$J$110:$J$122,MATCH('Annex 3_MAFF'!AF1039,'Annex 2_Code'!$G$110:$G$122,0)),"")</f>
        <v/>
      </c>
    </row>
    <row r="1040" spans="1:34">
      <c r="A1040" s="548"/>
      <c r="B1040" s="548"/>
      <c r="C1040" s="548"/>
      <c r="D1040" s="548"/>
      <c r="E1040" s="548"/>
      <c r="G1040" s="548"/>
      <c r="H1040" s="548"/>
      <c r="I1040" s="548"/>
      <c r="S1040" s="548"/>
      <c r="T1040" s="548"/>
      <c r="U1040" s="548"/>
      <c r="V1040" s="548"/>
      <c r="W1040" s="548"/>
      <c r="X1040" s="548"/>
      <c r="AH1040" s="561" t="str">
        <f>IFERROR(INDEX('Annex 2_Code'!$J$110:$J$122,MATCH('Annex 3_MAFF'!AF1040,'Annex 2_Code'!$G$110:$G$122,0)),"")</f>
        <v/>
      </c>
    </row>
    <row r="1041" spans="1:34">
      <c r="A1041" s="548"/>
      <c r="B1041" s="548"/>
      <c r="C1041" s="548"/>
      <c r="D1041" s="548"/>
      <c r="E1041" s="548"/>
      <c r="G1041" s="548"/>
      <c r="H1041" s="548"/>
      <c r="I1041" s="548"/>
      <c r="S1041" s="548"/>
      <c r="T1041" s="548"/>
      <c r="U1041" s="548"/>
      <c r="V1041" s="548"/>
      <c r="W1041" s="548"/>
      <c r="X1041" s="548"/>
      <c r="AH1041" s="561" t="str">
        <f>IFERROR(INDEX('Annex 2_Code'!$J$110:$J$122,MATCH('Annex 3_MAFF'!AF1041,'Annex 2_Code'!$G$110:$G$122,0)),"")</f>
        <v/>
      </c>
    </row>
    <row r="1042" spans="1:34">
      <c r="A1042" s="548"/>
      <c r="B1042" s="548"/>
      <c r="C1042" s="548"/>
      <c r="D1042" s="548"/>
      <c r="E1042" s="548"/>
      <c r="G1042" s="548"/>
      <c r="H1042" s="548"/>
      <c r="I1042" s="548"/>
      <c r="S1042" s="548"/>
      <c r="T1042" s="548"/>
      <c r="U1042" s="548"/>
      <c r="V1042" s="548"/>
      <c r="W1042" s="548"/>
      <c r="X1042" s="548"/>
      <c r="AH1042" s="561" t="str">
        <f>IFERROR(INDEX('Annex 2_Code'!$J$110:$J$122,MATCH('Annex 3_MAFF'!AF1042,'Annex 2_Code'!$G$110:$G$122,0)),"")</f>
        <v/>
      </c>
    </row>
    <row r="1043" spans="1:34">
      <c r="A1043" s="548"/>
      <c r="B1043" s="548"/>
      <c r="C1043" s="548"/>
      <c r="D1043" s="548"/>
      <c r="E1043" s="548"/>
      <c r="G1043" s="548"/>
      <c r="H1043" s="548"/>
      <c r="I1043" s="548"/>
      <c r="S1043" s="548"/>
      <c r="T1043" s="548"/>
      <c r="U1043" s="548"/>
      <c r="V1043" s="548"/>
      <c r="W1043" s="548"/>
      <c r="X1043" s="548"/>
      <c r="AH1043" s="561" t="str">
        <f>IFERROR(INDEX('Annex 2_Code'!$J$110:$J$122,MATCH('Annex 3_MAFF'!AF1043,'Annex 2_Code'!$G$110:$G$122,0)),"")</f>
        <v/>
      </c>
    </row>
    <row r="1044" spans="1:34">
      <c r="A1044" s="548"/>
      <c r="B1044" s="548"/>
      <c r="C1044" s="548"/>
      <c r="D1044" s="548"/>
      <c r="E1044" s="548"/>
      <c r="G1044" s="548"/>
      <c r="H1044" s="548"/>
      <c r="I1044" s="548"/>
      <c r="S1044" s="548"/>
      <c r="T1044" s="548"/>
      <c r="U1044" s="548"/>
      <c r="V1044" s="548"/>
      <c r="W1044" s="548"/>
      <c r="X1044" s="548"/>
      <c r="AH1044" s="561" t="str">
        <f>IFERROR(INDEX('Annex 2_Code'!$J$110:$J$122,MATCH('Annex 3_MAFF'!AF1044,'Annex 2_Code'!$G$110:$G$122,0)),"")</f>
        <v/>
      </c>
    </row>
    <row r="1045" spans="1:34">
      <c r="A1045" s="548"/>
      <c r="B1045" s="548"/>
      <c r="C1045" s="548"/>
      <c r="D1045" s="548"/>
      <c r="E1045" s="548"/>
      <c r="G1045" s="548"/>
      <c r="H1045" s="548"/>
      <c r="I1045" s="548"/>
      <c r="S1045" s="548"/>
      <c r="T1045" s="548"/>
      <c r="U1045" s="548"/>
      <c r="V1045" s="548"/>
      <c r="W1045" s="548"/>
      <c r="X1045" s="548"/>
      <c r="AH1045" s="561" t="str">
        <f>IFERROR(INDEX('Annex 2_Code'!$J$110:$J$122,MATCH('Annex 3_MAFF'!AF1045,'Annex 2_Code'!$G$110:$G$122,0)),"")</f>
        <v/>
      </c>
    </row>
    <row r="1046" spans="1:34">
      <c r="A1046" s="548"/>
      <c r="B1046" s="548"/>
      <c r="C1046" s="548"/>
      <c r="D1046" s="548"/>
      <c r="E1046" s="548"/>
      <c r="G1046" s="548"/>
      <c r="H1046" s="548"/>
      <c r="I1046" s="548"/>
      <c r="S1046" s="548"/>
      <c r="T1046" s="548"/>
      <c r="U1046" s="548"/>
      <c r="V1046" s="548"/>
      <c r="W1046" s="548"/>
      <c r="X1046" s="548"/>
      <c r="AH1046" s="561" t="str">
        <f>IFERROR(INDEX('Annex 2_Code'!$J$110:$J$122,MATCH('Annex 3_MAFF'!AF1046,'Annex 2_Code'!$G$110:$G$122,0)),"")</f>
        <v/>
      </c>
    </row>
    <row r="1047" spans="1:34">
      <c r="A1047" s="548"/>
      <c r="B1047" s="548"/>
      <c r="C1047" s="548"/>
      <c r="D1047" s="548"/>
      <c r="E1047" s="548"/>
      <c r="G1047" s="548"/>
      <c r="H1047" s="548"/>
      <c r="I1047" s="548"/>
      <c r="S1047" s="548"/>
      <c r="T1047" s="548"/>
      <c r="U1047" s="548"/>
      <c r="V1047" s="548"/>
      <c r="W1047" s="548"/>
      <c r="X1047" s="548"/>
      <c r="AH1047" s="561" t="str">
        <f>IFERROR(INDEX('Annex 2_Code'!$J$110:$J$122,MATCH('Annex 3_MAFF'!AF1047,'Annex 2_Code'!$G$110:$G$122,0)),"")</f>
        <v/>
      </c>
    </row>
    <row r="1048" spans="1:34">
      <c r="A1048" s="548"/>
      <c r="B1048" s="548"/>
      <c r="C1048" s="548"/>
      <c r="D1048" s="548"/>
      <c r="E1048" s="548"/>
      <c r="G1048" s="548"/>
      <c r="H1048" s="548"/>
      <c r="I1048" s="548"/>
      <c r="S1048" s="548"/>
      <c r="T1048" s="548"/>
      <c r="U1048" s="548"/>
      <c r="V1048" s="548"/>
      <c r="W1048" s="548"/>
      <c r="X1048" s="548"/>
      <c r="AH1048" s="561" t="str">
        <f>IFERROR(INDEX('Annex 2_Code'!$J$110:$J$122,MATCH('Annex 3_MAFF'!AF1048,'Annex 2_Code'!$G$110:$G$122,0)),"")</f>
        <v/>
      </c>
    </row>
    <row r="1049" spans="1:34">
      <c r="A1049" s="548"/>
      <c r="B1049" s="548"/>
      <c r="C1049" s="548"/>
      <c r="D1049" s="548"/>
      <c r="E1049" s="548"/>
      <c r="G1049" s="548"/>
      <c r="H1049" s="548"/>
      <c r="I1049" s="548"/>
      <c r="S1049" s="548"/>
      <c r="T1049" s="548"/>
      <c r="U1049" s="548"/>
      <c r="V1049" s="548"/>
      <c r="W1049" s="548"/>
      <c r="X1049" s="548"/>
      <c r="AH1049" s="561" t="str">
        <f>IFERROR(INDEX('Annex 2_Code'!$J$110:$J$122,MATCH('Annex 3_MAFF'!AF1049,'Annex 2_Code'!$G$110:$G$122,0)),"")</f>
        <v/>
      </c>
    </row>
    <row r="1050" spans="1:34">
      <c r="A1050" s="548"/>
      <c r="B1050" s="548"/>
      <c r="C1050" s="548"/>
      <c r="D1050" s="548"/>
      <c r="E1050" s="548"/>
      <c r="G1050" s="548"/>
      <c r="H1050" s="548"/>
      <c r="I1050" s="548"/>
      <c r="S1050" s="548"/>
      <c r="T1050" s="548"/>
      <c r="U1050" s="548"/>
      <c r="V1050" s="548"/>
      <c r="W1050" s="548"/>
      <c r="X1050" s="548"/>
      <c r="AH1050" s="561" t="str">
        <f>IFERROR(INDEX('Annex 2_Code'!$J$110:$J$122,MATCH('Annex 3_MAFF'!AF1050,'Annex 2_Code'!$G$110:$G$122,0)),"")</f>
        <v/>
      </c>
    </row>
    <row r="1051" spans="1:34">
      <c r="A1051" s="548"/>
      <c r="B1051" s="548"/>
      <c r="C1051" s="548"/>
      <c r="D1051" s="548"/>
      <c r="E1051" s="548"/>
      <c r="G1051" s="548"/>
      <c r="H1051" s="548"/>
      <c r="I1051" s="548"/>
      <c r="S1051" s="548"/>
      <c r="T1051" s="548"/>
      <c r="U1051" s="548"/>
      <c r="V1051" s="548"/>
      <c r="W1051" s="548"/>
      <c r="X1051" s="548"/>
      <c r="AH1051" s="561" t="str">
        <f>IFERROR(INDEX('Annex 2_Code'!$J$110:$J$122,MATCH('Annex 3_MAFF'!AF1051,'Annex 2_Code'!$G$110:$G$122,0)),"")</f>
        <v/>
      </c>
    </row>
    <row r="1052" spans="1:34">
      <c r="A1052" s="548"/>
      <c r="B1052" s="548"/>
      <c r="C1052" s="548"/>
      <c r="D1052" s="548"/>
      <c r="E1052" s="548"/>
      <c r="G1052" s="548"/>
      <c r="H1052" s="548"/>
      <c r="I1052" s="548"/>
      <c r="S1052" s="548"/>
      <c r="T1052" s="548"/>
      <c r="U1052" s="548"/>
      <c r="V1052" s="548"/>
      <c r="W1052" s="548"/>
      <c r="X1052" s="548"/>
      <c r="AH1052" s="561" t="str">
        <f>IFERROR(INDEX('Annex 2_Code'!$J$110:$J$122,MATCH('Annex 3_MAFF'!AF1052,'Annex 2_Code'!$G$110:$G$122,0)),"")</f>
        <v/>
      </c>
    </row>
    <row r="1053" spans="1:34">
      <c r="A1053" s="548"/>
      <c r="B1053" s="548"/>
      <c r="C1053" s="548"/>
      <c r="D1053" s="548"/>
      <c r="E1053" s="548"/>
      <c r="G1053" s="548"/>
      <c r="H1053" s="548"/>
      <c r="I1053" s="548"/>
      <c r="S1053" s="548"/>
      <c r="T1053" s="548"/>
      <c r="U1053" s="548"/>
      <c r="V1053" s="548"/>
      <c r="W1053" s="548"/>
      <c r="X1053" s="548"/>
      <c r="AH1053" s="561" t="str">
        <f>IFERROR(INDEX('Annex 2_Code'!$J$110:$J$122,MATCH('Annex 3_MAFF'!AF1053,'Annex 2_Code'!$G$110:$G$122,0)),"")</f>
        <v/>
      </c>
    </row>
    <row r="1054" spans="1:34">
      <c r="A1054" s="548"/>
      <c r="B1054" s="548"/>
      <c r="C1054" s="548"/>
      <c r="D1054" s="548"/>
      <c r="E1054" s="548"/>
      <c r="G1054" s="548"/>
      <c r="H1054" s="548"/>
      <c r="I1054" s="548"/>
      <c r="S1054" s="548"/>
      <c r="T1054" s="548"/>
      <c r="U1054" s="548"/>
      <c r="V1054" s="548"/>
      <c r="W1054" s="548"/>
      <c r="X1054" s="548"/>
      <c r="AH1054" s="561" t="str">
        <f>IFERROR(INDEX('Annex 2_Code'!$J$110:$J$122,MATCH('Annex 3_MAFF'!AF1054,'Annex 2_Code'!$G$110:$G$122,0)),"")</f>
        <v/>
      </c>
    </row>
    <row r="1055" spans="1:34">
      <c r="A1055" s="548"/>
      <c r="B1055" s="548"/>
      <c r="C1055" s="548"/>
      <c r="D1055" s="548"/>
      <c r="E1055" s="548"/>
      <c r="G1055" s="548"/>
      <c r="H1055" s="548"/>
      <c r="I1055" s="548"/>
      <c r="S1055" s="548"/>
      <c r="T1055" s="548"/>
      <c r="U1055" s="548"/>
      <c r="V1055" s="548"/>
      <c r="W1055" s="548"/>
      <c r="X1055" s="548"/>
      <c r="AH1055" s="561" t="str">
        <f>IFERROR(INDEX('Annex 2_Code'!$J$110:$J$122,MATCH('Annex 3_MAFF'!AF1055,'Annex 2_Code'!$G$110:$G$122,0)),"")</f>
        <v/>
      </c>
    </row>
    <row r="1056" spans="1:34">
      <c r="A1056" s="548"/>
      <c r="B1056" s="548"/>
      <c r="C1056" s="548"/>
      <c r="D1056" s="548"/>
      <c r="E1056" s="548"/>
      <c r="G1056" s="548"/>
      <c r="H1056" s="548"/>
      <c r="I1056" s="548"/>
      <c r="S1056" s="548"/>
      <c r="T1056" s="548"/>
      <c r="U1056" s="548"/>
      <c r="V1056" s="548"/>
      <c r="W1056" s="548"/>
      <c r="X1056" s="548"/>
      <c r="AH1056" s="561" t="str">
        <f>IFERROR(INDEX('Annex 2_Code'!$J$110:$J$122,MATCH('Annex 3_MAFF'!AF1056,'Annex 2_Code'!$G$110:$G$122,0)),"")</f>
        <v/>
      </c>
    </row>
    <row r="1057" spans="1:34">
      <c r="A1057" s="548"/>
      <c r="B1057" s="548"/>
      <c r="C1057" s="548"/>
      <c r="D1057" s="548"/>
      <c r="E1057" s="548"/>
      <c r="G1057" s="548"/>
      <c r="H1057" s="548"/>
      <c r="I1057" s="548"/>
      <c r="S1057" s="548"/>
      <c r="T1057" s="548"/>
      <c r="U1057" s="548"/>
      <c r="V1057" s="548"/>
      <c r="W1057" s="548"/>
      <c r="X1057" s="548"/>
      <c r="AH1057" s="561" t="str">
        <f>IFERROR(INDEX('Annex 2_Code'!$J$110:$J$122,MATCH('Annex 3_MAFF'!AF1057,'Annex 2_Code'!$G$110:$G$122,0)),"")</f>
        <v/>
      </c>
    </row>
    <row r="1058" spans="1:34">
      <c r="A1058" s="548"/>
      <c r="B1058" s="548"/>
      <c r="C1058" s="548"/>
      <c r="D1058" s="548"/>
      <c r="E1058" s="548"/>
      <c r="G1058" s="548"/>
      <c r="H1058" s="548"/>
      <c r="I1058" s="548"/>
      <c r="S1058" s="548"/>
      <c r="T1058" s="548"/>
      <c r="U1058" s="548"/>
      <c r="V1058" s="548"/>
      <c r="W1058" s="548"/>
      <c r="X1058" s="548"/>
      <c r="AH1058" s="561" t="str">
        <f>IFERROR(INDEX('Annex 2_Code'!$J$110:$J$122,MATCH('Annex 3_MAFF'!AF1058,'Annex 2_Code'!$G$110:$G$122,0)),"")</f>
        <v/>
      </c>
    </row>
    <row r="1059" spans="1:34">
      <c r="A1059" s="548"/>
      <c r="B1059" s="548"/>
      <c r="C1059" s="548"/>
      <c r="D1059" s="548"/>
      <c r="E1059" s="548"/>
      <c r="G1059" s="548"/>
      <c r="H1059" s="548"/>
      <c r="I1059" s="548"/>
      <c r="S1059" s="548"/>
      <c r="T1059" s="548"/>
      <c r="U1059" s="548"/>
      <c r="V1059" s="548"/>
      <c r="W1059" s="548"/>
      <c r="X1059" s="548"/>
      <c r="AH1059" s="561" t="str">
        <f>IFERROR(INDEX('Annex 2_Code'!$J$110:$J$122,MATCH('Annex 3_MAFF'!AF1059,'Annex 2_Code'!$G$110:$G$122,0)),"")</f>
        <v/>
      </c>
    </row>
    <row r="1060" spans="1:34">
      <c r="A1060" s="548"/>
      <c r="B1060" s="548"/>
      <c r="C1060" s="548"/>
      <c r="D1060" s="548"/>
      <c r="E1060" s="548"/>
      <c r="G1060" s="548"/>
      <c r="H1060" s="548"/>
      <c r="I1060" s="548"/>
      <c r="S1060" s="548"/>
      <c r="T1060" s="548"/>
      <c r="U1060" s="548"/>
      <c r="V1060" s="548"/>
      <c r="W1060" s="548"/>
      <c r="X1060" s="548"/>
      <c r="AH1060" s="561" t="str">
        <f>IFERROR(INDEX('Annex 2_Code'!$J$110:$J$122,MATCH('Annex 3_MAFF'!AF1060,'Annex 2_Code'!$G$110:$G$122,0)),"")</f>
        <v/>
      </c>
    </row>
    <row r="1061" spans="1:34">
      <c r="A1061" s="548"/>
      <c r="B1061" s="548"/>
      <c r="C1061" s="548"/>
      <c r="D1061" s="548"/>
      <c r="E1061" s="548"/>
      <c r="G1061" s="548"/>
      <c r="H1061" s="548"/>
      <c r="I1061" s="548"/>
      <c r="S1061" s="548"/>
      <c r="T1061" s="548"/>
      <c r="U1061" s="548"/>
      <c r="V1061" s="548"/>
      <c r="W1061" s="548"/>
      <c r="X1061" s="548"/>
      <c r="AH1061" s="561" t="str">
        <f>IFERROR(INDEX('Annex 2_Code'!$J$110:$J$122,MATCH('Annex 3_MAFF'!AF1061,'Annex 2_Code'!$G$110:$G$122,0)),"")</f>
        <v/>
      </c>
    </row>
    <row r="1062" spans="1:34">
      <c r="A1062" s="548"/>
      <c r="B1062" s="548"/>
      <c r="C1062" s="548"/>
      <c r="D1062" s="548"/>
      <c r="E1062" s="548"/>
      <c r="G1062" s="548"/>
      <c r="H1062" s="548"/>
      <c r="I1062" s="548"/>
      <c r="S1062" s="548"/>
      <c r="T1062" s="548"/>
      <c r="U1062" s="548"/>
      <c r="V1062" s="548"/>
      <c r="W1062" s="548"/>
      <c r="X1062" s="548"/>
      <c r="AH1062" s="561" t="str">
        <f>IFERROR(INDEX('Annex 2_Code'!$J$110:$J$122,MATCH('Annex 3_MAFF'!AF1062,'Annex 2_Code'!$G$110:$G$122,0)),"")</f>
        <v/>
      </c>
    </row>
    <row r="1063" spans="1:34">
      <c r="A1063" s="548"/>
      <c r="B1063" s="548"/>
      <c r="C1063" s="548"/>
      <c r="D1063" s="548"/>
      <c r="E1063" s="548"/>
      <c r="G1063" s="548"/>
      <c r="H1063" s="548"/>
      <c r="I1063" s="548"/>
      <c r="S1063" s="548"/>
      <c r="T1063" s="548"/>
      <c r="U1063" s="548"/>
      <c r="V1063" s="548"/>
      <c r="W1063" s="548"/>
      <c r="X1063" s="548"/>
      <c r="AH1063" s="561" t="str">
        <f>IFERROR(INDEX('Annex 2_Code'!$J$110:$J$122,MATCH('Annex 3_MAFF'!AF1063,'Annex 2_Code'!$G$110:$G$122,0)),"")</f>
        <v/>
      </c>
    </row>
    <row r="1064" spans="1:34">
      <c r="A1064" s="548"/>
      <c r="B1064" s="548"/>
      <c r="C1064" s="548"/>
      <c r="D1064" s="548"/>
      <c r="E1064" s="548"/>
      <c r="G1064" s="548"/>
      <c r="H1064" s="548"/>
      <c r="I1064" s="548"/>
      <c r="S1064" s="548"/>
      <c r="T1064" s="548"/>
      <c r="U1064" s="548"/>
      <c r="V1064" s="548"/>
      <c r="W1064" s="548"/>
      <c r="X1064" s="548"/>
      <c r="AH1064" s="561" t="str">
        <f>IFERROR(INDEX('Annex 2_Code'!$J$110:$J$122,MATCH('Annex 3_MAFF'!AF1064,'Annex 2_Code'!$G$110:$G$122,0)),"")</f>
        <v/>
      </c>
    </row>
    <row r="1065" spans="1:34">
      <c r="A1065" s="548"/>
      <c r="B1065" s="548"/>
      <c r="C1065" s="548"/>
      <c r="D1065" s="548"/>
      <c r="E1065" s="548"/>
      <c r="G1065" s="548"/>
      <c r="H1065" s="548"/>
      <c r="I1065" s="548"/>
      <c r="S1065" s="548"/>
      <c r="T1065" s="548"/>
      <c r="U1065" s="548"/>
      <c r="V1065" s="548"/>
      <c r="W1065" s="548"/>
      <c r="X1065" s="548"/>
      <c r="AH1065" s="561" t="str">
        <f>IFERROR(INDEX('Annex 2_Code'!$J$110:$J$122,MATCH('Annex 3_MAFF'!AF1065,'Annex 2_Code'!$G$110:$G$122,0)),"")</f>
        <v/>
      </c>
    </row>
    <row r="1066" spans="1:34">
      <c r="A1066" s="548"/>
      <c r="B1066" s="548"/>
      <c r="C1066" s="548"/>
      <c r="D1066" s="548"/>
      <c r="E1066" s="548"/>
      <c r="G1066" s="548"/>
      <c r="H1066" s="548"/>
      <c r="I1066" s="548"/>
      <c r="S1066" s="548"/>
      <c r="T1066" s="548"/>
      <c r="U1066" s="548"/>
      <c r="V1066" s="548"/>
      <c r="W1066" s="548"/>
      <c r="X1066" s="548"/>
      <c r="AH1066" s="561" t="str">
        <f>IFERROR(INDEX('Annex 2_Code'!$J$110:$J$122,MATCH('Annex 3_MAFF'!AF1066,'Annex 2_Code'!$G$110:$G$122,0)),"")</f>
        <v/>
      </c>
    </row>
    <row r="1067" spans="1:34">
      <c r="A1067" s="548"/>
      <c r="B1067" s="548"/>
      <c r="C1067" s="548"/>
      <c r="D1067" s="548"/>
      <c r="E1067" s="548"/>
      <c r="G1067" s="548"/>
      <c r="H1067" s="548"/>
      <c r="I1067" s="548"/>
      <c r="S1067" s="548"/>
      <c r="T1067" s="548"/>
      <c r="U1067" s="548"/>
      <c r="V1067" s="548"/>
      <c r="W1067" s="548"/>
      <c r="X1067" s="548"/>
      <c r="AH1067" s="561" t="str">
        <f>IFERROR(INDEX('Annex 2_Code'!$J$110:$J$122,MATCH('Annex 3_MAFF'!AF1067,'Annex 2_Code'!$G$110:$G$122,0)),"")</f>
        <v/>
      </c>
    </row>
    <row r="1068" spans="1:34">
      <c r="A1068" s="548"/>
      <c r="B1068" s="548"/>
      <c r="C1068" s="548"/>
      <c r="D1068" s="548"/>
      <c r="E1068" s="548"/>
      <c r="G1068" s="548"/>
      <c r="H1068" s="548"/>
      <c r="I1068" s="548"/>
      <c r="S1068" s="548"/>
      <c r="T1068" s="548"/>
      <c r="U1068" s="548"/>
      <c r="V1068" s="548"/>
      <c r="W1068" s="548"/>
      <c r="X1068" s="548"/>
      <c r="AH1068" s="561" t="str">
        <f>IFERROR(INDEX('Annex 2_Code'!$J$110:$J$122,MATCH('Annex 3_MAFF'!AF1068,'Annex 2_Code'!$G$110:$G$122,0)),"")</f>
        <v/>
      </c>
    </row>
    <row r="1069" spans="1:34">
      <c r="A1069" s="548"/>
      <c r="B1069" s="548"/>
      <c r="C1069" s="548"/>
      <c r="D1069" s="548"/>
      <c r="E1069" s="548"/>
      <c r="G1069" s="548"/>
      <c r="H1069" s="548"/>
      <c r="I1069" s="548"/>
      <c r="S1069" s="548"/>
      <c r="T1069" s="548"/>
      <c r="U1069" s="548"/>
      <c r="V1069" s="548"/>
      <c r="W1069" s="548"/>
      <c r="X1069" s="548"/>
      <c r="AH1069" s="561" t="str">
        <f>IFERROR(INDEX('Annex 2_Code'!$J$110:$J$122,MATCH('Annex 3_MAFF'!AF1069,'Annex 2_Code'!$G$110:$G$122,0)),"")</f>
        <v/>
      </c>
    </row>
    <row r="1070" spans="1:34">
      <c r="A1070" s="548"/>
      <c r="B1070" s="548"/>
      <c r="C1070" s="548"/>
      <c r="D1070" s="548"/>
      <c r="E1070" s="548"/>
      <c r="G1070" s="548"/>
      <c r="H1070" s="548"/>
      <c r="I1070" s="548"/>
      <c r="S1070" s="548"/>
      <c r="T1070" s="548"/>
      <c r="U1070" s="548"/>
      <c r="V1070" s="548"/>
      <c r="W1070" s="548"/>
      <c r="X1070" s="548"/>
      <c r="AH1070" s="561" t="str">
        <f>IFERROR(INDEX('Annex 2_Code'!$J$110:$J$122,MATCH('Annex 3_MAFF'!AF1070,'Annex 2_Code'!$G$110:$G$122,0)),"")</f>
        <v/>
      </c>
    </row>
    <row r="1071" spans="1:34">
      <c r="A1071" s="548"/>
      <c r="B1071" s="548"/>
      <c r="C1071" s="548"/>
      <c r="D1071" s="548"/>
      <c r="E1071" s="548"/>
      <c r="G1071" s="548"/>
      <c r="H1071" s="548"/>
      <c r="I1071" s="548"/>
      <c r="S1071" s="548"/>
      <c r="T1071" s="548"/>
      <c r="U1071" s="548"/>
      <c r="V1071" s="548"/>
      <c r="W1071" s="548"/>
      <c r="X1071" s="548"/>
      <c r="AH1071" s="561" t="str">
        <f>IFERROR(INDEX('Annex 2_Code'!$J$110:$J$122,MATCH('Annex 3_MAFF'!AF1071,'Annex 2_Code'!$G$110:$G$122,0)),"")</f>
        <v/>
      </c>
    </row>
    <row r="1072" spans="1:34">
      <c r="A1072" s="548"/>
      <c r="B1072" s="548"/>
      <c r="C1072" s="548"/>
      <c r="D1072" s="548"/>
      <c r="E1072" s="548"/>
      <c r="G1072" s="548"/>
      <c r="H1072" s="548"/>
      <c r="I1072" s="548"/>
      <c r="S1072" s="548"/>
      <c r="T1072" s="548"/>
      <c r="U1072" s="548"/>
      <c r="V1072" s="548"/>
      <c r="W1072" s="548"/>
      <c r="X1072" s="548"/>
      <c r="AH1072" s="561" t="str">
        <f>IFERROR(INDEX('Annex 2_Code'!$J$110:$J$122,MATCH('Annex 3_MAFF'!AF1072,'Annex 2_Code'!$G$110:$G$122,0)),"")</f>
        <v/>
      </c>
    </row>
    <row r="1073" spans="1:34">
      <c r="A1073" s="548"/>
      <c r="B1073" s="548"/>
      <c r="C1073" s="548"/>
      <c r="D1073" s="548"/>
      <c r="E1073" s="548"/>
      <c r="G1073" s="548"/>
      <c r="H1073" s="548"/>
      <c r="I1073" s="548"/>
      <c r="S1073" s="548"/>
      <c r="T1073" s="548"/>
      <c r="U1073" s="548"/>
      <c r="V1073" s="548"/>
      <c r="W1073" s="548"/>
      <c r="X1073" s="548"/>
      <c r="AH1073" s="561" t="str">
        <f>IFERROR(INDEX('Annex 2_Code'!$J$110:$J$122,MATCH('Annex 3_MAFF'!AF1073,'Annex 2_Code'!$G$110:$G$122,0)),"")</f>
        <v/>
      </c>
    </row>
    <row r="1074" spans="1:34">
      <c r="A1074" s="548"/>
      <c r="B1074" s="548"/>
      <c r="C1074" s="548"/>
      <c r="D1074" s="548"/>
      <c r="E1074" s="548"/>
      <c r="G1074" s="548"/>
      <c r="H1074" s="548"/>
      <c r="I1074" s="548"/>
      <c r="S1074" s="548"/>
      <c r="T1074" s="548"/>
      <c r="U1074" s="548"/>
      <c r="V1074" s="548"/>
      <c r="W1074" s="548"/>
      <c r="X1074" s="548"/>
      <c r="AH1074" s="561" t="str">
        <f>IFERROR(INDEX('Annex 2_Code'!$J$110:$J$122,MATCH('Annex 3_MAFF'!AF1074,'Annex 2_Code'!$G$110:$G$122,0)),"")</f>
        <v/>
      </c>
    </row>
    <row r="1075" spans="1:34">
      <c r="A1075" s="548"/>
      <c r="B1075" s="548"/>
      <c r="C1075" s="548"/>
      <c r="D1075" s="548"/>
      <c r="E1075" s="548"/>
      <c r="G1075" s="548"/>
      <c r="H1075" s="548"/>
      <c r="I1075" s="548"/>
      <c r="S1075" s="548"/>
      <c r="T1075" s="548"/>
      <c r="U1075" s="548"/>
      <c r="V1075" s="548"/>
      <c r="W1075" s="548"/>
      <c r="X1075" s="548"/>
      <c r="AH1075" s="561" t="str">
        <f>IFERROR(INDEX('Annex 2_Code'!$J$110:$J$122,MATCH('Annex 3_MAFF'!AF1075,'Annex 2_Code'!$G$110:$G$122,0)),"")</f>
        <v/>
      </c>
    </row>
    <row r="1076" spans="1:34">
      <c r="A1076" s="548"/>
      <c r="B1076" s="548"/>
      <c r="C1076" s="548"/>
      <c r="D1076" s="548"/>
      <c r="E1076" s="548"/>
      <c r="G1076" s="548"/>
      <c r="H1076" s="548"/>
      <c r="I1076" s="548"/>
      <c r="S1076" s="548"/>
      <c r="T1076" s="548"/>
      <c r="U1076" s="548"/>
      <c r="V1076" s="548"/>
      <c r="W1076" s="548"/>
      <c r="X1076" s="548"/>
      <c r="AH1076" s="561" t="str">
        <f>IFERROR(INDEX('Annex 2_Code'!$J$110:$J$122,MATCH('Annex 3_MAFF'!AF1076,'Annex 2_Code'!$G$110:$G$122,0)),"")</f>
        <v/>
      </c>
    </row>
    <row r="1077" spans="1:34">
      <c r="A1077" s="548"/>
      <c r="B1077" s="548"/>
      <c r="C1077" s="548"/>
      <c r="D1077" s="548"/>
      <c r="E1077" s="548"/>
      <c r="G1077" s="548"/>
      <c r="H1077" s="548"/>
      <c r="I1077" s="548"/>
      <c r="S1077" s="548"/>
      <c r="T1077" s="548"/>
      <c r="U1077" s="548"/>
      <c r="V1077" s="548"/>
      <c r="W1077" s="548"/>
      <c r="X1077" s="548"/>
      <c r="AH1077" s="561" t="str">
        <f>IFERROR(INDEX('Annex 2_Code'!$J$110:$J$122,MATCH('Annex 3_MAFF'!AF1077,'Annex 2_Code'!$G$110:$G$122,0)),"")</f>
        <v/>
      </c>
    </row>
    <row r="1078" spans="1:34">
      <c r="A1078" s="548"/>
      <c r="B1078" s="548"/>
      <c r="C1078" s="548"/>
      <c r="D1078" s="548"/>
      <c r="E1078" s="548"/>
      <c r="G1078" s="548"/>
      <c r="H1078" s="548"/>
      <c r="I1078" s="548"/>
      <c r="S1078" s="548"/>
      <c r="T1078" s="548"/>
      <c r="U1078" s="548"/>
      <c r="V1078" s="548"/>
      <c r="W1078" s="548"/>
      <c r="X1078" s="548"/>
      <c r="AH1078" s="561" t="str">
        <f>IFERROR(INDEX('Annex 2_Code'!$J$110:$J$122,MATCH('Annex 3_MAFF'!AF1078,'Annex 2_Code'!$G$110:$G$122,0)),"")</f>
        <v/>
      </c>
    </row>
    <row r="1079" spans="1:34">
      <c r="A1079" s="548"/>
      <c r="B1079" s="548"/>
      <c r="C1079" s="548"/>
      <c r="D1079" s="548"/>
      <c r="E1079" s="548"/>
      <c r="G1079" s="548"/>
      <c r="H1079" s="548"/>
      <c r="I1079" s="548"/>
      <c r="S1079" s="548"/>
      <c r="T1079" s="548"/>
      <c r="U1079" s="548"/>
      <c r="V1079" s="548"/>
      <c r="W1079" s="548"/>
      <c r="X1079" s="548"/>
      <c r="AH1079" s="561" t="str">
        <f>IFERROR(INDEX('Annex 2_Code'!$J$110:$J$122,MATCH('Annex 3_MAFF'!AF1079,'Annex 2_Code'!$G$110:$G$122,0)),"")</f>
        <v/>
      </c>
    </row>
    <row r="1080" spans="1:34">
      <c r="A1080" s="548"/>
      <c r="B1080" s="548"/>
      <c r="C1080" s="548"/>
      <c r="D1080" s="548"/>
      <c r="E1080" s="548"/>
      <c r="G1080" s="548"/>
      <c r="H1080" s="548"/>
      <c r="I1080" s="548"/>
      <c r="S1080" s="548"/>
      <c r="T1080" s="548"/>
      <c r="U1080" s="548"/>
      <c r="V1080" s="548"/>
      <c r="W1080" s="548"/>
      <c r="X1080" s="548"/>
      <c r="AH1080" s="561" t="str">
        <f>IFERROR(INDEX('Annex 2_Code'!$J$110:$J$122,MATCH('Annex 3_MAFF'!AF1080,'Annex 2_Code'!$G$110:$G$122,0)),"")</f>
        <v/>
      </c>
    </row>
    <row r="1081" spans="1:34">
      <c r="A1081" s="548"/>
      <c r="B1081" s="548"/>
      <c r="C1081" s="548"/>
      <c r="D1081" s="548"/>
      <c r="E1081" s="548"/>
      <c r="G1081" s="548"/>
      <c r="H1081" s="548"/>
      <c r="I1081" s="548"/>
      <c r="S1081" s="548"/>
      <c r="T1081" s="548"/>
      <c r="U1081" s="548"/>
      <c r="V1081" s="548"/>
      <c r="W1081" s="548"/>
      <c r="X1081" s="548"/>
      <c r="AH1081" s="561" t="str">
        <f>IFERROR(INDEX('Annex 2_Code'!$J$110:$J$122,MATCH('Annex 3_MAFF'!AF1081,'Annex 2_Code'!$G$110:$G$122,0)),"")</f>
        <v/>
      </c>
    </row>
    <row r="1082" spans="1:34">
      <c r="A1082" s="548"/>
      <c r="B1082" s="548"/>
      <c r="C1082" s="548"/>
      <c r="D1082" s="548"/>
      <c r="E1082" s="548"/>
      <c r="G1082" s="548"/>
      <c r="H1082" s="548"/>
      <c r="I1082" s="548"/>
      <c r="S1082" s="548"/>
      <c r="T1082" s="548"/>
      <c r="U1082" s="548"/>
      <c r="V1082" s="548"/>
      <c r="W1082" s="548"/>
      <c r="X1082" s="548"/>
      <c r="AH1082" s="561" t="str">
        <f>IFERROR(INDEX('Annex 2_Code'!$J$110:$J$122,MATCH('Annex 3_MAFF'!AF1082,'Annex 2_Code'!$G$110:$G$122,0)),"")</f>
        <v/>
      </c>
    </row>
    <row r="1083" spans="1:34">
      <c r="A1083" s="548"/>
      <c r="B1083" s="548"/>
      <c r="C1083" s="548"/>
      <c r="D1083" s="548"/>
      <c r="E1083" s="548"/>
      <c r="G1083" s="548"/>
      <c r="H1083" s="548"/>
      <c r="I1083" s="548"/>
      <c r="S1083" s="548"/>
      <c r="T1083" s="548"/>
      <c r="U1083" s="548"/>
      <c r="V1083" s="548"/>
      <c r="W1083" s="548"/>
      <c r="X1083" s="548"/>
      <c r="AH1083" s="561" t="str">
        <f>IFERROR(INDEX('Annex 2_Code'!$J$110:$J$122,MATCH('Annex 3_MAFF'!AF1083,'Annex 2_Code'!$G$110:$G$122,0)),"")</f>
        <v/>
      </c>
    </row>
    <row r="1084" spans="1:34">
      <c r="A1084" s="548"/>
      <c r="B1084" s="548"/>
      <c r="C1084" s="548"/>
      <c r="D1084" s="548"/>
      <c r="E1084" s="548"/>
      <c r="G1084" s="548"/>
      <c r="H1084" s="548"/>
      <c r="I1084" s="548"/>
      <c r="S1084" s="548"/>
      <c r="T1084" s="548"/>
      <c r="U1084" s="548"/>
      <c r="V1084" s="548"/>
      <c r="W1084" s="548"/>
      <c r="X1084" s="548"/>
      <c r="AH1084" s="561" t="str">
        <f>IFERROR(INDEX('Annex 2_Code'!$J$110:$J$122,MATCH('Annex 3_MAFF'!AF1084,'Annex 2_Code'!$G$110:$G$122,0)),"")</f>
        <v/>
      </c>
    </row>
    <row r="1085" spans="1:34">
      <c r="A1085" s="548"/>
      <c r="B1085" s="548"/>
      <c r="C1085" s="548"/>
      <c r="D1085" s="548"/>
      <c r="E1085" s="548"/>
      <c r="G1085" s="548"/>
      <c r="H1085" s="548"/>
      <c r="I1085" s="548"/>
      <c r="S1085" s="548"/>
      <c r="T1085" s="548"/>
      <c r="U1085" s="548"/>
      <c r="V1085" s="548"/>
      <c r="W1085" s="548"/>
      <c r="X1085" s="548"/>
      <c r="AH1085" s="561" t="str">
        <f>IFERROR(INDEX('Annex 2_Code'!$J$110:$J$122,MATCH('Annex 3_MAFF'!AF1085,'Annex 2_Code'!$G$110:$G$122,0)),"")</f>
        <v/>
      </c>
    </row>
    <row r="1086" spans="1:34">
      <c r="A1086" s="548"/>
      <c r="B1086" s="548"/>
      <c r="C1086" s="548"/>
      <c r="D1086" s="548"/>
      <c r="E1086" s="548"/>
      <c r="G1086" s="548"/>
      <c r="H1086" s="548"/>
      <c r="I1086" s="548"/>
      <c r="S1086" s="548"/>
      <c r="T1086" s="548"/>
      <c r="U1086" s="548"/>
      <c r="V1086" s="548"/>
      <c r="W1086" s="548"/>
      <c r="X1086" s="548"/>
      <c r="AH1086" s="561" t="str">
        <f>IFERROR(INDEX('Annex 2_Code'!$J$110:$J$122,MATCH('Annex 3_MAFF'!AF1086,'Annex 2_Code'!$G$110:$G$122,0)),"")</f>
        <v/>
      </c>
    </row>
    <row r="1087" spans="1:34">
      <c r="A1087" s="548"/>
      <c r="B1087" s="548"/>
      <c r="C1087" s="548"/>
      <c r="D1087" s="548"/>
      <c r="E1087" s="548"/>
      <c r="G1087" s="548"/>
      <c r="H1087" s="548"/>
      <c r="I1087" s="548"/>
      <c r="S1087" s="548"/>
      <c r="T1087" s="548"/>
      <c r="U1087" s="548"/>
      <c r="V1087" s="548"/>
      <c r="W1087" s="548"/>
      <c r="X1087" s="548"/>
      <c r="AH1087" s="561" t="str">
        <f>IFERROR(INDEX('Annex 2_Code'!$J$110:$J$122,MATCH('Annex 3_MAFF'!AF1087,'Annex 2_Code'!$G$110:$G$122,0)),"")</f>
        <v/>
      </c>
    </row>
    <row r="1088" spans="1:34">
      <c r="A1088" s="548"/>
      <c r="B1088" s="548"/>
      <c r="C1088" s="548"/>
      <c r="D1088" s="548"/>
      <c r="E1088" s="548"/>
      <c r="G1088" s="548"/>
      <c r="H1088" s="548"/>
      <c r="I1088" s="548"/>
      <c r="S1088" s="548"/>
      <c r="T1088" s="548"/>
      <c r="U1088" s="548"/>
      <c r="V1088" s="548"/>
      <c r="W1088" s="548"/>
      <c r="X1088" s="548"/>
      <c r="AH1088" s="561" t="str">
        <f>IFERROR(INDEX('Annex 2_Code'!$J$110:$J$122,MATCH('Annex 3_MAFF'!AF1088,'Annex 2_Code'!$G$110:$G$122,0)),"")</f>
        <v/>
      </c>
    </row>
    <row r="1089" spans="1:34">
      <c r="A1089" s="548"/>
      <c r="B1089" s="548"/>
      <c r="C1089" s="548"/>
      <c r="D1089" s="548"/>
      <c r="E1089" s="548"/>
      <c r="G1089" s="548"/>
      <c r="H1089" s="548"/>
      <c r="I1089" s="548"/>
      <c r="S1089" s="548"/>
      <c r="T1089" s="548"/>
      <c r="U1089" s="548"/>
      <c r="V1089" s="548"/>
      <c r="W1089" s="548"/>
      <c r="X1089" s="548"/>
      <c r="AH1089" s="561" t="str">
        <f>IFERROR(INDEX('Annex 2_Code'!$J$110:$J$122,MATCH('Annex 3_MAFF'!AF1089,'Annex 2_Code'!$G$110:$G$122,0)),"")</f>
        <v/>
      </c>
    </row>
    <row r="1090" spans="1:34">
      <c r="A1090" s="548"/>
      <c r="B1090" s="548"/>
      <c r="C1090" s="548"/>
      <c r="D1090" s="548"/>
      <c r="E1090" s="548"/>
      <c r="G1090" s="548"/>
      <c r="H1090" s="548"/>
      <c r="I1090" s="548"/>
      <c r="S1090" s="548"/>
      <c r="T1090" s="548"/>
      <c r="U1090" s="548"/>
      <c r="V1090" s="548"/>
      <c r="W1090" s="548"/>
      <c r="X1090" s="548"/>
      <c r="AH1090" s="561" t="str">
        <f>IFERROR(INDEX('Annex 2_Code'!$J$110:$J$122,MATCH('Annex 3_MAFF'!AF1090,'Annex 2_Code'!$G$110:$G$122,0)),"")</f>
        <v/>
      </c>
    </row>
    <row r="1091" spans="1:34">
      <c r="A1091" s="548"/>
      <c r="B1091" s="548"/>
      <c r="C1091" s="548"/>
      <c r="D1091" s="548"/>
      <c r="E1091" s="548"/>
      <c r="G1091" s="548"/>
      <c r="H1091" s="548"/>
      <c r="I1091" s="548"/>
      <c r="S1091" s="548"/>
      <c r="T1091" s="548"/>
      <c r="U1091" s="548"/>
      <c r="V1091" s="548"/>
      <c r="W1091" s="548"/>
      <c r="X1091" s="548"/>
      <c r="AH1091" s="561" t="str">
        <f>IFERROR(INDEX('Annex 2_Code'!$J$110:$J$122,MATCH('Annex 3_MAFF'!AF1091,'Annex 2_Code'!$G$110:$G$122,0)),"")</f>
        <v/>
      </c>
    </row>
    <row r="1092" spans="1:34">
      <c r="A1092" s="548"/>
      <c r="B1092" s="548"/>
      <c r="C1092" s="548"/>
      <c r="D1092" s="548"/>
      <c r="E1092" s="548"/>
      <c r="G1092" s="548"/>
      <c r="H1092" s="548"/>
      <c r="I1092" s="548"/>
      <c r="S1092" s="548"/>
      <c r="T1092" s="548"/>
      <c r="U1092" s="548"/>
      <c r="V1092" s="548"/>
      <c r="W1092" s="548"/>
      <c r="X1092" s="548"/>
      <c r="AH1092" s="561" t="str">
        <f>IFERROR(INDEX('Annex 2_Code'!$J$110:$J$122,MATCH('Annex 3_MAFF'!AF1092,'Annex 2_Code'!$G$110:$G$122,0)),"")</f>
        <v/>
      </c>
    </row>
    <row r="1093" spans="1:34">
      <c r="A1093" s="548"/>
      <c r="B1093" s="548"/>
      <c r="C1093" s="548"/>
      <c r="D1093" s="548"/>
      <c r="E1093" s="548"/>
      <c r="G1093" s="548"/>
      <c r="H1093" s="548"/>
      <c r="I1093" s="548"/>
      <c r="S1093" s="548"/>
      <c r="T1093" s="548"/>
      <c r="U1093" s="548"/>
      <c r="V1093" s="548"/>
      <c r="W1093" s="548"/>
      <c r="X1093" s="548"/>
      <c r="AH1093" s="561" t="str">
        <f>IFERROR(INDEX('Annex 2_Code'!$J$110:$J$122,MATCH('Annex 3_MAFF'!AF1093,'Annex 2_Code'!$G$110:$G$122,0)),"")</f>
        <v/>
      </c>
    </row>
    <row r="1094" spans="1:34">
      <c r="A1094" s="548"/>
      <c r="B1094" s="548"/>
      <c r="C1094" s="548"/>
      <c r="D1094" s="548"/>
      <c r="E1094" s="548"/>
      <c r="G1094" s="548"/>
      <c r="H1094" s="548"/>
      <c r="I1094" s="548"/>
      <c r="S1094" s="548"/>
      <c r="T1094" s="548"/>
      <c r="U1094" s="548"/>
      <c r="V1094" s="548"/>
      <c r="W1094" s="548"/>
      <c r="X1094" s="548"/>
      <c r="AH1094" s="561" t="str">
        <f>IFERROR(INDEX('Annex 2_Code'!$J$110:$J$122,MATCH('Annex 3_MAFF'!AF1094,'Annex 2_Code'!$G$110:$G$122,0)),"")</f>
        <v/>
      </c>
    </row>
    <row r="1095" spans="1:34">
      <c r="A1095" s="548"/>
      <c r="B1095" s="548"/>
      <c r="C1095" s="548"/>
      <c r="D1095" s="548"/>
      <c r="E1095" s="548"/>
      <c r="G1095" s="548"/>
      <c r="H1095" s="548"/>
      <c r="I1095" s="548"/>
      <c r="S1095" s="548"/>
      <c r="T1095" s="548"/>
      <c r="U1095" s="548"/>
      <c r="V1095" s="548"/>
      <c r="W1095" s="548"/>
      <c r="X1095" s="548"/>
      <c r="AH1095" s="561" t="str">
        <f>IFERROR(INDEX('Annex 2_Code'!$J$110:$J$122,MATCH('Annex 3_MAFF'!AF1095,'Annex 2_Code'!$G$110:$G$122,0)),"")</f>
        <v/>
      </c>
    </row>
    <row r="1096" spans="1:34">
      <c r="A1096" s="548"/>
      <c r="B1096" s="548"/>
      <c r="C1096" s="548"/>
      <c r="D1096" s="548"/>
      <c r="E1096" s="548"/>
      <c r="G1096" s="548"/>
      <c r="H1096" s="548"/>
      <c r="I1096" s="548"/>
      <c r="S1096" s="548"/>
      <c r="T1096" s="548"/>
      <c r="U1096" s="548"/>
      <c r="V1096" s="548"/>
      <c r="W1096" s="548"/>
      <c r="X1096" s="548"/>
      <c r="AH1096" s="561" t="str">
        <f>IFERROR(INDEX('Annex 2_Code'!$J$110:$J$122,MATCH('Annex 3_MAFF'!AF1096,'Annex 2_Code'!$G$110:$G$122,0)),"")</f>
        <v/>
      </c>
    </row>
    <row r="1097" spans="1:34">
      <c r="A1097" s="548"/>
      <c r="B1097" s="548"/>
      <c r="C1097" s="548"/>
      <c r="D1097" s="548"/>
      <c r="E1097" s="548"/>
      <c r="G1097" s="548"/>
      <c r="H1097" s="548"/>
      <c r="I1097" s="548"/>
      <c r="S1097" s="548"/>
      <c r="T1097" s="548"/>
      <c r="U1097" s="548"/>
      <c r="V1097" s="548"/>
      <c r="W1097" s="548"/>
      <c r="X1097" s="548"/>
      <c r="AH1097" s="561" t="str">
        <f>IFERROR(INDEX('Annex 2_Code'!$J$110:$J$122,MATCH('Annex 3_MAFF'!AF1097,'Annex 2_Code'!$G$110:$G$122,0)),"")</f>
        <v/>
      </c>
    </row>
    <row r="1098" spans="1:34">
      <c r="A1098" s="548"/>
      <c r="B1098" s="548"/>
      <c r="C1098" s="548"/>
      <c r="D1098" s="548"/>
      <c r="E1098" s="548"/>
      <c r="G1098" s="548"/>
      <c r="H1098" s="548"/>
      <c r="I1098" s="548"/>
      <c r="S1098" s="548"/>
      <c r="T1098" s="548"/>
      <c r="U1098" s="548"/>
      <c r="V1098" s="548"/>
      <c r="W1098" s="548"/>
      <c r="X1098" s="548"/>
      <c r="AH1098" s="561" t="str">
        <f>IFERROR(INDEX('Annex 2_Code'!$J$110:$J$122,MATCH('Annex 3_MAFF'!AF1098,'Annex 2_Code'!$G$110:$G$122,0)),"")</f>
        <v/>
      </c>
    </row>
    <row r="1099" spans="1:34">
      <c r="A1099" s="548"/>
      <c r="B1099" s="548"/>
      <c r="C1099" s="548"/>
      <c r="D1099" s="548"/>
      <c r="E1099" s="548"/>
      <c r="G1099" s="548"/>
      <c r="H1099" s="548"/>
      <c r="I1099" s="548"/>
      <c r="S1099" s="548"/>
      <c r="T1099" s="548"/>
      <c r="U1099" s="548"/>
      <c r="V1099" s="548"/>
      <c r="W1099" s="548"/>
      <c r="X1099" s="548"/>
      <c r="AH1099" s="561" t="str">
        <f>IFERROR(INDEX('Annex 2_Code'!$J$110:$J$122,MATCH('Annex 3_MAFF'!AF1099,'Annex 2_Code'!$G$110:$G$122,0)),"")</f>
        <v/>
      </c>
    </row>
    <row r="1100" spans="1:34">
      <c r="A1100" s="548"/>
      <c r="B1100" s="548"/>
      <c r="C1100" s="548"/>
      <c r="D1100" s="548"/>
      <c r="E1100" s="548"/>
      <c r="G1100" s="548"/>
      <c r="H1100" s="548"/>
      <c r="I1100" s="548"/>
      <c r="S1100" s="548"/>
      <c r="T1100" s="548"/>
      <c r="U1100" s="548"/>
      <c r="V1100" s="548"/>
      <c r="W1100" s="548"/>
      <c r="X1100" s="548"/>
      <c r="AH1100" s="561" t="str">
        <f>IFERROR(INDEX('Annex 2_Code'!$J$110:$J$122,MATCH('Annex 3_MAFF'!AF1100,'Annex 2_Code'!$G$110:$G$122,0)),"")</f>
        <v/>
      </c>
    </row>
    <row r="1101" spans="1:34">
      <c r="A1101" s="548"/>
      <c r="B1101" s="548"/>
      <c r="C1101" s="548"/>
      <c r="D1101" s="548"/>
      <c r="E1101" s="548"/>
      <c r="G1101" s="548"/>
      <c r="H1101" s="548"/>
      <c r="I1101" s="548"/>
      <c r="S1101" s="548"/>
      <c r="T1101" s="548"/>
      <c r="U1101" s="548"/>
      <c r="V1101" s="548"/>
      <c r="W1101" s="548"/>
      <c r="X1101" s="548"/>
      <c r="AH1101" s="561" t="str">
        <f>IFERROR(INDEX('Annex 2_Code'!$J$110:$J$122,MATCH('Annex 3_MAFF'!AF1101,'Annex 2_Code'!$G$110:$G$122,0)),"")</f>
        <v/>
      </c>
    </row>
    <row r="1102" spans="1:34">
      <c r="A1102" s="548"/>
      <c r="B1102" s="548"/>
      <c r="C1102" s="548"/>
      <c r="D1102" s="548"/>
      <c r="E1102" s="548"/>
      <c r="G1102" s="548"/>
      <c r="H1102" s="548"/>
      <c r="I1102" s="548"/>
      <c r="S1102" s="548"/>
      <c r="T1102" s="548"/>
      <c r="U1102" s="548"/>
      <c r="V1102" s="548"/>
      <c r="W1102" s="548"/>
      <c r="X1102" s="548"/>
      <c r="AH1102" s="561" t="str">
        <f>IFERROR(INDEX('Annex 2_Code'!$J$110:$J$122,MATCH('Annex 3_MAFF'!AF1102,'Annex 2_Code'!$G$110:$G$122,0)),"")</f>
        <v/>
      </c>
    </row>
    <row r="1103" spans="1:34">
      <c r="A1103" s="548"/>
      <c r="B1103" s="548"/>
      <c r="C1103" s="548"/>
      <c r="D1103" s="548"/>
      <c r="E1103" s="548"/>
      <c r="G1103" s="548"/>
      <c r="H1103" s="548"/>
      <c r="I1103" s="548"/>
      <c r="S1103" s="548"/>
      <c r="T1103" s="548"/>
      <c r="U1103" s="548"/>
      <c r="V1103" s="548"/>
      <c r="W1103" s="548"/>
      <c r="X1103" s="548"/>
      <c r="AH1103" s="561" t="str">
        <f>IFERROR(INDEX('Annex 2_Code'!$J$110:$J$122,MATCH('Annex 3_MAFF'!AF1103,'Annex 2_Code'!$G$110:$G$122,0)),"")</f>
        <v/>
      </c>
    </row>
    <row r="1104" spans="1:34">
      <c r="A1104" s="548"/>
      <c r="B1104" s="548"/>
      <c r="C1104" s="548"/>
      <c r="D1104" s="548"/>
      <c r="E1104" s="548"/>
      <c r="G1104" s="548"/>
      <c r="H1104" s="548"/>
      <c r="I1104" s="548"/>
      <c r="S1104" s="548"/>
      <c r="T1104" s="548"/>
      <c r="U1104" s="548"/>
      <c r="V1104" s="548"/>
      <c r="W1104" s="548"/>
      <c r="X1104" s="548"/>
      <c r="AH1104" s="561" t="str">
        <f>IFERROR(INDEX('Annex 2_Code'!$J$110:$J$122,MATCH('Annex 3_MAFF'!AF1104,'Annex 2_Code'!$G$110:$G$122,0)),"")</f>
        <v/>
      </c>
    </row>
    <row r="1105" spans="1:34">
      <c r="A1105" s="548"/>
      <c r="B1105" s="548"/>
      <c r="C1105" s="548"/>
      <c r="D1105" s="548"/>
      <c r="E1105" s="548"/>
      <c r="G1105" s="548"/>
      <c r="H1105" s="548"/>
      <c r="I1105" s="548"/>
      <c r="S1105" s="548"/>
      <c r="T1105" s="548"/>
      <c r="U1105" s="548"/>
      <c r="V1105" s="548"/>
      <c r="W1105" s="548"/>
      <c r="X1105" s="548"/>
      <c r="AH1105" s="561" t="str">
        <f>IFERROR(INDEX('Annex 2_Code'!$J$110:$J$122,MATCH('Annex 3_MAFF'!AF1105,'Annex 2_Code'!$G$110:$G$122,0)),"")</f>
        <v/>
      </c>
    </row>
    <row r="1106" spans="1:34">
      <c r="A1106" s="548"/>
      <c r="B1106" s="548"/>
      <c r="C1106" s="548"/>
      <c r="D1106" s="548"/>
      <c r="E1106" s="548"/>
      <c r="G1106" s="548"/>
      <c r="H1106" s="548"/>
      <c r="I1106" s="548"/>
      <c r="S1106" s="548"/>
      <c r="T1106" s="548"/>
      <c r="U1106" s="548"/>
      <c r="V1106" s="548"/>
      <c r="W1106" s="548"/>
      <c r="X1106" s="548"/>
      <c r="AH1106" s="561" t="str">
        <f>IFERROR(INDEX('Annex 2_Code'!$J$110:$J$122,MATCH('Annex 3_MAFF'!AF1106,'Annex 2_Code'!$G$110:$G$122,0)),"")</f>
        <v/>
      </c>
    </row>
    <row r="1107" spans="1:34">
      <c r="A1107" s="548"/>
      <c r="B1107" s="548"/>
      <c r="C1107" s="548"/>
      <c r="D1107" s="548"/>
      <c r="E1107" s="548"/>
      <c r="G1107" s="548"/>
      <c r="H1107" s="548"/>
      <c r="I1107" s="548"/>
      <c r="S1107" s="548"/>
      <c r="T1107" s="548"/>
      <c r="U1107" s="548"/>
      <c r="V1107" s="548"/>
      <c r="W1107" s="548"/>
      <c r="X1107" s="548"/>
      <c r="AH1107" s="561" t="str">
        <f>IFERROR(INDEX('Annex 2_Code'!$J$110:$J$122,MATCH('Annex 3_MAFF'!AF1107,'Annex 2_Code'!$G$110:$G$122,0)),"")</f>
        <v/>
      </c>
    </row>
    <row r="1108" spans="1:34">
      <c r="A1108" s="548"/>
      <c r="B1108" s="548"/>
      <c r="C1108" s="548"/>
      <c r="D1108" s="548"/>
      <c r="E1108" s="548"/>
      <c r="G1108" s="548"/>
      <c r="H1108" s="548"/>
      <c r="I1108" s="548"/>
      <c r="S1108" s="548"/>
      <c r="T1108" s="548"/>
      <c r="U1108" s="548"/>
      <c r="V1108" s="548"/>
      <c r="W1108" s="548"/>
      <c r="X1108" s="548"/>
      <c r="AH1108" s="561" t="str">
        <f>IFERROR(INDEX('Annex 2_Code'!$J$110:$J$122,MATCH('Annex 3_MAFF'!AF1108,'Annex 2_Code'!$G$110:$G$122,0)),"")</f>
        <v/>
      </c>
    </row>
    <row r="1109" spans="1:34">
      <c r="A1109" s="548"/>
      <c r="B1109" s="548"/>
      <c r="C1109" s="548"/>
      <c r="D1109" s="548"/>
      <c r="E1109" s="548"/>
      <c r="G1109" s="548"/>
      <c r="H1109" s="548"/>
      <c r="I1109" s="548"/>
      <c r="S1109" s="548"/>
      <c r="T1109" s="548"/>
      <c r="U1109" s="548"/>
      <c r="V1109" s="548"/>
      <c r="W1109" s="548"/>
      <c r="X1109" s="548"/>
      <c r="AH1109" s="561" t="str">
        <f>IFERROR(INDEX('Annex 2_Code'!$J$110:$J$122,MATCH('Annex 3_MAFF'!AF1109,'Annex 2_Code'!$G$110:$G$122,0)),"")</f>
        <v/>
      </c>
    </row>
    <row r="1110" spans="1:34">
      <c r="A1110" s="548"/>
      <c r="B1110" s="548"/>
      <c r="C1110" s="548"/>
      <c r="D1110" s="548"/>
      <c r="E1110" s="548"/>
      <c r="G1110" s="548"/>
      <c r="H1110" s="548"/>
      <c r="I1110" s="548"/>
      <c r="S1110" s="548"/>
      <c r="T1110" s="548"/>
      <c r="U1110" s="548"/>
      <c r="V1110" s="548"/>
      <c r="W1110" s="548"/>
      <c r="X1110" s="548"/>
      <c r="AH1110" s="561" t="str">
        <f>IFERROR(INDEX('Annex 2_Code'!$J$110:$J$122,MATCH('Annex 3_MAFF'!AF1110,'Annex 2_Code'!$G$110:$G$122,0)),"")</f>
        <v/>
      </c>
    </row>
    <row r="1111" spans="1:34">
      <c r="A1111" s="548"/>
      <c r="B1111" s="548"/>
      <c r="C1111" s="548"/>
      <c r="D1111" s="548"/>
      <c r="E1111" s="548"/>
      <c r="G1111" s="548"/>
      <c r="H1111" s="548"/>
      <c r="I1111" s="548"/>
      <c r="S1111" s="548"/>
      <c r="T1111" s="548"/>
      <c r="U1111" s="548"/>
      <c r="V1111" s="548"/>
      <c r="W1111" s="548"/>
      <c r="X1111" s="548"/>
      <c r="AH1111" s="561" t="str">
        <f>IFERROR(INDEX('Annex 2_Code'!$J$110:$J$122,MATCH('Annex 3_MAFF'!AF1111,'Annex 2_Code'!$G$110:$G$122,0)),"")</f>
        <v/>
      </c>
    </row>
    <row r="1112" spans="1:34">
      <c r="A1112" s="548"/>
      <c r="B1112" s="548"/>
      <c r="C1112" s="548"/>
      <c r="D1112" s="548"/>
      <c r="E1112" s="548"/>
      <c r="G1112" s="548"/>
      <c r="H1112" s="548"/>
      <c r="I1112" s="548"/>
      <c r="S1112" s="548"/>
      <c r="T1112" s="548"/>
      <c r="U1112" s="548"/>
      <c r="V1112" s="548"/>
      <c r="W1112" s="548"/>
      <c r="X1112" s="548"/>
      <c r="AH1112" s="561" t="str">
        <f>IFERROR(INDEX('Annex 2_Code'!$J$110:$J$122,MATCH('Annex 3_MAFF'!AF1112,'Annex 2_Code'!$G$110:$G$122,0)),"")</f>
        <v/>
      </c>
    </row>
    <row r="1113" spans="1:34">
      <c r="A1113" s="548"/>
      <c r="B1113" s="548"/>
      <c r="C1113" s="548"/>
      <c r="D1113" s="548"/>
      <c r="E1113" s="548"/>
      <c r="G1113" s="548"/>
      <c r="H1113" s="548"/>
      <c r="I1113" s="548"/>
      <c r="S1113" s="548"/>
      <c r="T1113" s="548"/>
      <c r="U1113" s="548"/>
      <c r="V1113" s="548"/>
      <c r="W1113" s="548"/>
      <c r="X1113" s="548"/>
      <c r="AH1113" s="561" t="str">
        <f>IFERROR(INDEX('Annex 2_Code'!$J$110:$J$122,MATCH('Annex 3_MAFF'!AF1113,'Annex 2_Code'!$G$110:$G$122,0)),"")</f>
        <v/>
      </c>
    </row>
    <row r="1114" spans="1:34">
      <c r="A1114" s="548"/>
      <c r="B1114" s="548"/>
      <c r="C1114" s="548"/>
      <c r="D1114" s="548"/>
      <c r="E1114" s="548"/>
      <c r="G1114" s="548"/>
      <c r="H1114" s="548"/>
      <c r="I1114" s="548"/>
      <c r="S1114" s="548"/>
      <c r="T1114" s="548"/>
      <c r="U1114" s="548"/>
      <c r="V1114" s="548"/>
      <c r="W1114" s="548"/>
      <c r="X1114" s="548"/>
      <c r="AH1114" s="561" t="str">
        <f>IFERROR(INDEX('Annex 2_Code'!$J$110:$J$122,MATCH('Annex 3_MAFF'!AF1114,'Annex 2_Code'!$G$110:$G$122,0)),"")</f>
        <v/>
      </c>
    </row>
    <row r="1115" spans="1:34">
      <c r="A1115" s="548"/>
      <c r="B1115" s="548"/>
      <c r="C1115" s="548"/>
      <c r="D1115" s="548"/>
      <c r="E1115" s="548"/>
      <c r="G1115" s="548"/>
      <c r="H1115" s="548"/>
      <c r="I1115" s="548"/>
      <c r="S1115" s="548"/>
      <c r="T1115" s="548"/>
      <c r="U1115" s="548"/>
      <c r="V1115" s="548"/>
      <c r="W1115" s="548"/>
      <c r="X1115" s="548"/>
      <c r="AH1115" s="561" t="str">
        <f>IFERROR(INDEX('Annex 2_Code'!$J$110:$J$122,MATCH('Annex 3_MAFF'!AF1115,'Annex 2_Code'!$G$110:$G$122,0)),"")</f>
        <v/>
      </c>
    </row>
    <row r="1116" spans="1:34">
      <c r="A1116" s="548"/>
      <c r="B1116" s="548"/>
      <c r="C1116" s="548"/>
      <c r="D1116" s="548"/>
      <c r="E1116" s="548"/>
      <c r="G1116" s="548"/>
      <c r="H1116" s="548"/>
      <c r="I1116" s="548"/>
      <c r="S1116" s="548"/>
      <c r="T1116" s="548"/>
      <c r="U1116" s="548"/>
      <c r="V1116" s="548"/>
      <c r="W1116" s="548"/>
      <c r="X1116" s="548"/>
      <c r="AH1116" s="561" t="str">
        <f>IFERROR(INDEX('Annex 2_Code'!$J$110:$J$122,MATCH('Annex 3_MAFF'!AF1116,'Annex 2_Code'!$G$110:$G$122,0)),"")</f>
        <v/>
      </c>
    </row>
    <row r="1117" spans="1:34">
      <c r="A1117" s="548"/>
      <c r="B1117" s="548"/>
      <c r="C1117" s="548"/>
      <c r="D1117" s="548"/>
      <c r="E1117" s="548"/>
      <c r="G1117" s="548"/>
      <c r="H1117" s="548"/>
      <c r="I1117" s="548"/>
      <c r="S1117" s="548"/>
      <c r="T1117" s="548"/>
      <c r="U1117" s="548"/>
      <c r="V1117" s="548"/>
      <c r="W1117" s="548"/>
      <c r="X1117" s="548"/>
      <c r="AH1117" s="561" t="str">
        <f>IFERROR(INDEX('Annex 2_Code'!$J$110:$J$122,MATCH('Annex 3_MAFF'!AF1117,'Annex 2_Code'!$G$110:$G$122,0)),"")</f>
        <v/>
      </c>
    </row>
    <row r="1118" spans="1:34">
      <c r="A1118" s="548"/>
      <c r="B1118" s="548"/>
      <c r="C1118" s="548"/>
      <c r="D1118" s="548"/>
      <c r="E1118" s="548"/>
      <c r="G1118" s="548"/>
      <c r="H1118" s="548"/>
      <c r="I1118" s="548"/>
      <c r="S1118" s="548"/>
      <c r="T1118" s="548"/>
      <c r="U1118" s="548"/>
      <c r="V1118" s="548"/>
      <c r="W1118" s="548"/>
      <c r="X1118" s="548"/>
      <c r="AH1118" s="561" t="str">
        <f>IFERROR(INDEX('Annex 2_Code'!$J$110:$J$122,MATCH('Annex 3_MAFF'!AF1118,'Annex 2_Code'!$G$110:$G$122,0)),"")</f>
        <v/>
      </c>
    </row>
    <row r="1119" spans="1:34">
      <c r="A1119" s="548"/>
      <c r="B1119" s="548"/>
      <c r="C1119" s="548"/>
      <c r="D1119" s="548"/>
      <c r="E1119" s="548"/>
      <c r="G1119" s="548"/>
      <c r="H1119" s="548"/>
      <c r="I1119" s="548"/>
      <c r="S1119" s="548"/>
      <c r="T1119" s="548"/>
      <c r="U1119" s="548"/>
      <c r="V1119" s="548"/>
      <c r="W1119" s="548"/>
      <c r="X1119" s="548"/>
      <c r="AH1119" s="561" t="str">
        <f>IFERROR(INDEX('Annex 2_Code'!$J$110:$J$122,MATCH('Annex 3_MAFF'!AF1119,'Annex 2_Code'!$G$110:$G$122,0)),"")</f>
        <v/>
      </c>
    </row>
    <row r="1120" spans="1:34">
      <c r="A1120" s="548"/>
      <c r="B1120" s="548"/>
      <c r="C1120" s="548"/>
      <c r="D1120" s="548"/>
      <c r="E1120" s="548"/>
      <c r="G1120" s="548"/>
      <c r="H1120" s="548"/>
      <c r="I1120" s="548"/>
      <c r="S1120" s="548"/>
      <c r="T1120" s="548"/>
      <c r="U1120" s="548"/>
      <c r="V1120" s="548"/>
      <c r="W1120" s="548"/>
      <c r="X1120" s="548"/>
      <c r="AH1120" s="561" t="str">
        <f>IFERROR(INDEX('Annex 2_Code'!$J$110:$J$122,MATCH('Annex 3_MAFF'!AF1120,'Annex 2_Code'!$G$110:$G$122,0)),"")</f>
        <v/>
      </c>
    </row>
    <row r="1121" spans="1:34">
      <c r="A1121" s="548"/>
      <c r="B1121" s="548"/>
      <c r="C1121" s="548"/>
      <c r="D1121" s="548"/>
      <c r="E1121" s="548"/>
      <c r="G1121" s="548"/>
      <c r="H1121" s="548"/>
      <c r="I1121" s="548"/>
      <c r="S1121" s="548"/>
      <c r="T1121" s="548"/>
      <c r="U1121" s="548"/>
      <c r="V1121" s="548"/>
      <c r="W1121" s="548"/>
      <c r="X1121" s="548"/>
      <c r="AH1121" s="561" t="str">
        <f>IFERROR(INDEX('Annex 2_Code'!$J$110:$J$122,MATCH('Annex 3_MAFF'!AF1121,'Annex 2_Code'!$G$110:$G$122,0)),"")</f>
        <v/>
      </c>
    </row>
    <row r="1122" spans="1:34">
      <c r="A1122" s="548"/>
      <c r="B1122" s="548"/>
      <c r="C1122" s="548"/>
      <c r="D1122" s="548"/>
      <c r="E1122" s="548"/>
      <c r="G1122" s="548"/>
      <c r="H1122" s="548"/>
      <c r="I1122" s="548"/>
      <c r="S1122" s="548"/>
      <c r="T1122" s="548"/>
      <c r="U1122" s="548"/>
      <c r="V1122" s="548"/>
      <c r="W1122" s="548"/>
      <c r="X1122" s="548"/>
      <c r="AH1122" s="561" t="str">
        <f>IFERROR(INDEX('Annex 2_Code'!$J$110:$J$122,MATCH('Annex 3_MAFF'!AF1122,'Annex 2_Code'!$G$110:$G$122,0)),"")</f>
        <v/>
      </c>
    </row>
    <row r="1123" spans="1:34">
      <c r="A1123" s="548"/>
      <c r="B1123" s="548"/>
      <c r="C1123" s="548"/>
      <c r="D1123" s="548"/>
      <c r="E1123" s="548"/>
      <c r="G1123" s="548"/>
      <c r="H1123" s="548"/>
      <c r="I1123" s="548"/>
      <c r="S1123" s="548"/>
      <c r="T1123" s="548"/>
      <c r="U1123" s="548"/>
      <c r="V1123" s="548"/>
      <c r="W1123" s="548"/>
      <c r="X1123" s="548"/>
      <c r="AH1123" s="561" t="str">
        <f>IFERROR(INDEX('Annex 2_Code'!$J$110:$J$122,MATCH('Annex 3_MAFF'!AF1123,'Annex 2_Code'!$G$110:$G$122,0)),"")</f>
        <v/>
      </c>
    </row>
    <row r="1124" spans="1:34">
      <c r="A1124" s="548"/>
      <c r="B1124" s="548"/>
      <c r="C1124" s="548"/>
      <c r="D1124" s="548"/>
      <c r="E1124" s="548"/>
      <c r="G1124" s="548"/>
      <c r="H1124" s="548"/>
      <c r="I1124" s="548"/>
      <c r="S1124" s="548"/>
      <c r="T1124" s="548"/>
      <c r="U1124" s="548"/>
      <c r="V1124" s="548"/>
      <c r="W1124" s="548"/>
      <c r="X1124" s="548"/>
      <c r="AH1124" s="561" t="str">
        <f>IFERROR(INDEX('Annex 2_Code'!$J$110:$J$122,MATCH('Annex 3_MAFF'!AF1124,'Annex 2_Code'!$G$110:$G$122,0)),"")</f>
        <v/>
      </c>
    </row>
    <row r="1125" spans="1:34">
      <c r="A1125" s="548"/>
      <c r="B1125" s="548"/>
      <c r="C1125" s="548"/>
      <c r="D1125" s="548"/>
      <c r="E1125" s="548"/>
      <c r="G1125" s="548"/>
      <c r="H1125" s="548"/>
      <c r="I1125" s="548"/>
      <c r="S1125" s="548"/>
      <c r="T1125" s="548"/>
      <c r="U1125" s="548"/>
      <c r="V1125" s="548"/>
      <c r="W1125" s="548"/>
      <c r="X1125" s="548"/>
      <c r="AH1125" s="561" t="str">
        <f>IFERROR(INDEX('Annex 2_Code'!$J$110:$J$122,MATCH('Annex 3_MAFF'!AF1125,'Annex 2_Code'!$G$110:$G$122,0)),"")</f>
        <v/>
      </c>
    </row>
    <row r="1126" spans="1:34">
      <c r="A1126" s="548"/>
      <c r="B1126" s="548"/>
      <c r="C1126" s="548"/>
      <c r="D1126" s="548"/>
      <c r="E1126" s="548"/>
      <c r="G1126" s="548"/>
      <c r="H1126" s="548"/>
      <c r="I1126" s="548"/>
      <c r="S1126" s="548"/>
      <c r="T1126" s="548"/>
      <c r="U1126" s="548"/>
      <c r="V1126" s="548"/>
      <c r="W1126" s="548"/>
      <c r="X1126" s="548"/>
      <c r="AH1126" s="561" t="str">
        <f>IFERROR(INDEX('Annex 2_Code'!$J$110:$J$122,MATCH('Annex 3_MAFF'!AF1126,'Annex 2_Code'!$G$110:$G$122,0)),"")</f>
        <v/>
      </c>
    </row>
    <row r="1127" spans="1:34">
      <c r="A1127" s="548"/>
      <c r="B1127" s="548"/>
      <c r="C1127" s="548"/>
      <c r="D1127" s="548"/>
      <c r="E1127" s="548"/>
      <c r="G1127" s="548"/>
      <c r="H1127" s="548"/>
      <c r="I1127" s="548"/>
      <c r="S1127" s="548"/>
      <c r="T1127" s="548"/>
      <c r="U1127" s="548"/>
      <c r="V1127" s="548"/>
      <c r="W1127" s="548"/>
      <c r="X1127" s="548"/>
      <c r="AH1127" s="561" t="str">
        <f>IFERROR(INDEX('Annex 2_Code'!$J$110:$J$122,MATCH('Annex 3_MAFF'!AF1127,'Annex 2_Code'!$G$110:$G$122,0)),"")</f>
        <v/>
      </c>
    </row>
    <row r="1128" spans="1:34">
      <c r="A1128" s="548"/>
      <c r="B1128" s="548"/>
      <c r="C1128" s="548"/>
      <c r="D1128" s="548"/>
      <c r="E1128" s="548"/>
      <c r="G1128" s="548"/>
      <c r="H1128" s="548"/>
      <c r="I1128" s="548"/>
      <c r="S1128" s="548"/>
      <c r="T1128" s="548"/>
      <c r="U1128" s="548"/>
      <c r="V1128" s="548"/>
      <c r="W1128" s="548"/>
      <c r="X1128" s="548"/>
      <c r="AH1128" s="561" t="str">
        <f>IFERROR(INDEX('Annex 2_Code'!$J$110:$J$122,MATCH('Annex 3_MAFF'!AF1128,'Annex 2_Code'!$G$110:$G$122,0)),"")</f>
        <v/>
      </c>
    </row>
    <row r="1129" spans="1:34">
      <c r="A1129" s="548"/>
      <c r="B1129" s="548"/>
      <c r="C1129" s="548"/>
      <c r="D1129" s="548"/>
      <c r="E1129" s="548"/>
      <c r="G1129" s="548"/>
      <c r="H1129" s="548"/>
      <c r="I1129" s="548"/>
      <c r="S1129" s="548"/>
      <c r="T1129" s="548"/>
      <c r="U1129" s="548"/>
      <c r="V1129" s="548"/>
      <c r="W1129" s="548"/>
      <c r="X1129" s="548"/>
      <c r="AH1129" s="561" t="str">
        <f>IFERROR(INDEX('Annex 2_Code'!$J$110:$J$122,MATCH('Annex 3_MAFF'!AF1129,'Annex 2_Code'!$G$110:$G$122,0)),"")</f>
        <v/>
      </c>
    </row>
    <row r="1130" spans="1:34">
      <c r="A1130" s="548"/>
      <c r="B1130" s="548"/>
      <c r="C1130" s="548"/>
      <c r="D1130" s="548"/>
      <c r="E1130" s="548"/>
      <c r="G1130" s="548"/>
      <c r="H1130" s="548"/>
      <c r="I1130" s="548"/>
      <c r="S1130" s="548"/>
      <c r="T1130" s="548"/>
      <c r="U1130" s="548"/>
      <c r="V1130" s="548"/>
      <c r="W1130" s="548"/>
      <c r="X1130" s="548"/>
      <c r="AH1130" s="561" t="str">
        <f>IFERROR(INDEX('Annex 2_Code'!$J$110:$J$122,MATCH('Annex 3_MAFF'!AF1130,'Annex 2_Code'!$G$110:$G$122,0)),"")</f>
        <v/>
      </c>
    </row>
    <row r="1131" spans="1:34">
      <c r="A1131" s="548"/>
      <c r="B1131" s="548"/>
      <c r="C1131" s="548"/>
      <c r="D1131" s="548"/>
      <c r="E1131" s="548"/>
      <c r="G1131" s="548"/>
      <c r="H1131" s="548"/>
      <c r="I1131" s="548"/>
      <c r="S1131" s="548"/>
      <c r="T1131" s="548"/>
      <c r="U1131" s="548"/>
      <c r="V1131" s="548"/>
      <c r="W1131" s="548"/>
      <c r="X1131" s="548"/>
      <c r="AH1131" s="561" t="str">
        <f>IFERROR(INDEX('Annex 2_Code'!$J$110:$J$122,MATCH('Annex 3_MAFF'!AF1131,'Annex 2_Code'!$G$110:$G$122,0)),"")</f>
        <v/>
      </c>
    </row>
    <row r="1132" spans="1:34">
      <c r="A1132" s="548"/>
      <c r="B1132" s="548"/>
      <c r="C1132" s="548"/>
      <c r="D1132" s="548"/>
      <c r="E1132" s="548"/>
      <c r="G1132" s="548"/>
      <c r="H1132" s="548"/>
      <c r="I1132" s="548"/>
      <c r="S1132" s="548"/>
      <c r="T1132" s="548"/>
      <c r="U1132" s="548"/>
      <c r="V1132" s="548"/>
      <c r="W1132" s="548"/>
      <c r="X1132" s="548"/>
      <c r="AH1132" s="561" t="str">
        <f>IFERROR(INDEX('Annex 2_Code'!$J$110:$J$122,MATCH('Annex 3_MAFF'!AF1132,'Annex 2_Code'!$G$110:$G$122,0)),"")</f>
        <v/>
      </c>
    </row>
    <row r="1133" spans="1:34">
      <c r="A1133" s="548"/>
      <c r="B1133" s="548"/>
      <c r="C1133" s="548"/>
      <c r="D1133" s="548"/>
      <c r="E1133" s="548"/>
      <c r="G1133" s="548"/>
      <c r="H1133" s="548"/>
      <c r="I1133" s="548"/>
      <c r="S1133" s="548"/>
      <c r="T1133" s="548"/>
      <c r="U1133" s="548"/>
      <c r="V1133" s="548"/>
      <c r="W1133" s="548"/>
      <c r="X1133" s="548"/>
      <c r="AH1133" s="561" t="str">
        <f>IFERROR(INDEX('Annex 2_Code'!$J$110:$J$122,MATCH('Annex 3_MAFF'!AF1133,'Annex 2_Code'!$G$110:$G$122,0)),"")</f>
        <v/>
      </c>
    </row>
    <row r="1134" spans="1:34">
      <c r="A1134" s="548"/>
      <c r="B1134" s="548"/>
      <c r="C1134" s="548"/>
      <c r="D1134" s="548"/>
      <c r="E1134" s="548"/>
      <c r="G1134" s="548"/>
      <c r="H1134" s="548"/>
      <c r="I1134" s="548"/>
      <c r="S1134" s="548"/>
      <c r="T1134" s="548"/>
      <c r="U1134" s="548"/>
      <c r="V1134" s="548"/>
      <c r="W1134" s="548"/>
      <c r="X1134" s="548"/>
      <c r="AH1134" s="561" t="str">
        <f>IFERROR(INDEX('Annex 2_Code'!$J$110:$J$122,MATCH('Annex 3_MAFF'!AF1134,'Annex 2_Code'!$G$110:$G$122,0)),"")</f>
        <v/>
      </c>
    </row>
    <row r="1135" spans="1:34">
      <c r="A1135" s="548"/>
      <c r="B1135" s="548"/>
      <c r="C1135" s="548"/>
      <c r="D1135" s="548"/>
      <c r="E1135" s="548"/>
      <c r="G1135" s="548"/>
      <c r="H1135" s="548"/>
      <c r="I1135" s="548"/>
      <c r="S1135" s="548"/>
      <c r="T1135" s="548"/>
      <c r="U1135" s="548"/>
      <c r="V1135" s="548"/>
      <c r="W1135" s="548"/>
      <c r="X1135" s="548"/>
      <c r="AH1135" s="561" t="str">
        <f>IFERROR(INDEX('Annex 2_Code'!$J$110:$J$122,MATCH('Annex 3_MAFF'!AF1135,'Annex 2_Code'!$G$110:$G$122,0)),"")</f>
        <v/>
      </c>
    </row>
    <row r="1136" spans="1:34">
      <c r="A1136" s="548"/>
      <c r="B1136" s="548"/>
      <c r="C1136" s="548"/>
      <c r="D1136" s="548"/>
      <c r="E1136" s="548"/>
      <c r="G1136" s="548"/>
      <c r="H1136" s="548"/>
      <c r="I1136" s="548"/>
      <c r="S1136" s="548"/>
      <c r="T1136" s="548"/>
      <c r="U1136" s="548"/>
      <c r="V1136" s="548"/>
      <c r="W1136" s="548"/>
      <c r="X1136" s="548"/>
      <c r="AH1136" s="561" t="str">
        <f>IFERROR(INDEX('Annex 2_Code'!$J$110:$J$122,MATCH('Annex 3_MAFF'!AF1136,'Annex 2_Code'!$G$110:$G$122,0)),"")</f>
        <v/>
      </c>
    </row>
    <row r="1137" spans="1:34">
      <c r="A1137" s="548"/>
      <c r="B1137" s="548"/>
      <c r="C1137" s="548"/>
      <c r="D1137" s="548"/>
      <c r="E1137" s="548"/>
      <c r="G1137" s="548"/>
      <c r="H1137" s="548"/>
      <c r="I1137" s="548"/>
      <c r="S1137" s="548"/>
      <c r="T1137" s="548"/>
      <c r="U1137" s="548"/>
      <c r="V1137" s="548"/>
      <c r="W1137" s="548"/>
      <c r="X1137" s="548"/>
      <c r="AH1137" s="561" t="str">
        <f>IFERROR(INDEX('Annex 2_Code'!$J$110:$J$122,MATCH('Annex 3_MAFF'!AF1137,'Annex 2_Code'!$G$110:$G$122,0)),"")</f>
        <v/>
      </c>
    </row>
    <row r="1138" spans="1:34">
      <c r="A1138" s="548"/>
      <c r="B1138" s="548"/>
      <c r="C1138" s="548"/>
      <c r="D1138" s="548"/>
      <c r="E1138" s="548"/>
      <c r="G1138" s="548"/>
      <c r="H1138" s="548"/>
      <c r="I1138" s="548"/>
      <c r="S1138" s="548"/>
      <c r="T1138" s="548"/>
      <c r="U1138" s="548"/>
      <c r="V1138" s="548"/>
      <c r="W1138" s="548"/>
      <c r="X1138" s="548"/>
      <c r="AH1138" s="561" t="str">
        <f>IFERROR(INDEX('Annex 2_Code'!$J$110:$J$122,MATCH('Annex 3_MAFF'!AF1138,'Annex 2_Code'!$G$110:$G$122,0)),"")</f>
        <v/>
      </c>
    </row>
  </sheetData>
  <autoFilter ref="B1:C1138" xr:uid="{00000000-0009-0000-0000-000003000000}"/>
  <mergeCells count="1">
    <mergeCell ref="I5:I6"/>
  </mergeCells>
  <phoneticPr fontId="68" type="noConversion"/>
  <printOptions horizontalCentered="1" headings="1"/>
  <pageMargins left="0.39370078740157483" right="0.39370078740157483" top="0.59055118110236227" bottom="0.39370078740157483" header="0.31496062992125984" footer="0.31496062992125984"/>
  <pageSetup paperSize="8" scale="74" fitToHeight="0" orientation="landscape" cellComments="asDisplayed" r:id="rId1"/>
  <headerFooter>
    <oddHeader>&amp;L&amp;"Arial,Italic"&amp;12&amp;K002060CFAVC&amp;R&amp;"Arial,Italic"&amp;12AWPB 2020
Annex 4c</oddHeader>
    <oddFooter>&amp;R&amp;"Calibri,Italic"&amp;12Annex 4c - 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Please choose from the list" xr:uid="{00000000-0002-0000-0300-000000000000}">
          <x14:formula1>
            <xm:f>'Annex 2_Code'!$G$37:$G$94</xm:f>
          </x14:formula1>
          <xm:sqref>C68:C70 C325:C326 C81 B386:B388 C255 C259:C261 C280:C282 C286:C287 C293:C294 C299:C300 C309 C342:C443 C139:C205 C232:C240 C267:C272 C316:C320 C214:C221 C8:C37 C450:C533</xm:sqref>
        </x14:dataValidation>
        <x14:dataValidation type="list" allowBlank="1" showInputMessage="1" showErrorMessage="1" xr:uid="{00000000-0002-0000-0300-000001000000}">
          <x14:formula1>
            <xm:f>'Annex 2_Code'!$G$8:$G$33</xm:f>
          </x14:formula1>
          <xm:sqref>AG68:AG70 AG252 AG81 AG248 AG255 AG259:AG261 AG280:AG282 AG286:AG287 AG293:AG294 AG299:AG300 AG309 AG325:AG326 AG79 AG139:AG205 AG232:AG240 AG267:AG272 AG316:AG320 AG214:AG221 AG8:AG37 AG342:AG1065</xm:sqref>
        </x14:dataValidation>
        <x14:dataValidation type="list" allowBlank="1" showInputMessage="1" showErrorMessage="1" xr:uid="{00000000-0002-0000-0300-000002000000}">
          <x14:formula1>
            <xm:f>'Annex 2_Code'!$G$110:$G$127</xm:f>
          </x14:formula1>
          <xm:sqref>AF68:AF70 AF252 AF81 AF248 AF255 AF259:AF261 AF280:AF282 AF286:AF287 AF293:AF294 AF299:AF300 AF309 AF325:AF326 AF79 AF139:AF205 AF223:AF240 AF267:AF272 AF316:AF320 AF214:AF221 AF8:AF37 AF342:AF533</xm:sqref>
        </x14:dataValidation>
        <x14:dataValidation type="list" allowBlank="1" showInputMessage="1" showErrorMessage="1" error="Please choose from the list" xr:uid="{00000000-0002-0000-0300-000003000000}">
          <x14:formula1>
            <xm:f>'D:\MAFF\Agribusiness\AWPB 2021\[10052020_Second_Draft_CFAFV_AWPB2021_Accepted_format_by_MEF_Neat.xlsx]Annex 2'!#REF!</xm:f>
          </x14:formula1>
          <xm:sqref>C444:C449</xm:sqref>
        </x14:dataValidation>
        <x14:dataValidation type="list" allowBlank="1" showInputMessage="1" showErrorMessage="1" xr:uid="{00000000-0002-0000-0300-000004000000}">
          <x14:formula1>
            <xm:f>'D:\MAFF\Agribusiness\AWPB 2021\[3_Final_Draft_CFAFV_AWPB2021_Accepted_format_by_MEF_3_Sept_2020 (HH)_09.10.20.xlsx]Annex 2'!#REF!</xm:f>
          </x14:formula1>
          <xm:sqref>AF80:AG80 AF262:AG266 AF249:AG251 AF254:AG254 AF256:AG258 AF273:AG279 AF321:AG324 AF241:AG247 AG228:AG231 AF38:AG67 AF206:AG213 AF283:AG285 AF288:AG292 AF295:AG298 AF301:AG308 AF310:AG315</xm:sqref>
        </x14:dataValidation>
        <x14:dataValidation type="list" allowBlank="1" showInputMessage="1" showErrorMessage="1" error="Please choose from the list" xr:uid="{00000000-0002-0000-0300-000005000000}">
          <x14:formula1>
            <xm:f>'D:\MAFF\Agribusiness\AWPB 2021\[3_Final_Draft_CFAFV_AWPB2021_Accepted_format_by_MEF_3_Sept_2020 (HH)_09.10.20.xlsx]Annex 2'!#REF!</xm:f>
          </x14:formula1>
          <xm:sqref>C80 C228:C231 C256:C258 C265:C266 C38:C67 C321:C324 C206:C213 C262:C263 C288 C308 C295 C310 C301 C315</xm:sqref>
        </x14:dataValidation>
        <x14:dataValidation type="list" allowBlank="1" showInputMessage="1" showErrorMessage="1" xr:uid="{00000000-0002-0000-0300-000006000000}">
          <x14:formula1>
            <xm:f>'Annex 2_Code'!$G$110:$G$122</xm:f>
          </x14:formula1>
          <xm:sqref>AF534:AF1028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B050"/>
    <pageSetUpPr fitToPage="1"/>
  </sheetPr>
  <dimension ref="A1:BR117"/>
  <sheetViews>
    <sheetView showGridLines="0" topLeftCell="P36" zoomScale="80" zoomScaleNormal="80" zoomScaleSheetLayoutView="70" workbookViewId="0">
      <selection activeCell="AF54" sqref="AF54"/>
    </sheetView>
  </sheetViews>
  <sheetFormatPr defaultColWidth="9.140625" defaultRowHeight="12.75"/>
  <cols>
    <col min="1" max="1" width="9.140625" style="2"/>
    <col min="2" max="2" width="11.28515625" style="2150" customWidth="1"/>
    <col min="3" max="3" width="12" style="24" customWidth="1"/>
    <col min="4" max="4" width="12.42578125" style="2" customWidth="1"/>
    <col min="5" max="5" width="10.85546875" style="2" customWidth="1"/>
    <col min="6" max="6" width="10.140625" style="2" customWidth="1"/>
    <col min="7" max="7" width="11.28515625" style="64" customWidth="1"/>
    <col min="8" max="8" width="10.85546875" style="64" customWidth="1"/>
    <col min="9" max="9" width="15.42578125" style="64" customWidth="1"/>
    <col min="10" max="10" width="21.85546875" style="64" customWidth="1"/>
    <col min="11" max="11" width="9.85546875" style="64" customWidth="1"/>
    <col min="12" max="12" width="12" style="64" customWidth="1"/>
    <col min="13" max="13" width="7.42578125" style="64" customWidth="1"/>
    <col min="14" max="14" width="10.7109375" style="64" customWidth="1"/>
    <col min="15" max="16" width="7.42578125" style="64" customWidth="1"/>
    <col min="17" max="17" width="8.85546875" style="64" customWidth="1"/>
    <col min="18" max="18" width="10.42578125" style="64" customWidth="1"/>
    <col min="19" max="19" width="11.140625" style="64" customWidth="1"/>
    <col min="20" max="20" width="10.42578125" style="64" customWidth="1"/>
    <col min="21" max="21" width="10.140625" style="64" customWidth="1"/>
    <col min="22" max="22" width="11.140625" style="460" bestFit="1" customWidth="1"/>
    <col min="23" max="23" width="1" style="5" customWidth="1"/>
    <col min="24" max="24" width="12.140625" style="5" customWidth="1"/>
    <col min="25" max="25" width="12.28515625" style="5" customWidth="1"/>
    <col min="26" max="26" width="10.7109375" style="5" customWidth="1"/>
    <col min="27" max="27" width="10" style="5" customWidth="1"/>
    <col min="28" max="28" width="13.7109375" style="5" customWidth="1"/>
    <col min="29" max="29" width="6.5703125" style="2" customWidth="1"/>
    <col min="30" max="30" width="10.140625" style="27" customWidth="1"/>
    <col min="31" max="31" width="10.85546875" style="28" customWidth="1"/>
    <col min="32" max="32" width="11" style="28" customWidth="1"/>
    <col min="33" max="33" width="9.5703125" style="28" customWidth="1"/>
    <col min="34" max="34" width="13.5703125" style="28" customWidth="1"/>
    <col min="35" max="35" width="9.7109375" style="28" customWidth="1"/>
    <col min="36" max="36" width="8.7109375" style="28" customWidth="1"/>
    <col min="37" max="37" width="10.42578125" style="28" customWidth="1"/>
    <col min="38" max="38" width="11.140625" style="28" customWidth="1"/>
    <col min="39" max="42" width="12.140625" style="28" customWidth="1"/>
    <col min="43" max="49" width="8.7109375" style="28" customWidth="1"/>
    <col min="50" max="50" width="8.5703125" style="28" customWidth="1"/>
    <col min="51" max="51" width="10.28515625" style="4" customWidth="1"/>
    <col min="52" max="52" width="11.5703125" style="64" customWidth="1"/>
    <col min="53" max="53" width="21.7109375" style="64" customWidth="1"/>
    <col min="54" max="54" width="21.85546875" style="64" customWidth="1"/>
    <col min="55" max="55" width="17.140625" style="64" customWidth="1"/>
    <col min="56" max="56" width="14.140625" style="64" customWidth="1"/>
    <col min="57" max="57" width="9.140625" style="64"/>
    <col min="58" max="16384" width="9.140625" style="2"/>
  </cols>
  <sheetData>
    <row r="1" spans="1:70" s="25" customFormat="1">
      <c r="B1" s="2152"/>
      <c r="C1" s="66"/>
      <c r="D1" s="67" t="s">
        <v>189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345"/>
      <c r="W1" s="34"/>
      <c r="X1" s="34"/>
      <c r="Y1" s="34"/>
      <c r="Z1" s="34"/>
      <c r="AA1" s="34"/>
      <c r="AB1" s="34"/>
      <c r="AC1" s="66"/>
      <c r="AD1" s="66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67"/>
      <c r="AZ1" s="66"/>
      <c r="BA1" s="64"/>
      <c r="BB1" s="64"/>
      <c r="BC1" s="64"/>
      <c r="BD1" s="64"/>
      <c r="BE1" s="64"/>
    </row>
    <row r="2" spans="1:70" s="25" customFormat="1">
      <c r="B2" s="2152"/>
      <c r="C2" s="66"/>
      <c r="D2" s="67" t="s">
        <v>316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345"/>
      <c r="W2" s="35"/>
      <c r="X2" s="35"/>
      <c r="Y2" s="35"/>
      <c r="Z2" s="35"/>
      <c r="AA2" s="35"/>
      <c r="AB2" s="35"/>
      <c r="AC2" s="66"/>
      <c r="AD2" s="66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67"/>
      <c r="AZ2" s="66"/>
      <c r="BA2" s="64"/>
      <c r="BB2" s="64"/>
      <c r="BC2" s="64"/>
      <c r="BD2" s="64"/>
      <c r="BE2" s="64"/>
    </row>
    <row r="3" spans="1:70" s="25" customFormat="1">
      <c r="B3" s="2152"/>
      <c r="C3" s="66"/>
      <c r="D3" s="67" t="s">
        <v>246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345"/>
      <c r="W3" s="32"/>
      <c r="X3" s="32"/>
      <c r="Y3" s="32"/>
      <c r="Z3" s="32"/>
      <c r="AA3" s="32"/>
      <c r="AB3" s="32"/>
      <c r="AC3" s="66"/>
      <c r="AD3" s="66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67"/>
      <c r="AZ3" s="66"/>
      <c r="BA3" s="64"/>
      <c r="BB3" s="64"/>
      <c r="BC3" s="64" t="s">
        <v>565</v>
      </c>
      <c r="BD3" s="64"/>
      <c r="BE3" s="64"/>
    </row>
    <row r="4" spans="1:70" ht="13.5" thickBot="1">
      <c r="B4" s="2152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345"/>
      <c r="W4" s="32"/>
      <c r="X4" s="32"/>
      <c r="Y4" s="32"/>
      <c r="Z4" s="32"/>
      <c r="AA4" s="32"/>
      <c r="AB4" s="32"/>
      <c r="AC4" s="66"/>
      <c r="AD4" s="66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67"/>
      <c r="AZ4" s="66"/>
    </row>
    <row r="5" spans="1:70" s="64" customFormat="1" ht="16.5" customHeight="1">
      <c r="A5" s="530"/>
      <c r="B5" s="2145"/>
      <c r="C5" s="530"/>
      <c r="D5" s="531"/>
      <c r="E5" s="532"/>
      <c r="F5" s="532"/>
      <c r="G5" s="379"/>
      <c r="H5" s="379"/>
      <c r="I5" s="379"/>
      <c r="J5" s="379"/>
      <c r="K5" s="2357" t="s">
        <v>1</v>
      </c>
      <c r="L5" s="530"/>
      <c r="M5" s="797"/>
      <c r="N5" s="798"/>
      <c r="O5" s="798"/>
      <c r="P5" s="798"/>
      <c r="Q5" s="799"/>
      <c r="R5" s="797"/>
      <c r="S5" s="798"/>
      <c r="T5" s="798"/>
      <c r="U5" s="798"/>
      <c r="V5" s="799"/>
      <c r="W5" s="379"/>
      <c r="X5" s="797"/>
      <c r="Y5" s="798"/>
      <c r="Z5" s="798"/>
      <c r="AA5" s="798"/>
      <c r="AB5" s="799"/>
      <c r="AC5" s="339"/>
      <c r="AD5" s="2360" t="s">
        <v>590</v>
      </c>
      <c r="AE5" s="2361"/>
      <c r="AF5" s="2361"/>
      <c r="AG5" s="2361"/>
      <c r="AH5" s="2362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67"/>
      <c r="AZ5" s="66"/>
    </row>
    <row r="6" spans="1:70" s="64" customFormat="1" ht="29.25" customHeight="1">
      <c r="A6" s="1021" t="s">
        <v>0</v>
      </c>
      <c r="B6" s="2159" t="s">
        <v>576</v>
      </c>
      <c r="C6" s="488" t="s">
        <v>500</v>
      </c>
      <c r="D6" s="2363"/>
      <c r="E6" s="2364"/>
      <c r="F6" s="2364"/>
      <c r="G6" s="494" t="s">
        <v>6</v>
      </c>
      <c r="H6" s="494"/>
      <c r="I6" s="494"/>
      <c r="J6" s="2062"/>
      <c r="K6" s="2358"/>
      <c r="L6" s="1938" t="s">
        <v>317</v>
      </c>
      <c r="M6" s="800" t="s">
        <v>3</v>
      </c>
      <c r="N6" s="801"/>
      <c r="O6" s="801"/>
      <c r="P6" s="801"/>
      <c r="Q6" s="802"/>
      <c r="R6" s="800" t="s">
        <v>318</v>
      </c>
      <c r="S6" s="801"/>
      <c r="T6" s="801"/>
      <c r="U6" s="801"/>
      <c r="V6" s="802"/>
      <c r="W6" s="376"/>
      <c r="X6" s="800" t="s">
        <v>345</v>
      </c>
      <c r="Y6" s="801"/>
      <c r="Z6" s="801"/>
      <c r="AA6" s="801"/>
      <c r="AB6" s="802"/>
      <c r="AC6" s="58"/>
      <c r="AD6" s="1046" t="s">
        <v>26</v>
      </c>
      <c r="AE6" s="1047" t="s">
        <v>191</v>
      </c>
      <c r="AF6" s="1055" t="s">
        <v>191</v>
      </c>
      <c r="AG6" s="1055" t="s">
        <v>50</v>
      </c>
      <c r="AH6" s="1056" t="s">
        <v>14</v>
      </c>
      <c r="AI6" s="889" t="s">
        <v>26</v>
      </c>
      <c r="AJ6" s="820"/>
      <c r="AK6" s="820"/>
      <c r="AL6" s="821"/>
      <c r="AM6" s="819" t="s">
        <v>48</v>
      </c>
      <c r="AN6" s="804"/>
      <c r="AO6" s="820"/>
      <c r="AP6" s="821"/>
      <c r="AQ6" s="819" t="s">
        <v>49</v>
      </c>
      <c r="AR6" s="820"/>
      <c r="AS6" s="820"/>
      <c r="AT6" s="821"/>
      <c r="AU6" s="819" t="s">
        <v>319</v>
      </c>
      <c r="AV6" s="820"/>
      <c r="AW6" s="820"/>
      <c r="AX6" s="821"/>
      <c r="AY6" s="1939" t="s">
        <v>320</v>
      </c>
      <c r="AZ6" s="1940"/>
      <c r="BA6" s="868" t="s">
        <v>556</v>
      </c>
      <c r="BB6" s="570" t="s">
        <v>555</v>
      </c>
      <c r="BC6" s="570" t="s">
        <v>470</v>
      </c>
      <c r="BD6" s="598" t="s">
        <v>557</v>
      </c>
    </row>
    <row r="7" spans="1:70" s="64" customFormat="1" ht="17.25" customHeight="1" thickBot="1">
      <c r="A7" s="490"/>
      <c r="B7" s="2143"/>
      <c r="C7" s="490"/>
      <c r="D7" s="533"/>
      <c r="E7" s="534"/>
      <c r="F7" s="534"/>
      <c r="G7" s="427"/>
      <c r="H7" s="427"/>
      <c r="I7" s="427"/>
      <c r="J7" s="427"/>
      <c r="K7" s="2359"/>
      <c r="L7" s="2063"/>
      <c r="M7" s="428" t="s">
        <v>7</v>
      </c>
      <c r="N7" s="429" t="s">
        <v>8</v>
      </c>
      <c r="O7" s="429" t="s">
        <v>9</v>
      </c>
      <c r="P7" s="429" t="s">
        <v>10</v>
      </c>
      <c r="Q7" s="430" t="s">
        <v>11</v>
      </c>
      <c r="R7" s="429" t="s">
        <v>7</v>
      </c>
      <c r="S7" s="429" t="s">
        <v>8</v>
      </c>
      <c r="T7" s="429" t="s">
        <v>9</v>
      </c>
      <c r="U7" s="429" t="s">
        <v>10</v>
      </c>
      <c r="V7" s="431" t="s">
        <v>11</v>
      </c>
      <c r="W7" s="429"/>
      <c r="X7" s="858" t="s">
        <v>26</v>
      </c>
      <c r="Y7" s="859" t="s">
        <v>48</v>
      </c>
      <c r="Z7" s="859" t="s">
        <v>49</v>
      </c>
      <c r="AA7" s="859" t="s">
        <v>50</v>
      </c>
      <c r="AB7" s="860" t="s">
        <v>51</v>
      </c>
      <c r="AC7" s="432"/>
      <c r="AD7" s="921" t="s">
        <v>28</v>
      </c>
      <c r="AE7" s="922" t="s">
        <v>28</v>
      </c>
      <c r="AF7" s="922" t="s">
        <v>192</v>
      </c>
      <c r="AG7" s="922"/>
      <c r="AH7" s="923" t="s">
        <v>51</v>
      </c>
      <c r="AI7" s="433" t="s">
        <v>7</v>
      </c>
      <c r="AJ7" s="433" t="s">
        <v>8</v>
      </c>
      <c r="AK7" s="433" t="s">
        <v>9</v>
      </c>
      <c r="AL7" s="433" t="s">
        <v>10</v>
      </c>
      <c r="AM7" s="434" t="s">
        <v>7</v>
      </c>
      <c r="AN7" s="435" t="s">
        <v>8</v>
      </c>
      <c r="AO7" s="435" t="s">
        <v>9</v>
      </c>
      <c r="AP7" s="435" t="s">
        <v>10</v>
      </c>
      <c r="AQ7" s="434" t="s">
        <v>7</v>
      </c>
      <c r="AR7" s="435" t="s">
        <v>8</v>
      </c>
      <c r="AS7" s="435" t="s">
        <v>9</v>
      </c>
      <c r="AT7" s="435" t="s">
        <v>10</v>
      </c>
      <c r="AU7" s="434" t="s">
        <v>7</v>
      </c>
      <c r="AV7" s="435" t="s">
        <v>8</v>
      </c>
      <c r="AW7" s="435" t="s">
        <v>9</v>
      </c>
      <c r="AX7" s="436" t="s">
        <v>10</v>
      </c>
      <c r="AY7" s="862"/>
      <c r="AZ7" s="2123"/>
      <c r="BA7" s="869"/>
      <c r="BB7" s="573"/>
      <c r="BC7" s="573"/>
      <c r="BD7" s="599"/>
    </row>
    <row r="8" spans="1:70" s="340" customFormat="1" ht="15">
      <c r="A8" s="749"/>
      <c r="B8" s="2147"/>
      <c r="C8" s="749"/>
      <c r="D8" s="437" t="s">
        <v>321</v>
      </c>
      <c r="E8" s="438"/>
      <c r="F8" s="438"/>
      <c r="G8" s="438"/>
      <c r="H8" s="438"/>
      <c r="I8" s="438"/>
      <c r="J8" s="438"/>
      <c r="K8" s="2064"/>
      <c r="L8" s="2064"/>
      <c r="M8" s="925"/>
      <c r="N8" s="926"/>
      <c r="O8" s="876"/>
      <c r="P8" s="876"/>
      <c r="Q8" s="876"/>
      <c r="R8" s="927"/>
      <c r="S8" s="928"/>
      <c r="T8" s="928"/>
      <c r="U8" s="928"/>
      <c r="V8" s="929"/>
      <c r="W8" s="930"/>
      <c r="X8" s="931"/>
      <c r="Y8" s="932"/>
      <c r="Z8" s="932"/>
      <c r="AA8" s="932"/>
      <c r="AB8" s="933"/>
      <c r="AC8" s="876"/>
      <c r="AD8" s="924"/>
      <c r="AE8" s="439"/>
      <c r="AF8" s="439"/>
      <c r="AG8" s="439"/>
      <c r="AH8" s="440"/>
      <c r="AI8" s="439"/>
      <c r="AJ8" s="439"/>
      <c r="AK8" s="439"/>
      <c r="AL8" s="439"/>
      <c r="AM8" s="441"/>
      <c r="AN8" s="439"/>
      <c r="AO8" s="439"/>
      <c r="AP8" s="440"/>
      <c r="AQ8" s="439"/>
      <c r="AR8" s="439"/>
      <c r="AS8" s="439"/>
      <c r="AT8" s="439"/>
      <c r="AU8" s="441"/>
      <c r="AV8" s="439"/>
      <c r="AW8" s="439"/>
      <c r="AX8" s="440"/>
      <c r="AY8" s="924"/>
      <c r="AZ8" s="440"/>
      <c r="BA8" s="2121"/>
      <c r="BB8" s="572"/>
      <c r="BC8" s="568" t="str">
        <f>IFERROR(INDEX('Annex 2_Code'!$J$110:$J$122,MATCH('Annex 3_MAFF'!AV8,'Annex 2_Code'!$G$110:$G$122,0)),"")</f>
        <v/>
      </c>
      <c r="BD8" s="577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</row>
    <row r="9" spans="1:70" s="64" customFormat="1" ht="15">
      <c r="A9" s="750"/>
      <c r="B9" s="2148"/>
      <c r="C9" s="750"/>
      <c r="D9" s="442" t="s">
        <v>262</v>
      </c>
      <c r="E9" s="443"/>
      <c r="F9" s="443"/>
      <c r="G9" s="443"/>
      <c r="H9" s="443"/>
      <c r="I9" s="443"/>
      <c r="J9" s="443"/>
      <c r="K9" s="2065"/>
      <c r="L9" s="2065"/>
      <c r="M9" s="906"/>
      <c r="N9" s="907"/>
      <c r="O9" s="908"/>
      <c r="P9" s="908"/>
      <c r="Q9" s="909"/>
      <c r="R9" s="913"/>
      <c r="S9" s="908"/>
      <c r="T9" s="908"/>
      <c r="U9" s="908"/>
      <c r="V9" s="914"/>
      <c r="W9" s="934"/>
      <c r="X9" s="918"/>
      <c r="Y9" s="919"/>
      <c r="Z9" s="919"/>
      <c r="AA9" s="919"/>
      <c r="AB9" s="920"/>
      <c r="AC9" s="908"/>
      <c r="AD9" s="913"/>
      <c r="AE9" s="935"/>
      <c r="AF9" s="935"/>
      <c r="AG9" s="935"/>
      <c r="AH9" s="936"/>
      <c r="AI9" s="935"/>
      <c r="AJ9" s="935"/>
      <c r="AK9" s="935"/>
      <c r="AL9" s="935"/>
      <c r="AM9" s="937"/>
      <c r="AN9" s="935"/>
      <c r="AO9" s="935"/>
      <c r="AP9" s="936"/>
      <c r="AQ9" s="935"/>
      <c r="AR9" s="935"/>
      <c r="AS9" s="935"/>
      <c r="AT9" s="935"/>
      <c r="AU9" s="937"/>
      <c r="AV9" s="935"/>
      <c r="AW9" s="935"/>
      <c r="AX9" s="936"/>
      <c r="AY9" s="2124"/>
      <c r="AZ9" s="938"/>
      <c r="BA9" s="870"/>
      <c r="BB9" s="568"/>
      <c r="BC9" s="568" t="str">
        <f>IFERROR(INDEX('Annex 2_Code'!$J$110:$J$122,MATCH('Annex 3_MAFF'!#REF!,'Annex 2_Code'!$G$110:$G$122,0)),"")</f>
        <v/>
      </c>
      <c r="BD9" s="577"/>
    </row>
    <row r="10" spans="1:70" s="64" customFormat="1">
      <c r="A10" s="2160" t="s">
        <v>24</v>
      </c>
      <c r="B10" s="2160" t="str">
        <f t="shared" ref="B10:B14" si="0">IF(ISNUMBER(FIND("-",C10,1))=FALSE,LEFT(C10,LEN(C10)),LEFT(C10,(FIND("-",C10,1))-1))</f>
        <v>CW2</v>
      </c>
      <c r="C10" s="752" t="s">
        <v>322</v>
      </c>
      <c r="D10" s="453"/>
      <c r="E10" s="1149" t="s">
        <v>1170</v>
      </c>
      <c r="F10" s="833"/>
      <c r="H10" s="833"/>
      <c r="I10" s="833"/>
      <c r="J10" s="833"/>
      <c r="K10" s="2066" t="s">
        <v>568</v>
      </c>
      <c r="L10" s="1207">
        <v>655.11</v>
      </c>
      <c r="M10" s="891">
        <v>0.1</v>
      </c>
      <c r="N10" s="891">
        <v>0.3</v>
      </c>
      <c r="O10" s="892">
        <v>0.3</v>
      </c>
      <c r="P10" s="892">
        <v>0.2</v>
      </c>
      <c r="Q10" s="1208">
        <f>SUM(M10:P10)</f>
        <v>0.89999999999999991</v>
      </c>
      <c r="R10" s="864">
        <f>ROUND($L10*M10,2)</f>
        <v>65.510000000000005</v>
      </c>
      <c r="S10" s="866">
        <f>ROUND($L10*N10,2)</f>
        <v>196.53</v>
      </c>
      <c r="T10" s="866">
        <f t="shared" ref="T10:U14" si="1">ROUND($L10*O10,2)</f>
        <v>196.53</v>
      </c>
      <c r="U10" s="866">
        <f t="shared" si="1"/>
        <v>131.02000000000001</v>
      </c>
      <c r="V10" s="861">
        <f>SUM(R10:U10)</f>
        <v>589.59</v>
      </c>
      <c r="W10" s="865"/>
      <c r="X10" s="746">
        <f>IFERROR(INDEX('Annex 2_Code'!I$8:I$33,MATCH('Annex 4_MoWRAM'!$BB10,'Annex 2_Code'!$G$8:$G$33,0)),"")</f>
        <v>0.76827006604510995</v>
      </c>
      <c r="Y10" s="747">
        <f>IFERROR(INDEX('Annex 2_Code'!J$8:J$33,MATCH('Annex 4_MoWRAM'!$BB10,'Annex 2_Code'!$G$8:$G$33,0)),"")</f>
        <v>0.12645069473218948</v>
      </c>
      <c r="Z10" s="747">
        <f>IFERROR(INDEX('Annex 2_Code'!K$8:K$33,MATCH('Annex 4_MoWRAM'!$BB10,'Annex 2_Code'!$G$8:$G$33,0)),"")</f>
        <v>0.10527923922270058</v>
      </c>
      <c r="AA10" s="747">
        <f>IFERROR(INDEX('Annex 2_Code'!L$8:L$33,MATCH('Annex 4_MoWRAM'!$BB10,'Annex 2_Code'!$G$8:$G$33,0)),"")</f>
        <v>0</v>
      </c>
      <c r="AB10" s="748">
        <f>IFERROR(INDEX('Annex 2_Code'!M$8:M$33,MATCH('Annex 4_MoWRAM'!$BB10,'Annex 2_Code'!$G$8:$G$33,0)),"")</f>
        <v>0</v>
      </c>
      <c r="AC10" s="446"/>
      <c r="AD10" s="447">
        <f>IFERROR($V10*X10,"")</f>
        <v>452.96434823953638</v>
      </c>
      <c r="AE10" s="818">
        <f t="shared" ref="AE10:AE33" si="2">IFERROR($V10*Y10,"")</f>
        <v>74.554065107151601</v>
      </c>
      <c r="AF10" s="818">
        <f t="shared" ref="AF10:AF33" si="3">IFERROR($V10*Z10,"")</f>
        <v>62.071586653312039</v>
      </c>
      <c r="AG10" s="818">
        <f t="shared" ref="AG10:AG33" si="4">IFERROR($V10*AA10,"")</f>
        <v>0</v>
      </c>
      <c r="AH10" s="449">
        <f t="shared" ref="AH10:AH33" si="5">IFERROR($V10*AB10,"")</f>
        <v>0</v>
      </c>
      <c r="AI10" s="448">
        <f>R10*$X10</f>
        <v>50.329372026615154</v>
      </c>
      <c r="AJ10" s="805">
        <f t="shared" ref="AI10:AL14" si="6">S10*$X10</f>
        <v>150.98811607984547</v>
      </c>
      <c r="AK10" s="805">
        <f>T10*$X10</f>
        <v>150.98811607984547</v>
      </c>
      <c r="AL10" s="161">
        <f t="shared" si="6"/>
        <v>100.65874405323031</v>
      </c>
      <c r="AM10" s="448">
        <f t="shared" ref="AM10:AP14" si="7">$Y10*R10</f>
        <v>8.2837850119057332</v>
      </c>
      <c r="AN10" s="805">
        <f t="shared" si="7"/>
        <v>24.851355035717198</v>
      </c>
      <c r="AO10" s="805">
        <f t="shared" si="7"/>
        <v>24.851355035717198</v>
      </c>
      <c r="AP10" s="161">
        <f t="shared" si="7"/>
        <v>16.567570023811466</v>
      </c>
      <c r="AQ10" s="448">
        <f t="shared" ref="AQ10:AT14" si="8">$Z10*R10</f>
        <v>6.8968429614791154</v>
      </c>
      <c r="AR10" s="805">
        <f t="shared" si="8"/>
        <v>20.690528884437345</v>
      </c>
      <c r="AS10" s="805">
        <f t="shared" si="8"/>
        <v>20.690528884437345</v>
      </c>
      <c r="AT10" s="161">
        <f t="shared" si="8"/>
        <v>13.793685922958231</v>
      </c>
      <c r="AU10" s="444">
        <f>$AA10*M10</f>
        <v>0</v>
      </c>
      <c r="AV10" s="903">
        <f>$AA10*N10</f>
        <v>0</v>
      </c>
      <c r="AW10" s="903">
        <f>$AA10*O10</f>
        <v>0</v>
      </c>
      <c r="AX10" s="168">
        <f>$AA10*P10</f>
        <v>0</v>
      </c>
      <c r="AY10" s="455">
        <f>SUM(AD10:AH10)</f>
        <v>589.59</v>
      </c>
      <c r="AZ10" s="2125" t="str">
        <f t="shared" ref="AZ10:AZ52" si="9">IF(V10=AY10,"Correct","Incorrect")</f>
        <v>Correct</v>
      </c>
      <c r="BA10" s="870" t="s">
        <v>472</v>
      </c>
      <c r="BB10" s="568" t="s">
        <v>363</v>
      </c>
      <c r="BC10" s="568" t="str">
        <f>IFERROR(INDEX('Annex 2_Code'!$J$110:$J$127,MATCH('Annex 4_MoWRAM'!BA10,'Annex 2_Code'!$G$110:$G$127,0)),"")</f>
        <v>MOWRAM</v>
      </c>
      <c r="BD10" s="1209" t="str">
        <f t="shared" ref="BD10:BD14" si="10">IF(ISNUMBER(FIND("-",BC10,1))=FALSE,LEFT(BC10,LEN(BC10)),LEFT(BC10,(FIND("-",BC10,1))-1))</f>
        <v>MOWRAM</v>
      </c>
    </row>
    <row r="11" spans="1:70" s="344" customFormat="1" ht="15">
      <c r="A11" s="752" t="s">
        <v>24</v>
      </c>
      <c r="B11" s="2160" t="str">
        <f t="shared" si="0"/>
        <v>CW12</v>
      </c>
      <c r="C11" s="751" t="s">
        <v>502</v>
      </c>
      <c r="D11" s="1210"/>
      <c r="E11" s="1211" t="s">
        <v>905</v>
      </c>
      <c r="F11" s="1211"/>
      <c r="H11" s="1212"/>
      <c r="I11" s="1211"/>
      <c r="J11" s="1211"/>
      <c r="K11" s="2066" t="s">
        <v>568</v>
      </c>
      <c r="L11" s="1207">
        <v>1428</v>
      </c>
      <c r="M11" s="891">
        <v>0</v>
      </c>
      <c r="N11" s="891">
        <v>0</v>
      </c>
      <c r="O11" s="2260">
        <v>0.2</v>
      </c>
      <c r="P11" s="2260">
        <v>0.3</v>
      </c>
      <c r="Q11" s="1208">
        <f>SUM(M11:P11)</f>
        <v>0.5</v>
      </c>
      <c r="R11" s="864">
        <f t="shared" ref="R11:R14" si="11">ROUND($L11*M11,2)</f>
        <v>0</v>
      </c>
      <c r="S11" s="866">
        <f t="shared" ref="S11:S14" si="12">ROUND($L11*N11,2)</f>
        <v>0</v>
      </c>
      <c r="T11" s="866">
        <f t="shared" si="1"/>
        <v>285.60000000000002</v>
      </c>
      <c r="U11" s="866">
        <f t="shared" si="1"/>
        <v>428.4</v>
      </c>
      <c r="V11" s="861">
        <f>SUM(R11:U11)</f>
        <v>714</v>
      </c>
      <c r="W11" s="940"/>
      <c r="X11" s="746">
        <f>IFERROR(INDEX('Annex 2_Code'!I$8:I$33,MATCH('Annex 4_MoWRAM'!$BB11,'Annex 2_Code'!$G$8:$G$33,0)),"")</f>
        <v>0.76827006604510995</v>
      </c>
      <c r="Y11" s="747">
        <f>IFERROR(INDEX('Annex 2_Code'!J$8:J$33,MATCH('Annex 4_MoWRAM'!$BB11,'Annex 2_Code'!$G$8:$G$33,0)),"")</f>
        <v>0.12645069473218948</v>
      </c>
      <c r="Z11" s="747">
        <f>IFERROR(INDEX('Annex 2_Code'!K$8:K$33,MATCH('Annex 4_MoWRAM'!$BB11,'Annex 2_Code'!$G$8:$G$33,0)),"")</f>
        <v>0.10527923922270058</v>
      </c>
      <c r="AA11" s="747">
        <f>IFERROR(INDEX('Annex 2_Code'!L$8:L$33,MATCH('Annex 4_MoWRAM'!$BB11,'Annex 2_Code'!$G$8:$G$33,0)),"")</f>
        <v>0</v>
      </c>
      <c r="AB11" s="748">
        <f>IFERROR(INDEX('Annex 2_Code'!M$8:M$33,MATCH('Annex 4_MoWRAM'!$BB11,'Annex 2_Code'!$G$8:$G$33,0)),"")</f>
        <v>0</v>
      </c>
      <c r="AC11" s="941"/>
      <c r="AD11" s="447">
        <f t="shared" ref="AD11:AD33" si="13">IFERROR($V11*X11,"")</f>
        <v>548.5448271562085</v>
      </c>
      <c r="AE11" s="818">
        <f t="shared" si="2"/>
        <v>90.285796038783289</v>
      </c>
      <c r="AF11" s="818">
        <f t="shared" si="3"/>
        <v>75.169376805008213</v>
      </c>
      <c r="AG11" s="818">
        <f t="shared" si="4"/>
        <v>0</v>
      </c>
      <c r="AH11" s="449">
        <f t="shared" si="5"/>
        <v>0</v>
      </c>
      <c r="AI11" s="448">
        <f t="shared" si="6"/>
        <v>0</v>
      </c>
      <c r="AJ11" s="805">
        <f t="shared" si="6"/>
        <v>0</v>
      </c>
      <c r="AK11" s="805">
        <f t="shared" si="6"/>
        <v>219.41793086248342</v>
      </c>
      <c r="AL11" s="161">
        <f t="shared" si="6"/>
        <v>329.12689629372511</v>
      </c>
      <c r="AM11" s="448">
        <f t="shared" si="7"/>
        <v>0</v>
      </c>
      <c r="AN11" s="805">
        <f t="shared" si="7"/>
        <v>0</v>
      </c>
      <c r="AO11" s="805">
        <f t="shared" si="7"/>
        <v>36.114318415513317</v>
      </c>
      <c r="AP11" s="161">
        <f t="shared" si="7"/>
        <v>54.171477623269972</v>
      </c>
      <c r="AQ11" s="448">
        <f t="shared" si="8"/>
        <v>0</v>
      </c>
      <c r="AR11" s="805">
        <f t="shared" si="8"/>
        <v>0</v>
      </c>
      <c r="AS11" s="805">
        <f t="shared" si="8"/>
        <v>30.067750722003286</v>
      </c>
      <c r="AT11" s="161">
        <f t="shared" si="8"/>
        <v>45.101626083004923</v>
      </c>
      <c r="AU11" s="444">
        <f t="shared" ref="AU11:AU14" si="14">$AA11*M11</f>
        <v>0</v>
      </c>
      <c r="AV11" s="903">
        <f t="shared" ref="AV11:AV14" si="15">$AA11*N11</f>
        <v>0</v>
      </c>
      <c r="AW11" s="903">
        <f t="shared" ref="AW11:AW14" si="16">$AA11*O11</f>
        <v>0</v>
      </c>
      <c r="AX11" s="168">
        <f t="shared" ref="AX11:AX14" si="17">$AA11*P11</f>
        <v>0</v>
      </c>
      <c r="AY11" s="455">
        <f t="shared" ref="AY11:AY14" si="18">SUM(AD11:AH11)</f>
        <v>714</v>
      </c>
      <c r="AZ11" s="2170" t="str">
        <f t="shared" si="9"/>
        <v>Correct</v>
      </c>
      <c r="BA11" s="870" t="s">
        <v>472</v>
      </c>
      <c r="BB11" s="568" t="s">
        <v>363</v>
      </c>
      <c r="BC11" s="568" t="str">
        <f>IFERROR(INDEX('Annex 2_Code'!$J$110:$J$127,MATCH('Annex 4_MoWRAM'!BA11,'Annex 2_Code'!$G$110:$G$127,0)),"")</f>
        <v>MOWRAM</v>
      </c>
      <c r="BD11" s="1209" t="str">
        <f t="shared" si="10"/>
        <v>MOWRAM</v>
      </c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</row>
    <row r="12" spans="1:70" s="344" customFormat="1" ht="15">
      <c r="A12" s="752" t="s">
        <v>24</v>
      </c>
      <c r="B12" s="2160" t="str">
        <f t="shared" si="0"/>
        <v>CW12</v>
      </c>
      <c r="C12" s="753" t="s">
        <v>503</v>
      </c>
      <c r="D12" s="1210"/>
      <c r="E12" s="1211" t="s">
        <v>906</v>
      </c>
      <c r="F12" s="1211"/>
      <c r="H12" s="1211"/>
      <c r="I12" s="1211"/>
      <c r="J12" s="1211"/>
      <c r="K12" s="2066" t="s">
        <v>568</v>
      </c>
      <c r="L12" s="1213">
        <v>675.7</v>
      </c>
      <c r="M12" s="891">
        <v>0</v>
      </c>
      <c r="N12" s="891">
        <v>0</v>
      </c>
      <c r="O12" s="2260">
        <v>0.2</v>
      </c>
      <c r="P12" s="2260">
        <v>0.3</v>
      </c>
      <c r="Q12" s="1208">
        <f>SUM(M12:P12)</f>
        <v>0.5</v>
      </c>
      <c r="R12" s="864">
        <f t="shared" si="11"/>
        <v>0</v>
      </c>
      <c r="S12" s="866">
        <f t="shared" si="12"/>
        <v>0</v>
      </c>
      <c r="T12" s="866">
        <f t="shared" si="1"/>
        <v>135.13999999999999</v>
      </c>
      <c r="U12" s="866">
        <f t="shared" si="1"/>
        <v>202.71</v>
      </c>
      <c r="V12" s="861">
        <f>SUM(R12:U12)</f>
        <v>337.85</v>
      </c>
      <c r="W12" s="940"/>
      <c r="X12" s="746">
        <f>IFERROR(INDEX('Annex 2_Code'!I$8:I$33,MATCH('Annex 4_MoWRAM'!$BB12,'Annex 2_Code'!$G$8:$G$33,0)),"")</f>
        <v>0.76827006604510995</v>
      </c>
      <c r="Y12" s="747">
        <f>IFERROR(INDEX('Annex 2_Code'!J$8:J$33,MATCH('Annex 4_MoWRAM'!$BB12,'Annex 2_Code'!$G$8:$G$33,0)),"")</f>
        <v>0.12645069473218948</v>
      </c>
      <c r="Z12" s="747">
        <f>IFERROR(INDEX('Annex 2_Code'!K$8:K$33,MATCH('Annex 4_MoWRAM'!$BB12,'Annex 2_Code'!$G$8:$G$33,0)),"")</f>
        <v>0.10527923922270058</v>
      </c>
      <c r="AA12" s="747">
        <f>IFERROR(INDEX('Annex 2_Code'!L$8:L$33,MATCH('Annex 4_MoWRAM'!$BB12,'Annex 2_Code'!$G$8:$G$33,0)),"")</f>
        <v>0</v>
      </c>
      <c r="AB12" s="748">
        <f>IFERROR(INDEX('Annex 2_Code'!M$8:M$33,MATCH('Annex 4_MoWRAM'!$BB12,'Annex 2_Code'!$G$8:$G$33,0)),"")</f>
        <v>0</v>
      </c>
      <c r="AC12" s="941"/>
      <c r="AD12" s="447">
        <f t="shared" si="13"/>
        <v>259.56004181334043</v>
      </c>
      <c r="AE12" s="818">
        <f t="shared" si="2"/>
        <v>42.72136721527022</v>
      </c>
      <c r="AF12" s="818">
        <f t="shared" si="3"/>
        <v>35.568590971389391</v>
      </c>
      <c r="AG12" s="818">
        <f t="shared" si="4"/>
        <v>0</v>
      </c>
      <c r="AH12" s="449">
        <f t="shared" si="5"/>
        <v>0</v>
      </c>
      <c r="AI12" s="448">
        <f>R12*$X12</f>
        <v>0</v>
      </c>
      <c r="AJ12" s="805">
        <f t="shared" si="6"/>
        <v>0</v>
      </c>
      <c r="AK12" s="805">
        <f t="shared" si="6"/>
        <v>103.82401672533615</v>
      </c>
      <c r="AL12" s="161">
        <f t="shared" si="6"/>
        <v>155.73602508800425</v>
      </c>
      <c r="AM12" s="448">
        <f t="shared" si="7"/>
        <v>0</v>
      </c>
      <c r="AN12" s="805">
        <f t="shared" si="7"/>
        <v>0</v>
      </c>
      <c r="AO12" s="805">
        <f t="shared" si="7"/>
        <v>17.088546886108084</v>
      </c>
      <c r="AP12" s="161">
        <f t="shared" si="7"/>
        <v>25.632820329162129</v>
      </c>
      <c r="AQ12" s="448">
        <f t="shared" si="8"/>
        <v>0</v>
      </c>
      <c r="AR12" s="805">
        <f t="shared" si="8"/>
        <v>0</v>
      </c>
      <c r="AS12" s="805">
        <f t="shared" si="8"/>
        <v>14.227436388555754</v>
      </c>
      <c r="AT12" s="161">
        <f t="shared" si="8"/>
        <v>21.341154582833635</v>
      </c>
      <c r="AU12" s="444">
        <f t="shared" si="14"/>
        <v>0</v>
      </c>
      <c r="AV12" s="903">
        <f t="shared" si="15"/>
        <v>0</v>
      </c>
      <c r="AW12" s="903">
        <f t="shared" si="16"/>
        <v>0</v>
      </c>
      <c r="AX12" s="168">
        <f t="shared" si="17"/>
        <v>0</v>
      </c>
      <c r="AY12" s="455">
        <f t="shared" si="18"/>
        <v>337.85</v>
      </c>
      <c r="AZ12" s="2170" t="str">
        <f t="shared" si="9"/>
        <v>Correct</v>
      </c>
      <c r="BA12" s="870" t="s">
        <v>472</v>
      </c>
      <c r="BB12" s="568" t="s">
        <v>363</v>
      </c>
      <c r="BC12" s="568" t="str">
        <f>IFERROR(INDEX('Annex 2_Code'!$J$110:$J$127,MATCH('Annex 4_MoWRAM'!BA12,'Annex 2_Code'!$G$110:$G$127,0)),"")</f>
        <v>MOWRAM</v>
      </c>
      <c r="BD12" s="1209" t="str">
        <f t="shared" si="10"/>
        <v>MOWRAM</v>
      </c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</row>
    <row r="13" spans="1:70" s="344" customFormat="1" ht="15">
      <c r="A13" s="752" t="s">
        <v>24</v>
      </c>
      <c r="B13" s="2160" t="str">
        <f t="shared" si="0"/>
        <v>CW12</v>
      </c>
      <c r="C13" s="753" t="s">
        <v>505</v>
      </c>
      <c r="D13" s="1210"/>
      <c r="E13" s="1211" t="s">
        <v>907</v>
      </c>
      <c r="F13" s="1211"/>
      <c r="H13" s="1211"/>
      <c r="I13" s="1211"/>
      <c r="J13" s="1211"/>
      <c r="K13" s="2066" t="s">
        <v>568</v>
      </c>
      <c r="L13" s="1213">
        <v>2162.25</v>
      </c>
      <c r="M13" s="891">
        <v>0</v>
      </c>
      <c r="N13" s="891">
        <v>0</v>
      </c>
      <c r="O13" s="2260">
        <v>0</v>
      </c>
      <c r="P13" s="2260">
        <v>0.1</v>
      </c>
      <c r="Q13" s="1208">
        <f>SUM(M13:P13)</f>
        <v>0.1</v>
      </c>
      <c r="R13" s="864">
        <f t="shared" si="11"/>
        <v>0</v>
      </c>
      <c r="S13" s="866">
        <f t="shared" si="12"/>
        <v>0</v>
      </c>
      <c r="T13" s="866">
        <f t="shared" si="1"/>
        <v>0</v>
      </c>
      <c r="U13" s="866">
        <f t="shared" si="1"/>
        <v>216.23</v>
      </c>
      <c r="V13" s="861">
        <f>SUM(R13:U13)</f>
        <v>216.23</v>
      </c>
      <c r="W13" s="940"/>
      <c r="X13" s="746">
        <f>IFERROR(INDEX('Annex 2_Code'!I$8:I$33,MATCH('Annex 4_MoWRAM'!$BB13,'Annex 2_Code'!$G$8:$G$33,0)),"")</f>
        <v>0.76827006604510995</v>
      </c>
      <c r="Y13" s="747">
        <f>IFERROR(INDEX('Annex 2_Code'!J$8:J$33,MATCH('Annex 4_MoWRAM'!$BB13,'Annex 2_Code'!$G$8:$G$33,0)),"")</f>
        <v>0.12645069473218948</v>
      </c>
      <c r="Z13" s="747">
        <f>IFERROR(INDEX('Annex 2_Code'!K$8:K$33,MATCH('Annex 4_MoWRAM'!$BB13,'Annex 2_Code'!$G$8:$G$33,0)),"")</f>
        <v>0.10527923922270058</v>
      </c>
      <c r="AA13" s="747">
        <f>IFERROR(INDEX('Annex 2_Code'!L$8:L$33,MATCH('Annex 4_MoWRAM'!$BB13,'Annex 2_Code'!$G$8:$G$33,0)),"")</f>
        <v>0</v>
      </c>
      <c r="AB13" s="748">
        <f>IFERROR(INDEX('Annex 2_Code'!M$8:M$33,MATCH('Annex 4_MoWRAM'!$BB13,'Annex 2_Code'!$G$8:$G$33,0)),"")</f>
        <v>0</v>
      </c>
      <c r="AC13" s="941"/>
      <c r="AD13" s="447">
        <f t="shared" si="13"/>
        <v>166.12303638093411</v>
      </c>
      <c r="AE13" s="818">
        <f t="shared" si="2"/>
        <v>27.34243372194133</v>
      </c>
      <c r="AF13" s="818">
        <f t="shared" si="3"/>
        <v>22.764529897124543</v>
      </c>
      <c r="AG13" s="818">
        <f t="shared" si="4"/>
        <v>0</v>
      </c>
      <c r="AH13" s="449">
        <f t="shared" si="5"/>
        <v>0</v>
      </c>
      <c r="AI13" s="448">
        <f t="shared" ref="AI13:AI14" si="19">R13*$X13</f>
        <v>0</v>
      </c>
      <c r="AJ13" s="805">
        <f t="shared" si="6"/>
        <v>0</v>
      </c>
      <c r="AK13" s="805">
        <f t="shared" si="6"/>
        <v>0</v>
      </c>
      <c r="AL13" s="161">
        <f t="shared" si="6"/>
        <v>166.12303638093411</v>
      </c>
      <c r="AM13" s="448">
        <f t="shared" si="7"/>
        <v>0</v>
      </c>
      <c r="AN13" s="805">
        <f t="shared" si="7"/>
        <v>0</v>
      </c>
      <c r="AO13" s="805">
        <f t="shared" si="7"/>
        <v>0</v>
      </c>
      <c r="AP13" s="161">
        <f t="shared" si="7"/>
        <v>27.34243372194133</v>
      </c>
      <c r="AQ13" s="448">
        <f t="shared" si="8"/>
        <v>0</v>
      </c>
      <c r="AR13" s="805">
        <f t="shared" si="8"/>
        <v>0</v>
      </c>
      <c r="AS13" s="805">
        <f t="shared" si="8"/>
        <v>0</v>
      </c>
      <c r="AT13" s="161">
        <f t="shared" si="8"/>
        <v>22.764529897124543</v>
      </c>
      <c r="AU13" s="444">
        <f t="shared" si="14"/>
        <v>0</v>
      </c>
      <c r="AV13" s="903">
        <f t="shared" si="15"/>
        <v>0</v>
      </c>
      <c r="AW13" s="903">
        <f t="shared" si="16"/>
        <v>0</v>
      </c>
      <c r="AX13" s="168">
        <f t="shared" si="17"/>
        <v>0</v>
      </c>
      <c r="AY13" s="455">
        <f t="shared" si="18"/>
        <v>216.22999999999996</v>
      </c>
      <c r="AZ13" s="2170" t="str">
        <f t="shared" si="9"/>
        <v>Correct</v>
      </c>
      <c r="BA13" s="870" t="s">
        <v>472</v>
      </c>
      <c r="BB13" s="568" t="s">
        <v>363</v>
      </c>
      <c r="BC13" s="568" t="str">
        <f>IFERROR(INDEX('Annex 2_Code'!$J$110:$J$127,MATCH('Annex 4_MoWRAM'!BA13,'Annex 2_Code'!$G$110:$G$127,0)),"")</f>
        <v>MOWRAM</v>
      </c>
      <c r="BD13" s="1209" t="str">
        <f t="shared" si="10"/>
        <v>MOWRAM</v>
      </c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</row>
    <row r="14" spans="1:70" s="344" customFormat="1" ht="15">
      <c r="A14" s="752" t="s">
        <v>24</v>
      </c>
      <c r="B14" s="2160" t="str">
        <f t="shared" si="0"/>
        <v>CW12</v>
      </c>
      <c r="C14" s="753" t="s">
        <v>529</v>
      </c>
      <c r="D14" s="1210"/>
      <c r="E14" s="1211" t="s">
        <v>908</v>
      </c>
      <c r="F14" s="1211"/>
      <c r="H14" s="1211"/>
      <c r="I14" s="1211"/>
      <c r="J14" s="1211"/>
      <c r="K14" s="2066" t="s">
        <v>568</v>
      </c>
      <c r="L14" s="1213">
        <v>1795</v>
      </c>
      <c r="M14" s="891">
        <v>0</v>
      </c>
      <c r="N14" s="891">
        <v>0</v>
      </c>
      <c r="O14" s="2260">
        <v>0</v>
      </c>
      <c r="P14" s="2260">
        <v>0.1</v>
      </c>
      <c r="Q14" s="1208">
        <f>SUM(M14:P14)</f>
        <v>0.1</v>
      </c>
      <c r="R14" s="864">
        <f t="shared" si="11"/>
        <v>0</v>
      </c>
      <c r="S14" s="866">
        <f t="shared" si="12"/>
        <v>0</v>
      </c>
      <c r="T14" s="866">
        <f t="shared" si="1"/>
        <v>0</v>
      </c>
      <c r="U14" s="866">
        <f t="shared" si="1"/>
        <v>179.5</v>
      </c>
      <c r="V14" s="861">
        <f>SUM(R14:U14)</f>
        <v>179.5</v>
      </c>
      <c r="W14" s="940"/>
      <c r="X14" s="746">
        <f>IFERROR(INDEX('Annex 2_Code'!I$8:I$33,MATCH('Annex 4_MoWRAM'!$BB14,'Annex 2_Code'!$G$8:$G$33,0)),"")</f>
        <v>0.76827006604510995</v>
      </c>
      <c r="Y14" s="747">
        <f>IFERROR(INDEX('Annex 2_Code'!J$8:J$33,MATCH('Annex 4_MoWRAM'!$BB14,'Annex 2_Code'!$G$8:$G$33,0)),"")</f>
        <v>0.12645069473218948</v>
      </c>
      <c r="Z14" s="747">
        <f>IFERROR(INDEX('Annex 2_Code'!K$8:K$33,MATCH('Annex 4_MoWRAM'!$BB14,'Annex 2_Code'!$G$8:$G$33,0)),"")</f>
        <v>0.10527923922270058</v>
      </c>
      <c r="AA14" s="747">
        <f>IFERROR(INDEX('Annex 2_Code'!L$8:L$33,MATCH('Annex 4_MoWRAM'!$BB14,'Annex 2_Code'!$G$8:$G$33,0)),"")</f>
        <v>0</v>
      </c>
      <c r="AB14" s="748">
        <f>IFERROR(INDEX('Annex 2_Code'!M$8:M$33,MATCH('Annex 4_MoWRAM'!$BB14,'Annex 2_Code'!$G$8:$G$33,0)),"")</f>
        <v>0</v>
      </c>
      <c r="AC14" s="941"/>
      <c r="AD14" s="447">
        <f t="shared" si="13"/>
        <v>137.90447685509724</v>
      </c>
      <c r="AE14" s="818">
        <f t="shared" si="2"/>
        <v>22.697899704428011</v>
      </c>
      <c r="AF14" s="818">
        <f t="shared" si="3"/>
        <v>18.897623440474753</v>
      </c>
      <c r="AG14" s="818">
        <f t="shared" si="4"/>
        <v>0</v>
      </c>
      <c r="AH14" s="449">
        <f t="shared" si="5"/>
        <v>0</v>
      </c>
      <c r="AI14" s="448">
        <f t="shared" si="19"/>
        <v>0</v>
      </c>
      <c r="AJ14" s="805">
        <f t="shared" si="6"/>
        <v>0</v>
      </c>
      <c r="AK14" s="805">
        <f t="shared" si="6"/>
        <v>0</v>
      </c>
      <c r="AL14" s="161">
        <f t="shared" si="6"/>
        <v>137.90447685509724</v>
      </c>
      <c r="AM14" s="448">
        <f t="shared" si="7"/>
        <v>0</v>
      </c>
      <c r="AN14" s="805">
        <f t="shared" si="7"/>
        <v>0</v>
      </c>
      <c r="AO14" s="805">
        <f t="shared" si="7"/>
        <v>0</v>
      </c>
      <c r="AP14" s="161">
        <f t="shared" si="7"/>
        <v>22.697899704428011</v>
      </c>
      <c r="AQ14" s="448">
        <f t="shared" si="8"/>
        <v>0</v>
      </c>
      <c r="AR14" s="805">
        <f t="shared" si="8"/>
        <v>0</v>
      </c>
      <c r="AS14" s="805">
        <f t="shared" si="8"/>
        <v>0</v>
      </c>
      <c r="AT14" s="161">
        <f t="shared" si="8"/>
        <v>18.897623440474753</v>
      </c>
      <c r="AU14" s="444">
        <f t="shared" si="14"/>
        <v>0</v>
      </c>
      <c r="AV14" s="903">
        <f t="shared" si="15"/>
        <v>0</v>
      </c>
      <c r="AW14" s="903">
        <f t="shared" si="16"/>
        <v>0</v>
      </c>
      <c r="AX14" s="168">
        <f t="shared" si="17"/>
        <v>0</v>
      </c>
      <c r="AY14" s="455">
        <f t="shared" si="18"/>
        <v>179.5</v>
      </c>
      <c r="AZ14" s="2170" t="str">
        <f t="shared" si="9"/>
        <v>Correct</v>
      </c>
      <c r="BA14" s="870" t="s">
        <v>472</v>
      </c>
      <c r="BB14" s="568" t="s">
        <v>363</v>
      </c>
      <c r="BC14" s="568" t="str">
        <f>IFERROR(INDEX('Annex 2_Code'!$J$110:$J$127,MATCH('Annex 4_MoWRAM'!BA14,'Annex 2_Code'!$G$110:$G$127,0)),"")</f>
        <v>MOWRAM</v>
      </c>
      <c r="BD14" s="1209" t="str">
        <f t="shared" si="10"/>
        <v>MOWRAM</v>
      </c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</row>
    <row r="15" spans="1:70" s="344" customFormat="1" ht="15">
      <c r="A15" s="752"/>
      <c r="B15" s="2160" t="str">
        <f t="shared" ref="B15:B37" si="20">IF(ISNUMBER(FIND("-",C15,1))=FALSE,LEFT(C15,LEN(C15)),LEFT(C15,(FIND("-",C15,1))-1))</f>
        <v/>
      </c>
      <c r="C15" s="753"/>
      <c r="D15" s="452"/>
      <c r="E15" s="30"/>
      <c r="F15" s="30"/>
      <c r="G15" s="30"/>
      <c r="H15" s="30"/>
      <c r="I15" s="30"/>
      <c r="J15" s="30"/>
      <c r="K15" s="2067"/>
      <c r="L15" s="331"/>
      <c r="M15" s="890"/>
      <c r="N15" s="891"/>
      <c r="O15" s="892"/>
      <c r="P15" s="892"/>
      <c r="Q15" s="893"/>
      <c r="R15" s="864"/>
      <c r="S15" s="866"/>
      <c r="T15" s="866"/>
      <c r="U15" s="866"/>
      <c r="V15" s="861"/>
      <c r="W15" s="940"/>
      <c r="X15" s="746"/>
      <c r="Y15" s="747"/>
      <c r="Z15" s="747"/>
      <c r="AA15" s="747"/>
      <c r="AB15" s="748"/>
      <c r="AC15" s="941"/>
      <c r="AD15" s="447"/>
      <c r="AE15" s="818"/>
      <c r="AF15" s="818"/>
      <c r="AG15" s="818"/>
      <c r="AH15" s="449"/>
      <c r="AI15" s="805"/>
      <c r="AJ15" s="805"/>
      <c r="AK15" s="805"/>
      <c r="AL15" s="805"/>
      <c r="AM15" s="448"/>
      <c r="AN15" s="805"/>
      <c r="AO15" s="805"/>
      <c r="AP15" s="161"/>
      <c r="AQ15" s="805"/>
      <c r="AR15" s="805"/>
      <c r="AS15" s="805"/>
      <c r="AT15" s="805"/>
      <c r="AU15" s="444"/>
      <c r="AV15" s="903"/>
      <c r="AW15" s="903"/>
      <c r="AX15" s="168"/>
      <c r="AY15" s="2126"/>
      <c r="AZ15" s="2170"/>
      <c r="BA15" s="870"/>
      <c r="BB15" s="568"/>
      <c r="BC15" s="568"/>
      <c r="BD15" s="600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</row>
    <row r="16" spans="1:70" s="64" customFormat="1" ht="15">
      <c r="A16" s="2161" t="str">
        <f>IF(ISNUMBER(FIND("-",B16,1))=FALSE,LEFT(B16,LEN(B16)),LEFT(B16,(FIND("-",B16,1))-1))</f>
        <v/>
      </c>
      <c r="B16" s="2162" t="str">
        <f t="shared" si="20"/>
        <v/>
      </c>
      <c r="C16" s="754"/>
      <c r="D16" s="442" t="s">
        <v>263</v>
      </c>
      <c r="E16" s="443"/>
      <c r="F16" s="443"/>
      <c r="G16" s="443"/>
      <c r="H16" s="443"/>
      <c r="I16" s="443"/>
      <c r="J16" s="443"/>
      <c r="K16" s="2065"/>
      <c r="L16" s="2065"/>
      <c r="M16" s="341"/>
      <c r="N16" s="63"/>
      <c r="O16" s="863"/>
      <c r="P16" s="863"/>
      <c r="Q16" s="342"/>
      <c r="R16" s="864"/>
      <c r="S16" s="866"/>
      <c r="T16" s="866"/>
      <c r="U16" s="866"/>
      <c r="V16" s="861"/>
      <c r="W16" s="865"/>
      <c r="X16" s="746" t="str">
        <f>IFERROR(INDEX('Annex 2_Code'!I$8:I$33,MATCH('Annex 4_MoWRAM'!$BB16,'Annex 2_Code'!$G$8:$G$33,0)),"")</f>
        <v/>
      </c>
      <c r="Y16" s="747" t="str">
        <f>IFERROR(INDEX('Annex 2_Code'!J$8:J$33,MATCH('Annex 4_MoWRAM'!$BB16,'Annex 2_Code'!$G$8:$G$33,0)),"")</f>
        <v/>
      </c>
      <c r="Z16" s="747" t="str">
        <f>IFERROR(INDEX('Annex 2_Code'!K$8:K$33,MATCH('Annex 4_MoWRAM'!$BB16,'Annex 2_Code'!$G$8:$G$33,0)),"")</f>
        <v/>
      </c>
      <c r="AA16" s="747" t="str">
        <f>IFERROR(INDEX('Annex 2_Code'!L$8:L$33,MATCH('Annex 4_MoWRAM'!$BB16,'Annex 2_Code'!$G$8:$G$33,0)),"")</f>
        <v/>
      </c>
      <c r="AB16" s="748" t="str">
        <f>IFERROR(INDEX('Annex 2_Code'!M$8:M$33,MATCH('Annex 4_MoWRAM'!$BB16,'Annex 2_Code'!$G$8:$G$33,0)),"")</f>
        <v/>
      </c>
      <c r="AC16" s="863"/>
      <c r="AD16" s="447"/>
      <c r="AE16" s="818"/>
      <c r="AF16" s="818"/>
      <c r="AG16" s="818"/>
      <c r="AH16" s="449"/>
      <c r="AI16" s="903"/>
      <c r="AJ16" s="903"/>
      <c r="AK16" s="903"/>
      <c r="AL16" s="903"/>
      <c r="AM16" s="444"/>
      <c r="AN16" s="903"/>
      <c r="AO16" s="903"/>
      <c r="AP16" s="168"/>
      <c r="AQ16" s="903"/>
      <c r="AR16" s="903"/>
      <c r="AS16" s="903"/>
      <c r="AT16" s="903"/>
      <c r="AU16" s="444"/>
      <c r="AV16" s="903"/>
      <c r="AW16" s="903"/>
      <c r="AX16" s="168"/>
      <c r="AY16" s="2126"/>
      <c r="AZ16" s="2170"/>
      <c r="BA16" s="870"/>
      <c r="BB16" s="568"/>
      <c r="BC16" s="568" t="str">
        <f>IFERROR(INDEX('Annex 2_Code'!$J$110:$J$127,MATCH('Annex 4_MoWRAM'!BA16,'Annex 2_Code'!$G$110:$G$127,0)),"")</f>
        <v/>
      </c>
      <c r="BD16" s="600" t="str">
        <f t="shared" ref="BD16:BD28" si="21">IF(ISNUMBER(FIND("-",BC16,1))=FALSE,LEFT(BC16,LEN(BC16)),LEFT(BC16,(FIND("-",BC16,1))-1))</f>
        <v/>
      </c>
    </row>
    <row r="17" spans="1:56" s="64" customFormat="1" ht="15">
      <c r="A17" s="752" t="s">
        <v>24</v>
      </c>
      <c r="B17" s="2160" t="str">
        <f t="shared" si="20"/>
        <v>CW15</v>
      </c>
      <c r="C17" s="751" t="s">
        <v>508</v>
      </c>
      <c r="D17" s="1214"/>
      <c r="E17" s="901" t="s">
        <v>909</v>
      </c>
      <c r="F17" s="901"/>
      <c r="H17" s="901"/>
      <c r="I17" s="901"/>
      <c r="J17" s="901"/>
      <c r="K17" s="2066" t="s">
        <v>568</v>
      </c>
      <c r="L17" s="1207">
        <v>1245.8</v>
      </c>
      <c r="M17" s="891">
        <v>0</v>
      </c>
      <c r="N17" s="2261">
        <v>0.1</v>
      </c>
      <c r="O17" s="2262">
        <v>0.4</v>
      </c>
      <c r="P17" s="2262">
        <v>0.3</v>
      </c>
      <c r="Q17" s="1208">
        <f>SUM(M17:P17)</f>
        <v>0.8</v>
      </c>
      <c r="R17" s="864">
        <f>ROUND($L17*M17,2)</f>
        <v>0</v>
      </c>
      <c r="S17" s="866">
        <f t="shared" ref="S17:U21" si="22">ROUND($L17*N17,2)</f>
        <v>124.58</v>
      </c>
      <c r="T17" s="866">
        <f t="shared" si="22"/>
        <v>498.32</v>
      </c>
      <c r="U17" s="866">
        <f t="shared" si="22"/>
        <v>373.74</v>
      </c>
      <c r="V17" s="861">
        <f>SUM(R17:U17)</f>
        <v>996.64</v>
      </c>
      <c r="W17" s="865"/>
      <c r="X17" s="746">
        <f>IFERROR(INDEX('Annex 2_Code'!I$8:I$33,MATCH('Annex 4_MoWRAM'!$BB17,'Annex 2_Code'!$G$8:$G$33,0)),"")</f>
        <v>0.76827006604510995</v>
      </c>
      <c r="Y17" s="747">
        <f>IFERROR(INDEX('Annex 2_Code'!J$8:J$33,MATCH('Annex 4_MoWRAM'!$BB17,'Annex 2_Code'!$G$8:$G$33,0)),"")</f>
        <v>0.12645069473218948</v>
      </c>
      <c r="Z17" s="747">
        <f>IFERROR(INDEX('Annex 2_Code'!K$8:K$33,MATCH('Annex 4_MoWRAM'!$BB17,'Annex 2_Code'!$G$8:$G$33,0)),"")</f>
        <v>0.10527923922270058</v>
      </c>
      <c r="AA17" s="747">
        <f>IFERROR(INDEX('Annex 2_Code'!L$8:L$33,MATCH('Annex 4_MoWRAM'!$BB17,'Annex 2_Code'!$G$8:$G$33,0)),"")</f>
        <v>0</v>
      </c>
      <c r="AB17" s="748">
        <f>IFERROR(INDEX('Annex 2_Code'!M$8:M$33,MATCH('Annex 4_MoWRAM'!$BB17,'Annex 2_Code'!$G$8:$G$33,0)),"")</f>
        <v>0</v>
      </c>
      <c r="AC17" s="863"/>
      <c r="AD17" s="447">
        <f t="shared" si="13"/>
        <v>765.68867862319837</v>
      </c>
      <c r="AE17" s="818">
        <f t="shared" si="2"/>
        <v>126.02582039788932</v>
      </c>
      <c r="AF17" s="818">
        <f t="shared" si="3"/>
        <v>104.9255009789123</v>
      </c>
      <c r="AG17" s="818">
        <f t="shared" si="4"/>
        <v>0</v>
      </c>
      <c r="AH17" s="449">
        <f t="shared" si="5"/>
        <v>0</v>
      </c>
      <c r="AI17" s="448">
        <f t="shared" ref="AI17:AL21" si="23">R17*$X17</f>
        <v>0</v>
      </c>
      <c r="AJ17" s="805">
        <f t="shared" si="23"/>
        <v>95.711084827899796</v>
      </c>
      <c r="AK17" s="805">
        <f t="shared" si="23"/>
        <v>382.84433931159919</v>
      </c>
      <c r="AL17" s="161">
        <f t="shared" si="23"/>
        <v>287.13325448369937</v>
      </c>
      <c r="AM17" s="448">
        <f t="shared" ref="AM17:AP21" si="24">$Y17*R17</f>
        <v>0</v>
      </c>
      <c r="AN17" s="805">
        <f t="shared" si="24"/>
        <v>15.753227549736165</v>
      </c>
      <c r="AO17" s="805">
        <f t="shared" si="24"/>
        <v>63.01291019894466</v>
      </c>
      <c r="AP17" s="161">
        <f t="shared" si="24"/>
        <v>47.2596826492085</v>
      </c>
      <c r="AQ17" s="448">
        <f t="shared" ref="AQ17:AT21" si="25">$Z17*R17</f>
        <v>0</v>
      </c>
      <c r="AR17" s="805">
        <f t="shared" si="25"/>
        <v>13.115687622364037</v>
      </c>
      <c r="AS17" s="805">
        <f t="shared" si="25"/>
        <v>52.462750489456148</v>
      </c>
      <c r="AT17" s="161">
        <f t="shared" si="25"/>
        <v>39.347062867092113</v>
      </c>
      <c r="AU17" s="444">
        <f>$AA17*M17</f>
        <v>0</v>
      </c>
      <c r="AV17" s="903">
        <f>$AA17*N17</f>
        <v>0</v>
      </c>
      <c r="AW17" s="903">
        <f>$AA17*O17</f>
        <v>0</v>
      </c>
      <c r="AX17" s="168">
        <f>$AA17*P17</f>
        <v>0</v>
      </c>
      <c r="AY17" s="455">
        <f t="shared" ref="AY17:AY21" si="26">SUM(AD17:AH17)</f>
        <v>996.64</v>
      </c>
      <c r="AZ17" s="2170" t="str">
        <f t="shared" si="9"/>
        <v>Correct</v>
      </c>
      <c r="BA17" s="870" t="s">
        <v>472</v>
      </c>
      <c r="BB17" s="568" t="s">
        <v>363</v>
      </c>
      <c r="BC17" s="568" t="str">
        <f>IFERROR(INDEX('Annex 2_Code'!$J$110:$J$127,MATCH('Annex 4_MoWRAM'!BA17,'Annex 2_Code'!$G$110:$G$127,0)),"")</f>
        <v>MOWRAM</v>
      </c>
      <c r="BD17" s="600" t="str">
        <f t="shared" si="21"/>
        <v>MOWRAM</v>
      </c>
    </row>
    <row r="18" spans="1:56" s="64" customFormat="1" ht="15">
      <c r="A18" s="752" t="s">
        <v>24</v>
      </c>
      <c r="B18" s="2160" t="str">
        <f t="shared" si="20"/>
        <v>CW15</v>
      </c>
      <c r="C18" s="751" t="s">
        <v>509</v>
      </c>
      <c r="D18" s="1210"/>
      <c r="E18" s="1211" t="s">
        <v>910</v>
      </c>
      <c r="F18" s="1211"/>
      <c r="H18" s="1211"/>
      <c r="I18" s="1211"/>
      <c r="J18" s="1211"/>
      <c r="K18" s="2066" t="s">
        <v>568</v>
      </c>
      <c r="L18" s="1207">
        <v>448.20000000000005</v>
      </c>
      <c r="M18" s="891">
        <v>0</v>
      </c>
      <c r="N18" s="2261">
        <v>0.1</v>
      </c>
      <c r="O18" s="2262">
        <v>0.4</v>
      </c>
      <c r="P18" s="2262">
        <v>0.3</v>
      </c>
      <c r="Q18" s="1208">
        <f>SUM(M18:P18)</f>
        <v>0.8</v>
      </c>
      <c r="R18" s="864">
        <f t="shared" ref="R18:R21" si="27">ROUND($L18*M18,2)</f>
        <v>0</v>
      </c>
      <c r="S18" s="866">
        <f t="shared" si="22"/>
        <v>44.82</v>
      </c>
      <c r="T18" s="866">
        <f t="shared" si="22"/>
        <v>179.28</v>
      </c>
      <c r="U18" s="866">
        <f t="shared" si="22"/>
        <v>134.46</v>
      </c>
      <c r="V18" s="861">
        <f>SUM(R18:U18)</f>
        <v>358.56</v>
      </c>
      <c r="W18" s="940"/>
      <c r="X18" s="746">
        <f>IFERROR(INDEX('Annex 2_Code'!I$8:I$33,MATCH('Annex 4_MoWRAM'!$BB18,'Annex 2_Code'!$G$8:$G$33,0)),"")</f>
        <v>0.76827006604510995</v>
      </c>
      <c r="Y18" s="747">
        <f>IFERROR(INDEX('Annex 2_Code'!J$8:J$33,MATCH('Annex 4_MoWRAM'!$BB18,'Annex 2_Code'!$G$8:$G$33,0)),"")</f>
        <v>0.12645069473218948</v>
      </c>
      <c r="Z18" s="747">
        <f>IFERROR(INDEX('Annex 2_Code'!K$8:K$33,MATCH('Annex 4_MoWRAM'!$BB18,'Annex 2_Code'!$G$8:$G$33,0)),"")</f>
        <v>0.10527923922270058</v>
      </c>
      <c r="AA18" s="747">
        <f>IFERROR(INDEX('Annex 2_Code'!L$8:L$33,MATCH('Annex 4_MoWRAM'!$BB18,'Annex 2_Code'!$G$8:$G$33,0)),"")</f>
        <v>0</v>
      </c>
      <c r="AB18" s="748">
        <f>IFERROR(INDEX('Annex 2_Code'!M$8:M$33,MATCH('Annex 4_MoWRAM'!$BB18,'Annex 2_Code'!$G$8:$G$33,0)),"")</f>
        <v>0</v>
      </c>
      <c r="AC18" s="941"/>
      <c r="AD18" s="447">
        <f t="shared" si="13"/>
        <v>275.4709148811346</v>
      </c>
      <c r="AE18" s="818">
        <f t="shared" si="2"/>
        <v>45.340161103173863</v>
      </c>
      <c r="AF18" s="818">
        <f t="shared" si="3"/>
        <v>37.748924015691522</v>
      </c>
      <c r="AG18" s="818">
        <f t="shared" si="4"/>
        <v>0</v>
      </c>
      <c r="AH18" s="449">
        <f t="shared" si="5"/>
        <v>0</v>
      </c>
      <c r="AI18" s="448">
        <f t="shared" si="23"/>
        <v>0</v>
      </c>
      <c r="AJ18" s="805">
        <f t="shared" si="23"/>
        <v>34.433864360141826</v>
      </c>
      <c r="AK18" s="805">
        <f t="shared" si="23"/>
        <v>137.7354574405673</v>
      </c>
      <c r="AL18" s="161">
        <f t="shared" si="23"/>
        <v>103.30159308042549</v>
      </c>
      <c r="AM18" s="448">
        <f t="shared" si="24"/>
        <v>0</v>
      </c>
      <c r="AN18" s="805">
        <f t="shared" si="24"/>
        <v>5.6675201378967328</v>
      </c>
      <c r="AO18" s="805">
        <f t="shared" si="24"/>
        <v>22.670080551586931</v>
      </c>
      <c r="AP18" s="161">
        <f t="shared" si="24"/>
        <v>17.002560413690198</v>
      </c>
      <c r="AQ18" s="448">
        <f t="shared" si="25"/>
        <v>0</v>
      </c>
      <c r="AR18" s="805">
        <f t="shared" si="25"/>
        <v>4.7186155019614402</v>
      </c>
      <c r="AS18" s="805">
        <f t="shared" si="25"/>
        <v>18.874462007845761</v>
      </c>
      <c r="AT18" s="161">
        <f t="shared" si="25"/>
        <v>14.15584650588432</v>
      </c>
      <c r="AU18" s="444">
        <f t="shared" ref="AU18:AU21" si="28">$AA18*M18</f>
        <v>0</v>
      </c>
      <c r="AV18" s="903">
        <f t="shared" ref="AV18:AV21" si="29">$AA18*N18</f>
        <v>0</v>
      </c>
      <c r="AW18" s="903">
        <f t="shared" ref="AW18:AW21" si="30">$AA18*O18</f>
        <v>0</v>
      </c>
      <c r="AX18" s="168">
        <f t="shared" ref="AX18:AX21" si="31">$AA18*P18</f>
        <v>0</v>
      </c>
      <c r="AY18" s="455">
        <f t="shared" si="26"/>
        <v>358.55999999999995</v>
      </c>
      <c r="AZ18" s="2170" t="str">
        <f t="shared" si="9"/>
        <v>Correct</v>
      </c>
      <c r="BA18" s="870" t="s">
        <v>472</v>
      </c>
      <c r="BB18" s="568" t="s">
        <v>363</v>
      </c>
      <c r="BC18" s="568" t="str">
        <f>IFERROR(INDEX('Annex 2_Code'!$J$110:$J$127,MATCH('Annex 4_MoWRAM'!BA18,'Annex 2_Code'!$G$110:$G$127,0)),"")</f>
        <v>MOWRAM</v>
      </c>
      <c r="BD18" s="600" t="str">
        <f t="shared" si="21"/>
        <v>MOWRAM</v>
      </c>
    </row>
    <row r="19" spans="1:56" s="64" customFormat="1" ht="15">
      <c r="A19" s="1924" t="s">
        <v>24</v>
      </c>
      <c r="B19" s="1924" t="str">
        <f t="shared" si="20"/>
        <v>CW15</v>
      </c>
      <c r="C19" s="1925" t="s">
        <v>911</v>
      </c>
      <c r="D19" s="1210"/>
      <c r="E19" s="1211" t="s">
        <v>912</v>
      </c>
      <c r="F19" s="1211"/>
      <c r="H19" s="1211"/>
      <c r="I19" s="1211"/>
      <c r="J19" s="1211"/>
      <c r="K19" s="2066" t="s">
        <v>568</v>
      </c>
      <c r="L19" s="1207">
        <v>768.14200000000005</v>
      </c>
      <c r="M19" s="891">
        <v>0</v>
      </c>
      <c r="N19" s="2261">
        <v>0</v>
      </c>
      <c r="O19" s="2262">
        <v>0.3</v>
      </c>
      <c r="P19" s="2262">
        <v>0.5</v>
      </c>
      <c r="Q19" s="1208">
        <f>SUM(M19:P19)</f>
        <v>0.8</v>
      </c>
      <c r="R19" s="864">
        <f t="shared" si="27"/>
        <v>0</v>
      </c>
      <c r="S19" s="866">
        <f t="shared" si="22"/>
        <v>0</v>
      </c>
      <c r="T19" s="866">
        <f t="shared" si="22"/>
        <v>230.44</v>
      </c>
      <c r="U19" s="866">
        <f t="shared" si="22"/>
        <v>384.07</v>
      </c>
      <c r="V19" s="861">
        <f>SUM(R19:U19)</f>
        <v>614.51</v>
      </c>
      <c r="W19" s="940"/>
      <c r="X19" s="746">
        <f>IFERROR(INDEX('Annex 2_Code'!I$8:I$33,MATCH('Annex 4_MoWRAM'!$BB19,'Annex 2_Code'!$G$8:$G$33,0)),"")</f>
        <v>0.76827006604510995</v>
      </c>
      <c r="Y19" s="747">
        <f>IFERROR(INDEX('Annex 2_Code'!J$8:J$33,MATCH('Annex 4_MoWRAM'!$BB19,'Annex 2_Code'!$G$8:$G$33,0)),"")</f>
        <v>0.12645069473218948</v>
      </c>
      <c r="Z19" s="747">
        <f>IFERROR(INDEX('Annex 2_Code'!K$8:K$33,MATCH('Annex 4_MoWRAM'!$BB19,'Annex 2_Code'!$G$8:$G$33,0)),"")</f>
        <v>0.10527923922270058</v>
      </c>
      <c r="AA19" s="747">
        <f>IFERROR(INDEX('Annex 2_Code'!L$8:L$33,MATCH('Annex 4_MoWRAM'!$BB19,'Annex 2_Code'!$G$8:$G$33,0)),"")</f>
        <v>0</v>
      </c>
      <c r="AB19" s="748">
        <f>IFERROR(INDEX('Annex 2_Code'!M$8:M$33,MATCH('Annex 4_MoWRAM'!$BB19,'Annex 2_Code'!$G$8:$G$33,0)),"")</f>
        <v>0</v>
      </c>
      <c r="AC19" s="941"/>
      <c r="AD19" s="447">
        <f t="shared" si="13"/>
        <v>472.10963828538053</v>
      </c>
      <c r="AE19" s="818">
        <f t="shared" si="2"/>
        <v>77.705216419877758</v>
      </c>
      <c r="AF19" s="818">
        <f t="shared" si="3"/>
        <v>64.695145294741735</v>
      </c>
      <c r="AG19" s="818">
        <f t="shared" si="4"/>
        <v>0</v>
      </c>
      <c r="AH19" s="449">
        <f t="shared" si="5"/>
        <v>0</v>
      </c>
      <c r="AI19" s="448">
        <f t="shared" si="23"/>
        <v>0</v>
      </c>
      <c r="AJ19" s="805">
        <f t="shared" si="23"/>
        <v>0</v>
      </c>
      <c r="AK19" s="805">
        <f t="shared" si="23"/>
        <v>177.04015401943514</v>
      </c>
      <c r="AL19" s="161">
        <f t="shared" si="23"/>
        <v>295.06948426594539</v>
      </c>
      <c r="AM19" s="448">
        <f t="shared" si="24"/>
        <v>0</v>
      </c>
      <c r="AN19" s="805">
        <f t="shared" si="24"/>
        <v>0</v>
      </c>
      <c r="AO19" s="805">
        <f t="shared" si="24"/>
        <v>29.139298094085742</v>
      </c>
      <c r="AP19" s="161">
        <f t="shared" si="24"/>
        <v>48.565918325792012</v>
      </c>
      <c r="AQ19" s="448">
        <f t="shared" si="25"/>
        <v>0</v>
      </c>
      <c r="AR19" s="805">
        <f t="shared" si="25"/>
        <v>0</v>
      </c>
      <c r="AS19" s="805">
        <f t="shared" si="25"/>
        <v>24.26054788647912</v>
      </c>
      <c r="AT19" s="161">
        <f t="shared" si="25"/>
        <v>40.434597408262611</v>
      </c>
      <c r="AU19" s="444">
        <f t="shared" si="28"/>
        <v>0</v>
      </c>
      <c r="AV19" s="903">
        <f t="shared" si="29"/>
        <v>0</v>
      </c>
      <c r="AW19" s="903">
        <f t="shared" si="30"/>
        <v>0</v>
      </c>
      <c r="AX19" s="168">
        <f t="shared" si="31"/>
        <v>0</v>
      </c>
      <c r="AY19" s="455">
        <f t="shared" si="26"/>
        <v>614.51</v>
      </c>
      <c r="AZ19" s="2170" t="str">
        <f t="shared" si="9"/>
        <v>Correct</v>
      </c>
      <c r="BA19" s="870" t="s">
        <v>472</v>
      </c>
      <c r="BB19" s="568" t="s">
        <v>363</v>
      </c>
      <c r="BC19" s="568" t="str">
        <f>IFERROR(INDEX('Annex 2_Code'!$J$110:$J$127,MATCH('Annex 4_MoWRAM'!BA19,'Annex 2_Code'!$G$110:$G$127,0)),"")</f>
        <v>MOWRAM</v>
      </c>
      <c r="BD19" s="600" t="str">
        <f t="shared" si="21"/>
        <v>MOWRAM</v>
      </c>
    </row>
    <row r="20" spans="1:56" s="64" customFormat="1" ht="15">
      <c r="A20" s="1924" t="s">
        <v>24</v>
      </c>
      <c r="B20" s="1924" t="str">
        <f t="shared" si="20"/>
        <v>CW15</v>
      </c>
      <c r="C20" s="1925" t="s">
        <v>913</v>
      </c>
      <c r="D20" s="1210"/>
      <c r="E20" s="1211" t="s">
        <v>914</v>
      </c>
      <c r="F20" s="1211"/>
      <c r="H20" s="1211"/>
      <c r="I20" s="1211"/>
      <c r="J20" s="1211"/>
      <c r="K20" s="2066" t="s">
        <v>568</v>
      </c>
      <c r="L20" s="1207">
        <v>1267</v>
      </c>
      <c r="M20" s="891">
        <v>0</v>
      </c>
      <c r="N20" s="2261">
        <v>0</v>
      </c>
      <c r="O20" s="2262">
        <v>0.3</v>
      </c>
      <c r="P20" s="2262">
        <v>0.5</v>
      </c>
      <c r="Q20" s="1208">
        <f>SUM(M20:P20)</f>
        <v>0.8</v>
      </c>
      <c r="R20" s="864">
        <f t="shared" si="27"/>
        <v>0</v>
      </c>
      <c r="S20" s="866">
        <f t="shared" si="22"/>
        <v>0</v>
      </c>
      <c r="T20" s="866">
        <f t="shared" si="22"/>
        <v>380.1</v>
      </c>
      <c r="U20" s="866">
        <f t="shared" si="22"/>
        <v>633.5</v>
      </c>
      <c r="V20" s="861">
        <f>SUM(R20:U20)</f>
        <v>1013.6</v>
      </c>
      <c r="W20" s="940"/>
      <c r="X20" s="746">
        <f>IFERROR(INDEX('Annex 2_Code'!I$8:I$33,MATCH('Annex 4_MoWRAM'!$BB20,'Annex 2_Code'!$G$8:$G$33,0)),"")</f>
        <v>0.76827006604510995</v>
      </c>
      <c r="Y20" s="747">
        <f>IFERROR(INDEX('Annex 2_Code'!J$8:J$33,MATCH('Annex 4_MoWRAM'!$BB20,'Annex 2_Code'!$G$8:$G$33,0)),"")</f>
        <v>0.12645069473218948</v>
      </c>
      <c r="Z20" s="747">
        <f>IFERROR(INDEX('Annex 2_Code'!K$8:K$33,MATCH('Annex 4_MoWRAM'!$BB20,'Annex 2_Code'!$G$8:$G$33,0)),"")</f>
        <v>0.10527923922270058</v>
      </c>
      <c r="AA20" s="747">
        <f>IFERROR(INDEX('Annex 2_Code'!L$8:L$33,MATCH('Annex 4_MoWRAM'!$BB20,'Annex 2_Code'!$G$8:$G$33,0)),"")</f>
        <v>0</v>
      </c>
      <c r="AB20" s="748">
        <f>IFERROR(INDEX('Annex 2_Code'!M$8:M$33,MATCH('Annex 4_MoWRAM'!$BB20,'Annex 2_Code'!$G$8:$G$33,0)),"")</f>
        <v>0</v>
      </c>
      <c r="AC20" s="941"/>
      <c r="AD20" s="447">
        <f t="shared" si="13"/>
        <v>778.71853894332344</v>
      </c>
      <c r="AE20" s="818">
        <f t="shared" si="2"/>
        <v>128.17042418054726</v>
      </c>
      <c r="AF20" s="818">
        <f t="shared" si="3"/>
        <v>106.71103687612931</v>
      </c>
      <c r="AG20" s="818">
        <f t="shared" si="4"/>
        <v>0</v>
      </c>
      <c r="AH20" s="449">
        <f t="shared" si="5"/>
        <v>0</v>
      </c>
      <c r="AI20" s="448">
        <f t="shared" si="23"/>
        <v>0</v>
      </c>
      <c r="AJ20" s="805">
        <f t="shared" si="23"/>
        <v>0</v>
      </c>
      <c r="AK20" s="805">
        <f t="shared" si="23"/>
        <v>292.01945210374629</v>
      </c>
      <c r="AL20" s="161">
        <f t="shared" si="23"/>
        <v>486.69908683957715</v>
      </c>
      <c r="AM20" s="448">
        <f t="shared" si="24"/>
        <v>0</v>
      </c>
      <c r="AN20" s="805">
        <f t="shared" si="24"/>
        <v>0</v>
      </c>
      <c r="AO20" s="805">
        <f t="shared" si="24"/>
        <v>48.063909067705225</v>
      </c>
      <c r="AP20" s="161">
        <f t="shared" si="24"/>
        <v>80.106515112842033</v>
      </c>
      <c r="AQ20" s="448">
        <f t="shared" si="25"/>
        <v>0</v>
      </c>
      <c r="AR20" s="805">
        <f t="shared" si="25"/>
        <v>0</v>
      </c>
      <c r="AS20" s="805">
        <f t="shared" si="25"/>
        <v>40.016638828548494</v>
      </c>
      <c r="AT20" s="161">
        <f t="shared" si="25"/>
        <v>66.694398047580819</v>
      </c>
      <c r="AU20" s="444">
        <f t="shared" si="28"/>
        <v>0</v>
      </c>
      <c r="AV20" s="903">
        <f t="shared" si="29"/>
        <v>0</v>
      </c>
      <c r="AW20" s="903">
        <f t="shared" si="30"/>
        <v>0</v>
      </c>
      <c r="AX20" s="168">
        <f t="shared" si="31"/>
        <v>0</v>
      </c>
      <c r="AY20" s="455">
        <f t="shared" si="26"/>
        <v>1013.6</v>
      </c>
      <c r="AZ20" s="2170" t="str">
        <f t="shared" si="9"/>
        <v>Correct</v>
      </c>
      <c r="BA20" s="870" t="s">
        <v>472</v>
      </c>
      <c r="BB20" s="568" t="s">
        <v>363</v>
      </c>
      <c r="BC20" s="568" t="str">
        <f>IFERROR(INDEX('Annex 2_Code'!$J$110:$J$127,MATCH('Annex 4_MoWRAM'!BA20,'Annex 2_Code'!$G$110:$G$127,0)),"")</f>
        <v>MOWRAM</v>
      </c>
      <c r="BD20" s="600" t="str">
        <f t="shared" si="21"/>
        <v>MOWRAM</v>
      </c>
    </row>
    <row r="21" spans="1:56" s="64" customFormat="1" ht="15">
      <c r="A21" s="1924" t="s">
        <v>24</v>
      </c>
      <c r="B21" s="1924" t="str">
        <f t="shared" si="20"/>
        <v>CW15</v>
      </c>
      <c r="C21" s="1925" t="s">
        <v>915</v>
      </c>
      <c r="D21" s="1210"/>
      <c r="E21" s="1211" t="s">
        <v>916</v>
      </c>
      <c r="F21" s="1211"/>
      <c r="H21" s="1211"/>
      <c r="I21" s="1211"/>
      <c r="J21" s="1211"/>
      <c r="K21" s="2066" t="s">
        <v>568</v>
      </c>
      <c r="L21" s="1207">
        <v>832.02</v>
      </c>
      <c r="M21" s="891">
        <v>0</v>
      </c>
      <c r="N21" s="2261">
        <v>0</v>
      </c>
      <c r="O21" s="2262">
        <v>0.3</v>
      </c>
      <c r="P21" s="2262">
        <v>0.5</v>
      </c>
      <c r="Q21" s="1208">
        <f>SUM(M21:P21)</f>
        <v>0.8</v>
      </c>
      <c r="R21" s="864">
        <f t="shared" si="27"/>
        <v>0</v>
      </c>
      <c r="S21" s="866">
        <f t="shared" si="22"/>
        <v>0</v>
      </c>
      <c r="T21" s="866">
        <f t="shared" si="22"/>
        <v>249.61</v>
      </c>
      <c r="U21" s="866">
        <f t="shared" si="22"/>
        <v>416.01</v>
      </c>
      <c r="V21" s="861">
        <f>SUM(R21:U21)</f>
        <v>665.62</v>
      </c>
      <c r="W21" s="940"/>
      <c r="X21" s="746">
        <f>IFERROR(INDEX('Annex 2_Code'!I$8:I$33,MATCH('Annex 4_MoWRAM'!$BB21,'Annex 2_Code'!$G$8:$G$33,0)),"")</f>
        <v>0.76827006604510995</v>
      </c>
      <c r="Y21" s="747">
        <f>IFERROR(INDEX('Annex 2_Code'!J$8:J$33,MATCH('Annex 4_MoWRAM'!$BB21,'Annex 2_Code'!$G$8:$G$33,0)),"")</f>
        <v>0.12645069473218948</v>
      </c>
      <c r="Z21" s="747">
        <f>IFERROR(INDEX('Annex 2_Code'!K$8:K$33,MATCH('Annex 4_MoWRAM'!$BB21,'Annex 2_Code'!$G$8:$G$33,0)),"")</f>
        <v>0.10527923922270058</v>
      </c>
      <c r="AA21" s="747">
        <f>IFERROR(INDEX('Annex 2_Code'!L$8:L$33,MATCH('Annex 4_MoWRAM'!$BB21,'Annex 2_Code'!$G$8:$G$33,0)),"")</f>
        <v>0</v>
      </c>
      <c r="AB21" s="748">
        <f>IFERROR(INDEX('Annex 2_Code'!M$8:M$33,MATCH('Annex 4_MoWRAM'!$BB21,'Annex 2_Code'!$G$8:$G$33,0)),"")</f>
        <v>0</v>
      </c>
      <c r="AC21" s="941"/>
      <c r="AD21" s="447">
        <f t="shared" si="13"/>
        <v>511.37592136094611</v>
      </c>
      <c r="AE21" s="818">
        <f t="shared" si="2"/>
        <v>84.168111427639957</v>
      </c>
      <c r="AF21" s="818">
        <f t="shared" si="3"/>
        <v>70.075967211413953</v>
      </c>
      <c r="AG21" s="818">
        <f t="shared" si="4"/>
        <v>0</v>
      </c>
      <c r="AH21" s="449">
        <f t="shared" si="5"/>
        <v>0</v>
      </c>
      <c r="AI21" s="448">
        <f t="shared" si="23"/>
        <v>0</v>
      </c>
      <c r="AJ21" s="805">
        <f t="shared" si="23"/>
        <v>0</v>
      </c>
      <c r="AK21" s="805">
        <f t="shared" si="23"/>
        <v>191.76789118551991</v>
      </c>
      <c r="AL21" s="161">
        <f t="shared" si="23"/>
        <v>319.60803017542617</v>
      </c>
      <c r="AM21" s="448">
        <f t="shared" si="24"/>
        <v>0</v>
      </c>
      <c r="AN21" s="805">
        <f t="shared" si="24"/>
        <v>0</v>
      </c>
      <c r="AO21" s="805">
        <f t="shared" si="24"/>
        <v>31.563357912101818</v>
      </c>
      <c r="AP21" s="161">
        <f t="shared" si="24"/>
        <v>52.604753515538142</v>
      </c>
      <c r="AQ21" s="448">
        <f t="shared" si="25"/>
        <v>0</v>
      </c>
      <c r="AR21" s="805">
        <f t="shared" si="25"/>
        <v>0</v>
      </c>
      <c r="AS21" s="805">
        <f t="shared" si="25"/>
        <v>26.278750902378292</v>
      </c>
      <c r="AT21" s="161">
        <f t="shared" si="25"/>
        <v>43.797216309035669</v>
      </c>
      <c r="AU21" s="444">
        <f t="shared" si="28"/>
        <v>0</v>
      </c>
      <c r="AV21" s="903">
        <f t="shared" si="29"/>
        <v>0</v>
      </c>
      <c r="AW21" s="903">
        <f t="shared" si="30"/>
        <v>0</v>
      </c>
      <c r="AX21" s="168">
        <f t="shared" si="31"/>
        <v>0</v>
      </c>
      <c r="AY21" s="455">
        <f t="shared" si="26"/>
        <v>665.62</v>
      </c>
      <c r="AZ21" s="2170" t="str">
        <f t="shared" si="9"/>
        <v>Correct</v>
      </c>
      <c r="BA21" s="870" t="s">
        <v>472</v>
      </c>
      <c r="BB21" s="568" t="s">
        <v>363</v>
      </c>
      <c r="BC21" s="568" t="str">
        <f>IFERROR(INDEX('Annex 2_Code'!$J$110:$J$127,MATCH('Annex 4_MoWRAM'!BA21,'Annex 2_Code'!$G$110:$G$127,0)),"")</f>
        <v>MOWRAM</v>
      </c>
      <c r="BD21" s="600" t="str">
        <f t="shared" si="21"/>
        <v>MOWRAM</v>
      </c>
    </row>
    <row r="22" spans="1:56" s="64" customFormat="1" ht="15">
      <c r="A22" s="752"/>
      <c r="B22" s="2160" t="str">
        <f t="shared" si="20"/>
        <v/>
      </c>
      <c r="C22" s="751"/>
      <c r="D22" s="452"/>
      <c r="E22" s="30"/>
      <c r="F22" s="30"/>
      <c r="G22" s="30"/>
      <c r="H22" s="30"/>
      <c r="I22" s="30"/>
      <c r="J22" s="30"/>
      <c r="K22" s="2067"/>
      <c r="L22" s="2067"/>
      <c r="M22" s="890"/>
      <c r="N22" s="891"/>
      <c r="O22" s="892"/>
      <c r="P22" s="892"/>
      <c r="Q22" s="893"/>
      <c r="R22" s="864"/>
      <c r="S22" s="866"/>
      <c r="T22" s="866"/>
      <c r="U22" s="866"/>
      <c r="V22" s="861"/>
      <c r="W22" s="940"/>
      <c r="X22" s="746"/>
      <c r="Y22" s="747"/>
      <c r="Z22" s="747"/>
      <c r="AA22" s="747"/>
      <c r="AB22" s="748"/>
      <c r="AC22" s="941"/>
      <c r="AD22" s="447"/>
      <c r="AE22" s="818"/>
      <c r="AF22" s="818"/>
      <c r="AG22" s="818"/>
      <c r="AH22" s="449"/>
      <c r="AI22" s="805"/>
      <c r="AJ22" s="805"/>
      <c r="AK22" s="805"/>
      <c r="AL22" s="805"/>
      <c r="AM22" s="448"/>
      <c r="AN22" s="805"/>
      <c r="AO22" s="805"/>
      <c r="AP22" s="161"/>
      <c r="AQ22" s="805"/>
      <c r="AR22" s="805"/>
      <c r="AS22" s="805"/>
      <c r="AT22" s="805"/>
      <c r="AU22" s="444"/>
      <c r="AV22" s="903"/>
      <c r="AW22" s="903"/>
      <c r="AX22" s="168"/>
      <c r="AY22" s="2126"/>
      <c r="AZ22" s="2170"/>
      <c r="BA22" s="870"/>
      <c r="BB22" s="568"/>
      <c r="BC22" s="568"/>
      <c r="BD22" s="600"/>
    </row>
    <row r="23" spans="1:56" s="64" customFormat="1" ht="15">
      <c r="A23" s="2161"/>
      <c r="B23" s="2162" t="str">
        <f t="shared" si="20"/>
        <v/>
      </c>
      <c r="C23" s="754"/>
      <c r="D23" s="442" t="s">
        <v>264</v>
      </c>
      <c r="E23" s="443"/>
      <c r="F23" s="443"/>
      <c r="G23" s="443"/>
      <c r="H23" s="443"/>
      <c r="I23" s="443"/>
      <c r="J23" s="443"/>
      <c r="K23" s="2065"/>
      <c r="L23" s="2065"/>
      <c r="M23" s="341"/>
      <c r="N23" s="63"/>
      <c r="O23" s="863"/>
      <c r="P23" s="863"/>
      <c r="Q23" s="342"/>
      <c r="R23" s="864"/>
      <c r="S23" s="866"/>
      <c r="T23" s="866"/>
      <c r="U23" s="866"/>
      <c r="V23" s="861"/>
      <c r="W23" s="865"/>
      <c r="X23" s="746" t="str">
        <f>IFERROR(INDEX('Annex 2_Code'!I$8:I$33,MATCH('Annex 4_MoWRAM'!$BB23,'Annex 2_Code'!$G$8:$G$33,0)),"")</f>
        <v/>
      </c>
      <c r="Y23" s="747" t="str">
        <f>IFERROR(INDEX('Annex 2_Code'!J$8:J$33,MATCH('Annex 4_MoWRAM'!$BB23,'Annex 2_Code'!$G$8:$G$33,0)),"")</f>
        <v/>
      </c>
      <c r="Z23" s="747" t="str">
        <f>IFERROR(INDEX('Annex 2_Code'!K$8:K$33,MATCH('Annex 4_MoWRAM'!$BB23,'Annex 2_Code'!$G$8:$G$33,0)),"")</f>
        <v/>
      </c>
      <c r="AA23" s="747" t="str">
        <f>IFERROR(INDEX('Annex 2_Code'!L$8:L$33,MATCH('Annex 4_MoWRAM'!$BB23,'Annex 2_Code'!$G$8:$G$33,0)),"")</f>
        <v/>
      </c>
      <c r="AB23" s="748" t="str">
        <f>IFERROR(INDEX('Annex 2_Code'!M$8:M$33,MATCH('Annex 4_MoWRAM'!$BB23,'Annex 2_Code'!$G$8:$G$33,0)),"")</f>
        <v/>
      </c>
      <c r="AC23" s="863"/>
      <c r="AD23" s="447"/>
      <c r="AE23" s="818"/>
      <c r="AF23" s="818"/>
      <c r="AG23" s="818"/>
      <c r="AH23" s="449"/>
      <c r="AI23" s="903"/>
      <c r="AJ23" s="903"/>
      <c r="AK23" s="903"/>
      <c r="AL23" s="903"/>
      <c r="AM23" s="444"/>
      <c r="AN23" s="903"/>
      <c r="AO23" s="903"/>
      <c r="AP23" s="168"/>
      <c r="AQ23" s="903"/>
      <c r="AR23" s="903"/>
      <c r="AS23" s="903"/>
      <c r="AT23" s="903"/>
      <c r="AU23" s="444"/>
      <c r="AV23" s="903"/>
      <c r="AW23" s="903"/>
      <c r="AX23" s="168"/>
      <c r="AY23" s="2126"/>
      <c r="AZ23" s="2170"/>
      <c r="BA23" s="870"/>
      <c r="BB23" s="568"/>
      <c r="BC23" s="568" t="str">
        <f>IFERROR(INDEX('Annex 2_Code'!$J$110:$J$127,MATCH('Annex 4_MoWRAM'!BA23,'Annex 2_Code'!$G$110:$G$127,0)),"")</f>
        <v/>
      </c>
      <c r="BD23" s="600" t="str">
        <f t="shared" si="21"/>
        <v/>
      </c>
    </row>
    <row r="24" spans="1:56" s="64" customFormat="1" ht="15">
      <c r="A24" s="752" t="s">
        <v>24</v>
      </c>
      <c r="B24" s="2160" t="str">
        <f t="shared" si="20"/>
        <v>CW13</v>
      </c>
      <c r="C24" s="751" t="s">
        <v>515</v>
      </c>
      <c r="D24" s="1214"/>
      <c r="E24" s="901" t="s">
        <v>1171</v>
      </c>
      <c r="F24" s="901"/>
      <c r="H24" s="901"/>
      <c r="I24" s="901"/>
      <c r="J24" s="901"/>
      <c r="K24" s="2066" t="s">
        <v>568</v>
      </c>
      <c r="L24" s="1207">
        <v>914.7</v>
      </c>
      <c r="M24" s="891">
        <v>0</v>
      </c>
      <c r="N24" s="2263">
        <v>0.1</v>
      </c>
      <c r="O24" s="2264">
        <v>0.3</v>
      </c>
      <c r="P24" s="2264">
        <v>0.3</v>
      </c>
      <c r="Q24" s="1208">
        <f>SUM(M24:P24)</f>
        <v>0.7</v>
      </c>
      <c r="R24" s="864">
        <f>ROUND($L24*M24,2)</f>
        <v>0</v>
      </c>
      <c r="S24" s="866">
        <f>ROUND($L24*N24,2)</f>
        <v>91.47</v>
      </c>
      <c r="T24" s="866">
        <f t="shared" ref="T24:U28" si="32">ROUND($L24*O24,2)</f>
        <v>274.41000000000003</v>
      </c>
      <c r="U24" s="866">
        <f t="shared" si="32"/>
        <v>274.41000000000003</v>
      </c>
      <c r="V24" s="861">
        <f>SUM(R24:U24)</f>
        <v>640.29</v>
      </c>
      <c r="W24" s="865"/>
      <c r="X24" s="746">
        <f>IFERROR(INDEX('Annex 2_Code'!I$8:I$33,MATCH('Annex 4_MoWRAM'!$BB24,'Annex 2_Code'!$G$8:$G$33,0)),"")</f>
        <v>0.76827006604510995</v>
      </c>
      <c r="Y24" s="747">
        <f>IFERROR(INDEX('Annex 2_Code'!J$8:J$33,MATCH('Annex 4_MoWRAM'!$BB24,'Annex 2_Code'!$G$8:$G$33,0)),"")</f>
        <v>0.12645069473218948</v>
      </c>
      <c r="Z24" s="747">
        <f>IFERROR(INDEX('Annex 2_Code'!K$8:K$33,MATCH('Annex 4_MoWRAM'!$BB24,'Annex 2_Code'!$G$8:$G$33,0)),"")</f>
        <v>0.10527923922270058</v>
      </c>
      <c r="AA24" s="747">
        <f>IFERROR(INDEX('Annex 2_Code'!L$8:L$33,MATCH('Annex 4_MoWRAM'!$BB24,'Annex 2_Code'!$G$8:$G$33,0)),"")</f>
        <v>0</v>
      </c>
      <c r="AB24" s="748">
        <f>IFERROR(INDEX('Annex 2_Code'!M$8:M$33,MATCH('Annex 4_MoWRAM'!$BB24,'Annex 2_Code'!$G$8:$G$33,0)),"")</f>
        <v>0</v>
      </c>
      <c r="AC24" s="863"/>
      <c r="AD24" s="447">
        <f t="shared" si="13"/>
        <v>491.91564058802339</v>
      </c>
      <c r="AE24" s="818">
        <f t="shared" si="2"/>
        <v>80.965115330073601</v>
      </c>
      <c r="AF24" s="818">
        <f t="shared" si="3"/>
        <v>67.409244081902955</v>
      </c>
      <c r="AG24" s="818">
        <f t="shared" si="4"/>
        <v>0</v>
      </c>
      <c r="AH24" s="449">
        <f t="shared" si="5"/>
        <v>0</v>
      </c>
      <c r="AI24" s="448">
        <f t="shared" ref="AI24:AL28" si="33">R24*$X24</f>
        <v>0</v>
      </c>
      <c r="AJ24" s="805">
        <f t="shared" si="33"/>
        <v>70.273662941146199</v>
      </c>
      <c r="AK24" s="805">
        <f t="shared" si="33"/>
        <v>210.82098882343863</v>
      </c>
      <c r="AL24" s="161">
        <f t="shared" si="33"/>
        <v>210.82098882343863</v>
      </c>
      <c r="AM24" s="448">
        <f t="shared" ref="AM24:AP28" si="34">$Y24*R24</f>
        <v>0</v>
      </c>
      <c r="AN24" s="805">
        <f t="shared" si="34"/>
        <v>11.566445047153371</v>
      </c>
      <c r="AO24" s="805">
        <f t="shared" si="34"/>
        <v>34.699335141460118</v>
      </c>
      <c r="AP24" s="161">
        <f t="shared" si="34"/>
        <v>34.699335141460118</v>
      </c>
      <c r="AQ24" s="448">
        <f t="shared" ref="AQ24:AT28" si="35">$Z24*R24</f>
        <v>0</v>
      </c>
      <c r="AR24" s="805">
        <f t="shared" si="35"/>
        <v>9.6298920117004219</v>
      </c>
      <c r="AS24" s="805">
        <f t="shared" si="35"/>
        <v>28.889676035101267</v>
      </c>
      <c r="AT24" s="161">
        <f t="shared" si="35"/>
        <v>28.889676035101267</v>
      </c>
      <c r="AU24" s="444">
        <f>$AA24*M24</f>
        <v>0</v>
      </c>
      <c r="AV24" s="903">
        <f>$AA24*N24</f>
        <v>0</v>
      </c>
      <c r="AW24" s="903">
        <f>$AA24*O24</f>
        <v>0</v>
      </c>
      <c r="AX24" s="168">
        <f>$AA24*P24</f>
        <v>0</v>
      </c>
      <c r="AY24" s="455">
        <f t="shared" ref="AY24:AY28" si="36">SUM(AD24:AH24)</f>
        <v>640.29</v>
      </c>
      <c r="AZ24" s="2170" t="str">
        <f t="shared" si="9"/>
        <v>Correct</v>
      </c>
      <c r="BA24" s="870" t="s">
        <v>472</v>
      </c>
      <c r="BB24" s="568" t="s">
        <v>363</v>
      </c>
      <c r="BC24" s="568" t="str">
        <f>IFERROR(INDEX('Annex 2_Code'!$J$110:$J$127,MATCH('Annex 4_MoWRAM'!BA24,'Annex 2_Code'!$G$110:$G$127,0)),"")</f>
        <v>MOWRAM</v>
      </c>
      <c r="BD24" s="600" t="str">
        <f t="shared" si="21"/>
        <v>MOWRAM</v>
      </c>
    </row>
    <row r="25" spans="1:56" s="64" customFormat="1" ht="15">
      <c r="A25" s="752" t="s">
        <v>24</v>
      </c>
      <c r="B25" s="2160" t="str">
        <f t="shared" si="20"/>
        <v>CW13</v>
      </c>
      <c r="C25" s="751" t="s">
        <v>516</v>
      </c>
      <c r="D25" s="1210"/>
      <c r="E25" s="1211" t="s">
        <v>1172</v>
      </c>
      <c r="F25" s="1211"/>
      <c r="H25" s="1211"/>
      <c r="I25" s="1211"/>
      <c r="J25" s="1211"/>
      <c r="K25" s="2066" t="s">
        <v>568</v>
      </c>
      <c r="L25" s="1207">
        <v>822.69999999999993</v>
      </c>
      <c r="M25" s="891">
        <v>0</v>
      </c>
      <c r="N25" s="2263">
        <v>0.1</v>
      </c>
      <c r="O25" s="2264">
        <v>0.3</v>
      </c>
      <c r="P25" s="2264">
        <v>0.3</v>
      </c>
      <c r="Q25" s="1208">
        <f>SUM(M25:P25)</f>
        <v>0.7</v>
      </c>
      <c r="R25" s="864">
        <f t="shared" ref="R25:R28" si="37">ROUND($L25*M25,2)</f>
        <v>0</v>
      </c>
      <c r="S25" s="866">
        <f t="shared" ref="S25:S28" si="38">ROUND($L25*N25,2)</f>
        <v>82.27</v>
      </c>
      <c r="T25" s="866">
        <f t="shared" si="32"/>
        <v>246.81</v>
      </c>
      <c r="U25" s="866">
        <f t="shared" si="32"/>
        <v>246.81</v>
      </c>
      <c r="V25" s="861">
        <f>SUM(R25:U25)</f>
        <v>575.89</v>
      </c>
      <c r="W25" s="940"/>
      <c r="X25" s="746">
        <f>IFERROR(INDEX('Annex 2_Code'!I$8:I$33,MATCH('Annex 4_MoWRAM'!$BB25,'Annex 2_Code'!$G$8:$G$33,0)),"")</f>
        <v>0.76827006604510995</v>
      </c>
      <c r="Y25" s="747">
        <f>IFERROR(INDEX('Annex 2_Code'!J$8:J$33,MATCH('Annex 4_MoWRAM'!$BB25,'Annex 2_Code'!$G$8:$G$33,0)),"")</f>
        <v>0.12645069473218948</v>
      </c>
      <c r="Z25" s="747">
        <f>IFERROR(INDEX('Annex 2_Code'!K$8:K$33,MATCH('Annex 4_MoWRAM'!$BB25,'Annex 2_Code'!$G$8:$G$33,0)),"")</f>
        <v>0.10527923922270058</v>
      </c>
      <c r="AA25" s="747">
        <f>IFERROR(INDEX('Annex 2_Code'!L$8:L$33,MATCH('Annex 4_MoWRAM'!$BB25,'Annex 2_Code'!$G$8:$G$33,0)),"")</f>
        <v>0</v>
      </c>
      <c r="AB25" s="748">
        <f>IFERROR(INDEX('Annex 2_Code'!M$8:M$33,MATCH('Annex 4_MoWRAM'!$BB25,'Annex 2_Code'!$G$8:$G$33,0)),"")</f>
        <v>0</v>
      </c>
      <c r="AC25" s="941"/>
      <c r="AD25" s="447">
        <f t="shared" si="13"/>
        <v>442.43904833471834</v>
      </c>
      <c r="AE25" s="818">
        <f t="shared" si="2"/>
        <v>72.821690589320596</v>
      </c>
      <c r="AF25" s="818">
        <f t="shared" si="3"/>
        <v>60.629261075961033</v>
      </c>
      <c r="AG25" s="818">
        <f t="shared" si="4"/>
        <v>0</v>
      </c>
      <c r="AH25" s="449">
        <f t="shared" si="5"/>
        <v>0</v>
      </c>
      <c r="AI25" s="448">
        <f t="shared" si="33"/>
        <v>0</v>
      </c>
      <c r="AJ25" s="805">
        <f t="shared" si="33"/>
        <v>63.205578333531193</v>
      </c>
      <c r="AK25" s="805">
        <f t="shared" si="33"/>
        <v>189.61673500059359</v>
      </c>
      <c r="AL25" s="161">
        <f t="shared" si="33"/>
        <v>189.61673500059359</v>
      </c>
      <c r="AM25" s="448">
        <f t="shared" si="34"/>
        <v>0</v>
      </c>
      <c r="AN25" s="805">
        <f t="shared" si="34"/>
        <v>10.403098655617228</v>
      </c>
      <c r="AO25" s="805">
        <f t="shared" si="34"/>
        <v>31.209295966851684</v>
      </c>
      <c r="AP25" s="161">
        <f t="shared" si="34"/>
        <v>31.209295966851684</v>
      </c>
      <c r="AQ25" s="448">
        <f t="shared" si="35"/>
        <v>0</v>
      </c>
      <c r="AR25" s="805">
        <f t="shared" si="35"/>
        <v>8.6613230108515769</v>
      </c>
      <c r="AS25" s="805">
        <f t="shared" si="35"/>
        <v>25.983969032554729</v>
      </c>
      <c r="AT25" s="161">
        <f t="shared" si="35"/>
        <v>25.983969032554729</v>
      </c>
      <c r="AU25" s="444">
        <f t="shared" ref="AU25:AU28" si="39">$AA25*M25</f>
        <v>0</v>
      </c>
      <c r="AV25" s="903">
        <f t="shared" ref="AV25:AV28" si="40">$AA25*N25</f>
        <v>0</v>
      </c>
      <c r="AW25" s="903">
        <f t="shared" ref="AW25:AW28" si="41">$AA25*O25</f>
        <v>0</v>
      </c>
      <c r="AX25" s="168">
        <f t="shared" ref="AX25:AX28" si="42">$AA25*P25</f>
        <v>0</v>
      </c>
      <c r="AY25" s="455">
        <f t="shared" si="36"/>
        <v>575.89</v>
      </c>
      <c r="AZ25" s="2170" t="str">
        <f t="shared" si="9"/>
        <v>Correct</v>
      </c>
      <c r="BA25" s="870" t="s">
        <v>472</v>
      </c>
      <c r="BB25" s="568" t="s">
        <v>363</v>
      </c>
      <c r="BC25" s="568" t="str">
        <f>IFERROR(INDEX('Annex 2_Code'!$J$110:$J$127,MATCH('Annex 4_MoWRAM'!BA25,'Annex 2_Code'!$G$110:$G$127,0)),"")</f>
        <v>MOWRAM</v>
      </c>
      <c r="BD25" s="600" t="str">
        <f t="shared" si="21"/>
        <v>MOWRAM</v>
      </c>
    </row>
    <row r="26" spans="1:56" s="64" customFormat="1" ht="15">
      <c r="A26" s="752" t="s">
        <v>24</v>
      </c>
      <c r="B26" s="2160" t="str">
        <f t="shared" si="20"/>
        <v>CW13</v>
      </c>
      <c r="C26" s="751" t="s">
        <v>519</v>
      </c>
      <c r="D26" s="1210"/>
      <c r="E26" s="1211" t="s">
        <v>1173</v>
      </c>
      <c r="F26" s="1211"/>
      <c r="H26" s="1211"/>
      <c r="I26" s="1211"/>
      <c r="J26" s="1211"/>
      <c r="K26" s="2066" t="s">
        <v>568</v>
      </c>
      <c r="L26" s="1207">
        <v>914.69999999999993</v>
      </c>
      <c r="M26" s="891">
        <v>0</v>
      </c>
      <c r="N26" s="2263">
        <v>0.1</v>
      </c>
      <c r="O26" s="2264">
        <v>0.3</v>
      </c>
      <c r="P26" s="2264">
        <v>0.3</v>
      </c>
      <c r="Q26" s="1208">
        <f>SUM(M26:P26)</f>
        <v>0.7</v>
      </c>
      <c r="R26" s="864">
        <f t="shared" si="37"/>
        <v>0</v>
      </c>
      <c r="S26" s="866">
        <f t="shared" si="38"/>
        <v>91.47</v>
      </c>
      <c r="T26" s="866">
        <f t="shared" si="32"/>
        <v>274.41000000000003</v>
      </c>
      <c r="U26" s="866">
        <f t="shared" si="32"/>
        <v>274.41000000000003</v>
      </c>
      <c r="V26" s="861">
        <f>SUM(R26:U26)</f>
        <v>640.29</v>
      </c>
      <c r="W26" s="940"/>
      <c r="X26" s="746">
        <f>IFERROR(INDEX('Annex 2_Code'!I$8:I$33,MATCH('Annex 4_MoWRAM'!$BB26,'Annex 2_Code'!$G$8:$G$33,0)),"")</f>
        <v>0.76827006604510995</v>
      </c>
      <c r="Y26" s="747">
        <f>IFERROR(INDEX('Annex 2_Code'!J$8:J$33,MATCH('Annex 4_MoWRAM'!$BB26,'Annex 2_Code'!$G$8:$G$33,0)),"")</f>
        <v>0.12645069473218948</v>
      </c>
      <c r="Z26" s="747">
        <f>IFERROR(INDEX('Annex 2_Code'!K$8:K$33,MATCH('Annex 4_MoWRAM'!$BB26,'Annex 2_Code'!$G$8:$G$33,0)),"")</f>
        <v>0.10527923922270058</v>
      </c>
      <c r="AA26" s="747">
        <f>IFERROR(INDEX('Annex 2_Code'!L$8:L$33,MATCH('Annex 4_MoWRAM'!$BB26,'Annex 2_Code'!$G$8:$G$33,0)),"")</f>
        <v>0</v>
      </c>
      <c r="AB26" s="748">
        <f>IFERROR(INDEX('Annex 2_Code'!M$8:M$33,MATCH('Annex 4_MoWRAM'!$BB26,'Annex 2_Code'!$G$8:$G$33,0)),"")</f>
        <v>0</v>
      </c>
      <c r="AC26" s="941"/>
      <c r="AD26" s="447">
        <f t="shared" si="13"/>
        <v>491.91564058802339</v>
      </c>
      <c r="AE26" s="818">
        <f t="shared" si="2"/>
        <v>80.965115330073601</v>
      </c>
      <c r="AF26" s="818">
        <f t="shared" si="3"/>
        <v>67.409244081902955</v>
      </c>
      <c r="AG26" s="818">
        <f t="shared" si="4"/>
        <v>0</v>
      </c>
      <c r="AH26" s="449">
        <f t="shared" si="5"/>
        <v>0</v>
      </c>
      <c r="AI26" s="448">
        <f t="shared" si="33"/>
        <v>0</v>
      </c>
      <c r="AJ26" s="805">
        <f t="shared" si="33"/>
        <v>70.273662941146199</v>
      </c>
      <c r="AK26" s="805">
        <f t="shared" si="33"/>
        <v>210.82098882343863</v>
      </c>
      <c r="AL26" s="161">
        <f t="shared" si="33"/>
        <v>210.82098882343863</v>
      </c>
      <c r="AM26" s="448">
        <f t="shared" si="34"/>
        <v>0</v>
      </c>
      <c r="AN26" s="805">
        <f t="shared" si="34"/>
        <v>11.566445047153371</v>
      </c>
      <c r="AO26" s="805">
        <f t="shared" si="34"/>
        <v>34.699335141460118</v>
      </c>
      <c r="AP26" s="161">
        <f t="shared" si="34"/>
        <v>34.699335141460118</v>
      </c>
      <c r="AQ26" s="448">
        <f t="shared" si="35"/>
        <v>0</v>
      </c>
      <c r="AR26" s="805">
        <f t="shared" si="35"/>
        <v>9.6298920117004219</v>
      </c>
      <c r="AS26" s="805">
        <f t="shared" si="35"/>
        <v>28.889676035101267</v>
      </c>
      <c r="AT26" s="161">
        <f t="shared" si="35"/>
        <v>28.889676035101267</v>
      </c>
      <c r="AU26" s="444">
        <f t="shared" si="39"/>
        <v>0</v>
      </c>
      <c r="AV26" s="903">
        <f t="shared" si="40"/>
        <v>0</v>
      </c>
      <c r="AW26" s="903">
        <f t="shared" si="41"/>
        <v>0</v>
      </c>
      <c r="AX26" s="168">
        <f t="shared" si="42"/>
        <v>0</v>
      </c>
      <c r="AY26" s="455">
        <f t="shared" si="36"/>
        <v>640.29</v>
      </c>
      <c r="AZ26" s="2170" t="str">
        <f t="shared" si="9"/>
        <v>Correct</v>
      </c>
      <c r="BA26" s="870" t="s">
        <v>472</v>
      </c>
      <c r="BB26" s="568" t="s">
        <v>363</v>
      </c>
      <c r="BC26" s="568" t="str">
        <f>IFERROR(INDEX('Annex 2_Code'!$J$110:$J$127,MATCH('Annex 4_MoWRAM'!BA26,'Annex 2_Code'!$G$110:$G$127,0)),"")</f>
        <v>MOWRAM</v>
      </c>
      <c r="BD26" s="600" t="str">
        <f t="shared" si="21"/>
        <v>MOWRAM</v>
      </c>
    </row>
    <row r="27" spans="1:56" s="64" customFormat="1" ht="15">
      <c r="A27" s="1924" t="s">
        <v>24</v>
      </c>
      <c r="B27" s="1924" t="str">
        <f t="shared" si="20"/>
        <v>CW13</v>
      </c>
      <c r="C27" s="1925" t="s">
        <v>917</v>
      </c>
      <c r="D27" s="1210"/>
      <c r="E27" s="1211" t="s">
        <v>918</v>
      </c>
      <c r="F27" s="1211"/>
      <c r="H27" s="1211"/>
      <c r="I27" s="1211"/>
      <c r="J27" s="1211"/>
      <c r="K27" s="2066" t="s">
        <v>568</v>
      </c>
      <c r="L27" s="1207">
        <v>1358.96</v>
      </c>
      <c r="M27" s="891">
        <v>0</v>
      </c>
      <c r="N27" s="2263">
        <v>0</v>
      </c>
      <c r="O27" s="2264">
        <v>0</v>
      </c>
      <c r="P27" s="2264">
        <v>0.1</v>
      </c>
      <c r="Q27" s="1208">
        <f>SUM(M27:P27)</f>
        <v>0.1</v>
      </c>
      <c r="R27" s="864">
        <f t="shared" si="37"/>
        <v>0</v>
      </c>
      <c r="S27" s="866">
        <f t="shared" si="38"/>
        <v>0</v>
      </c>
      <c r="T27" s="866">
        <f t="shared" si="32"/>
        <v>0</v>
      </c>
      <c r="U27" s="866">
        <f t="shared" si="32"/>
        <v>135.9</v>
      </c>
      <c r="V27" s="861">
        <f>SUM(R27:U27)</f>
        <v>135.9</v>
      </c>
      <c r="W27" s="940"/>
      <c r="X27" s="746">
        <f>IFERROR(INDEX('Annex 2_Code'!I$8:I$33,MATCH('Annex 4_MoWRAM'!$BB27,'Annex 2_Code'!$G$8:$G$33,0)),"")</f>
        <v>0.76827006604510995</v>
      </c>
      <c r="Y27" s="747">
        <f>IFERROR(INDEX('Annex 2_Code'!J$8:J$33,MATCH('Annex 4_MoWRAM'!$BB27,'Annex 2_Code'!$G$8:$G$33,0)),"")</f>
        <v>0.12645069473218948</v>
      </c>
      <c r="Z27" s="747">
        <f>IFERROR(INDEX('Annex 2_Code'!K$8:K$33,MATCH('Annex 4_MoWRAM'!$BB27,'Annex 2_Code'!$G$8:$G$33,0)),"")</f>
        <v>0.10527923922270058</v>
      </c>
      <c r="AA27" s="747">
        <f>IFERROR(INDEX('Annex 2_Code'!L$8:L$33,MATCH('Annex 4_MoWRAM'!$BB27,'Annex 2_Code'!$G$8:$G$33,0)),"")</f>
        <v>0</v>
      </c>
      <c r="AB27" s="748">
        <f>IFERROR(INDEX('Annex 2_Code'!M$8:M$33,MATCH('Annex 4_MoWRAM'!$BB27,'Annex 2_Code'!$G$8:$G$33,0)),"")</f>
        <v>0</v>
      </c>
      <c r="AC27" s="941"/>
      <c r="AD27" s="447">
        <f t="shared" si="13"/>
        <v>104.40790197553045</v>
      </c>
      <c r="AE27" s="818">
        <f t="shared" si="2"/>
        <v>17.184649414104552</v>
      </c>
      <c r="AF27" s="818">
        <f t="shared" si="3"/>
        <v>14.307448610365009</v>
      </c>
      <c r="AG27" s="818">
        <f t="shared" si="4"/>
        <v>0</v>
      </c>
      <c r="AH27" s="449">
        <f t="shared" si="5"/>
        <v>0</v>
      </c>
      <c r="AI27" s="448">
        <f t="shared" si="33"/>
        <v>0</v>
      </c>
      <c r="AJ27" s="805">
        <f t="shared" si="33"/>
        <v>0</v>
      </c>
      <c r="AK27" s="805">
        <f t="shared" si="33"/>
        <v>0</v>
      </c>
      <c r="AL27" s="161">
        <f t="shared" si="33"/>
        <v>104.40790197553045</v>
      </c>
      <c r="AM27" s="448">
        <f t="shared" si="34"/>
        <v>0</v>
      </c>
      <c r="AN27" s="805">
        <f t="shared" si="34"/>
        <v>0</v>
      </c>
      <c r="AO27" s="805">
        <f t="shared" si="34"/>
        <v>0</v>
      </c>
      <c r="AP27" s="161">
        <f t="shared" si="34"/>
        <v>17.184649414104552</v>
      </c>
      <c r="AQ27" s="448">
        <f t="shared" si="35"/>
        <v>0</v>
      </c>
      <c r="AR27" s="805">
        <f t="shared" si="35"/>
        <v>0</v>
      </c>
      <c r="AS27" s="805">
        <f t="shared" si="35"/>
        <v>0</v>
      </c>
      <c r="AT27" s="161">
        <f t="shared" si="35"/>
        <v>14.307448610365009</v>
      </c>
      <c r="AU27" s="444">
        <f t="shared" si="39"/>
        <v>0</v>
      </c>
      <c r="AV27" s="903">
        <f t="shared" si="40"/>
        <v>0</v>
      </c>
      <c r="AW27" s="903">
        <f t="shared" si="41"/>
        <v>0</v>
      </c>
      <c r="AX27" s="168">
        <f t="shared" si="42"/>
        <v>0</v>
      </c>
      <c r="AY27" s="455">
        <f t="shared" si="36"/>
        <v>135.9</v>
      </c>
      <c r="AZ27" s="2170" t="str">
        <f t="shared" si="9"/>
        <v>Correct</v>
      </c>
      <c r="BA27" s="870" t="s">
        <v>472</v>
      </c>
      <c r="BB27" s="568" t="s">
        <v>363</v>
      </c>
      <c r="BC27" s="568" t="str">
        <f>IFERROR(INDEX('Annex 2_Code'!$J$110:$J$127,MATCH('Annex 4_MoWRAM'!BA27,'Annex 2_Code'!$G$110:$G$127,0)),"")</f>
        <v>MOWRAM</v>
      </c>
      <c r="BD27" s="600" t="str">
        <f t="shared" si="21"/>
        <v>MOWRAM</v>
      </c>
    </row>
    <row r="28" spans="1:56" s="64" customFormat="1" ht="15">
      <c r="A28" s="1924" t="s">
        <v>24</v>
      </c>
      <c r="B28" s="1924" t="str">
        <f t="shared" si="20"/>
        <v>CW13</v>
      </c>
      <c r="C28" s="1925" t="s">
        <v>919</v>
      </c>
      <c r="D28" s="1210"/>
      <c r="E28" s="1211" t="s">
        <v>920</v>
      </c>
      <c r="F28" s="1211"/>
      <c r="H28" s="1211"/>
      <c r="I28" s="1211"/>
      <c r="J28" s="1211"/>
      <c r="K28" s="2066" t="s">
        <v>568</v>
      </c>
      <c r="L28" s="1215">
        <v>605.25</v>
      </c>
      <c r="M28" s="891">
        <v>0</v>
      </c>
      <c r="N28" s="2263">
        <v>0</v>
      </c>
      <c r="O28" s="2264">
        <v>0</v>
      </c>
      <c r="P28" s="2264">
        <v>0.1</v>
      </c>
      <c r="Q28" s="1208">
        <f>SUM(M28:P28)</f>
        <v>0.1</v>
      </c>
      <c r="R28" s="864">
        <f t="shared" si="37"/>
        <v>0</v>
      </c>
      <c r="S28" s="866">
        <f t="shared" si="38"/>
        <v>0</v>
      </c>
      <c r="T28" s="866">
        <f t="shared" si="32"/>
        <v>0</v>
      </c>
      <c r="U28" s="866">
        <f t="shared" si="32"/>
        <v>60.53</v>
      </c>
      <c r="V28" s="861">
        <f>SUM(R28:U28)</f>
        <v>60.53</v>
      </c>
      <c r="W28" s="940"/>
      <c r="X28" s="746">
        <f>IFERROR(INDEX('Annex 2_Code'!I$8:I$33,MATCH('Annex 4_MoWRAM'!$BB28,'Annex 2_Code'!$G$8:$G$33,0)),"")</f>
        <v>0.76827006604510995</v>
      </c>
      <c r="Y28" s="747">
        <f>IFERROR(INDEX('Annex 2_Code'!J$8:J$33,MATCH('Annex 4_MoWRAM'!$BB28,'Annex 2_Code'!$G$8:$G$33,0)),"")</f>
        <v>0.12645069473218948</v>
      </c>
      <c r="Z28" s="747">
        <f>IFERROR(INDEX('Annex 2_Code'!K$8:K$33,MATCH('Annex 4_MoWRAM'!$BB28,'Annex 2_Code'!$G$8:$G$33,0)),"")</f>
        <v>0.10527923922270058</v>
      </c>
      <c r="AA28" s="747">
        <f>IFERROR(INDEX('Annex 2_Code'!L$8:L$33,MATCH('Annex 4_MoWRAM'!$BB28,'Annex 2_Code'!$G$8:$G$33,0)),"")</f>
        <v>0</v>
      </c>
      <c r="AB28" s="748">
        <f>IFERROR(INDEX('Annex 2_Code'!M$8:M$33,MATCH('Annex 4_MoWRAM'!$BB28,'Annex 2_Code'!$G$8:$G$33,0)),"")</f>
        <v>0</v>
      </c>
      <c r="AC28" s="941"/>
      <c r="AD28" s="447">
        <f t="shared" si="13"/>
        <v>46.503387097710508</v>
      </c>
      <c r="AE28" s="818">
        <f t="shared" si="2"/>
        <v>7.6540605521394296</v>
      </c>
      <c r="AF28" s="818">
        <f t="shared" si="3"/>
        <v>6.372552350150066</v>
      </c>
      <c r="AG28" s="818">
        <f t="shared" si="4"/>
        <v>0</v>
      </c>
      <c r="AH28" s="449">
        <f t="shared" si="5"/>
        <v>0</v>
      </c>
      <c r="AI28" s="448">
        <f t="shared" si="33"/>
        <v>0</v>
      </c>
      <c r="AJ28" s="805">
        <f t="shared" si="33"/>
        <v>0</v>
      </c>
      <c r="AK28" s="805">
        <f t="shared" si="33"/>
        <v>0</v>
      </c>
      <c r="AL28" s="161">
        <f t="shared" si="33"/>
        <v>46.503387097710508</v>
      </c>
      <c r="AM28" s="448">
        <f t="shared" si="34"/>
        <v>0</v>
      </c>
      <c r="AN28" s="805">
        <f t="shared" si="34"/>
        <v>0</v>
      </c>
      <c r="AO28" s="805">
        <f t="shared" si="34"/>
        <v>0</v>
      </c>
      <c r="AP28" s="161">
        <f t="shared" si="34"/>
        <v>7.6540605521394296</v>
      </c>
      <c r="AQ28" s="448">
        <f t="shared" si="35"/>
        <v>0</v>
      </c>
      <c r="AR28" s="805">
        <f t="shared" si="35"/>
        <v>0</v>
      </c>
      <c r="AS28" s="805">
        <f t="shared" si="35"/>
        <v>0</v>
      </c>
      <c r="AT28" s="161">
        <f t="shared" si="35"/>
        <v>6.372552350150066</v>
      </c>
      <c r="AU28" s="444">
        <f t="shared" si="39"/>
        <v>0</v>
      </c>
      <c r="AV28" s="903">
        <f t="shared" si="40"/>
        <v>0</v>
      </c>
      <c r="AW28" s="903">
        <f t="shared" si="41"/>
        <v>0</v>
      </c>
      <c r="AX28" s="168">
        <f t="shared" si="42"/>
        <v>0</v>
      </c>
      <c r="AY28" s="455">
        <f t="shared" si="36"/>
        <v>60.53</v>
      </c>
      <c r="AZ28" s="2170" t="str">
        <f t="shared" si="9"/>
        <v>Correct</v>
      </c>
      <c r="BA28" s="870" t="s">
        <v>472</v>
      </c>
      <c r="BB28" s="568" t="s">
        <v>363</v>
      </c>
      <c r="BC28" s="568" t="str">
        <f>IFERROR(INDEX('Annex 2_Code'!$J$110:$J$127,MATCH('Annex 4_MoWRAM'!BA28,'Annex 2_Code'!$G$110:$G$127,0)),"")</f>
        <v>MOWRAM</v>
      </c>
      <c r="BD28" s="600" t="str">
        <f t="shared" si="21"/>
        <v>MOWRAM</v>
      </c>
    </row>
    <row r="29" spans="1:56" s="64" customFormat="1" ht="15">
      <c r="A29" s="752"/>
      <c r="B29" s="2160" t="str">
        <f t="shared" si="20"/>
        <v/>
      </c>
      <c r="C29" s="751"/>
      <c r="D29" s="452"/>
      <c r="E29" s="30"/>
      <c r="F29" s="30"/>
      <c r="G29" s="30"/>
      <c r="H29" s="30"/>
      <c r="I29" s="30"/>
      <c r="J29" s="30"/>
      <c r="K29" s="2067"/>
      <c r="L29" s="1207"/>
      <c r="M29" s="890"/>
      <c r="N29" s="891"/>
      <c r="O29" s="892"/>
      <c r="P29" s="892"/>
      <c r="Q29" s="893"/>
      <c r="R29" s="864"/>
      <c r="S29" s="866"/>
      <c r="T29" s="866"/>
      <c r="U29" s="866"/>
      <c r="V29" s="867"/>
      <c r="W29" s="940"/>
      <c r="X29" s="746"/>
      <c r="Y29" s="747"/>
      <c r="Z29" s="747"/>
      <c r="AA29" s="747"/>
      <c r="AB29" s="748"/>
      <c r="AC29" s="941"/>
      <c r="AD29" s="447"/>
      <c r="AE29" s="818"/>
      <c r="AF29" s="818"/>
      <c r="AG29" s="818"/>
      <c r="AH29" s="449"/>
      <c r="AI29" s="805"/>
      <c r="AJ29" s="805"/>
      <c r="AK29" s="805"/>
      <c r="AL29" s="805"/>
      <c r="AM29" s="448"/>
      <c r="AN29" s="805"/>
      <c r="AO29" s="805"/>
      <c r="AP29" s="161"/>
      <c r="AQ29" s="805"/>
      <c r="AR29" s="805"/>
      <c r="AS29" s="805"/>
      <c r="AT29" s="805"/>
      <c r="AU29" s="444"/>
      <c r="AV29" s="903"/>
      <c r="AW29" s="903"/>
      <c r="AX29" s="168"/>
      <c r="AY29" s="2126"/>
      <c r="AZ29" s="2170"/>
      <c r="BA29" s="870"/>
      <c r="BB29" s="568"/>
      <c r="BC29" s="568"/>
      <c r="BD29" s="600"/>
    </row>
    <row r="30" spans="1:56" s="64" customFormat="1" ht="15">
      <c r="A30" s="2144" t="str">
        <f t="shared" ref="A30:B61" si="43">IF(ISNUMBER(FIND("-",B30,1))=FALSE,LEFT(B30,LEN(B30)),LEFT(B30,(FIND("-",B30,1))-1))</f>
        <v/>
      </c>
      <c r="B30" s="2144" t="str">
        <f t="shared" si="20"/>
        <v/>
      </c>
      <c r="C30" s="755"/>
      <c r="D30" s="442" t="s">
        <v>265</v>
      </c>
      <c r="E30" s="443"/>
      <c r="F30" s="443"/>
      <c r="G30" s="443"/>
      <c r="H30" s="443"/>
      <c r="I30" s="443"/>
      <c r="J30" s="443"/>
      <c r="K30" s="2065"/>
      <c r="L30" s="2065"/>
      <c r="M30" s="341"/>
      <c r="N30" s="63"/>
      <c r="O30" s="863"/>
      <c r="P30" s="863"/>
      <c r="Q30" s="342"/>
      <c r="R30" s="864"/>
      <c r="S30" s="866"/>
      <c r="T30" s="866"/>
      <c r="U30" s="866"/>
      <c r="V30" s="861"/>
      <c r="W30" s="865"/>
      <c r="X30" s="746" t="str">
        <f>IFERROR(INDEX('Annex 2_Code'!I$8:I$33,MATCH('Annex 4_MoWRAM'!$BB30,'Annex 2_Code'!$G$8:$G$33,0)),"")</f>
        <v/>
      </c>
      <c r="Y30" s="747" t="str">
        <f>IFERROR(INDEX('Annex 2_Code'!J$8:J$33,MATCH('Annex 4_MoWRAM'!$BB30,'Annex 2_Code'!$G$8:$G$33,0)),"")</f>
        <v/>
      </c>
      <c r="Z30" s="747" t="str">
        <f>IFERROR(INDEX('Annex 2_Code'!K$8:K$33,MATCH('Annex 4_MoWRAM'!$BB30,'Annex 2_Code'!$G$8:$G$33,0)),"")</f>
        <v/>
      </c>
      <c r="AA30" s="747" t="str">
        <f>IFERROR(INDEX('Annex 2_Code'!L$8:L$33,MATCH('Annex 4_MoWRAM'!$BB30,'Annex 2_Code'!$G$8:$G$33,0)),"")</f>
        <v/>
      </c>
      <c r="AB30" s="748" t="str">
        <f>IFERROR(INDEX('Annex 2_Code'!M$8:M$33,MATCH('Annex 4_MoWRAM'!$BB30,'Annex 2_Code'!$G$8:$G$33,0)),"")</f>
        <v/>
      </c>
      <c r="AC30" s="863"/>
      <c r="AD30" s="447"/>
      <c r="AE30" s="818"/>
      <c r="AF30" s="818"/>
      <c r="AG30" s="818"/>
      <c r="AH30" s="449"/>
      <c r="AI30" s="903"/>
      <c r="AJ30" s="903"/>
      <c r="AK30" s="903"/>
      <c r="AL30" s="903"/>
      <c r="AM30" s="444"/>
      <c r="AN30" s="903"/>
      <c r="AO30" s="903"/>
      <c r="AP30" s="168"/>
      <c r="AQ30" s="903"/>
      <c r="AR30" s="903"/>
      <c r="AS30" s="903"/>
      <c r="AT30" s="903"/>
      <c r="AU30" s="444"/>
      <c r="AV30" s="903"/>
      <c r="AW30" s="903"/>
      <c r="AX30" s="168"/>
      <c r="AY30" s="2126"/>
      <c r="AZ30" s="2170"/>
      <c r="BA30" s="870"/>
      <c r="BB30" s="568"/>
      <c r="BC30" s="568" t="str">
        <f>IFERROR(INDEX('Annex 2_Code'!$J$110:$J$127,MATCH('Annex 4_MoWRAM'!BA30,'Annex 2_Code'!$G$110:$G$127,0)),"")</f>
        <v/>
      </c>
      <c r="BD30" s="600" t="str">
        <f t="shared" ref="BD30:BD58" si="44">IF(ISNUMBER(FIND("-",BC30,1))=FALSE,LEFT(BC30,LEN(BC30)),LEFT(BC30,(FIND("-",BC30,1))-1))</f>
        <v/>
      </c>
    </row>
    <row r="31" spans="1:56" s="64" customFormat="1" ht="15">
      <c r="A31" s="2160" t="s">
        <v>24</v>
      </c>
      <c r="B31" s="2160" t="str">
        <f>IF(ISNUMBER(FIND("-",C31,1))=FALSE,LEFT(C31,LEN(C31)),LEFT(C31,(FIND("-",C31,1))-1))</f>
        <v>CW14</v>
      </c>
      <c r="C31" s="751" t="s">
        <v>521</v>
      </c>
      <c r="D31" s="1214"/>
      <c r="E31" s="901" t="s">
        <v>921</v>
      </c>
      <c r="F31" s="901"/>
      <c r="H31" s="901"/>
      <c r="I31" s="901"/>
      <c r="J31" s="901"/>
      <c r="K31" s="2066" t="s">
        <v>568</v>
      </c>
      <c r="L31" s="1207">
        <v>914.7</v>
      </c>
      <c r="M31" s="2265">
        <v>0</v>
      </c>
      <c r="N31" s="2266">
        <v>0.1</v>
      </c>
      <c r="O31" s="2266">
        <v>0.3</v>
      </c>
      <c r="P31" s="2266">
        <v>0.1</v>
      </c>
      <c r="Q31" s="1208">
        <f>SUM(M31:P31)</f>
        <v>0.5</v>
      </c>
      <c r="R31" s="864">
        <f>ROUND($L31*M31,2)</f>
        <v>0</v>
      </c>
      <c r="S31" s="866">
        <f>ROUND($L31*N31,2)</f>
        <v>91.47</v>
      </c>
      <c r="T31" s="866">
        <f t="shared" ref="T31:U34" si="45">ROUND($L31*O31,2)</f>
        <v>274.41000000000003</v>
      </c>
      <c r="U31" s="866">
        <f t="shared" si="45"/>
        <v>91.47</v>
      </c>
      <c r="V31" s="861">
        <f>SUM(R31:U31)</f>
        <v>457.35</v>
      </c>
      <c r="W31" s="865"/>
      <c r="X31" s="746">
        <f>IFERROR(INDEX('Annex 2_Code'!I$8:I$33,MATCH('Annex 4_MoWRAM'!$BB31,'Annex 2_Code'!$G$8:$G$33,0)),"")</f>
        <v>0.76827006604510995</v>
      </c>
      <c r="Y31" s="747">
        <f>IFERROR(INDEX('Annex 2_Code'!J$8:J$33,MATCH('Annex 4_MoWRAM'!$BB31,'Annex 2_Code'!$G$8:$G$33,0)),"")</f>
        <v>0.12645069473218948</v>
      </c>
      <c r="Z31" s="747">
        <f>IFERROR(INDEX('Annex 2_Code'!K$8:K$33,MATCH('Annex 4_MoWRAM'!$BB31,'Annex 2_Code'!$G$8:$G$33,0)),"")</f>
        <v>0.10527923922270058</v>
      </c>
      <c r="AA31" s="747">
        <f>IFERROR(INDEX('Annex 2_Code'!L$8:L$33,MATCH('Annex 4_MoWRAM'!$BB31,'Annex 2_Code'!$G$8:$G$33,0)),"")</f>
        <v>0</v>
      </c>
      <c r="AB31" s="748">
        <f>IFERROR(INDEX('Annex 2_Code'!M$8:M$33,MATCH('Annex 4_MoWRAM'!$BB31,'Annex 2_Code'!$G$8:$G$33,0)),"")</f>
        <v>0</v>
      </c>
      <c r="AC31" s="863"/>
      <c r="AD31" s="447">
        <f t="shared" si="13"/>
        <v>351.36831470573105</v>
      </c>
      <c r="AE31" s="818">
        <f t="shared" si="2"/>
        <v>57.832225235766863</v>
      </c>
      <c r="AF31" s="818">
        <f>IFERROR($V31*Z31,"")</f>
        <v>48.149460058502115</v>
      </c>
      <c r="AG31" s="818">
        <f t="shared" si="4"/>
        <v>0</v>
      </c>
      <c r="AH31" s="449">
        <f t="shared" si="5"/>
        <v>0</v>
      </c>
      <c r="AI31" s="448">
        <f t="shared" ref="AI31:AL34" si="46">R31*$X31</f>
        <v>0</v>
      </c>
      <c r="AJ31" s="805">
        <f t="shared" si="46"/>
        <v>70.273662941146199</v>
      </c>
      <c r="AK31" s="805">
        <f t="shared" si="46"/>
        <v>210.82098882343863</v>
      </c>
      <c r="AL31" s="161">
        <f t="shared" si="46"/>
        <v>70.273662941146199</v>
      </c>
      <c r="AM31" s="448">
        <f t="shared" ref="AM31:AP34" si="47">$Y31*R31</f>
        <v>0</v>
      </c>
      <c r="AN31" s="805">
        <f t="shared" si="47"/>
        <v>11.566445047153371</v>
      </c>
      <c r="AO31" s="805">
        <f t="shared" si="47"/>
        <v>34.699335141460118</v>
      </c>
      <c r="AP31" s="161">
        <f t="shared" si="47"/>
        <v>11.566445047153371</v>
      </c>
      <c r="AQ31" s="448">
        <f t="shared" ref="AQ31:AT34" si="48">$Z31*R31</f>
        <v>0</v>
      </c>
      <c r="AR31" s="805">
        <f t="shared" si="48"/>
        <v>9.6298920117004219</v>
      </c>
      <c r="AS31" s="805">
        <f t="shared" si="48"/>
        <v>28.889676035101267</v>
      </c>
      <c r="AT31" s="161">
        <f t="shared" si="48"/>
        <v>9.6298920117004219</v>
      </c>
      <c r="AU31" s="444">
        <f>$AA31*M31</f>
        <v>0</v>
      </c>
      <c r="AV31" s="903">
        <f>$AA31*N31</f>
        <v>0</v>
      </c>
      <c r="AW31" s="903">
        <f>$AA31*O31</f>
        <v>0</v>
      </c>
      <c r="AX31" s="168">
        <f>$AA31*P31</f>
        <v>0</v>
      </c>
      <c r="AY31" s="455">
        <f>SUM(AD31:AH31)</f>
        <v>457.35</v>
      </c>
      <c r="AZ31" s="2170" t="str">
        <f t="shared" si="9"/>
        <v>Correct</v>
      </c>
      <c r="BA31" s="870" t="s">
        <v>472</v>
      </c>
      <c r="BB31" s="568" t="s">
        <v>363</v>
      </c>
      <c r="BC31" s="568" t="str">
        <f>IFERROR(INDEX('Annex 2_Code'!$J$110:$J$127,MATCH('Annex 4_MoWRAM'!BA31,'Annex 2_Code'!$G$110:$G$127,0)),"")</f>
        <v>MOWRAM</v>
      </c>
      <c r="BD31" s="600" t="str">
        <f t="shared" si="44"/>
        <v>MOWRAM</v>
      </c>
    </row>
    <row r="32" spans="1:56" s="64" customFormat="1" ht="15">
      <c r="A32" s="2160" t="s">
        <v>24</v>
      </c>
      <c r="B32" s="2160" t="str">
        <f t="shared" si="20"/>
        <v>CW14</v>
      </c>
      <c r="C32" s="751" t="s">
        <v>524</v>
      </c>
      <c r="D32" s="1210"/>
      <c r="E32" s="1211" t="s">
        <v>922</v>
      </c>
      <c r="F32" s="1211"/>
      <c r="H32" s="1211"/>
      <c r="I32" s="1211"/>
      <c r="J32" s="1211"/>
      <c r="K32" s="2066" t="s">
        <v>568</v>
      </c>
      <c r="L32" s="1207">
        <v>915</v>
      </c>
      <c r="M32" s="2265">
        <v>0</v>
      </c>
      <c r="N32" s="2266">
        <v>0.1</v>
      </c>
      <c r="O32" s="2266">
        <v>0.3</v>
      </c>
      <c r="P32" s="2266">
        <v>0.1</v>
      </c>
      <c r="Q32" s="1208">
        <f>SUM(M32:P32)</f>
        <v>0.5</v>
      </c>
      <c r="R32" s="864">
        <f t="shared" ref="R32:R34" si="49">ROUND($L32*M32,2)</f>
        <v>0</v>
      </c>
      <c r="S32" s="866">
        <f t="shared" ref="S32:S34" si="50">ROUND($L32*N32,2)</f>
        <v>91.5</v>
      </c>
      <c r="T32" s="866">
        <f t="shared" si="45"/>
        <v>274.5</v>
      </c>
      <c r="U32" s="866">
        <f t="shared" si="45"/>
        <v>91.5</v>
      </c>
      <c r="V32" s="861">
        <f>SUM(R32:U32)</f>
        <v>457.5</v>
      </c>
      <c r="W32" s="940"/>
      <c r="X32" s="746">
        <f>IFERROR(INDEX('Annex 2_Code'!I$8:I$33,MATCH('Annex 4_MoWRAM'!$BB32,'Annex 2_Code'!$G$8:$G$33,0)),"")</f>
        <v>0.76827006604510995</v>
      </c>
      <c r="Y32" s="747">
        <f>IFERROR(INDEX('Annex 2_Code'!J$8:J$33,MATCH('Annex 4_MoWRAM'!$BB32,'Annex 2_Code'!$G$8:$G$33,0)),"")</f>
        <v>0.12645069473218948</v>
      </c>
      <c r="Z32" s="747">
        <f>IFERROR(INDEX('Annex 2_Code'!K$8:K$33,MATCH('Annex 4_MoWRAM'!$BB32,'Annex 2_Code'!$G$8:$G$33,0)),"")</f>
        <v>0.10527923922270058</v>
      </c>
      <c r="AA32" s="747">
        <f>IFERROR(INDEX('Annex 2_Code'!L$8:L$33,MATCH('Annex 4_MoWRAM'!$BB32,'Annex 2_Code'!$G$8:$G$33,0)),"")</f>
        <v>0</v>
      </c>
      <c r="AB32" s="748">
        <f>IFERROR(INDEX('Annex 2_Code'!M$8:M$33,MATCH('Annex 4_MoWRAM'!$BB32,'Annex 2_Code'!$G$8:$G$33,0)),"")</f>
        <v>0</v>
      </c>
      <c r="AC32" s="941"/>
      <c r="AD32" s="447">
        <f t="shared" si="13"/>
        <v>351.48355521563781</v>
      </c>
      <c r="AE32" s="818">
        <f t="shared" si="2"/>
        <v>57.851192839976683</v>
      </c>
      <c r="AF32" s="818">
        <f t="shared" si="3"/>
        <v>48.165251944385517</v>
      </c>
      <c r="AG32" s="818">
        <f t="shared" si="4"/>
        <v>0</v>
      </c>
      <c r="AH32" s="449">
        <f t="shared" si="5"/>
        <v>0</v>
      </c>
      <c r="AI32" s="448">
        <f t="shared" si="46"/>
        <v>0</v>
      </c>
      <c r="AJ32" s="805">
        <f t="shared" si="46"/>
        <v>70.296711043127559</v>
      </c>
      <c r="AK32" s="805">
        <f t="shared" si="46"/>
        <v>210.89013312938269</v>
      </c>
      <c r="AL32" s="161">
        <f t="shared" si="46"/>
        <v>70.296711043127559</v>
      </c>
      <c r="AM32" s="448">
        <f>$Y32*R32</f>
        <v>0</v>
      </c>
      <c r="AN32" s="805">
        <f t="shared" si="47"/>
        <v>11.570238567995338</v>
      </c>
      <c r="AO32" s="805">
        <f t="shared" si="47"/>
        <v>34.710715703986011</v>
      </c>
      <c r="AP32" s="161">
        <f t="shared" si="47"/>
        <v>11.570238567995338</v>
      </c>
      <c r="AQ32" s="448">
        <f t="shared" si="48"/>
        <v>0</v>
      </c>
      <c r="AR32" s="805">
        <f t="shared" si="48"/>
        <v>9.633050388877102</v>
      </c>
      <c r="AS32" s="805">
        <f t="shared" si="48"/>
        <v>28.899151166631309</v>
      </c>
      <c r="AT32" s="161">
        <f t="shared" si="48"/>
        <v>9.633050388877102</v>
      </c>
      <c r="AU32" s="444">
        <f t="shared" ref="AU32:AU34" si="51">$AA32*M32</f>
        <v>0</v>
      </c>
      <c r="AV32" s="903">
        <f t="shared" ref="AV32:AV34" si="52">$AA32*N32</f>
        <v>0</v>
      </c>
      <c r="AW32" s="903">
        <f t="shared" ref="AW32:AW34" si="53">$AA32*O32</f>
        <v>0</v>
      </c>
      <c r="AX32" s="168">
        <f t="shared" ref="AX32:AX34" si="54">$AA32*P32</f>
        <v>0</v>
      </c>
      <c r="AY32" s="455">
        <f t="shared" ref="AY32:AY33" si="55">SUM(AD32:AH32)</f>
        <v>457.5</v>
      </c>
      <c r="AZ32" s="2170" t="str">
        <f t="shared" si="9"/>
        <v>Correct</v>
      </c>
      <c r="BA32" s="870" t="s">
        <v>472</v>
      </c>
      <c r="BB32" s="568" t="s">
        <v>363</v>
      </c>
      <c r="BC32" s="568" t="str">
        <f>IFERROR(INDEX('Annex 2_Code'!$J$110:$J$127,MATCH('Annex 4_MoWRAM'!BA32,'Annex 2_Code'!$G$110:$G$127,0)),"")</f>
        <v>MOWRAM</v>
      </c>
      <c r="BD32" s="600" t="str">
        <f t="shared" si="44"/>
        <v>MOWRAM</v>
      </c>
    </row>
    <row r="33" spans="1:56" s="64" customFormat="1" ht="15">
      <c r="A33" s="1924" t="s">
        <v>24</v>
      </c>
      <c r="B33" s="1924" t="str">
        <f t="shared" si="20"/>
        <v>CW14</v>
      </c>
      <c r="C33" s="1925" t="s">
        <v>539</v>
      </c>
      <c r="D33" s="1210"/>
      <c r="E33" s="1211" t="s">
        <v>923</v>
      </c>
      <c r="F33" s="1211"/>
      <c r="H33" s="1211"/>
      <c r="I33" s="1211"/>
      <c r="J33" s="1211"/>
      <c r="K33" s="2066" t="s">
        <v>568</v>
      </c>
      <c r="L33" s="1207">
        <v>1057.2</v>
      </c>
      <c r="M33" s="2265">
        <v>0</v>
      </c>
      <c r="N33" s="2265">
        <v>0</v>
      </c>
      <c r="O33" s="2266">
        <v>0</v>
      </c>
      <c r="P33" s="2266">
        <v>0.1</v>
      </c>
      <c r="Q33" s="1208">
        <f>SUM(M33:P33)</f>
        <v>0.1</v>
      </c>
      <c r="R33" s="864">
        <f t="shared" si="49"/>
        <v>0</v>
      </c>
      <c r="S33" s="866">
        <f t="shared" si="50"/>
        <v>0</v>
      </c>
      <c r="T33" s="866">
        <f t="shared" si="45"/>
        <v>0</v>
      </c>
      <c r="U33" s="866">
        <f t="shared" si="45"/>
        <v>105.72</v>
      </c>
      <c r="V33" s="861">
        <f>SUM(R33:U33)</f>
        <v>105.72</v>
      </c>
      <c r="W33" s="940"/>
      <c r="X33" s="746">
        <f>IFERROR(INDEX('Annex 2_Code'!I$8:I$33,MATCH('Annex 4_MoWRAM'!$BB33,'Annex 2_Code'!$G$8:$G$33,0)),"")</f>
        <v>0.76827006604510995</v>
      </c>
      <c r="Y33" s="747">
        <f>IFERROR(INDEX('Annex 2_Code'!J$8:J$33,MATCH('Annex 4_MoWRAM'!$BB33,'Annex 2_Code'!$G$8:$G$33,0)),"")</f>
        <v>0.12645069473218948</v>
      </c>
      <c r="Z33" s="747">
        <f>IFERROR(INDEX('Annex 2_Code'!K$8:K$33,MATCH('Annex 4_MoWRAM'!$BB33,'Annex 2_Code'!$G$8:$G$33,0)),"")</f>
        <v>0.10527923922270058</v>
      </c>
      <c r="AA33" s="747">
        <f>IFERROR(INDEX('Annex 2_Code'!L$8:L$33,MATCH('Annex 4_MoWRAM'!$BB33,'Annex 2_Code'!$G$8:$G$33,0)),"")</f>
        <v>0</v>
      </c>
      <c r="AB33" s="748">
        <f>IFERROR(INDEX('Annex 2_Code'!M$8:M$33,MATCH('Annex 4_MoWRAM'!$BB33,'Annex 2_Code'!$G$8:$G$33,0)),"")</f>
        <v>0</v>
      </c>
      <c r="AC33" s="941"/>
      <c r="AD33" s="447">
        <f t="shared" si="13"/>
        <v>81.221511382289023</v>
      </c>
      <c r="AE33" s="818">
        <f t="shared" si="2"/>
        <v>13.368367447087072</v>
      </c>
      <c r="AF33" s="818">
        <f t="shared" si="3"/>
        <v>11.130121170623905</v>
      </c>
      <c r="AG33" s="818">
        <f t="shared" si="4"/>
        <v>0</v>
      </c>
      <c r="AH33" s="449">
        <f t="shared" si="5"/>
        <v>0</v>
      </c>
      <c r="AI33" s="448">
        <f t="shared" si="46"/>
        <v>0</v>
      </c>
      <c r="AJ33" s="805">
        <f t="shared" si="46"/>
        <v>0</v>
      </c>
      <c r="AK33" s="805">
        <f t="shared" si="46"/>
        <v>0</v>
      </c>
      <c r="AL33" s="161">
        <f t="shared" si="46"/>
        <v>81.221511382289023</v>
      </c>
      <c r="AM33" s="448">
        <f t="shared" ref="AM33:AM34" si="56">$Y33*R33</f>
        <v>0</v>
      </c>
      <c r="AN33" s="805">
        <f t="shared" si="47"/>
        <v>0</v>
      </c>
      <c r="AO33" s="805">
        <f t="shared" si="47"/>
        <v>0</v>
      </c>
      <c r="AP33" s="161">
        <f t="shared" si="47"/>
        <v>13.368367447087072</v>
      </c>
      <c r="AQ33" s="448">
        <f t="shared" si="48"/>
        <v>0</v>
      </c>
      <c r="AR33" s="805">
        <f t="shared" si="48"/>
        <v>0</v>
      </c>
      <c r="AS33" s="805">
        <f t="shared" si="48"/>
        <v>0</v>
      </c>
      <c r="AT33" s="161">
        <f t="shared" si="48"/>
        <v>11.130121170623905</v>
      </c>
      <c r="AU33" s="444">
        <f t="shared" si="51"/>
        <v>0</v>
      </c>
      <c r="AV33" s="903">
        <f t="shared" si="52"/>
        <v>0</v>
      </c>
      <c r="AW33" s="903">
        <f t="shared" si="53"/>
        <v>0</v>
      </c>
      <c r="AX33" s="168">
        <f t="shared" si="54"/>
        <v>0</v>
      </c>
      <c r="AY33" s="455">
        <f t="shared" si="55"/>
        <v>105.72</v>
      </c>
      <c r="AZ33" s="2170" t="str">
        <f t="shared" si="9"/>
        <v>Correct</v>
      </c>
      <c r="BA33" s="870" t="s">
        <v>472</v>
      </c>
      <c r="BB33" s="568" t="s">
        <v>363</v>
      </c>
      <c r="BC33" s="568" t="str">
        <f>IFERROR(INDEX('Annex 2_Code'!$J$110:$J$127,MATCH('Annex 4_MoWRAM'!BA33,'Annex 2_Code'!$G$110:$G$127,0)),"")</f>
        <v>MOWRAM</v>
      </c>
      <c r="BD33" s="600" t="str">
        <f t="shared" si="44"/>
        <v>MOWRAM</v>
      </c>
    </row>
    <row r="34" spans="1:56" s="64" customFormat="1" ht="15">
      <c r="A34" s="1924" t="s">
        <v>24</v>
      </c>
      <c r="B34" s="1924" t="str">
        <f>IF(ISNUMBER(FIND("-",C34,1))=FALSE,LEFT(C34,LEN(C34)),LEFT(C34,(FIND("-",C34,1))-1))</f>
        <v>CW14</v>
      </c>
      <c r="C34" s="1925" t="s">
        <v>540</v>
      </c>
      <c r="D34" s="1210"/>
      <c r="E34" s="1211" t="s">
        <v>924</v>
      </c>
      <c r="F34" s="1211"/>
      <c r="H34" s="1211"/>
      <c r="I34" s="1211"/>
      <c r="J34" s="1211"/>
      <c r="K34" s="2066" t="s">
        <v>568</v>
      </c>
      <c r="L34" s="1207">
        <v>2157.25</v>
      </c>
      <c r="M34" s="2265">
        <v>0</v>
      </c>
      <c r="N34" s="2265">
        <v>0</v>
      </c>
      <c r="O34" s="2266">
        <v>0</v>
      </c>
      <c r="P34" s="2266">
        <v>0.1</v>
      </c>
      <c r="Q34" s="1208">
        <f>SUM(M34:P34)</f>
        <v>0.1</v>
      </c>
      <c r="R34" s="864">
        <f t="shared" si="49"/>
        <v>0</v>
      </c>
      <c r="S34" s="866">
        <f t="shared" si="50"/>
        <v>0</v>
      </c>
      <c r="T34" s="866">
        <f t="shared" si="45"/>
        <v>0</v>
      </c>
      <c r="U34" s="866">
        <f t="shared" si="45"/>
        <v>215.73</v>
      </c>
      <c r="V34" s="861">
        <f>SUM(R34:U34)</f>
        <v>215.73</v>
      </c>
      <c r="W34" s="940"/>
      <c r="X34" s="746">
        <f>IFERROR(INDEX('Annex 2_Code'!I$8:I$33,MATCH('Annex 4_MoWRAM'!$BB34,'Annex 2_Code'!$G$8:$G$33,0)),"")</f>
        <v>0.76827006604510995</v>
      </c>
      <c r="Y34" s="747">
        <f>IFERROR(INDEX('Annex 2_Code'!J$8:J$33,MATCH('Annex 4_MoWRAM'!$BB34,'Annex 2_Code'!$G$8:$G$33,0)),"")</f>
        <v>0.12645069473218948</v>
      </c>
      <c r="Z34" s="747">
        <f>IFERROR(INDEX('Annex 2_Code'!K$8:K$33,MATCH('Annex 4_MoWRAM'!$BB34,'Annex 2_Code'!$G$8:$G$33,0)),"")</f>
        <v>0.10527923922270058</v>
      </c>
      <c r="AA34" s="747">
        <f>IFERROR(INDEX('Annex 2_Code'!L$8:L$33,MATCH('Annex 4_MoWRAM'!$BB34,'Annex 2_Code'!$G$8:$G$33,0)),"")</f>
        <v>0</v>
      </c>
      <c r="AB34" s="748">
        <f>IFERROR(INDEX('Annex 2_Code'!M$8:M$33,MATCH('Annex 4_MoWRAM'!$BB34,'Annex 2_Code'!$G$8:$G$33,0)),"")</f>
        <v>0</v>
      </c>
      <c r="AC34" s="941"/>
      <c r="AD34" s="447">
        <f>IFERROR($V34*X34,"")</f>
        <v>165.73890134791156</v>
      </c>
      <c r="AE34" s="818">
        <f>IFERROR($V34*Y34,"")</f>
        <v>27.279208374575234</v>
      </c>
      <c r="AF34" s="818">
        <f t="shared" ref="AF34:AG34" si="57">IFERROR($V34*Z34,"")</f>
        <v>22.711890277513195</v>
      </c>
      <c r="AG34" s="818">
        <f t="shared" si="57"/>
        <v>0</v>
      </c>
      <c r="AH34" s="449">
        <f>IFERROR($V34*AB34,"")</f>
        <v>0</v>
      </c>
      <c r="AI34" s="805">
        <f t="shared" si="46"/>
        <v>0</v>
      </c>
      <c r="AJ34" s="805">
        <f t="shared" si="46"/>
        <v>0</v>
      </c>
      <c r="AK34" s="805">
        <f t="shared" si="46"/>
        <v>0</v>
      </c>
      <c r="AL34" s="161">
        <f t="shared" si="46"/>
        <v>165.73890134791156</v>
      </c>
      <c r="AM34" s="448">
        <f t="shared" si="56"/>
        <v>0</v>
      </c>
      <c r="AN34" s="805">
        <f t="shared" si="47"/>
        <v>0</v>
      </c>
      <c r="AO34" s="805">
        <f t="shared" si="47"/>
        <v>0</v>
      </c>
      <c r="AP34" s="161">
        <f t="shared" si="47"/>
        <v>27.279208374575234</v>
      </c>
      <c r="AQ34" s="448">
        <f t="shared" si="48"/>
        <v>0</v>
      </c>
      <c r="AR34" s="805">
        <f t="shared" si="48"/>
        <v>0</v>
      </c>
      <c r="AS34" s="805">
        <f t="shared" si="48"/>
        <v>0</v>
      </c>
      <c r="AT34" s="161">
        <f t="shared" si="48"/>
        <v>22.711890277513195</v>
      </c>
      <c r="AU34" s="444">
        <f t="shared" si="51"/>
        <v>0</v>
      </c>
      <c r="AV34" s="903">
        <f t="shared" si="52"/>
        <v>0</v>
      </c>
      <c r="AW34" s="903">
        <f t="shared" si="53"/>
        <v>0</v>
      </c>
      <c r="AX34" s="168">
        <f t="shared" si="54"/>
        <v>0</v>
      </c>
      <c r="AY34" s="455">
        <f>SUM(AD34:AH34)</f>
        <v>215.73</v>
      </c>
      <c r="AZ34" s="2170" t="str">
        <f t="shared" si="9"/>
        <v>Correct</v>
      </c>
      <c r="BA34" s="870" t="s">
        <v>472</v>
      </c>
      <c r="BB34" s="568" t="s">
        <v>363</v>
      </c>
      <c r="BC34" s="568" t="str">
        <f>IFERROR(INDEX('Annex 2_Code'!$J$110:$J$127,MATCH('Annex 4_MoWRAM'!BA34,'Annex 2_Code'!$G$110:$G$127,0)),"")</f>
        <v>MOWRAM</v>
      </c>
      <c r="BD34" s="600" t="str">
        <f t="shared" si="44"/>
        <v>MOWRAM</v>
      </c>
    </row>
    <row r="35" spans="1:56" s="64" customFormat="1" ht="15">
      <c r="A35" s="2160"/>
      <c r="B35" s="2160" t="str">
        <f t="shared" si="20"/>
        <v/>
      </c>
      <c r="C35" s="751"/>
      <c r="D35" s="452"/>
      <c r="E35" s="30"/>
      <c r="F35" s="30"/>
      <c r="G35" s="30"/>
      <c r="H35" s="30"/>
      <c r="I35" s="30"/>
      <c r="J35" s="30"/>
      <c r="K35" s="2067"/>
      <c r="L35" s="1207"/>
      <c r="M35" s="890"/>
      <c r="N35" s="891"/>
      <c r="O35" s="892"/>
      <c r="P35" s="892"/>
      <c r="Q35" s="893"/>
      <c r="R35" s="864"/>
      <c r="S35" s="866"/>
      <c r="T35" s="866"/>
      <c r="U35" s="866"/>
      <c r="V35" s="861"/>
      <c r="W35" s="940"/>
      <c r="X35" s="746" t="str">
        <f>IFERROR(INDEX('Annex 2_Code'!I$8:I$33,MATCH('Annex 4_MoWRAM'!$BB35,'Annex 2_Code'!$G$8:$G$33,0)),"")</f>
        <v/>
      </c>
      <c r="Y35" s="747" t="str">
        <f>IFERROR(INDEX('Annex 2_Code'!J$8:J$33,MATCH('Annex 4_MoWRAM'!$BB35,'Annex 2_Code'!$G$8:$G$33,0)),"")</f>
        <v/>
      </c>
      <c r="Z35" s="747" t="str">
        <f>IFERROR(INDEX('Annex 2_Code'!K$8:K$33,MATCH('Annex 4_MoWRAM'!$BB35,'Annex 2_Code'!$G$8:$G$33,0)),"")</f>
        <v/>
      </c>
      <c r="AA35" s="747" t="str">
        <f>IFERROR(INDEX('Annex 2_Code'!L$8:L$33,MATCH('Annex 4_MoWRAM'!$BB35,'Annex 2_Code'!$G$8:$G$33,0)),"")</f>
        <v/>
      </c>
      <c r="AB35" s="748" t="str">
        <f>IFERROR(INDEX('Annex 2_Code'!M$8:M$33,MATCH('Annex 4_MoWRAM'!$BB35,'Annex 2_Code'!$G$8:$G$33,0)),"")</f>
        <v/>
      </c>
      <c r="AC35" s="941"/>
      <c r="AD35" s="447" t="str">
        <f t="shared" ref="AD35:AD37" si="58">IFERROR($V35*X35,"")</f>
        <v/>
      </c>
      <c r="AE35" s="818" t="str">
        <f t="shared" ref="AE35:AE37" si="59">IFERROR($V35*Y35,"")</f>
        <v/>
      </c>
      <c r="AF35" s="818" t="str">
        <f t="shared" ref="AF35:AF37" si="60">IFERROR($V35*Z35,"")</f>
        <v/>
      </c>
      <c r="AG35" s="818" t="str">
        <f t="shared" ref="AG35:AG37" si="61">IFERROR($V35*AA35,"")</f>
        <v/>
      </c>
      <c r="AH35" s="449" t="str">
        <f t="shared" ref="AH35:AH37" si="62">IFERROR($V35*AB35,"")</f>
        <v/>
      </c>
      <c r="AI35" s="805"/>
      <c r="AJ35" s="805"/>
      <c r="AK35" s="805"/>
      <c r="AL35" s="161"/>
      <c r="AM35" s="448"/>
      <c r="AN35" s="805"/>
      <c r="AO35" s="805"/>
      <c r="AP35" s="161"/>
      <c r="AQ35" s="448"/>
      <c r="AR35" s="805"/>
      <c r="AS35" s="805"/>
      <c r="AT35" s="161"/>
      <c r="AU35" s="444"/>
      <c r="AV35" s="903"/>
      <c r="AW35" s="903"/>
      <c r="AX35" s="168"/>
      <c r="AY35" s="2210"/>
      <c r="AZ35" s="2170"/>
      <c r="BA35" s="870"/>
      <c r="BB35" s="568"/>
      <c r="BC35" s="568" t="str">
        <f>IFERROR(INDEX('Annex 2_Code'!$J$110:$J$127,MATCH('Annex 4_MoWRAM'!BA35,'Annex 2_Code'!$G$110:$G$127,0)),"")</f>
        <v/>
      </c>
      <c r="BD35" s="600" t="str">
        <f t="shared" si="44"/>
        <v/>
      </c>
    </row>
    <row r="36" spans="1:56" s="64" customFormat="1" ht="15">
      <c r="A36" s="2167"/>
      <c r="B36" s="2167" t="str">
        <f t="shared" si="20"/>
        <v/>
      </c>
      <c r="C36" s="902"/>
      <c r="D36" s="1216"/>
      <c r="E36" s="1217" t="s">
        <v>41</v>
      </c>
      <c r="F36" s="1217"/>
      <c r="G36" s="1217"/>
      <c r="H36" s="1217"/>
      <c r="I36" s="1217"/>
      <c r="J36" s="1217"/>
      <c r="K36" s="2066"/>
      <c r="L36" s="1218">
        <f t="shared" ref="L36:U36" si="63">SUM(L10:L34)</f>
        <v>20937.682000000004</v>
      </c>
      <c r="M36" s="447">
        <f t="shared" si="63"/>
        <v>0.1</v>
      </c>
      <c r="N36" s="818">
        <f t="shared" si="63"/>
        <v>0.99999999999999989</v>
      </c>
      <c r="O36" s="818">
        <f t="shared" si="63"/>
        <v>3.899999999999999</v>
      </c>
      <c r="P36" s="818">
        <f>SUM(P10:P34)</f>
        <v>4.5999999999999979</v>
      </c>
      <c r="Q36" s="449">
        <f>SUM(Q10:Q34)</f>
        <v>9.5999999999999979</v>
      </c>
      <c r="R36" s="864">
        <f>SUM(R10:R34)</f>
        <v>65.510000000000005</v>
      </c>
      <c r="S36" s="866">
        <f t="shared" si="63"/>
        <v>814.11</v>
      </c>
      <c r="T36" s="866">
        <f t="shared" si="63"/>
        <v>3499.5599999999995</v>
      </c>
      <c r="U36" s="866">
        <f t="shared" si="63"/>
        <v>4596.12</v>
      </c>
      <c r="V36" s="861">
        <f>SUM(V10:V34)</f>
        <v>8975.2999999999993</v>
      </c>
      <c r="W36" s="447"/>
      <c r="X36" s="746" t="str">
        <f>IFERROR(INDEX('Annex 2_Code'!I$8:I$33,MATCH('Annex 4_MoWRAM'!$BB36,'Annex 2_Code'!$G$8:$G$33,0)),"")</f>
        <v/>
      </c>
      <c r="Y36" s="747" t="str">
        <f>IFERROR(INDEX('Annex 2_Code'!J$8:J$33,MATCH('Annex 4_MoWRAM'!$BB36,'Annex 2_Code'!$G$8:$G$33,0)),"")</f>
        <v/>
      </c>
      <c r="Z36" s="747" t="str">
        <f>IFERROR(INDEX('Annex 2_Code'!K$8:K$33,MATCH('Annex 4_MoWRAM'!$BB36,'Annex 2_Code'!$G$8:$G$33,0)),"")</f>
        <v/>
      </c>
      <c r="AA36" s="747" t="str">
        <f>IFERROR(INDEX('Annex 2_Code'!L$8:L$33,MATCH('Annex 4_MoWRAM'!$BB36,'Annex 2_Code'!$G$8:$G$33,0)),"")</f>
        <v/>
      </c>
      <c r="AB36" s="748" t="str">
        <f>IFERROR(INDEX('Annex 2_Code'!M$8:M$33,MATCH('Annex 4_MoWRAM'!$BB36,'Annex 2_Code'!$G$8:$G$33,0)),"")</f>
        <v/>
      </c>
      <c r="AC36" s="447"/>
      <c r="AD36" s="447" t="str">
        <f t="shared" si="58"/>
        <v/>
      </c>
      <c r="AE36" s="818" t="str">
        <f t="shared" si="59"/>
        <v/>
      </c>
      <c r="AF36" s="818" t="str">
        <f t="shared" si="60"/>
        <v/>
      </c>
      <c r="AG36" s="818" t="str">
        <f t="shared" si="61"/>
        <v/>
      </c>
      <c r="AH36" s="449" t="str">
        <f t="shared" si="62"/>
        <v/>
      </c>
      <c r="AI36" s="805"/>
      <c r="AJ36" s="805"/>
      <c r="AK36" s="805"/>
      <c r="AL36" s="161"/>
      <c r="AM36" s="448"/>
      <c r="AN36" s="805"/>
      <c r="AO36" s="805"/>
      <c r="AP36" s="161"/>
      <c r="AQ36" s="448"/>
      <c r="AR36" s="805"/>
      <c r="AS36" s="805"/>
      <c r="AT36" s="161"/>
      <c r="AU36" s="444"/>
      <c r="AV36" s="903"/>
      <c r="AW36" s="903"/>
      <c r="AX36" s="168"/>
      <c r="AY36" s="2210">
        <f>SUM(AD36:AH36)</f>
        <v>0</v>
      </c>
      <c r="AZ36" s="2170" t="str">
        <f>IF(V36=AY36,"Correct","Incorrect")</f>
        <v>Incorrect</v>
      </c>
      <c r="BA36" s="870"/>
      <c r="BB36" s="568"/>
      <c r="BC36" s="568" t="str">
        <f>IFERROR(INDEX('Annex 2_Code'!$J$110:$J$127,MATCH('Annex 4_MoWRAM'!BA36,'Annex 2_Code'!$G$110:$G$127,0)),"")</f>
        <v/>
      </c>
      <c r="BD36" s="600" t="str">
        <f t="shared" si="44"/>
        <v/>
      </c>
    </row>
    <row r="37" spans="1:56" s="64" customFormat="1" ht="15">
      <c r="A37" s="2088"/>
      <c r="B37" s="2088" t="str">
        <f t="shared" si="20"/>
        <v/>
      </c>
      <c r="C37" s="2089"/>
      <c r="D37" s="2090"/>
      <c r="E37" s="2091"/>
      <c r="F37" s="2091"/>
      <c r="G37" s="2091"/>
      <c r="H37" s="2091"/>
      <c r="I37" s="2091"/>
      <c r="J37" s="2091"/>
      <c r="K37" s="2092"/>
      <c r="L37" s="2093"/>
      <c r="M37" s="2094"/>
      <c r="N37" s="2095"/>
      <c r="O37" s="2095"/>
      <c r="P37" s="2095"/>
      <c r="Q37" s="2096"/>
      <c r="R37" s="2097"/>
      <c r="S37" s="2098"/>
      <c r="T37" s="2098"/>
      <c r="U37" s="2098"/>
      <c r="V37" s="2111"/>
      <c r="W37" s="818"/>
      <c r="X37" s="746" t="str">
        <f>IFERROR(INDEX('Annex 2_Code'!I$8:I$33,MATCH('Annex 4_MoWRAM'!$BB37,'Annex 2_Code'!$G$8:$G$33,0)),"")</f>
        <v/>
      </c>
      <c r="Y37" s="747" t="str">
        <f>IFERROR(INDEX('Annex 2_Code'!J$8:J$33,MATCH('Annex 4_MoWRAM'!$BB37,'Annex 2_Code'!$G$8:$G$33,0)),"")</f>
        <v/>
      </c>
      <c r="Z37" s="747" t="str">
        <f>IFERROR(INDEX('Annex 2_Code'!K$8:K$33,MATCH('Annex 4_MoWRAM'!$BB37,'Annex 2_Code'!$G$8:$G$33,0)),"")</f>
        <v/>
      </c>
      <c r="AA37" s="747" t="str">
        <f>IFERROR(INDEX('Annex 2_Code'!L$8:L$33,MATCH('Annex 4_MoWRAM'!$BB37,'Annex 2_Code'!$G$8:$G$33,0)),"")</f>
        <v/>
      </c>
      <c r="AB37" s="748" t="str">
        <f>IFERROR(INDEX('Annex 2_Code'!M$8:M$33,MATCH('Annex 4_MoWRAM'!$BB37,'Annex 2_Code'!$G$8:$G$33,0)),"")</f>
        <v/>
      </c>
      <c r="AC37" s="818"/>
      <c r="AD37" s="447" t="str">
        <f t="shared" si="58"/>
        <v/>
      </c>
      <c r="AE37" s="818" t="str">
        <f t="shared" si="59"/>
        <v/>
      </c>
      <c r="AF37" s="818" t="str">
        <f t="shared" si="60"/>
        <v/>
      </c>
      <c r="AG37" s="818" t="str">
        <f t="shared" si="61"/>
        <v/>
      </c>
      <c r="AH37" s="449" t="str">
        <f t="shared" si="62"/>
        <v/>
      </c>
      <c r="AI37" s="805"/>
      <c r="AJ37" s="805"/>
      <c r="AK37" s="805"/>
      <c r="AL37" s="161"/>
      <c r="AM37" s="448"/>
      <c r="AN37" s="805"/>
      <c r="AO37" s="805"/>
      <c r="AP37" s="161"/>
      <c r="AQ37" s="448"/>
      <c r="AR37" s="805"/>
      <c r="AS37" s="805"/>
      <c r="AT37" s="161"/>
      <c r="AU37" s="444"/>
      <c r="AV37" s="903"/>
      <c r="AW37" s="903"/>
      <c r="AX37" s="168"/>
      <c r="AY37" s="2210"/>
      <c r="AZ37" s="2170"/>
      <c r="BA37" s="870"/>
      <c r="BB37" s="568"/>
      <c r="BC37" s="568" t="str">
        <f>IFERROR(INDEX('Annex 2_Code'!$J$110:$J$127,MATCH('Annex 4_MoWRAM'!BA37,'Annex 2_Code'!$G$110:$G$127,0)),"")</f>
        <v/>
      </c>
      <c r="BD37" s="600" t="str">
        <f t="shared" si="44"/>
        <v/>
      </c>
    </row>
    <row r="38" spans="1:56" s="64" customFormat="1" ht="15">
      <c r="A38" s="2099"/>
      <c r="B38" s="2099"/>
      <c r="C38" s="2100"/>
      <c r="D38" s="2101" t="s">
        <v>1174</v>
      </c>
      <c r="E38" s="2102"/>
      <c r="F38" s="2102"/>
      <c r="G38" s="2102"/>
      <c r="H38" s="2102"/>
      <c r="I38" s="2102"/>
      <c r="J38" s="2102"/>
      <c r="K38" s="2103"/>
      <c r="L38" s="2104"/>
      <c r="M38" s="2105"/>
      <c r="N38" s="2106"/>
      <c r="O38" s="2107"/>
      <c r="P38" s="2107"/>
      <c r="Q38" s="2224"/>
      <c r="R38" s="2108"/>
      <c r="S38" s="2109"/>
      <c r="T38" s="2109"/>
      <c r="U38" s="2109"/>
      <c r="V38" s="2110"/>
      <c r="W38" s="940"/>
      <c r="X38" s="2214">
        <f>IFERROR(INDEX('Annex 2_Code'!I$8:I$33,MATCH('Annex 4_MoWRAM'!$BB38,'Annex 2_Code'!$G$8:$G$33,0)),"")</f>
        <v>0</v>
      </c>
      <c r="Y38" s="2215">
        <f>IFERROR(INDEX('Annex 2_Code'!J$8:J$33,MATCH('Annex 4_MoWRAM'!$BB38,'Annex 2_Code'!$G$8:$G$33,0)),"")</f>
        <v>0</v>
      </c>
      <c r="Z38" s="2215">
        <f>IFERROR(INDEX('Annex 2_Code'!K$8:K$33,MATCH('Annex 4_MoWRAM'!$BB38,'Annex 2_Code'!$G$8:$G$33,0)),"")</f>
        <v>1</v>
      </c>
      <c r="AA38" s="2215">
        <f>IFERROR(INDEX('Annex 2_Code'!L$8:L$33,MATCH('Annex 4_MoWRAM'!$BB38,'Annex 2_Code'!$G$8:$G$33,0)),"")</f>
        <v>0</v>
      </c>
      <c r="AB38" s="2216">
        <f>IFERROR(INDEX('Annex 2_Code'!M$8:M$33,MATCH('Annex 4_MoWRAM'!$BB38,'Annex 2_Code'!$G$8:$G$33,0)),"")</f>
        <v>0</v>
      </c>
      <c r="AC38" s="941"/>
      <c r="AD38" s="2207">
        <f t="shared" ref="AD38:AD41" si="64">IFERROR($V38*X38,"")</f>
        <v>0</v>
      </c>
      <c r="AE38" s="2218">
        <f t="shared" ref="AE38:AE41" si="65">IFERROR($V38*Y38,"")</f>
        <v>0</v>
      </c>
      <c r="AF38" s="2218">
        <f t="shared" ref="AF38:AF41" si="66">IFERROR($V38*Z38,"")</f>
        <v>0</v>
      </c>
      <c r="AG38" s="2218">
        <f t="shared" ref="AG38:AG41" si="67">IFERROR($V38*AA38,"")</f>
        <v>0</v>
      </c>
      <c r="AH38" s="2209">
        <f t="shared" ref="AH38:AH41" si="68">IFERROR($V38*AB38,"")</f>
        <v>0</v>
      </c>
      <c r="AI38" s="2217">
        <f t="shared" ref="AI38:AI52" si="69">R38*$X38</f>
        <v>0</v>
      </c>
      <c r="AJ38" s="2217">
        <f t="shared" ref="AJ38:AJ52" si="70">S38*$X38</f>
        <v>0</v>
      </c>
      <c r="AK38" s="2217">
        <f t="shared" ref="AK38:AK52" si="71">T38*$X38</f>
        <v>0</v>
      </c>
      <c r="AL38" s="2204">
        <f t="shared" ref="AL38:AL52" si="72">U38*$X38</f>
        <v>0</v>
      </c>
      <c r="AM38" s="2208">
        <f t="shared" ref="AM38:AM52" si="73">$Y38*R38</f>
        <v>0</v>
      </c>
      <c r="AN38" s="2217">
        <f t="shared" ref="AN38:AN52" si="74">$Y38*S38</f>
        <v>0</v>
      </c>
      <c r="AO38" s="2217">
        <f t="shared" ref="AO38:AO52" si="75">$Y38*T38</f>
        <v>0</v>
      </c>
      <c r="AP38" s="2204">
        <f t="shared" ref="AP38:AP52" si="76">$Y38*U38</f>
        <v>0</v>
      </c>
      <c r="AQ38" s="2208">
        <f t="shared" ref="AQ38:AQ52" si="77">$Z38*R38</f>
        <v>0</v>
      </c>
      <c r="AR38" s="2217">
        <f t="shared" ref="AR38:AR52" si="78">$Z38*S38</f>
        <v>0</v>
      </c>
      <c r="AS38" s="2217">
        <f t="shared" ref="AS38:AS52" si="79">$Z38*T38</f>
        <v>0</v>
      </c>
      <c r="AT38" s="2204">
        <f t="shared" ref="AT38:AT52" si="80">$Z38*U38</f>
        <v>0</v>
      </c>
      <c r="AU38" s="2206">
        <f t="shared" ref="AU38:AU52" si="81">$AA38*M38</f>
        <v>0</v>
      </c>
      <c r="AV38" s="2226">
        <f t="shared" ref="AV38:AV52" si="82">$AA38*N38</f>
        <v>0</v>
      </c>
      <c r="AW38" s="2226">
        <f t="shared" ref="AW38:AW52" si="83">$AA38*O38</f>
        <v>0</v>
      </c>
      <c r="AX38" s="2205">
        <f t="shared" ref="AX38:AX52" si="84">$AA38*P38</f>
        <v>0</v>
      </c>
      <c r="AY38" s="2210">
        <f t="shared" ref="AY38:AY52" si="85">SUM(AD38:AH38)</f>
        <v>0</v>
      </c>
      <c r="AZ38" s="2170" t="str">
        <f t="shared" si="9"/>
        <v>Correct</v>
      </c>
      <c r="BA38" s="2221" t="s">
        <v>472</v>
      </c>
      <c r="BB38" s="2212" t="s">
        <v>386</v>
      </c>
      <c r="BC38" s="568" t="str">
        <f>IFERROR(INDEX('Annex 2_Code'!$J$110:$J$127,MATCH('Annex 4_MoWRAM'!BA38,'Annex 2_Code'!$G$110:$G$127,0)),"")</f>
        <v>MOWRAM</v>
      </c>
      <c r="BD38" s="600" t="str">
        <f t="shared" si="44"/>
        <v>MOWRAM</v>
      </c>
    </row>
    <row r="39" spans="1:56" s="2151" customFormat="1">
      <c r="A39" s="2169"/>
      <c r="B39" s="2169"/>
      <c r="C39" s="2169"/>
      <c r="D39" s="2200" t="s">
        <v>1175</v>
      </c>
      <c r="F39" s="2165"/>
      <c r="G39" s="2165"/>
      <c r="H39" s="2165"/>
      <c r="I39" s="2165"/>
      <c r="J39" s="2165"/>
      <c r="K39" s="2067"/>
      <c r="L39" s="1207"/>
      <c r="M39" s="891"/>
      <c r="N39" s="891"/>
      <c r="O39" s="2166"/>
      <c r="P39" s="2166"/>
      <c r="Q39" s="2224"/>
      <c r="R39" s="864"/>
      <c r="S39" s="866"/>
      <c r="T39" s="866"/>
      <c r="U39" s="866"/>
      <c r="V39" s="861"/>
      <c r="W39" s="940"/>
      <c r="X39" s="2214">
        <f>IFERROR(INDEX('Annex 2_Code'!I$8:I$33,MATCH('Annex 4_MoWRAM'!$BB39,'Annex 2_Code'!$G$8:$G$33,0)),"")</f>
        <v>0</v>
      </c>
      <c r="Y39" s="2215">
        <f>IFERROR(INDEX('Annex 2_Code'!J$8:J$33,MATCH('Annex 4_MoWRAM'!$BB39,'Annex 2_Code'!$G$8:$G$33,0)),"")</f>
        <v>0</v>
      </c>
      <c r="Z39" s="2215">
        <f>IFERROR(INDEX('Annex 2_Code'!K$8:K$33,MATCH('Annex 4_MoWRAM'!$BB39,'Annex 2_Code'!$G$8:$G$33,0)),"")</f>
        <v>1</v>
      </c>
      <c r="AA39" s="2215">
        <f>IFERROR(INDEX('Annex 2_Code'!L$8:L$33,MATCH('Annex 4_MoWRAM'!$BB39,'Annex 2_Code'!$G$8:$G$33,0)),"")</f>
        <v>0</v>
      </c>
      <c r="AB39" s="2216">
        <f>IFERROR(INDEX('Annex 2_Code'!M$8:M$33,MATCH('Annex 4_MoWRAM'!$BB39,'Annex 2_Code'!$G$8:$G$33,0)),"")</f>
        <v>0</v>
      </c>
      <c r="AC39" s="941"/>
      <c r="AD39" s="2207">
        <f t="shared" si="64"/>
        <v>0</v>
      </c>
      <c r="AE39" s="2218">
        <f t="shared" si="65"/>
        <v>0</v>
      </c>
      <c r="AF39" s="2218">
        <f t="shared" si="66"/>
        <v>0</v>
      </c>
      <c r="AG39" s="2218">
        <f t="shared" si="67"/>
        <v>0</v>
      </c>
      <c r="AH39" s="2209">
        <f t="shared" si="68"/>
        <v>0</v>
      </c>
      <c r="AI39" s="2217">
        <f t="shared" si="69"/>
        <v>0</v>
      </c>
      <c r="AJ39" s="2217">
        <f t="shared" si="70"/>
        <v>0</v>
      </c>
      <c r="AK39" s="2217">
        <f t="shared" si="71"/>
        <v>0</v>
      </c>
      <c r="AL39" s="2204">
        <f t="shared" si="72"/>
        <v>0</v>
      </c>
      <c r="AM39" s="2208">
        <f t="shared" si="73"/>
        <v>0</v>
      </c>
      <c r="AN39" s="2217">
        <f t="shared" si="74"/>
        <v>0</v>
      </c>
      <c r="AO39" s="2217">
        <f t="shared" si="75"/>
        <v>0</v>
      </c>
      <c r="AP39" s="2204">
        <f t="shared" si="76"/>
        <v>0</v>
      </c>
      <c r="AQ39" s="2208">
        <f t="shared" si="77"/>
        <v>0</v>
      </c>
      <c r="AR39" s="2217">
        <f t="shared" si="78"/>
        <v>0</v>
      </c>
      <c r="AS39" s="2217">
        <f t="shared" si="79"/>
        <v>0</v>
      </c>
      <c r="AT39" s="2204">
        <f t="shared" si="80"/>
        <v>0</v>
      </c>
      <c r="AU39" s="2206">
        <f t="shared" si="81"/>
        <v>0</v>
      </c>
      <c r="AV39" s="2226">
        <f t="shared" si="82"/>
        <v>0</v>
      </c>
      <c r="AW39" s="2226">
        <f t="shared" si="83"/>
        <v>0</v>
      </c>
      <c r="AX39" s="2205">
        <f t="shared" si="84"/>
        <v>0</v>
      </c>
      <c r="AY39" s="2210">
        <f t="shared" si="85"/>
        <v>0</v>
      </c>
      <c r="AZ39" s="2170" t="str">
        <f t="shared" si="9"/>
        <v>Correct</v>
      </c>
      <c r="BA39" s="2221" t="s">
        <v>472</v>
      </c>
      <c r="BB39" s="2212" t="s">
        <v>386</v>
      </c>
      <c r="BC39" s="2212" t="str">
        <f>IFERROR(INDEX('Annex 2_Code'!$J$110:$J$127,MATCH('Annex 4_MoWRAM'!BA39,'Annex 2_Code'!$G$110:$G$127,0)),"")</f>
        <v>MOWRAM</v>
      </c>
      <c r="BD39" s="2213" t="str">
        <f t="shared" ref="BD39:BD52" si="86">IF(ISNUMBER(FIND("-",BC39,1))=FALSE,LEFT(BC39,LEN(BC39)),LEFT(BC39,(FIND("-",BC39,1))-1))</f>
        <v>MOWRAM</v>
      </c>
    </row>
    <row r="40" spans="1:56" s="2151" customFormat="1" ht="15">
      <c r="A40" s="2233" t="str">
        <f t="shared" ref="A40:B40" si="87">IF(ISNUMBER(FIND("-",B40,1))=FALSE,LEFT(B40,LEN(B40)),LEFT(B40,(FIND("-",B40,1))-1))</f>
        <v>PMO</v>
      </c>
      <c r="B40" s="2169" t="str">
        <f t="shared" si="87"/>
        <v>PMO</v>
      </c>
      <c r="C40" s="2169" t="s">
        <v>57</v>
      </c>
      <c r="D40" s="2179"/>
      <c r="E40" s="2184" t="s">
        <v>1176</v>
      </c>
      <c r="F40" s="2165"/>
      <c r="G40" s="2165"/>
      <c r="H40" s="2165"/>
      <c r="I40" s="2165"/>
      <c r="J40" s="2165"/>
      <c r="K40" s="2066" t="s">
        <v>1189</v>
      </c>
      <c r="L40" s="2201">
        <v>1.79</v>
      </c>
      <c r="M40" s="2225">
        <v>9</v>
      </c>
      <c r="N40" s="2225">
        <v>4</v>
      </c>
      <c r="O40" s="2225">
        <v>3</v>
      </c>
      <c r="P40" s="2225">
        <v>3</v>
      </c>
      <c r="Q40" s="2224">
        <f t="shared" ref="Q40:Q52" si="88">SUM(M40:P40)</f>
        <v>19</v>
      </c>
      <c r="R40" s="2192">
        <f t="shared" ref="R40" si="89">$L40*M40</f>
        <v>16.11</v>
      </c>
      <c r="S40" s="2220">
        <f t="shared" ref="S40" si="90">$L40*N40</f>
        <v>7.16</v>
      </c>
      <c r="T40" s="2220">
        <f t="shared" ref="T40" si="91">$L40*O40</f>
        <v>5.37</v>
      </c>
      <c r="U40" s="2220">
        <f t="shared" ref="U40" si="92">$L40*P40</f>
        <v>5.37</v>
      </c>
      <c r="V40" s="2194">
        <f>SUM(R40:U40)</f>
        <v>34.01</v>
      </c>
      <c r="W40" s="940"/>
      <c r="X40" s="2214">
        <f>IFERROR(INDEX('Annex 2_Code'!I$8:I$33,MATCH('Annex 4_MoWRAM'!$BB40,'Annex 2_Code'!$G$8:$G$33,0)),"")</f>
        <v>0</v>
      </c>
      <c r="Y40" s="2215">
        <f>IFERROR(INDEX('Annex 2_Code'!J$8:J$33,MATCH('Annex 4_MoWRAM'!$BB40,'Annex 2_Code'!$G$8:$G$33,0)),"")</f>
        <v>0</v>
      </c>
      <c r="Z40" s="2215">
        <f>IFERROR(INDEX('Annex 2_Code'!K$8:K$33,MATCH('Annex 4_MoWRAM'!$BB40,'Annex 2_Code'!$G$8:$G$33,0)),"")</f>
        <v>1</v>
      </c>
      <c r="AA40" s="2215">
        <f>IFERROR(INDEX('Annex 2_Code'!L$8:L$33,MATCH('Annex 4_MoWRAM'!$BB40,'Annex 2_Code'!$G$8:$G$33,0)),"")</f>
        <v>0</v>
      </c>
      <c r="AB40" s="2216">
        <f>IFERROR(INDEX('Annex 2_Code'!M$8:M$33,MATCH('Annex 4_MoWRAM'!$BB40,'Annex 2_Code'!$G$8:$G$33,0)),"")</f>
        <v>0</v>
      </c>
      <c r="AC40" s="941"/>
      <c r="AD40" s="2207">
        <f t="shared" si="64"/>
        <v>0</v>
      </c>
      <c r="AE40" s="2218">
        <f t="shared" si="65"/>
        <v>0</v>
      </c>
      <c r="AF40" s="2218">
        <f t="shared" si="66"/>
        <v>34.01</v>
      </c>
      <c r="AG40" s="2218">
        <f t="shared" si="67"/>
        <v>0</v>
      </c>
      <c r="AH40" s="2209">
        <f t="shared" si="68"/>
        <v>0</v>
      </c>
      <c r="AI40" s="2217">
        <f t="shared" si="69"/>
        <v>0</v>
      </c>
      <c r="AJ40" s="2217">
        <f t="shared" si="70"/>
        <v>0</v>
      </c>
      <c r="AK40" s="2217">
        <f t="shared" si="71"/>
        <v>0</v>
      </c>
      <c r="AL40" s="2204">
        <f t="shared" si="72"/>
        <v>0</v>
      </c>
      <c r="AM40" s="2208">
        <f t="shared" si="73"/>
        <v>0</v>
      </c>
      <c r="AN40" s="2217">
        <f t="shared" si="74"/>
        <v>0</v>
      </c>
      <c r="AO40" s="2217">
        <f t="shared" si="75"/>
        <v>0</v>
      </c>
      <c r="AP40" s="2204">
        <f t="shared" si="76"/>
        <v>0</v>
      </c>
      <c r="AQ40" s="2208">
        <f t="shared" si="77"/>
        <v>16.11</v>
      </c>
      <c r="AR40" s="2217">
        <f t="shared" si="78"/>
        <v>7.16</v>
      </c>
      <c r="AS40" s="2217">
        <f t="shared" si="79"/>
        <v>5.37</v>
      </c>
      <c r="AT40" s="2204">
        <f t="shared" si="80"/>
        <v>5.37</v>
      </c>
      <c r="AU40" s="2206">
        <f t="shared" si="81"/>
        <v>0</v>
      </c>
      <c r="AV40" s="2226">
        <f t="shared" si="82"/>
        <v>0</v>
      </c>
      <c r="AW40" s="2226">
        <f t="shared" si="83"/>
        <v>0</v>
      </c>
      <c r="AX40" s="2205">
        <f t="shared" si="84"/>
        <v>0</v>
      </c>
      <c r="AY40" s="2210">
        <f t="shared" si="85"/>
        <v>34.01</v>
      </c>
      <c r="AZ40" s="2170" t="str">
        <f t="shared" si="9"/>
        <v>Correct</v>
      </c>
      <c r="BA40" s="2221" t="s">
        <v>472</v>
      </c>
      <c r="BB40" s="2212" t="s">
        <v>386</v>
      </c>
      <c r="BC40" s="2212" t="str">
        <f>IFERROR(INDEX('Annex 2_Code'!$J$110:$J$127,MATCH('Annex 4_MoWRAM'!BA40,'Annex 2_Code'!$G$110:$G$127,0)),"")</f>
        <v>MOWRAM</v>
      </c>
      <c r="BD40" s="2213" t="str">
        <f t="shared" si="86"/>
        <v>MOWRAM</v>
      </c>
    </row>
    <row r="41" spans="1:56" s="2151" customFormat="1" ht="15">
      <c r="A41" s="2233" t="str">
        <f t="shared" ref="A41:B41" si="93">IF(ISNUMBER(FIND("-",B41,1))=FALSE,LEFT(B41,LEN(B41)),LEFT(B41,(FIND("-",B41,1))-1))</f>
        <v>PMO</v>
      </c>
      <c r="B41" s="2169" t="str">
        <f t="shared" si="93"/>
        <v>PMO</v>
      </c>
      <c r="C41" s="2169" t="s">
        <v>57</v>
      </c>
      <c r="D41" s="2179"/>
      <c r="E41" s="2184" t="s">
        <v>1177</v>
      </c>
      <c r="F41" s="2165"/>
      <c r="G41" s="2165"/>
      <c r="H41" s="2165"/>
      <c r="I41" s="2165"/>
      <c r="J41" s="2165"/>
      <c r="K41" s="2066" t="s">
        <v>1189</v>
      </c>
      <c r="L41" s="2201">
        <v>0.1</v>
      </c>
      <c r="M41" s="2225">
        <v>9</v>
      </c>
      <c r="N41" s="2225">
        <v>4</v>
      </c>
      <c r="O41" s="2225">
        <v>3</v>
      </c>
      <c r="P41" s="2225">
        <v>3</v>
      </c>
      <c r="Q41" s="2224">
        <f t="shared" si="88"/>
        <v>19</v>
      </c>
      <c r="R41" s="2192">
        <f t="shared" ref="R41:R52" si="94">$L41*M41</f>
        <v>0.9</v>
      </c>
      <c r="S41" s="2220">
        <f t="shared" ref="S41:S52" si="95">$L41*N41</f>
        <v>0.4</v>
      </c>
      <c r="T41" s="2220">
        <f t="shared" ref="T41:T52" si="96">$L41*O41</f>
        <v>0.30000000000000004</v>
      </c>
      <c r="U41" s="2220">
        <f t="shared" ref="U41:U51" si="97">$L41*P41</f>
        <v>0.30000000000000004</v>
      </c>
      <c r="V41" s="2194">
        <f t="shared" ref="V41:V52" si="98">SUM(R41:U41)</f>
        <v>1.9000000000000001</v>
      </c>
      <c r="W41" s="940"/>
      <c r="X41" s="2214">
        <f>IFERROR(INDEX('Annex 2_Code'!I$8:I$33,MATCH('Annex 4_MoWRAM'!$BB41,'Annex 2_Code'!$G$8:$G$33,0)),"")</f>
        <v>0</v>
      </c>
      <c r="Y41" s="2215">
        <f>IFERROR(INDEX('Annex 2_Code'!J$8:J$33,MATCH('Annex 4_MoWRAM'!$BB41,'Annex 2_Code'!$G$8:$G$33,0)),"")</f>
        <v>0</v>
      </c>
      <c r="Z41" s="2215">
        <f>IFERROR(INDEX('Annex 2_Code'!K$8:K$33,MATCH('Annex 4_MoWRAM'!$BB41,'Annex 2_Code'!$G$8:$G$33,0)),"")</f>
        <v>1</v>
      </c>
      <c r="AA41" s="2215">
        <f>IFERROR(INDEX('Annex 2_Code'!L$8:L$33,MATCH('Annex 4_MoWRAM'!$BB41,'Annex 2_Code'!$G$8:$G$33,0)),"")</f>
        <v>0</v>
      </c>
      <c r="AB41" s="2216">
        <f>IFERROR(INDEX('Annex 2_Code'!M$8:M$33,MATCH('Annex 4_MoWRAM'!$BB41,'Annex 2_Code'!$G$8:$G$33,0)),"")</f>
        <v>0</v>
      </c>
      <c r="AC41" s="941"/>
      <c r="AD41" s="2207">
        <f t="shared" si="64"/>
        <v>0</v>
      </c>
      <c r="AE41" s="2218">
        <f t="shared" si="65"/>
        <v>0</v>
      </c>
      <c r="AF41" s="2218">
        <f t="shared" si="66"/>
        <v>1.9000000000000001</v>
      </c>
      <c r="AG41" s="2218">
        <f t="shared" si="67"/>
        <v>0</v>
      </c>
      <c r="AH41" s="2209">
        <f t="shared" si="68"/>
        <v>0</v>
      </c>
      <c r="AI41" s="2217">
        <f t="shared" si="69"/>
        <v>0</v>
      </c>
      <c r="AJ41" s="2217">
        <f t="shared" si="70"/>
        <v>0</v>
      </c>
      <c r="AK41" s="2217">
        <f t="shared" si="71"/>
        <v>0</v>
      </c>
      <c r="AL41" s="2204">
        <f t="shared" si="72"/>
        <v>0</v>
      </c>
      <c r="AM41" s="2208">
        <f t="shared" si="73"/>
        <v>0</v>
      </c>
      <c r="AN41" s="2217">
        <f t="shared" si="74"/>
        <v>0</v>
      </c>
      <c r="AO41" s="2217">
        <f t="shared" si="75"/>
        <v>0</v>
      </c>
      <c r="AP41" s="2204">
        <f t="shared" si="76"/>
        <v>0</v>
      </c>
      <c r="AQ41" s="2208">
        <f t="shared" si="77"/>
        <v>0.9</v>
      </c>
      <c r="AR41" s="2217">
        <f t="shared" si="78"/>
        <v>0.4</v>
      </c>
      <c r="AS41" s="2217">
        <f t="shared" si="79"/>
        <v>0.30000000000000004</v>
      </c>
      <c r="AT41" s="2204">
        <f t="shared" si="80"/>
        <v>0.30000000000000004</v>
      </c>
      <c r="AU41" s="2206">
        <f t="shared" si="81"/>
        <v>0</v>
      </c>
      <c r="AV41" s="2226">
        <f t="shared" si="82"/>
        <v>0</v>
      </c>
      <c r="AW41" s="2226">
        <f t="shared" si="83"/>
        <v>0</v>
      </c>
      <c r="AX41" s="2205">
        <f t="shared" si="84"/>
        <v>0</v>
      </c>
      <c r="AY41" s="2210">
        <f t="shared" si="85"/>
        <v>1.9000000000000001</v>
      </c>
      <c r="AZ41" s="2170" t="str">
        <f t="shared" si="9"/>
        <v>Correct</v>
      </c>
      <c r="BA41" s="2221" t="s">
        <v>472</v>
      </c>
      <c r="BB41" s="2212" t="s">
        <v>386</v>
      </c>
      <c r="BC41" s="2212" t="str">
        <f>IFERROR(INDEX('Annex 2_Code'!$J$110:$J$127,MATCH('Annex 4_MoWRAM'!BA41,'Annex 2_Code'!$G$110:$G$127,0)),"")</f>
        <v>MOWRAM</v>
      </c>
      <c r="BD41" s="2213" t="str">
        <f t="shared" si="86"/>
        <v>MOWRAM</v>
      </c>
    </row>
    <row r="42" spans="1:56" s="2151" customFormat="1" ht="15">
      <c r="A42" s="2233" t="str">
        <f t="shared" ref="A42:B42" si="99">IF(ISNUMBER(FIND("-",B42,1))=FALSE,LEFT(B42,LEN(B42)),LEFT(B42,(FIND("-",B42,1))-1))</f>
        <v>PMO</v>
      </c>
      <c r="B42" s="2169" t="str">
        <f t="shared" si="99"/>
        <v>PMO</v>
      </c>
      <c r="C42" s="2169" t="s">
        <v>57</v>
      </c>
      <c r="D42" s="2179"/>
      <c r="E42" s="2184" t="s">
        <v>1178</v>
      </c>
      <c r="F42" s="2165"/>
      <c r="G42" s="2165"/>
      <c r="H42" s="2165"/>
      <c r="I42" s="2165"/>
      <c r="J42" s="2165"/>
      <c r="K42" s="2066" t="s">
        <v>1189</v>
      </c>
      <c r="L42" s="2201">
        <v>0.83</v>
      </c>
      <c r="M42" s="2225">
        <v>9</v>
      </c>
      <c r="N42" s="2225">
        <v>4</v>
      </c>
      <c r="O42" s="2225">
        <v>3</v>
      </c>
      <c r="P42" s="2225">
        <v>3</v>
      </c>
      <c r="Q42" s="2224">
        <f t="shared" si="88"/>
        <v>19</v>
      </c>
      <c r="R42" s="2192">
        <f t="shared" si="94"/>
        <v>7.47</v>
      </c>
      <c r="S42" s="2220">
        <f t="shared" si="95"/>
        <v>3.32</v>
      </c>
      <c r="T42" s="2220">
        <f t="shared" si="96"/>
        <v>2.4899999999999998</v>
      </c>
      <c r="U42" s="2220">
        <f t="shared" si="97"/>
        <v>2.4899999999999998</v>
      </c>
      <c r="V42" s="2194">
        <f t="shared" si="98"/>
        <v>15.77</v>
      </c>
      <c r="W42" s="940"/>
      <c r="X42" s="2214">
        <f>IFERROR(INDEX('Annex 2_Code'!I$8:I$33,MATCH('Annex 4_MoWRAM'!$BB42,'Annex 2_Code'!$G$8:$G$33,0)),"")</f>
        <v>0</v>
      </c>
      <c r="Y42" s="2215">
        <f>IFERROR(INDEX('Annex 2_Code'!J$8:J$33,MATCH('Annex 4_MoWRAM'!$BB42,'Annex 2_Code'!$G$8:$G$33,0)),"")</f>
        <v>0</v>
      </c>
      <c r="Z42" s="2215">
        <f>IFERROR(INDEX('Annex 2_Code'!K$8:K$33,MATCH('Annex 4_MoWRAM'!$BB42,'Annex 2_Code'!$G$8:$G$33,0)),"")</f>
        <v>1</v>
      </c>
      <c r="AA42" s="2215">
        <f>IFERROR(INDEX('Annex 2_Code'!L$8:L$33,MATCH('Annex 4_MoWRAM'!$BB42,'Annex 2_Code'!$G$8:$G$33,0)),"")</f>
        <v>0</v>
      </c>
      <c r="AB42" s="2216">
        <f>IFERROR(INDEX('Annex 2_Code'!M$8:M$33,MATCH('Annex 4_MoWRAM'!$BB42,'Annex 2_Code'!$G$8:$G$33,0)),"")</f>
        <v>0</v>
      </c>
      <c r="AC42" s="941"/>
      <c r="AD42" s="2207">
        <f t="shared" ref="AD42:AD52" si="100">IFERROR($V42*X42,"")</f>
        <v>0</v>
      </c>
      <c r="AE42" s="2218">
        <f t="shared" ref="AE42:AE52" si="101">IFERROR($V42*Y42,"")</f>
        <v>0</v>
      </c>
      <c r="AF42" s="2218">
        <f t="shared" ref="AF42:AF52" si="102">IFERROR($V42*Z42,"")</f>
        <v>15.77</v>
      </c>
      <c r="AG42" s="2218">
        <f t="shared" ref="AG42:AG52" si="103">IFERROR($V42*AA42,"")</f>
        <v>0</v>
      </c>
      <c r="AH42" s="2209">
        <f t="shared" ref="AH42:AH52" si="104">IFERROR($V42*AB42,"")</f>
        <v>0</v>
      </c>
      <c r="AI42" s="2217">
        <f t="shared" si="69"/>
        <v>0</v>
      </c>
      <c r="AJ42" s="2217">
        <f t="shared" si="70"/>
        <v>0</v>
      </c>
      <c r="AK42" s="2217">
        <f t="shared" si="71"/>
        <v>0</v>
      </c>
      <c r="AL42" s="2204">
        <f t="shared" si="72"/>
        <v>0</v>
      </c>
      <c r="AM42" s="2208">
        <f t="shared" si="73"/>
        <v>0</v>
      </c>
      <c r="AN42" s="2217">
        <f t="shared" si="74"/>
        <v>0</v>
      </c>
      <c r="AO42" s="2217">
        <f t="shared" si="75"/>
        <v>0</v>
      </c>
      <c r="AP42" s="2204">
        <f t="shared" si="76"/>
        <v>0</v>
      </c>
      <c r="AQ42" s="2208">
        <f t="shared" si="77"/>
        <v>7.47</v>
      </c>
      <c r="AR42" s="2217">
        <f t="shared" si="78"/>
        <v>3.32</v>
      </c>
      <c r="AS42" s="2217">
        <f t="shared" si="79"/>
        <v>2.4899999999999998</v>
      </c>
      <c r="AT42" s="2204">
        <f t="shared" si="80"/>
        <v>2.4899999999999998</v>
      </c>
      <c r="AU42" s="2206">
        <f t="shared" si="81"/>
        <v>0</v>
      </c>
      <c r="AV42" s="2226">
        <f t="shared" si="82"/>
        <v>0</v>
      </c>
      <c r="AW42" s="2226">
        <f t="shared" si="83"/>
        <v>0</v>
      </c>
      <c r="AX42" s="2205">
        <f t="shared" si="84"/>
        <v>0</v>
      </c>
      <c r="AY42" s="2210">
        <f t="shared" si="85"/>
        <v>15.77</v>
      </c>
      <c r="AZ42" s="2170" t="str">
        <f t="shared" si="9"/>
        <v>Correct</v>
      </c>
      <c r="BA42" s="2221" t="s">
        <v>472</v>
      </c>
      <c r="BB42" s="2212" t="s">
        <v>386</v>
      </c>
      <c r="BC42" s="2212" t="str">
        <f>IFERROR(INDEX('Annex 2_Code'!$J$110:$J$127,MATCH('Annex 4_MoWRAM'!BA42,'Annex 2_Code'!$G$110:$G$127,0)),"")</f>
        <v>MOWRAM</v>
      </c>
      <c r="BD42" s="2213" t="str">
        <f t="shared" si="86"/>
        <v>MOWRAM</v>
      </c>
    </row>
    <row r="43" spans="1:56" s="2151" customFormat="1" ht="15">
      <c r="A43" s="2233" t="str">
        <f t="shared" ref="A43:B43" si="105">IF(ISNUMBER(FIND("-",B43,1))=FALSE,LEFT(B43,LEN(B43)),LEFT(B43,(FIND("-",B43,1))-1))</f>
        <v>PMO</v>
      </c>
      <c r="B43" s="2169" t="str">
        <f t="shared" si="105"/>
        <v>PMO</v>
      </c>
      <c r="C43" s="2169" t="s">
        <v>57</v>
      </c>
      <c r="D43" s="2179"/>
      <c r="E43" s="2184" t="s">
        <v>1179</v>
      </c>
      <c r="F43" s="2165"/>
      <c r="G43" s="2165"/>
      <c r="H43" s="2165"/>
      <c r="I43" s="2165"/>
      <c r="J43" s="2165"/>
      <c r="K43" s="2066" t="s">
        <v>1189</v>
      </c>
      <c r="L43" s="2201">
        <v>1.05</v>
      </c>
      <c r="M43" s="2225">
        <v>9</v>
      </c>
      <c r="N43" s="2225">
        <v>4</v>
      </c>
      <c r="O43" s="2225">
        <v>3</v>
      </c>
      <c r="P43" s="2225">
        <v>3</v>
      </c>
      <c r="Q43" s="2224">
        <f t="shared" si="88"/>
        <v>19</v>
      </c>
      <c r="R43" s="2192">
        <f t="shared" si="94"/>
        <v>9.4500000000000011</v>
      </c>
      <c r="S43" s="2220">
        <f t="shared" si="95"/>
        <v>4.2</v>
      </c>
      <c r="T43" s="2220">
        <f t="shared" si="96"/>
        <v>3.1500000000000004</v>
      </c>
      <c r="U43" s="2220">
        <f t="shared" si="97"/>
        <v>3.1500000000000004</v>
      </c>
      <c r="V43" s="2194">
        <f t="shared" si="98"/>
        <v>19.950000000000003</v>
      </c>
      <c r="W43" s="940"/>
      <c r="X43" s="2214">
        <f>IFERROR(INDEX('Annex 2_Code'!I$8:I$33,MATCH('Annex 4_MoWRAM'!$BB43,'Annex 2_Code'!$G$8:$G$33,0)),"")</f>
        <v>0</v>
      </c>
      <c r="Y43" s="2215">
        <f>IFERROR(INDEX('Annex 2_Code'!J$8:J$33,MATCH('Annex 4_MoWRAM'!$BB43,'Annex 2_Code'!$G$8:$G$33,0)),"")</f>
        <v>0</v>
      </c>
      <c r="Z43" s="2215">
        <f>IFERROR(INDEX('Annex 2_Code'!K$8:K$33,MATCH('Annex 4_MoWRAM'!$BB43,'Annex 2_Code'!$G$8:$G$33,0)),"")</f>
        <v>1</v>
      </c>
      <c r="AA43" s="2215">
        <f>IFERROR(INDEX('Annex 2_Code'!L$8:L$33,MATCH('Annex 4_MoWRAM'!$BB43,'Annex 2_Code'!$G$8:$G$33,0)),"")</f>
        <v>0</v>
      </c>
      <c r="AB43" s="2216">
        <f>IFERROR(INDEX('Annex 2_Code'!M$8:M$33,MATCH('Annex 4_MoWRAM'!$BB43,'Annex 2_Code'!$G$8:$G$33,0)),"")</f>
        <v>0</v>
      </c>
      <c r="AC43" s="941"/>
      <c r="AD43" s="2207">
        <f t="shared" si="100"/>
        <v>0</v>
      </c>
      <c r="AE43" s="2218">
        <f t="shared" si="101"/>
        <v>0</v>
      </c>
      <c r="AF43" s="2218">
        <f t="shared" si="102"/>
        <v>19.950000000000003</v>
      </c>
      <c r="AG43" s="2218">
        <f t="shared" si="103"/>
        <v>0</v>
      </c>
      <c r="AH43" s="2209">
        <f t="shared" si="104"/>
        <v>0</v>
      </c>
      <c r="AI43" s="2217">
        <f t="shared" si="69"/>
        <v>0</v>
      </c>
      <c r="AJ43" s="2217">
        <f t="shared" si="70"/>
        <v>0</v>
      </c>
      <c r="AK43" s="2217">
        <f t="shared" si="71"/>
        <v>0</v>
      </c>
      <c r="AL43" s="2204">
        <f t="shared" si="72"/>
        <v>0</v>
      </c>
      <c r="AM43" s="2208">
        <f t="shared" si="73"/>
        <v>0</v>
      </c>
      <c r="AN43" s="2217">
        <f t="shared" si="74"/>
        <v>0</v>
      </c>
      <c r="AO43" s="2217">
        <f t="shared" si="75"/>
        <v>0</v>
      </c>
      <c r="AP43" s="2204">
        <f t="shared" si="76"/>
        <v>0</v>
      </c>
      <c r="AQ43" s="2208">
        <f t="shared" si="77"/>
        <v>9.4500000000000011</v>
      </c>
      <c r="AR43" s="2217">
        <f t="shared" si="78"/>
        <v>4.2</v>
      </c>
      <c r="AS43" s="2217">
        <f t="shared" si="79"/>
        <v>3.1500000000000004</v>
      </c>
      <c r="AT43" s="2204">
        <f t="shared" si="80"/>
        <v>3.1500000000000004</v>
      </c>
      <c r="AU43" s="2206">
        <f t="shared" si="81"/>
        <v>0</v>
      </c>
      <c r="AV43" s="2226">
        <f t="shared" si="82"/>
        <v>0</v>
      </c>
      <c r="AW43" s="2226">
        <f t="shared" si="83"/>
        <v>0</v>
      </c>
      <c r="AX43" s="2205">
        <f t="shared" si="84"/>
        <v>0</v>
      </c>
      <c r="AY43" s="2210">
        <f t="shared" si="85"/>
        <v>19.950000000000003</v>
      </c>
      <c r="AZ43" s="2170" t="str">
        <f t="shared" si="9"/>
        <v>Correct</v>
      </c>
      <c r="BA43" s="2221" t="s">
        <v>472</v>
      </c>
      <c r="BB43" s="2212" t="s">
        <v>386</v>
      </c>
      <c r="BC43" s="2212" t="str">
        <f>IFERROR(INDEX('Annex 2_Code'!$J$110:$J$127,MATCH('Annex 4_MoWRAM'!BA43,'Annex 2_Code'!$G$110:$G$127,0)),"")</f>
        <v>MOWRAM</v>
      </c>
      <c r="BD43" s="2213" t="str">
        <f t="shared" si="86"/>
        <v>MOWRAM</v>
      </c>
    </row>
    <row r="44" spans="1:56" s="2151" customFormat="1" ht="15">
      <c r="A44" s="2233" t="str">
        <f t="shared" ref="A44:B44" si="106">IF(ISNUMBER(FIND("-",B44,1))=FALSE,LEFT(B44,LEN(B44)),LEFT(B44,(FIND("-",B44,1))-1))</f>
        <v>PMO</v>
      </c>
      <c r="B44" s="2169" t="str">
        <f t="shared" si="106"/>
        <v>PMO</v>
      </c>
      <c r="C44" s="2169" t="s">
        <v>57</v>
      </c>
      <c r="D44" s="2179"/>
      <c r="E44" s="2184" t="s">
        <v>1180</v>
      </c>
      <c r="F44" s="2165"/>
      <c r="G44" s="2165"/>
      <c r="H44" s="2165"/>
      <c r="I44" s="2165"/>
      <c r="J44" s="2165"/>
      <c r="K44" s="2066" t="s">
        <v>1189</v>
      </c>
      <c r="L44" s="2201">
        <v>0.91</v>
      </c>
      <c r="M44" s="2225">
        <v>9</v>
      </c>
      <c r="N44" s="2225">
        <v>4</v>
      </c>
      <c r="O44" s="2225">
        <v>3</v>
      </c>
      <c r="P44" s="2225">
        <v>3</v>
      </c>
      <c r="Q44" s="2224">
        <f t="shared" si="88"/>
        <v>19</v>
      </c>
      <c r="R44" s="2192">
        <f t="shared" si="94"/>
        <v>8.19</v>
      </c>
      <c r="S44" s="2220">
        <f t="shared" si="95"/>
        <v>3.64</v>
      </c>
      <c r="T44" s="2220">
        <f t="shared" si="96"/>
        <v>2.73</v>
      </c>
      <c r="U44" s="2220">
        <f t="shared" si="97"/>
        <v>2.73</v>
      </c>
      <c r="V44" s="2194">
        <f t="shared" si="98"/>
        <v>17.29</v>
      </c>
      <c r="W44" s="940"/>
      <c r="X44" s="2214">
        <f>IFERROR(INDEX('Annex 2_Code'!I$8:I$33,MATCH('Annex 4_MoWRAM'!$BB44,'Annex 2_Code'!$G$8:$G$33,0)),"")</f>
        <v>0</v>
      </c>
      <c r="Y44" s="2215">
        <f>IFERROR(INDEX('Annex 2_Code'!J$8:J$33,MATCH('Annex 4_MoWRAM'!$BB44,'Annex 2_Code'!$G$8:$G$33,0)),"")</f>
        <v>0</v>
      </c>
      <c r="Z44" s="2215">
        <f>IFERROR(INDEX('Annex 2_Code'!K$8:K$33,MATCH('Annex 4_MoWRAM'!$BB44,'Annex 2_Code'!$G$8:$G$33,0)),"")</f>
        <v>1</v>
      </c>
      <c r="AA44" s="2215">
        <f>IFERROR(INDEX('Annex 2_Code'!L$8:L$33,MATCH('Annex 4_MoWRAM'!$BB44,'Annex 2_Code'!$G$8:$G$33,0)),"")</f>
        <v>0</v>
      </c>
      <c r="AB44" s="2216">
        <f>IFERROR(INDEX('Annex 2_Code'!M$8:M$33,MATCH('Annex 4_MoWRAM'!$BB44,'Annex 2_Code'!$G$8:$G$33,0)),"")</f>
        <v>0</v>
      </c>
      <c r="AC44" s="941"/>
      <c r="AD44" s="2207">
        <f t="shared" si="100"/>
        <v>0</v>
      </c>
      <c r="AE44" s="2218">
        <f t="shared" si="101"/>
        <v>0</v>
      </c>
      <c r="AF44" s="2218">
        <f t="shared" si="102"/>
        <v>17.29</v>
      </c>
      <c r="AG44" s="2218">
        <f t="shared" si="103"/>
        <v>0</v>
      </c>
      <c r="AH44" s="2209">
        <f t="shared" si="104"/>
        <v>0</v>
      </c>
      <c r="AI44" s="2217">
        <f t="shared" si="69"/>
        <v>0</v>
      </c>
      <c r="AJ44" s="2217">
        <f t="shared" si="70"/>
        <v>0</v>
      </c>
      <c r="AK44" s="2217">
        <f t="shared" si="71"/>
        <v>0</v>
      </c>
      <c r="AL44" s="2204">
        <f t="shared" si="72"/>
        <v>0</v>
      </c>
      <c r="AM44" s="2208">
        <f t="shared" si="73"/>
        <v>0</v>
      </c>
      <c r="AN44" s="2217">
        <f t="shared" si="74"/>
        <v>0</v>
      </c>
      <c r="AO44" s="2217">
        <f t="shared" si="75"/>
        <v>0</v>
      </c>
      <c r="AP44" s="2204">
        <f t="shared" si="76"/>
        <v>0</v>
      </c>
      <c r="AQ44" s="2208">
        <f t="shared" si="77"/>
        <v>8.19</v>
      </c>
      <c r="AR44" s="2217">
        <f t="shared" si="78"/>
        <v>3.64</v>
      </c>
      <c r="AS44" s="2217">
        <f t="shared" si="79"/>
        <v>2.73</v>
      </c>
      <c r="AT44" s="2204">
        <f t="shared" si="80"/>
        <v>2.73</v>
      </c>
      <c r="AU44" s="2206">
        <f t="shared" si="81"/>
        <v>0</v>
      </c>
      <c r="AV44" s="2226">
        <f t="shared" si="82"/>
        <v>0</v>
      </c>
      <c r="AW44" s="2226">
        <f t="shared" si="83"/>
        <v>0</v>
      </c>
      <c r="AX44" s="2205">
        <f t="shared" si="84"/>
        <v>0</v>
      </c>
      <c r="AY44" s="2210">
        <f t="shared" si="85"/>
        <v>17.29</v>
      </c>
      <c r="AZ44" s="2170" t="str">
        <f t="shared" si="9"/>
        <v>Correct</v>
      </c>
      <c r="BA44" s="2221" t="s">
        <v>472</v>
      </c>
      <c r="BB44" s="2212" t="s">
        <v>386</v>
      </c>
      <c r="BC44" s="2212" t="str">
        <f>IFERROR(INDEX('Annex 2_Code'!$J$110:$J$127,MATCH('Annex 4_MoWRAM'!BA44,'Annex 2_Code'!$G$110:$G$127,0)),"")</f>
        <v>MOWRAM</v>
      </c>
      <c r="BD44" s="2213" t="str">
        <f t="shared" si="86"/>
        <v>MOWRAM</v>
      </c>
    </row>
    <row r="45" spans="1:56" s="2151" customFormat="1" ht="15">
      <c r="A45" s="2233" t="str">
        <f t="shared" ref="A45:B45" si="107">IF(ISNUMBER(FIND("-",B45,1))=FALSE,LEFT(B45,LEN(B45)),LEFT(B45,(FIND("-",B45,1))-1))</f>
        <v>PMO</v>
      </c>
      <c r="B45" s="2169" t="str">
        <f t="shared" si="107"/>
        <v>PMO</v>
      </c>
      <c r="C45" s="2169" t="s">
        <v>57</v>
      </c>
      <c r="D45" s="2179"/>
      <c r="E45" s="2184" t="s">
        <v>1181</v>
      </c>
      <c r="F45" s="2165"/>
      <c r="G45" s="2165"/>
      <c r="H45" s="2165"/>
      <c r="I45" s="2165"/>
      <c r="J45" s="2165"/>
      <c r="K45" s="2066" t="s">
        <v>1189</v>
      </c>
      <c r="L45" s="2201">
        <v>1.0900000000000001</v>
      </c>
      <c r="M45" s="2225">
        <v>9</v>
      </c>
      <c r="N45" s="2225">
        <v>4</v>
      </c>
      <c r="O45" s="2225">
        <v>3</v>
      </c>
      <c r="P45" s="2225">
        <v>3</v>
      </c>
      <c r="Q45" s="2224">
        <f t="shared" si="88"/>
        <v>19</v>
      </c>
      <c r="R45" s="2192">
        <f t="shared" si="94"/>
        <v>9.81</v>
      </c>
      <c r="S45" s="2220">
        <f t="shared" si="95"/>
        <v>4.3600000000000003</v>
      </c>
      <c r="T45" s="2220">
        <f t="shared" si="96"/>
        <v>3.2700000000000005</v>
      </c>
      <c r="U45" s="2220">
        <f t="shared" si="97"/>
        <v>3.2700000000000005</v>
      </c>
      <c r="V45" s="2194">
        <f t="shared" si="98"/>
        <v>20.71</v>
      </c>
      <c r="W45" s="940"/>
      <c r="X45" s="2214">
        <f>IFERROR(INDEX('Annex 2_Code'!I$8:I$33,MATCH('Annex 4_MoWRAM'!$BB45,'Annex 2_Code'!$G$8:$G$33,0)),"")</f>
        <v>0</v>
      </c>
      <c r="Y45" s="2215">
        <f>IFERROR(INDEX('Annex 2_Code'!J$8:J$33,MATCH('Annex 4_MoWRAM'!$BB45,'Annex 2_Code'!$G$8:$G$33,0)),"")</f>
        <v>0</v>
      </c>
      <c r="Z45" s="2215">
        <f>IFERROR(INDEX('Annex 2_Code'!K$8:K$33,MATCH('Annex 4_MoWRAM'!$BB45,'Annex 2_Code'!$G$8:$G$33,0)),"")</f>
        <v>1</v>
      </c>
      <c r="AA45" s="2215">
        <f>IFERROR(INDEX('Annex 2_Code'!L$8:L$33,MATCH('Annex 4_MoWRAM'!$BB45,'Annex 2_Code'!$G$8:$G$33,0)),"")</f>
        <v>0</v>
      </c>
      <c r="AB45" s="2216">
        <f>IFERROR(INDEX('Annex 2_Code'!M$8:M$33,MATCH('Annex 4_MoWRAM'!$BB45,'Annex 2_Code'!$G$8:$G$33,0)),"")</f>
        <v>0</v>
      </c>
      <c r="AC45" s="941"/>
      <c r="AD45" s="2207">
        <f t="shared" si="100"/>
        <v>0</v>
      </c>
      <c r="AE45" s="2218">
        <f t="shared" si="101"/>
        <v>0</v>
      </c>
      <c r="AF45" s="2218">
        <f t="shared" si="102"/>
        <v>20.71</v>
      </c>
      <c r="AG45" s="2218">
        <f t="shared" si="103"/>
        <v>0</v>
      </c>
      <c r="AH45" s="2209">
        <f>IFERROR($V45*AB45,"")</f>
        <v>0</v>
      </c>
      <c r="AI45" s="2217">
        <f t="shared" si="69"/>
        <v>0</v>
      </c>
      <c r="AJ45" s="2217">
        <f t="shared" si="70"/>
        <v>0</v>
      </c>
      <c r="AK45" s="2217">
        <f t="shared" si="71"/>
        <v>0</v>
      </c>
      <c r="AL45" s="2204">
        <f t="shared" si="72"/>
        <v>0</v>
      </c>
      <c r="AM45" s="2208">
        <f t="shared" si="73"/>
        <v>0</v>
      </c>
      <c r="AN45" s="2217">
        <f t="shared" si="74"/>
        <v>0</v>
      </c>
      <c r="AO45" s="2217">
        <f t="shared" si="75"/>
        <v>0</v>
      </c>
      <c r="AP45" s="2204">
        <f t="shared" si="76"/>
        <v>0</v>
      </c>
      <c r="AQ45" s="2208">
        <f t="shared" si="77"/>
        <v>9.81</v>
      </c>
      <c r="AR45" s="2217">
        <f t="shared" si="78"/>
        <v>4.3600000000000003</v>
      </c>
      <c r="AS45" s="2217">
        <f t="shared" si="79"/>
        <v>3.2700000000000005</v>
      </c>
      <c r="AT45" s="2204">
        <f t="shared" si="80"/>
        <v>3.2700000000000005</v>
      </c>
      <c r="AU45" s="2206">
        <f t="shared" si="81"/>
        <v>0</v>
      </c>
      <c r="AV45" s="2226">
        <f t="shared" si="82"/>
        <v>0</v>
      </c>
      <c r="AW45" s="2226">
        <f t="shared" si="83"/>
        <v>0</v>
      </c>
      <c r="AX45" s="2205">
        <f t="shared" si="84"/>
        <v>0</v>
      </c>
      <c r="AY45" s="2210">
        <f t="shared" si="85"/>
        <v>20.71</v>
      </c>
      <c r="AZ45" s="2170" t="str">
        <f t="shared" si="9"/>
        <v>Correct</v>
      </c>
      <c r="BA45" s="2221" t="s">
        <v>472</v>
      </c>
      <c r="BB45" s="2212" t="s">
        <v>386</v>
      </c>
      <c r="BC45" s="2212" t="str">
        <f>IFERROR(INDEX('Annex 2_Code'!$J$110:$J$127,MATCH('Annex 4_MoWRAM'!BA45,'Annex 2_Code'!$G$110:$G$127,0)),"")</f>
        <v>MOWRAM</v>
      </c>
      <c r="BD45" s="2213" t="str">
        <f t="shared" si="86"/>
        <v>MOWRAM</v>
      </c>
    </row>
    <row r="46" spans="1:56" s="2151" customFormat="1" ht="15">
      <c r="A46" s="2233" t="str">
        <f t="shared" ref="A46:B46" si="108">IF(ISNUMBER(FIND("-",B46,1))=FALSE,LEFT(B46,LEN(B46)),LEFT(B46,(FIND("-",B46,1))-1))</f>
        <v>PMO</v>
      </c>
      <c r="B46" s="2169" t="str">
        <f t="shared" si="108"/>
        <v>PMO</v>
      </c>
      <c r="C46" s="2169" t="s">
        <v>57</v>
      </c>
      <c r="D46" s="2179"/>
      <c r="E46" s="2184" t="s">
        <v>1182</v>
      </c>
      <c r="F46" s="2165"/>
      <c r="G46" s="2165"/>
      <c r="H46" s="2165"/>
      <c r="I46" s="2165"/>
      <c r="J46" s="2165"/>
      <c r="K46" s="2066" t="s">
        <v>1189</v>
      </c>
      <c r="L46" s="2201">
        <v>0.14000000000000001</v>
      </c>
      <c r="M46" s="2225">
        <v>9</v>
      </c>
      <c r="N46" s="2225">
        <v>4</v>
      </c>
      <c r="O46" s="2225">
        <v>3</v>
      </c>
      <c r="P46" s="2225">
        <v>3</v>
      </c>
      <c r="Q46" s="2224">
        <f t="shared" si="88"/>
        <v>19</v>
      </c>
      <c r="R46" s="2192">
        <f t="shared" si="94"/>
        <v>1.2600000000000002</v>
      </c>
      <c r="S46" s="2220">
        <f t="shared" si="95"/>
        <v>0.56000000000000005</v>
      </c>
      <c r="T46" s="2220">
        <f t="shared" si="96"/>
        <v>0.42000000000000004</v>
      </c>
      <c r="U46" s="2220">
        <f t="shared" si="97"/>
        <v>0.42000000000000004</v>
      </c>
      <c r="V46" s="2194">
        <f t="shared" si="98"/>
        <v>2.66</v>
      </c>
      <c r="W46" s="940"/>
      <c r="X46" s="2214">
        <f>IFERROR(INDEX('Annex 2_Code'!I$8:I$33,MATCH('Annex 4_MoWRAM'!$BB46,'Annex 2_Code'!$G$8:$G$33,0)),"")</f>
        <v>0</v>
      </c>
      <c r="Y46" s="2215">
        <f>IFERROR(INDEX('Annex 2_Code'!J$8:J$33,MATCH('Annex 4_MoWRAM'!$BB46,'Annex 2_Code'!$G$8:$G$33,0)),"")</f>
        <v>0</v>
      </c>
      <c r="Z46" s="2215">
        <f>IFERROR(INDEX('Annex 2_Code'!K$8:K$33,MATCH('Annex 4_MoWRAM'!$BB46,'Annex 2_Code'!$G$8:$G$33,0)),"")</f>
        <v>1</v>
      </c>
      <c r="AA46" s="2215">
        <f>IFERROR(INDEX('Annex 2_Code'!L$8:L$33,MATCH('Annex 4_MoWRAM'!$BB46,'Annex 2_Code'!$G$8:$G$33,0)),"")</f>
        <v>0</v>
      </c>
      <c r="AB46" s="2216">
        <f>IFERROR(INDEX('Annex 2_Code'!M$8:M$33,MATCH('Annex 4_MoWRAM'!$BB46,'Annex 2_Code'!$G$8:$G$33,0)),"")</f>
        <v>0</v>
      </c>
      <c r="AC46" s="941"/>
      <c r="AD46" s="2207">
        <f t="shared" si="100"/>
        <v>0</v>
      </c>
      <c r="AE46" s="2218">
        <f t="shared" si="101"/>
        <v>0</v>
      </c>
      <c r="AF46" s="2218">
        <f t="shared" si="102"/>
        <v>2.66</v>
      </c>
      <c r="AG46" s="2218">
        <f t="shared" si="103"/>
        <v>0</v>
      </c>
      <c r="AH46" s="2209">
        <f t="shared" si="104"/>
        <v>0</v>
      </c>
      <c r="AI46" s="2217">
        <f t="shared" si="69"/>
        <v>0</v>
      </c>
      <c r="AJ46" s="2217">
        <f t="shared" si="70"/>
        <v>0</v>
      </c>
      <c r="AK46" s="2217">
        <f t="shared" si="71"/>
        <v>0</v>
      </c>
      <c r="AL46" s="2204">
        <f t="shared" si="72"/>
        <v>0</v>
      </c>
      <c r="AM46" s="2208">
        <f t="shared" si="73"/>
        <v>0</v>
      </c>
      <c r="AN46" s="2217">
        <f t="shared" si="74"/>
        <v>0</v>
      </c>
      <c r="AO46" s="2217">
        <f t="shared" si="75"/>
        <v>0</v>
      </c>
      <c r="AP46" s="2204">
        <f t="shared" si="76"/>
        <v>0</v>
      </c>
      <c r="AQ46" s="2208">
        <f t="shared" si="77"/>
        <v>1.2600000000000002</v>
      </c>
      <c r="AR46" s="2217">
        <f t="shared" si="78"/>
        <v>0.56000000000000005</v>
      </c>
      <c r="AS46" s="2217">
        <f t="shared" si="79"/>
        <v>0.42000000000000004</v>
      </c>
      <c r="AT46" s="2204">
        <f t="shared" si="80"/>
        <v>0.42000000000000004</v>
      </c>
      <c r="AU46" s="2206">
        <f t="shared" si="81"/>
        <v>0</v>
      </c>
      <c r="AV46" s="2226">
        <f t="shared" si="82"/>
        <v>0</v>
      </c>
      <c r="AW46" s="2226">
        <f t="shared" si="83"/>
        <v>0</v>
      </c>
      <c r="AX46" s="2205">
        <f t="shared" si="84"/>
        <v>0</v>
      </c>
      <c r="AY46" s="2210">
        <f t="shared" si="85"/>
        <v>2.66</v>
      </c>
      <c r="AZ46" s="2170" t="str">
        <f t="shared" si="9"/>
        <v>Correct</v>
      </c>
      <c r="BA46" s="2221" t="s">
        <v>472</v>
      </c>
      <c r="BB46" s="2212" t="s">
        <v>386</v>
      </c>
      <c r="BC46" s="2212" t="str">
        <f>IFERROR(INDEX('Annex 2_Code'!$J$110:$J$127,MATCH('Annex 4_MoWRAM'!BA46,'Annex 2_Code'!$G$110:$G$127,0)),"")</f>
        <v>MOWRAM</v>
      </c>
      <c r="BD46" s="2213" t="str">
        <f t="shared" si="86"/>
        <v>MOWRAM</v>
      </c>
    </row>
    <row r="47" spans="1:56" s="2151" customFormat="1" ht="16.5">
      <c r="A47" s="2233" t="str">
        <f t="shared" ref="A47:B47" si="109">IF(ISNUMBER(FIND("-",B47,1))=FALSE,LEFT(B47,LEN(B47)),LEFT(B47,(FIND("-",B47,1))-1))</f>
        <v>PMO</v>
      </c>
      <c r="B47" s="2169" t="str">
        <f t="shared" si="109"/>
        <v>PMO</v>
      </c>
      <c r="C47" s="2169" t="s">
        <v>57</v>
      </c>
      <c r="D47" s="2179"/>
      <c r="E47" s="2184" t="s">
        <v>1183</v>
      </c>
      <c r="F47" s="2165"/>
      <c r="G47" s="2165"/>
      <c r="H47" s="2165"/>
      <c r="I47" s="2165"/>
      <c r="J47" s="2165"/>
      <c r="K47" s="2066" t="s">
        <v>1189</v>
      </c>
      <c r="L47" s="2202">
        <v>1.1399999999999999</v>
      </c>
      <c r="M47" s="2225">
        <v>9</v>
      </c>
      <c r="N47" s="2225">
        <v>4</v>
      </c>
      <c r="O47" s="2225">
        <v>3</v>
      </c>
      <c r="P47" s="2225">
        <v>3</v>
      </c>
      <c r="Q47" s="2224">
        <f t="shared" si="88"/>
        <v>19</v>
      </c>
      <c r="R47" s="2192">
        <f t="shared" si="94"/>
        <v>10.26</v>
      </c>
      <c r="S47" s="2220">
        <f t="shared" si="95"/>
        <v>4.5599999999999996</v>
      </c>
      <c r="T47" s="2220">
        <f t="shared" si="96"/>
        <v>3.42</v>
      </c>
      <c r="U47" s="2220">
        <f t="shared" si="97"/>
        <v>3.42</v>
      </c>
      <c r="V47" s="2194">
        <f t="shared" si="98"/>
        <v>21.660000000000004</v>
      </c>
      <c r="W47" s="940"/>
      <c r="X47" s="2214">
        <f>IFERROR(INDEX('Annex 2_Code'!I$8:I$33,MATCH('Annex 4_MoWRAM'!$BB47,'Annex 2_Code'!$G$8:$G$33,0)),"")</f>
        <v>0</v>
      </c>
      <c r="Y47" s="2215">
        <f>IFERROR(INDEX('Annex 2_Code'!J$8:J$33,MATCH('Annex 4_MoWRAM'!$BB47,'Annex 2_Code'!$G$8:$G$33,0)),"")</f>
        <v>0</v>
      </c>
      <c r="Z47" s="2215">
        <f>IFERROR(INDEX('Annex 2_Code'!K$8:K$33,MATCH('Annex 4_MoWRAM'!$BB47,'Annex 2_Code'!$G$8:$G$33,0)),"")</f>
        <v>1</v>
      </c>
      <c r="AA47" s="2215">
        <f>IFERROR(INDEX('Annex 2_Code'!L$8:L$33,MATCH('Annex 4_MoWRAM'!$BB47,'Annex 2_Code'!$G$8:$G$33,0)),"")</f>
        <v>0</v>
      </c>
      <c r="AB47" s="2216">
        <f>IFERROR(INDEX('Annex 2_Code'!M$8:M$33,MATCH('Annex 4_MoWRAM'!$BB47,'Annex 2_Code'!$G$8:$G$33,0)),"")</f>
        <v>0</v>
      </c>
      <c r="AC47" s="941"/>
      <c r="AD47" s="2207">
        <f t="shared" si="100"/>
        <v>0</v>
      </c>
      <c r="AE47" s="2218">
        <f t="shared" si="101"/>
        <v>0</v>
      </c>
      <c r="AF47" s="2218">
        <f t="shared" si="102"/>
        <v>21.660000000000004</v>
      </c>
      <c r="AG47" s="2218">
        <f t="shared" si="103"/>
        <v>0</v>
      </c>
      <c r="AH47" s="2209">
        <f t="shared" si="104"/>
        <v>0</v>
      </c>
      <c r="AI47" s="2217">
        <f t="shared" si="69"/>
        <v>0</v>
      </c>
      <c r="AJ47" s="2217">
        <f t="shared" si="70"/>
        <v>0</v>
      </c>
      <c r="AK47" s="2217">
        <f t="shared" si="71"/>
        <v>0</v>
      </c>
      <c r="AL47" s="2204">
        <f t="shared" si="72"/>
        <v>0</v>
      </c>
      <c r="AM47" s="2208">
        <f t="shared" si="73"/>
        <v>0</v>
      </c>
      <c r="AN47" s="2217">
        <f t="shared" si="74"/>
        <v>0</v>
      </c>
      <c r="AO47" s="2217">
        <f t="shared" si="75"/>
        <v>0</v>
      </c>
      <c r="AP47" s="2204">
        <f t="shared" si="76"/>
        <v>0</v>
      </c>
      <c r="AQ47" s="2208">
        <f t="shared" si="77"/>
        <v>10.26</v>
      </c>
      <c r="AR47" s="2217">
        <f t="shared" si="78"/>
        <v>4.5599999999999996</v>
      </c>
      <c r="AS47" s="2217">
        <f t="shared" si="79"/>
        <v>3.42</v>
      </c>
      <c r="AT47" s="2204">
        <f t="shared" si="80"/>
        <v>3.42</v>
      </c>
      <c r="AU47" s="2206">
        <f t="shared" si="81"/>
        <v>0</v>
      </c>
      <c r="AV47" s="2226">
        <f t="shared" si="82"/>
        <v>0</v>
      </c>
      <c r="AW47" s="2226">
        <f t="shared" si="83"/>
        <v>0</v>
      </c>
      <c r="AX47" s="2205">
        <f t="shared" si="84"/>
        <v>0</v>
      </c>
      <c r="AY47" s="2210">
        <f t="shared" si="85"/>
        <v>21.660000000000004</v>
      </c>
      <c r="AZ47" s="2170" t="str">
        <f t="shared" si="9"/>
        <v>Correct</v>
      </c>
      <c r="BA47" s="2221" t="s">
        <v>472</v>
      </c>
      <c r="BB47" s="2212" t="s">
        <v>386</v>
      </c>
      <c r="BC47" s="2212" t="str">
        <f>IFERROR(INDEX('Annex 2_Code'!$J$110:$J$127,MATCH('Annex 4_MoWRAM'!BA47,'Annex 2_Code'!$G$110:$G$127,0)),"")</f>
        <v>MOWRAM</v>
      </c>
      <c r="BD47" s="2213" t="str">
        <f t="shared" si="86"/>
        <v>MOWRAM</v>
      </c>
    </row>
    <row r="48" spans="1:56" s="2151" customFormat="1">
      <c r="A48" s="2233"/>
      <c r="B48" s="2169"/>
      <c r="C48" s="2169"/>
      <c r="D48" s="2198" t="s">
        <v>1184</v>
      </c>
      <c r="E48" s="2165"/>
      <c r="F48" s="2165"/>
      <c r="G48" s="2165"/>
      <c r="H48" s="2165"/>
      <c r="I48" s="2165"/>
      <c r="J48" s="2165"/>
      <c r="K48" s="2066"/>
      <c r="L48" s="2201"/>
      <c r="M48" s="2225"/>
      <c r="N48" s="2225"/>
      <c r="O48" s="2225"/>
      <c r="P48" s="2225"/>
      <c r="Q48" s="2224">
        <f t="shared" si="88"/>
        <v>0</v>
      </c>
      <c r="R48" s="2192">
        <f t="shared" si="94"/>
        <v>0</v>
      </c>
      <c r="S48" s="2220">
        <f t="shared" si="95"/>
        <v>0</v>
      </c>
      <c r="T48" s="2220">
        <f t="shared" si="96"/>
        <v>0</v>
      </c>
      <c r="U48" s="2220">
        <f t="shared" si="97"/>
        <v>0</v>
      </c>
      <c r="V48" s="2194">
        <f t="shared" si="98"/>
        <v>0</v>
      </c>
      <c r="W48" s="940"/>
      <c r="X48" s="2214">
        <f>IFERROR(INDEX('Annex 2_Code'!I$8:I$33,MATCH('Annex 4_MoWRAM'!$BB48,'Annex 2_Code'!$G$8:$G$33,0)),"")</f>
        <v>0</v>
      </c>
      <c r="Y48" s="2215">
        <f>IFERROR(INDEX('Annex 2_Code'!J$8:J$33,MATCH('Annex 4_MoWRAM'!$BB48,'Annex 2_Code'!$G$8:$G$33,0)),"")</f>
        <v>0</v>
      </c>
      <c r="Z48" s="2215">
        <f>IFERROR(INDEX('Annex 2_Code'!K$8:K$33,MATCH('Annex 4_MoWRAM'!$BB48,'Annex 2_Code'!$G$8:$G$33,0)),"")</f>
        <v>1</v>
      </c>
      <c r="AA48" s="2215">
        <f>IFERROR(INDEX('Annex 2_Code'!L$8:L$33,MATCH('Annex 4_MoWRAM'!$BB48,'Annex 2_Code'!$G$8:$G$33,0)),"")</f>
        <v>0</v>
      </c>
      <c r="AB48" s="2216">
        <f>IFERROR(INDEX('Annex 2_Code'!M$8:M$33,MATCH('Annex 4_MoWRAM'!$BB48,'Annex 2_Code'!$G$8:$G$33,0)),"")</f>
        <v>0</v>
      </c>
      <c r="AC48" s="941"/>
      <c r="AD48" s="2207">
        <f t="shared" si="100"/>
        <v>0</v>
      </c>
      <c r="AE48" s="2218">
        <f t="shared" si="101"/>
        <v>0</v>
      </c>
      <c r="AF48" s="2218">
        <f t="shared" si="102"/>
        <v>0</v>
      </c>
      <c r="AG48" s="2218">
        <f t="shared" si="103"/>
        <v>0</v>
      </c>
      <c r="AH48" s="2209">
        <f t="shared" si="104"/>
        <v>0</v>
      </c>
      <c r="AI48" s="2217">
        <f t="shared" si="69"/>
        <v>0</v>
      </c>
      <c r="AJ48" s="2217">
        <f t="shared" si="70"/>
        <v>0</v>
      </c>
      <c r="AK48" s="2217">
        <f t="shared" si="71"/>
        <v>0</v>
      </c>
      <c r="AL48" s="2204">
        <f t="shared" si="72"/>
        <v>0</v>
      </c>
      <c r="AM48" s="2208">
        <f t="shared" si="73"/>
        <v>0</v>
      </c>
      <c r="AN48" s="2217">
        <f t="shared" si="74"/>
        <v>0</v>
      </c>
      <c r="AO48" s="2217">
        <f t="shared" si="75"/>
        <v>0</v>
      </c>
      <c r="AP48" s="2204">
        <f t="shared" si="76"/>
        <v>0</v>
      </c>
      <c r="AQ48" s="2208">
        <f t="shared" si="77"/>
        <v>0</v>
      </c>
      <c r="AR48" s="2217">
        <f t="shared" si="78"/>
        <v>0</v>
      </c>
      <c r="AS48" s="2217">
        <f t="shared" si="79"/>
        <v>0</v>
      </c>
      <c r="AT48" s="2204">
        <f t="shared" si="80"/>
        <v>0</v>
      </c>
      <c r="AU48" s="2206">
        <f t="shared" si="81"/>
        <v>0</v>
      </c>
      <c r="AV48" s="2226">
        <f t="shared" si="82"/>
        <v>0</v>
      </c>
      <c r="AW48" s="2226">
        <f t="shared" si="83"/>
        <v>0</v>
      </c>
      <c r="AX48" s="2205">
        <f t="shared" si="84"/>
        <v>0</v>
      </c>
      <c r="AY48" s="2210">
        <f t="shared" si="85"/>
        <v>0</v>
      </c>
      <c r="AZ48" s="2170" t="str">
        <f t="shared" si="9"/>
        <v>Correct</v>
      </c>
      <c r="BA48" s="2221" t="s">
        <v>472</v>
      </c>
      <c r="BB48" s="2212" t="s">
        <v>386</v>
      </c>
      <c r="BC48" s="2212" t="str">
        <f>IFERROR(INDEX('Annex 2_Code'!$J$110:$J$127,MATCH('Annex 4_MoWRAM'!BA48,'Annex 2_Code'!$G$110:$G$127,0)),"")</f>
        <v>MOWRAM</v>
      </c>
      <c r="BD48" s="2213" t="str">
        <f t="shared" si="86"/>
        <v>MOWRAM</v>
      </c>
    </row>
    <row r="49" spans="1:56" s="2151" customFormat="1" ht="14.25">
      <c r="A49" s="2233" t="str">
        <f t="shared" ref="A49:B49" si="110">IF(ISNUMBER(FIND("-",B49,1))=FALSE,LEFT(B49,LEN(B49)),LEFT(B49,(FIND("-",B49,1))-1))</f>
        <v>PMO</v>
      </c>
      <c r="B49" s="2169" t="str">
        <f t="shared" si="110"/>
        <v>PMO</v>
      </c>
      <c r="C49" s="2169" t="s">
        <v>57</v>
      </c>
      <c r="D49" s="2183">
        <v>1</v>
      </c>
      <c r="E49" s="2199" t="s">
        <v>1185</v>
      </c>
      <c r="F49" s="2165"/>
      <c r="G49" s="2165"/>
      <c r="H49" s="2165"/>
      <c r="I49" s="2165"/>
      <c r="J49" s="2165"/>
      <c r="K49" s="2066" t="s">
        <v>293</v>
      </c>
      <c r="L49" s="2201">
        <v>1.42</v>
      </c>
      <c r="M49" s="2225">
        <v>5</v>
      </c>
      <c r="N49" s="2225">
        <v>5</v>
      </c>
      <c r="O49" s="2225">
        <v>5</v>
      </c>
      <c r="P49" s="2225">
        <v>5</v>
      </c>
      <c r="Q49" s="2224">
        <f t="shared" si="88"/>
        <v>20</v>
      </c>
      <c r="R49" s="2192">
        <f t="shared" si="94"/>
        <v>7.1</v>
      </c>
      <c r="S49" s="2220">
        <f t="shared" si="95"/>
        <v>7.1</v>
      </c>
      <c r="T49" s="2220">
        <f t="shared" si="96"/>
        <v>7.1</v>
      </c>
      <c r="U49" s="2220">
        <f t="shared" si="97"/>
        <v>7.1</v>
      </c>
      <c r="V49" s="2194">
        <f t="shared" si="98"/>
        <v>28.4</v>
      </c>
      <c r="W49" s="940"/>
      <c r="X49" s="2214">
        <f>IFERROR(INDEX('Annex 2_Code'!I$8:I$33,MATCH('Annex 4_MoWRAM'!$BB49,'Annex 2_Code'!$G$8:$G$33,0)),"")</f>
        <v>0</v>
      </c>
      <c r="Y49" s="2215">
        <f>IFERROR(INDEX('Annex 2_Code'!J$8:J$33,MATCH('Annex 4_MoWRAM'!$BB49,'Annex 2_Code'!$G$8:$G$33,0)),"")</f>
        <v>0</v>
      </c>
      <c r="Z49" s="2215">
        <f>IFERROR(INDEX('Annex 2_Code'!K$8:K$33,MATCH('Annex 4_MoWRAM'!$BB49,'Annex 2_Code'!$G$8:$G$33,0)),"")</f>
        <v>1</v>
      </c>
      <c r="AA49" s="2215">
        <f>IFERROR(INDEX('Annex 2_Code'!L$8:L$33,MATCH('Annex 4_MoWRAM'!$BB49,'Annex 2_Code'!$G$8:$G$33,0)),"")</f>
        <v>0</v>
      </c>
      <c r="AB49" s="2216">
        <f>IFERROR(INDEX('Annex 2_Code'!M$8:M$33,MATCH('Annex 4_MoWRAM'!$BB49,'Annex 2_Code'!$G$8:$G$33,0)),"")</f>
        <v>0</v>
      </c>
      <c r="AC49" s="941"/>
      <c r="AD49" s="2207">
        <f t="shared" si="100"/>
        <v>0</v>
      </c>
      <c r="AE49" s="2218">
        <f t="shared" si="101"/>
        <v>0</v>
      </c>
      <c r="AF49" s="2218">
        <f t="shared" si="102"/>
        <v>28.4</v>
      </c>
      <c r="AG49" s="2218">
        <f t="shared" si="103"/>
        <v>0</v>
      </c>
      <c r="AH49" s="2209">
        <f t="shared" si="104"/>
        <v>0</v>
      </c>
      <c r="AI49" s="2217">
        <f t="shared" si="69"/>
        <v>0</v>
      </c>
      <c r="AJ49" s="2217">
        <f t="shared" si="70"/>
        <v>0</v>
      </c>
      <c r="AK49" s="2217">
        <f t="shared" si="71"/>
        <v>0</v>
      </c>
      <c r="AL49" s="2204">
        <f t="shared" si="72"/>
        <v>0</v>
      </c>
      <c r="AM49" s="2208">
        <f t="shared" si="73"/>
        <v>0</v>
      </c>
      <c r="AN49" s="2217">
        <f t="shared" si="74"/>
        <v>0</v>
      </c>
      <c r="AO49" s="2217">
        <f t="shared" si="75"/>
        <v>0</v>
      </c>
      <c r="AP49" s="2204">
        <f t="shared" si="76"/>
        <v>0</v>
      </c>
      <c r="AQ49" s="2208">
        <f t="shared" si="77"/>
        <v>7.1</v>
      </c>
      <c r="AR49" s="2217">
        <f t="shared" si="78"/>
        <v>7.1</v>
      </c>
      <c r="AS49" s="2217">
        <f t="shared" si="79"/>
        <v>7.1</v>
      </c>
      <c r="AT49" s="2204">
        <f t="shared" si="80"/>
        <v>7.1</v>
      </c>
      <c r="AU49" s="2206">
        <f t="shared" si="81"/>
        <v>0</v>
      </c>
      <c r="AV49" s="2226">
        <f t="shared" si="82"/>
        <v>0</v>
      </c>
      <c r="AW49" s="2226">
        <f t="shared" si="83"/>
        <v>0</v>
      </c>
      <c r="AX49" s="2205">
        <f t="shared" si="84"/>
        <v>0</v>
      </c>
      <c r="AY49" s="2210">
        <f t="shared" si="85"/>
        <v>28.4</v>
      </c>
      <c r="AZ49" s="2170" t="str">
        <f t="shared" si="9"/>
        <v>Correct</v>
      </c>
      <c r="BA49" s="2221" t="s">
        <v>472</v>
      </c>
      <c r="BB49" s="2212" t="s">
        <v>386</v>
      </c>
      <c r="BC49" s="2212" t="str">
        <f>IFERROR(INDEX('Annex 2_Code'!$J$110:$J$127,MATCH('Annex 4_MoWRAM'!BA49,'Annex 2_Code'!$G$110:$G$127,0)),"")</f>
        <v>MOWRAM</v>
      </c>
      <c r="BD49" s="2213" t="str">
        <f t="shared" si="86"/>
        <v>MOWRAM</v>
      </c>
    </row>
    <row r="50" spans="1:56" s="2151" customFormat="1" ht="15.75">
      <c r="A50" s="2233" t="str">
        <f t="shared" ref="A50:B50" si="111">IF(ISNUMBER(FIND("-",B50,1))=FALSE,LEFT(B50,LEN(B50)),LEFT(B50,(FIND("-",B50,1))-1))</f>
        <v>PMO</v>
      </c>
      <c r="B50" s="2169" t="str">
        <f t="shared" si="111"/>
        <v>PMO</v>
      </c>
      <c r="C50" s="2169" t="s">
        <v>57</v>
      </c>
      <c r="D50" s="2183">
        <v>2</v>
      </c>
      <c r="E50" s="2181" t="s">
        <v>1186</v>
      </c>
      <c r="F50" s="2165"/>
      <c r="G50" s="2165"/>
      <c r="H50" s="2165"/>
      <c r="I50" s="2165"/>
      <c r="J50" s="2165"/>
      <c r="K50" s="2066" t="s">
        <v>293</v>
      </c>
      <c r="L50" s="2201">
        <v>1.36</v>
      </c>
      <c r="M50" s="2225">
        <v>5</v>
      </c>
      <c r="N50" s="2225">
        <v>5</v>
      </c>
      <c r="O50" s="2225">
        <v>5</v>
      </c>
      <c r="P50" s="2225">
        <v>5</v>
      </c>
      <c r="Q50" s="2224">
        <f t="shared" si="88"/>
        <v>20</v>
      </c>
      <c r="R50" s="2192">
        <f t="shared" si="94"/>
        <v>6.8000000000000007</v>
      </c>
      <c r="S50" s="2220">
        <f t="shared" si="95"/>
        <v>6.8000000000000007</v>
      </c>
      <c r="T50" s="2220">
        <f t="shared" si="96"/>
        <v>6.8000000000000007</v>
      </c>
      <c r="U50" s="2220">
        <f t="shared" si="97"/>
        <v>6.8000000000000007</v>
      </c>
      <c r="V50" s="2194">
        <f t="shared" si="98"/>
        <v>27.200000000000003</v>
      </c>
      <c r="W50" s="940"/>
      <c r="X50" s="2214">
        <f>IFERROR(INDEX('Annex 2_Code'!I$8:I$33,MATCH('Annex 4_MoWRAM'!$BB50,'Annex 2_Code'!$G$8:$G$33,0)),"")</f>
        <v>0</v>
      </c>
      <c r="Y50" s="2215">
        <f>IFERROR(INDEX('Annex 2_Code'!J$8:J$33,MATCH('Annex 4_MoWRAM'!$BB50,'Annex 2_Code'!$G$8:$G$33,0)),"")</f>
        <v>0</v>
      </c>
      <c r="Z50" s="2215">
        <f>IFERROR(INDEX('Annex 2_Code'!K$8:K$33,MATCH('Annex 4_MoWRAM'!$BB50,'Annex 2_Code'!$G$8:$G$33,0)),"")</f>
        <v>1</v>
      </c>
      <c r="AA50" s="2215">
        <f>IFERROR(INDEX('Annex 2_Code'!L$8:L$33,MATCH('Annex 4_MoWRAM'!$BB50,'Annex 2_Code'!$G$8:$G$33,0)),"")</f>
        <v>0</v>
      </c>
      <c r="AB50" s="2216">
        <f>IFERROR(INDEX('Annex 2_Code'!M$8:M$33,MATCH('Annex 4_MoWRAM'!$BB50,'Annex 2_Code'!$G$8:$G$33,0)),"")</f>
        <v>0</v>
      </c>
      <c r="AC50" s="941"/>
      <c r="AD50" s="2207">
        <f t="shared" si="100"/>
        <v>0</v>
      </c>
      <c r="AE50" s="2218">
        <f t="shared" si="101"/>
        <v>0</v>
      </c>
      <c r="AF50" s="2218">
        <f t="shared" si="102"/>
        <v>27.200000000000003</v>
      </c>
      <c r="AG50" s="2218">
        <f t="shared" si="103"/>
        <v>0</v>
      </c>
      <c r="AH50" s="2209">
        <f t="shared" si="104"/>
        <v>0</v>
      </c>
      <c r="AI50" s="2217">
        <f t="shared" si="69"/>
        <v>0</v>
      </c>
      <c r="AJ50" s="2217">
        <f t="shared" si="70"/>
        <v>0</v>
      </c>
      <c r="AK50" s="2217">
        <f t="shared" si="71"/>
        <v>0</v>
      </c>
      <c r="AL50" s="2204">
        <f t="shared" si="72"/>
        <v>0</v>
      </c>
      <c r="AM50" s="2208">
        <f t="shared" si="73"/>
        <v>0</v>
      </c>
      <c r="AN50" s="2217">
        <f t="shared" si="74"/>
        <v>0</v>
      </c>
      <c r="AO50" s="2217">
        <f t="shared" si="75"/>
        <v>0</v>
      </c>
      <c r="AP50" s="2204">
        <f t="shared" si="76"/>
        <v>0</v>
      </c>
      <c r="AQ50" s="2208">
        <f t="shared" si="77"/>
        <v>6.8000000000000007</v>
      </c>
      <c r="AR50" s="2217">
        <f t="shared" si="78"/>
        <v>6.8000000000000007</v>
      </c>
      <c r="AS50" s="2217">
        <f t="shared" si="79"/>
        <v>6.8000000000000007</v>
      </c>
      <c r="AT50" s="2204">
        <f t="shared" si="80"/>
        <v>6.8000000000000007</v>
      </c>
      <c r="AU50" s="2206">
        <f t="shared" si="81"/>
        <v>0</v>
      </c>
      <c r="AV50" s="2226">
        <f t="shared" si="82"/>
        <v>0</v>
      </c>
      <c r="AW50" s="2226">
        <f t="shared" si="83"/>
        <v>0</v>
      </c>
      <c r="AX50" s="2205">
        <f t="shared" si="84"/>
        <v>0</v>
      </c>
      <c r="AY50" s="2210">
        <f t="shared" si="85"/>
        <v>27.200000000000003</v>
      </c>
      <c r="AZ50" s="2170" t="str">
        <f t="shared" si="9"/>
        <v>Correct</v>
      </c>
      <c r="BA50" s="2221" t="s">
        <v>472</v>
      </c>
      <c r="BB50" s="2212" t="s">
        <v>386</v>
      </c>
      <c r="BC50" s="2212" t="str">
        <f>IFERROR(INDEX('Annex 2_Code'!$J$110:$J$127,MATCH('Annex 4_MoWRAM'!BA50,'Annex 2_Code'!$G$110:$G$127,0)),"")</f>
        <v>MOWRAM</v>
      </c>
      <c r="BD50" s="2213" t="str">
        <f t="shared" si="86"/>
        <v>MOWRAM</v>
      </c>
    </row>
    <row r="51" spans="1:56" s="2151" customFormat="1" ht="15.75">
      <c r="A51" s="2233" t="str">
        <f t="shared" ref="A51:B52" si="112">IF(ISNUMBER(FIND("-",B51,1))=FALSE,LEFT(B51,LEN(B51)),LEFT(B51,(FIND("-",B51,1))-1))</f>
        <v>PMO</v>
      </c>
      <c r="B51" s="2169" t="str">
        <f t="shared" si="112"/>
        <v>PMO</v>
      </c>
      <c r="C51" s="2169" t="s">
        <v>57</v>
      </c>
      <c r="D51" s="2183">
        <v>3</v>
      </c>
      <c r="E51" s="2181" t="s">
        <v>1187</v>
      </c>
      <c r="F51" s="2165"/>
      <c r="G51" s="2165"/>
      <c r="H51" s="2165"/>
      <c r="I51" s="2165"/>
      <c r="J51" s="2165"/>
      <c r="K51" s="2066" t="s">
        <v>293</v>
      </c>
      <c r="L51" s="2201">
        <v>0.68</v>
      </c>
      <c r="M51" s="2225">
        <v>5</v>
      </c>
      <c r="N51" s="2225">
        <v>5</v>
      </c>
      <c r="O51" s="2225">
        <v>5</v>
      </c>
      <c r="P51" s="2225">
        <v>5</v>
      </c>
      <c r="Q51" s="2224">
        <f t="shared" si="88"/>
        <v>20</v>
      </c>
      <c r="R51" s="2192">
        <f t="shared" si="94"/>
        <v>3.4000000000000004</v>
      </c>
      <c r="S51" s="2220">
        <f t="shared" si="95"/>
        <v>3.4000000000000004</v>
      </c>
      <c r="T51" s="2220">
        <f t="shared" si="96"/>
        <v>3.4000000000000004</v>
      </c>
      <c r="U51" s="2220">
        <f t="shared" si="97"/>
        <v>3.4000000000000004</v>
      </c>
      <c r="V51" s="2194">
        <f t="shared" si="98"/>
        <v>13.600000000000001</v>
      </c>
      <c r="W51" s="940"/>
      <c r="X51" s="2214">
        <f>IFERROR(INDEX('Annex 2_Code'!I$8:I$33,MATCH('Annex 4_MoWRAM'!$BB51,'Annex 2_Code'!$G$8:$G$33,0)),"")</f>
        <v>0</v>
      </c>
      <c r="Y51" s="2215">
        <f>IFERROR(INDEX('Annex 2_Code'!J$8:J$33,MATCH('Annex 4_MoWRAM'!$BB51,'Annex 2_Code'!$G$8:$G$33,0)),"")</f>
        <v>0</v>
      </c>
      <c r="Z51" s="2215">
        <f>IFERROR(INDEX('Annex 2_Code'!K$8:K$33,MATCH('Annex 4_MoWRAM'!$BB51,'Annex 2_Code'!$G$8:$G$33,0)),"")</f>
        <v>1</v>
      </c>
      <c r="AA51" s="2215">
        <f>IFERROR(INDEX('Annex 2_Code'!L$8:L$33,MATCH('Annex 4_MoWRAM'!$BB51,'Annex 2_Code'!$G$8:$G$33,0)),"")</f>
        <v>0</v>
      </c>
      <c r="AB51" s="2216">
        <f>IFERROR(INDEX('Annex 2_Code'!M$8:M$33,MATCH('Annex 4_MoWRAM'!$BB51,'Annex 2_Code'!$G$8:$G$33,0)),"")</f>
        <v>0</v>
      </c>
      <c r="AC51" s="941"/>
      <c r="AD51" s="2207">
        <f t="shared" si="100"/>
        <v>0</v>
      </c>
      <c r="AE51" s="2218">
        <f t="shared" si="101"/>
        <v>0</v>
      </c>
      <c r="AF51" s="2218">
        <f t="shared" si="102"/>
        <v>13.600000000000001</v>
      </c>
      <c r="AG51" s="2218">
        <f t="shared" si="103"/>
        <v>0</v>
      </c>
      <c r="AH51" s="2209">
        <f t="shared" si="104"/>
        <v>0</v>
      </c>
      <c r="AI51" s="2217">
        <f t="shared" si="69"/>
        <v>0</v>
      </c>
      <c r="AJ51" s="2217">
        <f t="shared" si="70"/>
        <v>0</v>
      </c>
      <c r="AK51" s="2217">
        <f t="shared" si="71"/>
        <v>0</v>
      </c>
      <c r="AL51" s="2204">
        <f t="shared" si="72"/>
        <v>0</v>
      </c>
      <c r="AM51" s="2208">
        <f t="shared" si="73"/>
        <v>0</v>
      </c>
      <c r="AN51" s="2217">
        <f t="shared" si="74"/>
        <v>0</v>
      </c>
      <c r="AO51" s="2217">
        <f t="shared" si="75"/>
        <v>0</v>
      </c>
      <c r="AP51" s="2204">
        <f t="shared" si="76"/>
        <v>0</v>
      </c>
      <c r="AQ51" s="2208">
        <f t="shared" si="77"/>
        <v>3.4000000000000004</v>
      </c>
      <c r="AR51" s="2217">
        <f t="shared" si="78"/>
        <v>3.4000000000000004</v>
      </c>
      <c r="AS51" s="2217">
        <f t="shared" si="79"/>
        <v>3.4000000000000004</v>
      </c>
      <c r="AT51" s="2204">
        <f t="shared" si="80"/>
        <v>3.4000000000000004</v>
      </c>
      <c r="AU51" s="2206">
        <f t="shared" si="81"/>
        <v>0</v>
      </c>
      <c r="AV51" s="2226">
        <f t="shared" si="82"/>
        <v>0</v>
      </c>
      <c r="AW51" s="2226">
        <f t="shared" si="83"/>
        <v>0</v>
      </c>
      <c r="AX51" s="2205">
        <f t="shared" si="84"/>
        <v>0</v>
      </c>
      <c r="AY51" s="2210">
        <f t="shared" si="85"/>
        <v>13.600000000000001</v>
      </c>
      <c r="AZ51" s="2170" t="str">
        <f t="shared" si="9"/>
        <v>Correct</v>
      </c>
      <c r="BA51" s="2221" t="s">
        <v>472</v>
      </c>
      <c r="BB51" s="2212" t="s">
        <v>386</v>
      </c>
      <c r="BC51" s="2212" t="str">
        <f>IFERROR(INDEX('Annex 2_Code'!$J$110:$J$127,MATCH('Annex 4_MoWRAM'!BA51,'Annex 2_Code'!$G$110:$G$127,0)),"")</f>
        <v>MOWRAM</v>
      </c>
      <c r="BD51" s="2213" t="str">
        <f t="shared" si="86"/>
        <v>MOWRAM</v>
      </c>
    </row>
    <row r="52" spans="1:56" s="2151" customFormat="1" ht="15.75">
      <c r="A52" s="2233" t="str">
        <f t="shared" si="112"/>
        <v>PMO</v>
      </c>
      <c r="B52" s="2229" t="str">
        <f t="shared" si="112"/>
        <v>PMO</v>
      </c>
      <c r="C52" s="2169" t="s">
        <v>57</v>
      </c>
      <c r="D52" s="2183">
        <v>4</v>
      </c>
      <c r="E52" s="2181" t="s">
        <v>1188</v>
      </c>
      <c r="F52" s="2165"/>
      <c r="G52" s="2165"/>
      <c r="H52" s="2165"/>
      <c r="I52" s="2165"/>
      <c r="J52" s="2165"/>
      <c r="K52" s="2066" t="s">
        <v>293</v>
      </c>
      <c r="L52" s="2201">
        <v>0.09</v>
      </c>
      <c r="M52" s="2225">
        <v>5</v>
      </c>
      <c r="N52" s="2225">
        <v>5</v>
      </c>
      <c r="O52" s="2225">
        <v>5</v>
      </c>
      <c r="P52" s="2225">
        <v>5</v>
      </c>
      <c r="Q52" s="2224">
        <f t="shared" si="88"/>
        <v>20</v>
      </c>
      <c r="R52" s="2192">
        <f t="shared" si="94"/>
        <v>0.44999999999999996</v>
      </c>
      <c r="S52" s="2220">
        <f t="shared" si="95"/>
        <v>0.44999999999999996</v>
      </c>
      <c r="T52" s="2220">
        <f t="shared" si="96"/>
        <v>0.44999999999999996</v>
      </c>
      <c r="U52" s="2220">
        <f>$L52*P52</f>
        <v>0.44999999999999996</v>
      </c>
      <c r="V52" s="2194">
        <f t="shared" si="98"/>
        <v>1.7999999999999998</v>
      </c>
      <c r="W52" s="940"/>
      <c r="X52" s="2214">
        <f>IFERROR(INDEX('Annex 2_Code'!I$8:I$33,MATCH('Annex 4_MoWRAM'!$BB52,'Annex 2_Code'!$G$8:$G$33,0)),"")</f>
        <v>0</v>
      </c>
      <c r="Y52" s="2215">
        <f>IFERROR(INDEX('Annex 2_Code'!J$8:J$33,MATCH('Annex 4_MoWRAM'!$BB52,'Annex 2_Code'!$G$8:$G$33,0)),"")</f>
        <v>0</v>
      </c>
      <c r="Z52" s="2215">
        <f>IFERROR(INDEX('Annex 2_Code'!K$8:K$33,MATCH('Annex 4_MoWRAM'!$BB52,'Annex 2_Code'!$G$8:$G$33,0)),"")</f>
        <v>1</v>
      </c>
      <c r="AA52" s="2215">
        <f>IFERROR(INDEX('Annex 2_Code'!L$8:L$33,MATCH('Annex 4_MoWRAM'!$BB52,'Annex 2_Code'!$G$8:$G$33,0)),"")</f>
        <v>0</v>
      </c>
      <c r="AB52" s="2216">
        <f>IFERROR(INDEX('Annex 2_Code'!M$8:M$33,MATCH('Annex 4_MoWRAM'!$BB52,'Annex 2_Code'!$G$8:$G$33,0)),"")</f>
        <v>0</v>
      </c>
      <c r="AC52" s="941"/>
      <c r="AD52" s="2207">
        <f t="shared" si="100"/>
        <v>0</v>
      </c>
      <c r="AE52" s="2218">
        <f t="shared" si="101"/>
        <v>0</v>
      </c>
      <c r="AF52" s="2218">
        <f t="shared" si="102"/>
        <v>1.7999999999999998</v>
      </c>
      <c r="AG52" s="2218">
        <f t="shared" si="103"/>
        <v>0</v>
      </c>
      <c r="AH52" s="2209">
        <f t="shared" si="104"/>
        <v>0</v>
      </c>
      <c r="AI52" s="2217">
        <f t="shared" si="69"/>
        <v>0</v>
      </c>
      <c r="AJ52" s="2217">
        <f t="shared" si="70"/>
        <v>0</v>
      </c>
      <c r="AK52" s="2217">
        <f t="shared" si="71"/>
        <v>0</v>
      </c>
      <c r="AL52" s="2204">
        <f t="shared" si="72"/>
        <v>0</v>
      </c>
      <c r="AM52" s="2208">
        <f t="shared" si="73"/>
        <v>0</v>
      </c>
      <c r="AN52" s="2217">
        <f t="shared" si="74"/>
        <v>0</v>
      </c>
      <c r="AO52" s="2217">
        <f t="shared" si="75"/>
        <v>0</v>
      </c>
      <c r="AP52" s="2204">
        <f t="shared" si="76"/>
        <v>0</v>
      </c>
      <c r="AQ52" s="2208">
        <f t="shared" si="77"/>
        <v>0.44999999999999996</v>
      </c>
      <c r="AR52" s="2217">
        <f t="shared" si="78"/>
        <v>0.44999999999999996</v>
      </c>
      <c r="AS52" s="2217">
        <f t="shared" si="79"/>
        <v>0.44999999999999996</v>
      </c>
      <c r="AT52" s="2204">
        <f t="shared" si="80"/>
        <v>0.44999999999999996</v>
      </c>
      <c r="AU52" s="2206">
        <f t="shared" si="81"/>
        <v>0</v>
      </c>
      <c r="AV52" s="2226">
        <f t="shared" si="82"/>
        <v>0</v>
      </c>
      <c r="AW52" s="2226">
        <f t="shared" si="83"/>
        <v>0</v>
      </c>
      <c r="AX52" s="2205">
        <f t="shared" si="84"/>
        <v>0</v>
      </c>
      <c r="AY52" s="2210">
        <f t="shared" si="85"/>
        <v>1.7999999999999998</v>
      </c>
      <c r="AZ52" s="2170" t="str">
        <f t="shared" si="9"/>
        <v>Correct</v>
      </c>
      <c r="BA52" s="2221" t="s">
        <v>472</v>
      </c>
      <c r="BB52" s="2212" t="s">
        <v>386</v>
      </c>
      <c r="BC52" s="2212" t="str">
        <f>IFERROR(INDEX('Annex 2_Code'!$J$110:$J$127,MATCH('Annex 4_MoWRAM'!BA52,'Annex 2_Code'!$G$110:$G$127,0)),"")</f>
        <v>MOWRAM</v>
      </c>
      <c r="BD52" s="2213" t="str">
        <f t="shared" si="86"/>
        <v>MOWRAM</v>
      </c>
    </row>
    <row r="53" spans="1:56" s="2151" customFormat="1" ht="15">
      <c r="A53" s="2182"/>
      <c r="B53" s="2182"/>
      <c r="C53" s="2190"/>
      <c r="D53" s="2180"/>
      <c r="E53" s="2196" t="s">
        <v>1190</v>
      </c>
      <c r="F53" s="2196"/>
      <c r="G53" s="2196"/>
      <c r="H53" s="2196"/>
      <c r="I53" s="2196"/>
      <c r="J53" s="2196"/>
      <c r="K53" s="2185"/>
      <c r="L53" s="2186"/>
      <c r="M53" s="2189"/>
      <c r="N53" s="2189"/>
      <c r="O53" s="2197"/>
      <c r="P53" s="2197"/>
      <c r="Q53" s="2195"/>
      <c r="R53" s="2191">
        <f t="shared" ref="R53:T53" si="113">SUM(R40:R52)</f>
        <v>81.2</v>
      </c>
      <c r="S53" s="2231">
        <f t="shared" si="113"/>
        <v>45.949999999999996</v>
      </c>
      <c r="T53" s="2231">
        <f t="shared" si="113"/>
        <v>38.900000000000013</v>
      </c>
      <c r="U53" s="2231">
        <f>SUM(U40:U52)</f>
        <v>38.900000000000013</v>
      </c>
      <c r="V53" s="2232">
        <f>SUM(V40:V52)</f>
        <v>204.95000000000002</v>
      </c>
      <c r="W53" s="940"/>
      <c r="X53" s="2214"/>
      <c r="Y53" s="2215"/>
      <c r="Z53" s="2215"/>
      <c r="AA53" s="2215"/>
      <c r="AB53" s="2216"/>
      <c r="AC53" s="941"/>
      <c r="AD53" s="2207"/>
      <c r="AE53" s="2218"/>
      <c r="AF53" s="2218"/>
      <c r="AG53" s="2218"/>
      <c r="AH53" s="2209"/>
      <c r="AI53" s="2217"/>
      <c r="AJ53" s="2217"/>
      <c r="AK53" s="2217"/>
      <c r="AL53" s="2204"/>
      <c r="AM53" s="2208"/>
      <c r="AN53" s="2217"/>
      <c r="AO53" s="2217"/>
      <c r="AP53" s="2204"/>
      <c r="AQ53" s="2208"/>
      <c r="AR53" s="2217"/>
      <c r="AS53" s="2217"/>
      <c r="AT53" s="2204"/>
      <c r="AU53" s="2206"/>
      <c r="AV53" s="2226"/>
      <c r="AW53" s="2226"/>
      <c r="AX53" s="2205"/>
      <c r="AY53" s="2210"/>
      <c r="AZ53" s="2170"/>
      <c r="BA53" s="2221"/>
      <c r="BB53" s="2212"/>
      <c r="BC53" s="2212"/>
      <c r="BD53" s="2213"/>
    </row>
    <row r="54" spans="1:56" s="2203" customFormat="1" ht="8.25" customHeight="1">
      <c r="A54" s="2229"/>
      <c r="B54" s="2229"/>
      <c r="C54" s="2178"/>
      <c r="D54" s="2179"/>
      <c r="E54" s="2219"/>
      <c r="F54" s="2219"/>
      <c r="G54" s="2219"/>
      <c r="H54" s="2219"/>
      <c r="I54" s="2219"/>
      <c r="J54" s="2219"/>
      <c r="K54" s="2067"/>
      <c r="L54" s="2230"/>
      <c r="M54" s="2222"/>
      <c r="N54" s="2222"/>
      <c r="O54" s="2223"/>
      <c r="P54" s="2223"/>
      <c r="Q54" s="2224"/>
      <c r="R54" s="864"/>
      <c r="S54" s="866"/>
      <c r="T54" s="866"/>
      <c r="U54" s="866"/>
      <c r="V54" s="861"/>
      <c r="W54" s="2227"/>
      <c r="X54" s="2214"/>
      <c r="Y54" s="2215"/>
      <c r="Z54" s="2215"/>
      <c r="AA54" s="2215"/>
      <c r="AB54" s="2216"/>
      <c r="AC54" s="2228"/>
      <c r="AD54" s="2207"/>
      <c r="AE54" s="2218"/>
      <c r="AF54" s="2218"/>
      <c r="AG54" s="2218"/>
      <c r="AH54" s="2209"/>
      <c r="AI54" s="2217"/>
      <c r="AJ54" s="2217"/>
      <c r="AK54" s="2217"/>
      <c r="AL54" s="2217"/>
      <c r="AM54" s="2208"/>
      <c r="AN54" s="2217"/>
      <c r="AO54" s="2217"/>
      <c r="AP54" s="2204"/>
      <c r="AQ54" s="2208"/>
      <c r="AR54" s="2217"/>
      <c r="AS54" s="2217"/>
      <c r="AT54" s="2204"/>
      <c r="AU54" s="2206"/>
      <c r="AV54" s="2226"/>
      <c r="AW54" s="2226"/>
      <c r="AX54" s="2205"/>
      <c r="AY54" s="2210"/>
      <c r="AZ54" s="2170"/>
      <c r="BA54" s="2221"/>
      <c r="BB54" s="2212"/>
      <c r="BC54" s="2212"/>
      <c r="BD54" s="2213"/>
    </row>
    <row r="55" spans="1:56" s="2211" customFormat="1">
      <c r="A55" s="2171" t="str">
        <f t="shared" si="43"/>
        <v/>
      </c>
      <c r="B55" s="2171" t="str">
        <f t="shared" si="43"/>
        <v/>
      </c>
      <c r="C55" s="2079"/>
      <c r="D55" s="2080" t="s">
        <v>327</v>
      </c>
      <c r="E55" s="2080"/>
      <c r="F55" s="2080"/>
      <c r="G55" s="2081"/>
      <c r="H55" s="2081"/>
      <c r="I55" s="2081"/>
      <c r="J55" s="2081"/>
      <c r="K55" s="2082"/>
      <c r="L55" s="2083"/>
      <c r="M55" s="910"/>
      <c r="N55" s="911"/>
      <c r="O55" s="911"/>
      <c r="P55" s="911"/>
      <c r="Q55" s="912"/>
      <c r="R55" s="2187">
        <f>R36+R53</f>
        <v>146.71</v>
      </c>
      <c r="S55" s="2193">
        <f>S36+S53</f>
        <v>860.06000000000006</v>
      </c>
      <c r="T55" s="2193">
        <f>T36+T53</f>
        <v>3538.4599999999996</v>
      </c>
      <c r="U55" s="2193">
        <f>U36+U53</f>
        <v>4635.0199999999995</v>
      </c>
      <c r="V55" s="2188">
        <f>V36+V53</f>
        <v>9180.25</v>
      </c>
      <c r="W55" s="942"/>
      <c r="X55" s="2112" t="str">
        <f>IFERROR(INDEX('Annex 2_Code'!I$8:I$33,MATCH('Annex 4_MoWRAM'!$BB55,'Annex 2_Code'!$G$8:$G$33,0)),"")</f>
        <v/>
      </c>
      <c r="Y55" s="2113" t="str">
        <f>IFERROR(INDEX('Annex 2_Code'!J$8:J$33,MATCH('Annex 4_MoWRAM'!$BB55,'Annex 2_Code'!$G$8:$G$33,0)),"")</f>
        <v/>
      </c>
      <c r="Z55" s="2113" t="str">
        <f>IFERROR(INDEX('Annex 2_Code'!K$8:K$33,MATCH('Annex 4_MoWRAM'!$BB55,'Annex 2_Code'!$G$8:$G$33,0)),"")</f>
        <v/>
      </c>
      <c r="AA55" s="2113" t="str">
        <f>IFERROR(INDEX('Annex 2_Code'!L$8:L$33,MATCH('Annex 4_MoWRAM'!$BB55,'Annex 2_Code'!$G$8:$G$33,0)),"")</f>
        <v/>
      </c>
      <c r="AB55" s="2114" t="str">
        <f>IFERROR(INDEX('Annex 2_Code'!M$8:M$33,MATCH('Annex 4_MoWRAM'!$BB55,'Annex 2_Code'!$G$8:$G$33,0)),"")</f>
        <v/>
      </c>
      <c r="AC55" s="943"/>
      <c r="AD55" s="915">
        <f t="shared" ref="AD55:AY55" si="114">SUM(AD10:AD53)</f>
        <v>6895.4543237746748</v>
      </c>
      <c r="AE55" s="916">
        <f t="shared" si="114"/>
        <v>1134.9329204298203</v>
      </c>
      <c r="AF55" s="916">
        <f t="shared" si="114"/>
        <v>1149.8627557955047</v>
      </c>
      <c r="AG55" s="916">
        <f t="shared" si="114"/>
        <v>0</v>
      </c>
      <c r="AH55" s="917">
        <f t="shared" si="114"/>
        <v>0</v>
      </c>
      <c r="AI55" s="916">
        <f t="shared" si="114"/>
        <v>50.329372026615154</v>
      </c>
      <c r="AJ55" s="916">
        <f t="shared" si="114"/>
        <v>625.45634346798442</v>
      </c>
      <c r="AK55" s="916">
        <f t="shared" si="114"/>
        <v>2688.6071923288255</v>
      </c>
      <c r="AL55" s="916">
        <f t="shared" si="114"/>
        <v>3531.0614159512506</v>
      </c>
      <c r="AM55" s="915">
        <f t="shared" si="114"/>
        <v>8.2837850119057332</v>
      </c>
      <c r="AN55" s="916">
        <f t="shared" si="114"/>
        <v>102.94477508842276</v>
      </c>
      <c r="AO55" s="916">
        <f t="shared" si="114"/>
        <v>442.52179325698097</v>
      </c>
      <c r="AP55" s="917">
        <f t="shared" si="114"/>
        <v>581.18256707251066</v>
      </c>
      <c r="AQ55" s="916">
        <f t="shared" si="114"/>
        <v>88.096842961479112</v>
      </c>
      <c r="AR55" s="916">
        <f t="shared" si="114"/>
        <v>131.65888144359275</v>
      </c>
      <c r="AS55" s="916">
        <f t="shared" si="114"/>
        <v>407.3310144141941</v>
      </c>
      <c r="AT55" s="916">
        <f t="shared" si="114"/>
        <v>522.77601697623857</v>
      </c>
      <c r="AU55" s="915">
        <f t="shared" si="114"/>
        <v>0</v>
      </c>
      <c r="AV55" s="916">
        <f t="shared" si="114"/>
        <v>0</v>
      </c>
      <c r="AW55" s="916">
        <f t="shared" si="114"/>
        <v>0</v>
      </c>
      <c r="AX55" s="917">
        <f t="shared" si="114"/>
        <v>0</v>
      </c>
      <c r="AY55" s="915">
        <f t="shared" si="114"/>
        <v>9180.25</v>
      </c>
      <c r="AZ55" s="2170" t="str">
        <f>IF(V55=AY55,"Correct","Incorrect")</f>
        <v>Correct</v>
      </c>
      <c r="BA55" s="870"/>
      <c r="BB55" s="568"/>
      <c r="BC55" s="568" t="str">
        <f>IFERROR(INDEX('Annex 2_Code'!$J$110:$J$127,MATCH('Annex 4_MoWRAM'!BA55,'Annex 2_Code'!$G$110:$G$127,0)),"")</f>
        <v/>
      </c>
      <c r="BD55" s="600" t="str">
        <f t="shared" si="44"/>
        <v/>
      </c>
    </row>
    <row r="56" spans="1:56" s="2211" customFormat="1" ht="15.95" customHeight="1">
      <c r="A56" s="2172" t="str">
        <f t="shared" si="43"/>
        <v/>
      </c>
      <c r="B56" s="2172" t="str">
        <f t="shared" si="43"/>
        <v/>
      </c>
      <c r="C56" s="2084"/>
      <c r="D56" s="2085"/>
      <c r="E56" s="2085"/>
      <c r="F56" s="2085"/>
      <c r="G56" s="2085"/>
      <c r="H56" s="2085"/>
      <c r="I56" s="2085"/>
      <c r="J56" s="2085"/>
      <c r="K56" s="2086"/>
      <c r="L56" s="2087"/>
      <c r="M56" s="965"/>
      <c r="N56" s="964"/>
      <c r="O56" s="964"/>
      <c r="P56" s="964"/>
      <c r="Q56" s="966"/>
      <c r="R56" s="967"/>
      <c r="S56" s="968"/>
      <c r="T56" s="968"/>
      <c r="U56" s="968"/>
      <c r="V56" s="969"/>
      <c r="W56" s="970"/>
      <c r="X56" s="2115" t="str">
        <f>IFERROR(INDEX('Annex 2_Code'!I$8:I$33,MATCH('Annex 4_MoWRAM'!$BB56,'Annex 2_Code'!$G$8:$G$33,0)),"")</f>
        <v/>
      </c>
      <c r="Y56" s="2116" t="str">
        <f>IFERROR(INDEX('Annex 2_Code'!J$8:J$33,MATCH('Annex 4_MoWRAM'!$BB56,'Annex 2_Code'!$G$8:$G$33,0)),"")</f>
        <v/>
      </c>
      <c r="Z56" s="2116" t="str">
        <f>IFERROR(INDEX('Annex 2_Code'!K$8:K$33,MATCH('Annex 4_MoWRAM'!$BB56,'Annex 2_Code'!$G$8:$G$33,0)),"")</f>
        <v/>
      </c>
      <c r="AA56" s="2116" t="str">
        <f>IFERROR(INDEX('Annex 2_Code'!L$8:L$33,MATCH('Annex 4_MoWRAM'!$BB56,'Annex 2_Code'!$G$8:$G$33,0)),"")</f>
        <v/>
      </c>
      <c r="AB56" s="2117" t="str">
        <f>IFERROR(INDEX('Annex 2_Code'!M$8:M$33,MATCH('Annex 4_MoWRAM'!$BB56,'Annex 2_Code'!$G$8:$G$33,0)),"")</f>
        <v/>
      </c>
      <c r="AC56" s="964"/>
      <c r="AD56" s="971"/>
      <c r="AE56" s="972"/>
      <c r="AF56" s="1003"/>
      <c r="AG56" s="972"/>
      <c r="AH56" s="973"/>
      <c r="AI56" s="972"/>
      <c r="AJ56" s="972"/>
      <c r="AK56" s="972"/>
      <c r="AL56" s="972"/>
      <c r="AM56" s="974"/>
      <c r="AN56" s="974"/>
      <c r="AO56" s="974"/>
      <c r="AP56" s="974"/>
      <c r="AQ56" s="975"/>
      <c r="AR56" s="974"/>
      <c r="AS56" s="974"/>
      <c r="AT56" s="976"/>
      <c r="AU56" s="977"/>
      <c r="AV56" s="978"/>
      <c r="AW56" s="978"/>
      <c r="AX56" s="979"/>
      <c r="AY56" s="2127"/>
      <c r="AZ56" s="2128"/>
      <c r="BA56" s="2122"/>
      <c r="BB56" s="980"/>
      <c r="BC56" s="980" t="str">
        <f>IFERROR(INDEX('Annex 2_Code'!$J$110:$J$127,MATCH('Annex 4_MoWRAM'!BA56,'Annex 2_Code'!$G$110:$G$127,0)),"")</f>
        <v/>
      </c>
      <c r="BD56" s="600" t="str">
        <f t="shared" si="44"/>
        <v/>
      </c>
    </row>
    <row r="57" spans="1:56" s="64" customFormat="1" ht="15.95" customHeight="1">
      <c r="A57" s="2160" t="str">
        <f t="shared" si="43"/>
        <v/>
      </c>
      <c r="B57" s="2160" t="str">
        <f t="shared" si="43"/>
        <v/>
      </c>
      <c r="C57" s="752"/>
      <c r="D57" s="67" t="s">
        <v>120</v>
      </c>
      <c r="E57" s="66"/>
      <c r="F57" s="66"/>
      <c r="G57" s="66"/>
      <c r="H57" s="66"/>
      <c r="I57" s="66"/>
      <c r="J57" s="66"/>
      <c r="K57" s="2058"/>
      <c r="L57" s="2068"/>
      <c r="M57" s="68"/>
      <c r="N57" s="36"/>
      <c r="O57" s="36"/>
      <c r="P57" s="36"/>
      <c r="Q57" s="871"/>
      <c r="R57" s="68"/>
      <c r="S57" s="863"/>
      <c r="T57" s="863"/>
      <c r="U57" s="863"/>
      <c r="V57" s="65"/>
      <c r="W57" s="37"/>
      <c r="X57" s="2214" t="str">
        <f>IFERROR(INDEX('Annex 2_Code'!I$8:I$33,MATCH('Annex 4_MoWRAM'!$BB57,'Annex 2_Code'!$G$8:$G$33,0)),"")</f>
        <v/>
      </c>
      <c r="Y57" s="2215" t="str">
        <f>IFERROR(INDEX('Annex 2_Code'!J$8:J$33,MATCH('Annex 4_MoWRAM'!$BB57,'Annex 2_Code'!$G$8:$G$33,0)),"")</f>
        <v/>
      </c>
      <c r="Z57" s="2215" t="str">
        <f>IFERROR(INDEX('Annex 2_Code'!K$8:K$33,MATCH('Annex 4_MoWRAM'!$BB57,'Annex 2_Code'!$G$8:$G$33,0)),"")</f>
        <v/>
      </c>
      <c r="AA57" s="2215" t="str">
        <f>IFERROR(INDEX('Annex 2_Code'!L$8:L$33,MATCH('Annex 4_MoWRAM'!$BB57,'Annex 2_Code'!$G$8:$G$33,0)),"")</f>
        <v/>
      </c>
      <c r="AB57" s="2216" t="str">
        <f>IFERROR(INDEX('Annex 2_Code'!M$8:M$33,MATCH('Annex 4_MoWRAM'!$BB57,'Annex 2_Code'!$G$8:$G$33,0)),"")</f>
        <v/>
      </c>
      <c r="AC57" s="36"/>
      <c r="AD57" s="2207"/>
      <c r="AE57" s="2218"/>
      <c r="AF57" s="2218"/>
      <c r="AG57" s="2218"/>
      <c r="AH57" s="2209"/>
      <c r="AI57" s="343"/>
      <c r="AJ57" s="343"/>
      <c r="AK57" s="343"/>
      <c r="AL57" s="168"/>
      <c r="AM57" s="343"/>
      <c r="AN57" s="343"/>
      <c r="AO57" s="343"/>
      <c r="AP57" s="343"/>
      <c r="AQ57" s="444"/>
      <c r="AR57" s="343"/>
      <c r="AS57" s="343"/>
      <c r="AT57" s="903"/>
      <c r="AU57" s="444"/>
      <c r="AV57" s="903"/>
      <c r="AW57" s="903"/>
      <c r="AX57" s="168"/>
      <c r="AY57" s="271"/>
      <c r="AZ57" s="939"/>
      <c r="BA57" s="870"/>
      <c r="BB57" s="568"/>
      <c r="BC57" s="568" t="str">
        <f>IFERROR(INDEX('Annex 2_Code'!$J$110:$J$127,MATCH('Annex 4_MoWRAM'!BA57,'Annex 2_Code'!$G$110:$G$127,0)),"")</f>
        <v/>
      </c>
      <c r="BD57" s="600" t="str">
        <f t="shared" si="44"/>
        <v/>
      </c>
    </row>
    <row r="58" spans="1:56" s="64" customFormat="1" ht="15.95" customHeight="1">
      <c r="A58" s="2162" t="str">
        <f t="shared" si="43"/>
        <v/>
      </c>
      <c r="B58" s="2162" t="str">
        <f t="shared" si="43"/>
        <v/>
      </c>
      <c r="C58" s="756"/>
      <c r="D58" s="457"/>
      <c r="E58" s="457" t="s">
        <v>121</v>
      </c>
      <c r="F58" s="443"/>
      <c r="G58" s="443"/>
      <c r="H58" s="443"/>
      <c r="I58" s="443"/>
      <c r="J58" s="443"/>
      <c r="K58" s="2058"/>
      <c r="L58" s="2068"/>
      <c r="M58" s="68"/>
      <c r="N58" s="36"/>
      <c r="O58" s="36"/>
      <c r="P58" s="36"/>
      <c r="Q58" s="871"/>
      <c r="R58" s="68"/>
      <c r="S58" s="863"/>
      <c r="T58" s="863"/>
      <c r="U58" s="863"/>
      <c r="V58" s="65"/>
      <c r="W58" s="37"/>
      <c r="X58" s="2214" t="str">
        <f>IFERROR(INDEX('Annex 2_Code'!I$8:I$33,MATCH('Annex 4_MoWRAM'!$BB58,'Annex 2_Code'!$G$8:$G$33,0)),"")</f>
        <v/>
      </c>
      <c r="Y58" s="2215" t="str">
        <f>IFERROR(INDEX('Annex 2_Code'!J$8:J$33,MATCH('Annex 4_MoWRAM'!$BB58,'Annex 2_Code'!$G$8:$G$33,0)),"")</f>
        <v/>
      </c>
      <c r="Z58" s="2215" t="str">
        <f>IFERROR(INDEX('Annex 2_Code'!K$8:K$33,MATCH('Annex 4_MoWRAM'!$BB58,'Annex 2_Code'!$G$8:$G$33,0)),"")</f>
        <v/>
      </c>
      <c r="AA58" s="2215" t="str">
        <f>IFERROR(INDEX('Annex 2_Code'!L$8:L$33,MATCH('Annex 4_MoWRAM'!$BB58,'Annex 2_Code'!$G$8:$G$33,0)),"")</f>
        <v/>
      </c>
      <c r="AB58" s="2216" t="str">
        <f>IFERROR(INDEX('Annex 2_Code'!M$8:M$33,MATCH('Annex 4_MoWRAM'!$BB58,'Annex 2_Code'!$G$8:$G$33,0)),"")</f>
        <v/>
      </c>
      <c r="AC58" s="36"/>
      <c r="AD58" s="2207"/>
      <c r="AE58" s="2218"/>
      <c r="AF58" s="2218"/>
      <c r="AG58" s="2218"/>
      <c r="AH58" s="2209"/>
      <c r="AI58" s="343"/>
      <c r="AJ58" s="343"/>
      <c r="AK58" s="343"/>
      <c r="AL58" s="168"/>
      <c r="AM58" s="343"/>
      <c r="AN58" s="343"/>
      <c r="AO58" s="343"/>
      <c r="AP58" s="343"/>
      <c r="AQ58" s="444"/>
      <c r="AR58" s="343"/>
      <c r="AS58" s="343"/>
      <c r="AT58" s="903"/>
      <c r="AU58" s="444"/>
      <c r="AV58" s="903"/>
      <c r="AW58" s="903"/>
      <c r="AX58" s="168"/>
      <c r="AY58" s="271"/>
      <c r="AZ58" s="939"/>
      <c r="BA58" s="870"/>
      <c r="BB58" s="568"/>
      <c r="BC58" s="568" t="str">
        <f>IFERROR(INDEX('Annex 2_Code'!$J$110:$J$127,MATCH('Annex 4_MoWRAM'!BA58,'Annex 2_Code'!$G$110:$G$127,0)),"")</f>
        <v/>
      </c>
      <c r="BD58" s="600" t="str">
        <f t="shared" si="44"/>
        <v/>
      </c>
    </row>
    <row r="59" spans="1:56" s="64" customFormat="1" ht="15.95" customHeight="1">
      <c r="A59" s="2160" t="str">
        <f t="shared" si="43"/>
        <v/>
      </c>
      <c r="B59" s="2160" t="str">
        <f t="shared" si="43"/>
        <v/>
      </c>
      <c r="C59" s="752"/>
      <c r="D59" s="67"/>
      <c r="E59" s="66"/>
      <c r="F59" s="67" t="s">
        <v>328</v>
      </c>
      <c r="G59" s="66"/>
      <c r="H59" s="66"/>
      <c r="I59" s="66"/>
      <c r="J59" s="66"/>
      <c r="K59" s="2058"/>
      <c r="L59" s="2068"/>
      <c r="M59" s="68"/>
      <c r="N59" s="36"/>
      <c r="O59" s="36"/>
      <c r="P59" s="36"/>
      <c r="Q59" s="871"/>
      <c r="R59" s="68"/>
      <c r="S59" s="863"/>
      <c r="T59" s="863"/>
      <c r="U59" s="863"/>
      <c r="V59" s="65"/>
      <c r="W59" s="37"/>
      <c r="X59" s="2214" t="str">
        <f>IFERROR(INDEX('Annex 2_Code'!I$8:I$33,MATCH('Annex 4_MoWRAM'!$BB59,'Annex 2_Code'!$G$8:$G$33,0)),"")</f>
        <v/>
      </c>
      <c r="Y59" s="2215" t="str">
        <f>IFERROR(INDEX('Annex 2_Code'!J$8:J$33,MATCH('Annex 4_MoWRAM'!$BB59,'Annex 2_Code'!$G$8:$G$33,0)),"")</f>
        <v/>
      </c>
      <c r="Z59" s="2215" t="str">
        <f>IFERROR(INDEX('Annex 2_Code'!K$8:K$33,MATCH('Annex 4_MoWRAM'!$BB59,'Annex 2_Code'!$G$8:$G$33,0)),"")</f>
        <v/>
      </c>
      <c r="AA59" s="2215" t="str">
        <f>IFERROR(INDEX('Annex 2_Code'!L$8:L$33,MATCH('Annex 4_MoWRAM'!$BB59,'Annex 2_Code'!$G$8:$G$33,0)),"")</f>
        <v/>
      </c>
      <c r="AB59" s="2216" t="str">
        <f>IFERROR(INDEX('Annex 2_Code'!M$8:M$33,MATCH('Annex 4_MoWRAM'!$BB59,'Annex 2_Code'!$G$8:$G$33,0)),"")</f>
        <v/>
      </c>
      <c r="AC59" s="36"/>
      <c r="AD59" s="2207"/>
      <c r="AE59" s="2218"/>
      <c r="AF59" s="2218"/>
      <c r="AG59" s="2218"/>
      <c r="AH59" s="2209"/>
      <c r="AI59" s="343"/>
      <c r="AJ59" s="343"/>
      <c r="AK59" s="343"/>
      <c r="AL59" s="168"/>
      <c r="AM59" s="343"/>
      <c r="AN59" s="343"/>
      <c r="AO59" s="343"/>
      <c r="AP59" s="343"/>
      <c r="AQ59" s="444"/>
      <c r="AR59" s="343"/>
      <c r="AS59" s="343"/>
      <c r="AT59" s="903"/>
      <c r="AU59" s="444"/>
      <c r="AV59" s="903"/>
      <c r="AW59" s="903"/>
      <c r="AX59" s="168"/>
      <c r="AY59" s="271"/>
      <c r="AZ59" s="939"/>
      <c r="BA59" s="870"/>
      <c r="BB59" s="568"/>
      <c r="BC59" s="568" t="str">
        <f>IFERROR(INDEX('Annex 2_Code'!$J$110:$J$127,MATCH('Annex 4_MoWRAM'!BA59,'Annex 2_Code'!$G$110:$G$127,0)),"")</f>
        <v/>
      </c>
      <c r="BD59" s="600" t="str">
        <f t="shared" ref="BD59:BD88" si="115">IF(ISNUMBER(FIND("-",BC59,1))=FALSE,LEFT(BC59,LEN(BC59)),LEFT(BC59,(FIND("-",BC59,1))-1))</f>
        <v/>
      </c>
    </row>
    <row r="60" spans="1:56" s="64" customFormat="1" ht="16.350000000000001" customHeight="1">
      <c r="A60" s="2160" t="str">
        <f t="shared" si="43"/>
        <v>Govt</v>
      </c>
      <c r="B60" s="2160" t="str">
        <f t="shared" si="43"/>
        <v>Govt</v>
      </c>
      <c r="C60" s="752" t="s">
        <v>58</v>
      </c>
      <c r="D60" s="69"/>
      <c r="E60" s="901"/>
      <c r="F60" s="901"/>
      <c r="G60" s="901" t="s">
        <v>329</v>
      </c>
      <c r="H60" s="901"/>
      <c r="I60" s="901"/>
      <c r="J60" s="901"/>
      <c r="K60" s="2069" t="s">
        <v>174</v>
      </c>
      <c r="L60" s="1219">
        <f>180/1000</f>
        <v>0.18</v>
      </c>
      <c r="M60" s="871">
        <v>3</v>
      </c>
      <c r="N60" s="129">
        <v>3</v>
      </c>
      <c r="O60" s="129">
        <v>3</v>
      </c>
      <c r="P60" s="129">
        <v>3</v>
      </c>
      <c r="Q60" s="57">
        <f t="shared" ref="Q60:Q66" si="116">SUM(M60:P60)</f>
        <v>12</v>
      </c>
      <c r="R60" s="447">
        <f>$M60*$L60</f>
        <v>0.54</v>
      </c>
      <c r="S60" s="818">
        <f>$N60*$L60</f>
        <v>0.54</v>
      </c>
      <c r="T60" s="818">
        <f t="shared" ref="T60:U60" si="117">$N60*$L60</f>
        <v>0.54</v>
      </c>
      <c r="U60" s="818">
        <f t="shared" si="117"/>
        <v>0.54</v>
      </c>
      <c r="V60" s="303">
        <f>SUM(R60:U60)</f>
        <v>2.16</v>
      </c>
      <c r="W60" s="37"/>
      <c r="X60" s="746">
        <f>IFERROR(INDEX('Annex 2_Code'!I$8:I$33,MATCH('Annex 4_MoWRAM'!$BB60,'Annex 2_Code'!$G$8:$G$33,0)),"")</f>
        <v>0</v>
      </c>
      <c r="Y60" s="747">
        <f>IFERROR(INDEX('Annex 2_Code'!J$8:J$33,MATCH('Annex 4_MoWRAM'!$BB60,'Annex 2_Code'!$G$8:$G$33,0)),"")</f>
        <v>0</v>
      </c>
      <c r="Z60" s="747">
        <f>IFERROR(INDEX('Annex 2_Code'!K$8:K$33,MATCH('Annex 4_MoWRAM'!$BB60,'Annex 2_Code'!$G$8:$G$33,0)),"")</f>
        <v>0</v>
      </c>
      <c r="AA60" s="747">
        <f>IFERROR(INDEX('Annex 2_Code'!L$8:L$33,MATCH('Annex 4_MoWRAM'!$BB60,'Annex 2_Code'!$G$8:$G$33,0)),"")</f>
        <v>1</v>
      </c>
      <c r="AB60" s="748">
        <f>IFERROR(INDEX('Annex 2_Code'!M$8:M$33,MATCH('Annex 4_MoWRAM'!$BB60,'Annex 2_Code'!$G$8:$G$33,0)),"")</f>
        <v>0</v>
      </c>
      <c r="AC60" s="36"/>
      <c r="AD60" s="447">
        <f>$V60*X60</f>
        <v>0</v>
      </c>
      <c r="AE60" s="818">
        <f>$V60*Y60</f>
        <v>0</v>
      </c>
      <c r="AF60" s="818">
        <f>$V60*Z60</f>
        <v>0</v>
      </c>
      <c r="AG60" s="818">
        <f>$V60*AA60</f>
        <v>2.16</v>
      </c>
      <c r="AH60" s="449">
        <f>$V60*AB60</f>
        <v>0</v>
      </c>
      <c r="AI60" s="448">
        <f t="shared" ref="AI60:AL69" si="118">R60*$X60</f>
        <v>0</v>
      </c>
      <c r="AJ60" s="805">
        <f t="shared" si="118"/>
        <v>0</v>
      </c>
      <c r="AK60" s="805">
        <f t="shared" si="118"/>
        <v>0</v>
      </c>
      <c r="AL60" s="161">
        <f t="shared" si="118"/>
        <v>0</v>
      </c>
      <c r="AM60" s="448">
        <f t="shared" ref="AM60:AP69" si="119">$Y60*R60</f>
        <v>0</v>
      </c>
      <c r="AN60" s="805">
        <f t="shared" si="119"/>
        <v>0</v>
      </c>
      <c r="AO60" s="805">
        <f t="shared" si="119"/>
        <v>0</v>
      </c>
      <c r="AP60" s="161">
        <f t="shared" si="119"/>
        <v>0</v>
      </c>
      <c r="AQ60" s="448">
        <f t="shared" ref="AQ60:AT69" si="120">$Z60*R60</f>
        <v>0</v>
      </c>
      <c r="AR60" s="805">
        <f t="shared" si="120"/>
        <v>0</v>
      </c>
      <c r="AS60" s="805">
        <f t="shared" si="120"/>
        <v>0</v>
      </c>
      <c r="AT60" s="161">
        <f t="shared" si="120"/>
        <v>0</v>
      </c>
      <c r="AU60" s="894">
        <f>$AA60*R60</f>
        <v>0.54</v>
      </c>
      <c r="AV60" s="905">
        <f>$AA60*S60</f>
        <v>0.54</v>
      </c>
      <c r="AW60" s="905">
        <f>$AA60*T60</f>
        <v>0.54</v>
      </c>
      <c r="AX60" s="959">
        <f>$AA60*U60</f>
        <v>0.54</v>
      </c>
      <c r="AY60" s="455">
        <f t="shared" ref="AY60:AY66" si="121">SUM(AD60:AH60)</f>
        <v>2.16</v>
      </c>
      <c r="AZ60" s="2125" t="str">
        <f t="shared" ref="AZ60:AZ69" si="122">IF(V60=AY60,"Correct","Incorrect")</f>
        <v>Correct</v>
      </c>
      <c r="BA60" s="870" t="s">
        <v>563</v>
      </c>
      <c r="BB60" s="568" t="s">
        <v>414</v>
      </c>
      <c r="BC60" s="568" t="str">
        <f>IFERROR(INDEX('Annex 2_Code'!$J$110:$J$127,MATCH('Annex 4_MoWRAM'!BA60,'Annex 2_Code'!$G$110:$G$127,0)),"")</f>
        <v>MOWRAM</v>
      </c>
      <c r="BD60" s="600" t="str">
        <f t="shared" si="115"/>
        <v>MOWRAM</v>
      </c>
    </row>
    <row r="61" spans="1:56" s="64" customFormat="1" ht="16.350000000000001" customHeight="1">
      <c r="A61" s="2160" t="str">
        <f t="shared" si="43"/>
        <v>Govt</v>
      </c>
      <c r="B61" s="2160" t="str">
        <f t="shared" si="43"/>
        <v>Govt</v>
      </c>
      <c r="C61" s="752" t="s">
        <v>58</v>
      </c>
      <c r="D61" s="69"/>
      <c r="E61" s="901"/>
      <c r="F61" s="901"/>
      <c r="G61" s="901" t="s">
        <v>330</v>
      </c>
      <c r="H61" s="901"/>
      <c r="I61" s="901"/>
      <c r="J61" s="901"/>
      <c r="K61" s="2069" t="s">
        <v>174</v>
      </c>
      <c r="L61" s="1219">
        <f>180/1000</f>
        <v>0.18</v>
      </c>
      <c r="M61" s="871">
        <v>3</v>
      </c>
      <c r="N61" s="129">
        <v>3</v>
      </c>
      <c r="O61" s="129">
        <v>3</v>
      </c>
      <c r="P61" s="129">
        <v>3</v>
      </c>
      <c r="Q61" s="57">
        <f t="shared" si="116"/>
        <v>12</v>
      </c>
      <c r="R61" s="447">
        <f t="shared" ref="R61:R69" si="123">$M61*$L61</f>
        <v>0.54</v>
      </c>
      <c r="S61" s="818">
        <f t="shared" ref="S61:U69" si="124">$N61*$L61</f>
        <v>0.54</v>
      </c>
      <c r="T61" s="818">
        <f t="shared" si="124"/>
        <v>0.54</v>
      </c>
      <c r="U61" s="818">
        <f t="shared" si="124"/>
        <v>0.54</v>
      </c>
      <c r="V61" s="303">
        <f t="shared" ref="V61:V66" si="125">SUM(R61:U61)</f>
        <v>2.16</v>
      </c>
      <c r="W61" s="37"/>
      <c r="X61" s="746">
        <f>IFERROR(INDEX('Annex 2_Code'!I$8:I$33,MATCH('Annex 4_MoWRAM'!$BB61,'Annex 2_Code'!$G$8:$G$33,0)),"")</f>
        <v>0</v>
      </c>
      <c r="Y61" s="747">
        <f>IFERROR(INDEX('Annex 2_Code'!J$8:J$33,MATCH('Annex 4_MoWRAM'!$BB61,'Annex 2_Code'!$G$8:$G$33,0)),"")</f>
        <v>0</v>
      </c>
      <c r="Z61" s="747">
        <f>IFERROR(INDEX('Annex 2_Code'!K$8:K$33,MATCH('Annex 4_MoWRAM'!$BB61,'Annex 2_Code'!$G$8:$G$33,0)),"")</f>
        <v>0</v>
      </c>
      <c r="AA61" s="747">
        <f>IFERROR(INDEX('Annex 2_Code'!L$8:L$33,MATCH('Annex 4_MoWRAM'!$BB61,'Annex 2_Code'!$G$8:$G$33,0)),"")</f>
        <v>1</v>
      </c>
      <c r="AB61" s="748">
        <f>IFERROR(INDEX('Annex 2_Code'!M$8:M$33,MATCH('Annex 4_MoWRAM'!$BB61,'Annex 2_Code'!$G$8:$G$33,0)),"")</f>
        <v>0</v>
      </c>
      <c r="AC61" s="36"/>
      <c r="AD61" s="447">
        <f t="shared" ref="AD61:AH69" si="126">$V61*X61</f>
        <v>0</v>
      </c>
      <c r="AE61" s="818">
        <f t="shared" si="126"/>
        <v>0</v>
      </c>
      <c r="AF61" s="818">
        <f t="shared" si="126"/>
        <v>0</v>
      </c>
      <c r="AG61" s="818">
        <f t="shared" si="126"/>
        <v>2.16</v>
      </c>
      <c r="AH61" s="449">
        <f t="shared" si="126"/>
        <v>0</v>
      </c>
      <c r="AI61" s="448">
        <f t="shared" si="118"/>
        <v>0</v>
      </c>
      <c r="AJ61" s="805">
        <f t="shared" si="118"/>
        <v>0</v>
      </c>
      <c r="AK61" s="805">
        <f t="shared" si="118"/>
        <v>0</v>
      </c>
      <c r="AL61" s="161">
        <f t="shared" si="118"/>
        <v>0</v>
      </c>
      <c r="AM61" s="448">
        <f t="shared" si="119"/>
        <v>0</v>
      </c>
      <c r="AN61" s="805">
        <f t="shared" si="119"/>
        <v>0</v>
      </c>
      <c r="AO61" s="805">
        <f t="shared" si="119"/>
        <v>0</v>
      </c>
      <c r="AP61" s="161">
        <f t="shared" si="119"/>
        <v>0</v>
      </c>
      <c r="AQ61" s="448">
        <f t="shared" si="120"/>
        <v>0</v>
      </c>
      <c r="AR61" s="805">
        <f t="shared" si="120"/>
        <v>0</v>
      </c>
      <c r="AS61" s="805">
        <f t="shared" si="120"/>
        <v>0</v>
      </c>
      <c r="AT61" s="161">
        <f t="shared" si="120"/>
        <v>0</v>
      </c>
      <c r="AU61" s="894">
        <f t="shared" ref="AU61:AU69" si="127">$AA61*R61</f>
        <v>0.54</v>
      </c>
      <c r="AV61" s="905">
        <f t="shared" ref="AV61:AV69" si="128">$AA61*S61</f>
        <v>0.54</v>
      </c>
      <c r="AW61" s="905">
        <f t="shared" ref="AW61:AW69" si="129">$AA61*T61</f>
        <v>0.54</v>
      </c>
      <c r="AX61" s="959">
        <f t="shared" ref="AX61:AX69" si="130">$AA61*U61</f>
        <v>0.54</v>
      </c>
      <c r="AY61" s="455">
        <f t="shared" si="121"/>
        <v>2.16</v>
      </c>
      <c r="AZ61" s="2125" t="str">
        <f t="shared" si="122"/>
        <v>Correct</v>
      </c>
      <c r="BA61" s="870" t="s">
        <v>563</v>
      </c>
      <c r="BB61" s="568" t="s">
        <v>414</v>
      </c>
      <c r="BC61" s="568" t="str">
        <f>IFERROR(INDEX('Annex 2_Code'!$J$110:$J$127,MATCH('Annex 4_MoWRAM'!BA61,'Annex 2_Code'!$G$110:$G$127,0)),"")</f>
        <v>MOWRAM</v>
      </c>
      <c r="BD61" s="600" t="str">
        <f t="shared" si="115"/>
        <v>MOWRAM</v>
      </c>
    </row>
    <row r="62" spans="1:56" s="64" customFormat="1" ht="16.350000000000001" customHeight="1">
      <c r="A62" s="2160" t="str">
        <f t="shared" ref="A62:B69" si="131">IF(ISNUMBER(FIND("-",B62,1))=FALSE,LEFT(B62,LEN(B62)),LEFT(B62,(FIND("-",B62,1))-1))</f>
        <v>Govt</v>
      </c>
      <c r="B62" s="2160" t="str">
        <f t="shared" si="131"/>
        <v>Govt</v>
      </c>
      <c r="C62" s="752" t="s">
        <v>58</v>
      </c>
      <c r="D62" s="69"/>
      <c r="E62" s="901"/>
      <c r="F62" s="901"/>
      <c r="G62" s="901" t="s">
        <v>925</v>
      </c>
      <c r="H62" s="901"/>
      <c r="I62" s="901"/>
      <c r="J62" s="901"/>
      <c r="K62" s="2069" t="s">
        <v>174</v>
      </c>
      <c r="L62" s="1219">
        <f>150/1000</f>
        <v>0.15</v>
      </c>
      <c r="M62" s="871">
        <v>6</v>
      </c>
      <c r="N62" s="129">
        <v>6</v>
      </c>
      <c r="O62" s="129">
        <v>6</v>
      </c>
      <c r="P62" s="129">
        <v>6</v>
      </c>
      <c r="Q62" s="57">
        <f t="shared" si="116"/>
        <v>24</v>
      </c>
      <c r="R62" s="447">
        <f t="shared" si="123"/>
        <v>0.89999999999999991</v>
      </c>
      <c r="S62" s="818">
        <f t="shared" si="124"/>
        <v>0.89999999999999991</v>
      </c>
      <c r="T62" s="818">
        <f t="shared" si="124"/>
        <v>0.89999999999999991</v>
      </c>
      <c r="U62" s="818">
        <f t="shared" si="124"/>
        <v>0.89999999999999991</v>
      </c>
      <c r="V62" s="303">
        <f t="shared" si="125"/>
        <v>3.5999999999999996</v>
      </c>
      <c r="W62" s="37"/>
      <c r="X62" s="746">
        <f>IFERROR(INDEX('Annex 2_Code'!I$8:I$33,MATCH('Annex 4_MoWRAM'!$BB62,'Annex 2_Code'!$G$8:$G$33,0)),"")</f>
        <v>0</v>
      </c>
      <c r="Y62" s="747">
        <f>IFERROR(INDEX('Annex 2_Code'!J$8:J$33,MATCH('Annex 4_MoWRAM'!$BB62,'Annex 2_Code'!$G$8:$G$33,0)),"")</f>
        <v>0</v>
      </c>
      <c r="Z62" s="747">
        <f>IFERROR(INDEX('Annex 2_Code'!K$8:K$33,MATCH('Annex 4_MoWRAM'!$BB62,'Annex 2_Code'!$G$8:$G$33,0)),"")</f>
        <v>0</v>
      </c>
      <c r="AA62" s="747">
        <f>IFERROR(INDEX('Annex 2_Code'!L$8:L$33,MATCH('Annex 4_MoWRAM'!$BB62,'Annex 2_Code'!$G$8:$G$33,0)),"")</f>
        <v>1</v>
      </c>
      <c r="AB62" s="748">
        <f>IFERROR(INDEX('Annex 2_Code'!M$8:M$33,MATCH('Annex 4_MoWRAM'!$BB62,'Annex 2_Code'!$G$8:$G$33,0)),"")</f>
        <v>0</v>
      </c>
      <c r="AC62" s="36"/>
      <c r="AD62" s="447">
        <f t="shared" si="126"/>
        <v>0</v>
      </c>
      <c r="AE62" s="818">
        <f t="shared" si="126"/>
        <v>0</v>
      </c>
      <c r="AF62" s="818">
        <f t="shared" si="126"/>
        <v>0</v>
      </c>
      <c r="AG62" s="818">
        <f t="shared" si="126"/>
        <v>3.5999999999999996</v>
      </c>
      <c r="AH62" s="449">
        <f t="shared" si="126"/>
        <v>0</v>
      </c>
      <c r="AI62" s="448">
        <f t="shared" si="118"/>
        <v>0</v>
      </c>
      <c r="AJ62" s="805">
        <f t="shared" si="118"/>
        <v>0</v>
      </c>
      <c r="AK62" s="805">
        <f t="shared" si="118"/>
        <v>0</v>
      </c>
      <c r="AL62" s="161">
        <f t="shared" si="118"/>
        <v>0</v>
      </c>
      <c r="AM62" s="448">
        <f t="shared" si="119"/>
        <v>0</v>
      </c>
      <c r="AN62" s="805">
        <f t="shared" si="119"/>
        <v>0</v>
      </c>
      <c r="AO62" s="805">
        <f t="shared" si="119"/>
        <v>0</v>
      </c>
      <c r="AP62" s="161">
        <f t="shared" si="119"/>
        <v>0</v>
      </c>
      <c r="AQ62" s="448">
        <f t="shared" si="120"/>
        <v>0</v>
      </c>
      <c r="AR62" s="805">
        <f t="shared" si="120"/>
        <v>0</v>
      </c>
      <c r="AS62" s="805">
        <f t="shared" si="120"/>
        <v>0</v>
      </c>
      <c r="AT62" s="161">
        <f t="shared" si="120"/>
        <v>0</v>
      </c>
      <c r="AU62" s="894">
        <f t="shared" si="127"/>
        <v>0.89999999999999991</v>
      </c>
      <c r="AV62" s="905">
        <f t="shared" si="128"/>
        <v>0.89999999999999991</v>
      </c>
      <c r="AW62" s="905">
        <f t="shared" si="129"/>
        <v>0.89999999999999991</v>
      </c>
      <c r="AX62" s="959">
        <f t="shared" si="130"/>
        <v>0.89999999999999991</v>
      </c>
      <c r="AY62" s="455">
        <f t="shared" si="121"/>
        <v>3.5999999999999996</v>
      </c>
      <c r="AZ62" s="2125" t="str">
        <f t="shared" si="122"/>
        <v>Correct</v>
      </c>
      <c r="BA62" s="870" t="s">
        <v>563</v>
      </c>
      <c r="BB62" s="568" t="s">
        <v>414</v>
      </c>
      <c r="BC62" s="568" t="str">
        <f>IFERROR(INDEX('Annex 2_Code'!$J$110:$J$127,MATCH('Annex 4_MoWRAM'!BA62,'Annex 2_Code'!$G$110:$G$127,0)),"")</f>
        <v>MOWRAM</v>
      </c>
      <c r="BD62" s="600" t="str">
        <f t="shared" si="115"/>
        <v>MOWRAM</v>
      </c>
    </row>
    <row r="63" spans="1:56" s="64" customFormat="1" ht="16.350000000000001" customHeight="1">
      <c r="A63" s="2160" t="str">
        <f t="shared" si="131"/>
        <v>Govt</v>
      </c>
      <c r="B63" s="2160" t="str">
        <f t="shared" si="131"/>
        <v>Govt</v>
      </c>
      <c r="C63" s="752" t="s">
        <v>58</v>
      </c>
      <c r="D63" s="69"/>
      <c r="E63" s="901"/>
      <c r="F63" s="901"/>
      <c r="G63" s="901" t="s">
        <v>926</v>
      </c>
      <c r="H63" s="901"/>
      <c r="I63" s="901"/>
      <c r="J63" s="901"/>
      <c r="K63" s="2069" t="s">
        <v>174</v>
      </c>
      <c r="L63" s="1219">
        <f>150/1000</f>
        <v>0.15</v>
      </c>
      <c r="M63" s="871">
        <v>12</v>
      </c>
      <c r="N63" s="129">
        <v>12</v>
      </c>
      <c r="O63" s="129">
        <v>12</v>
      </c>
      <c r="P63" s="129">
        <v>12</v>
      </c>
      <c r="Q63" s="57">
        <f t="shared" si="116"/>
        <v>48</v>
      </c>
      <c r="R63" s="447">
        <f t="shared" si="123"/>
        <v>1.7999999999999998</v>
      </c>
      <c r="S63" s="818">
        <f t="shared" si="124"/>
        <v>1.7999999999999998</v>
      </c>
      <c r="T63" s="818">
        <f t="shared" si="124"/>
        <v>1.7999999999999998</v>
      </c>
      <c r="U63" s="818">
        <f t="shared" si="124"/>
        <v>1.7999999999999998</v>
      </c>
      <c r="V63" s="303">
        <f t="shared" si="125"/>
        <v>7.1999999999999993</v>
      </c>
      <c r="W63" s="37"/>
      <c r="X63" s="746">
        <f>IFERROR(INDEX('Annex 2_Code'!I$8:I$33,MATCH('Annex 4_MoWRAM'!$BB63,'Annex 2_Code'!$G$8:$G$33,0)),"")</f>
        <v>0</v>
      </c>
      <c r="Y63" s="747">
        <f>IFERROR(INDEX('Annex 2_Code'!J$8:J$33,MATCH('Annex 4_MoWRAM'!$BB63,'Annex 2_Code'!$G$8:$G$33,0)),"")</f>
        <v>0</v>
      </c>
      <c r="Z63" s="747">
        <f>IFERROR(INDEX('Annex 2_Code'!K$8:K$33,MATCH('Annex 4_MoWRAM'!$BB63,'Annex 2_Code'!$G$8:$G$33,0)),"")</f>
        <v>0</v>
      </c>
      <c r="AA63" s="747">
        <f>IFERROR(INDEX('Annex 2_Code'!L$8:L$33,MATCH('Annex 4_MoWRAM'!$BB63,'Annex 2_Code'!$G$8:$G$33,0)),"")</f>
        <v>1</v>
      </c>
      <c r="AB63" s="748">
        <f>IFERROR(INDEX('Annex 2_Code'!M$8:M$33,MATCH('Annex 4_MoWRAM'!$BB63,'Annex 2_Code'!$G$8:$G$33,0)),"")</f>
        <v>0</v>
      </c>
      <c r="AC63" s="36"/>
      <c r="AD63" s="447">
        <f t="shared" si="126"/>
        <v>0</v>
      </c>
      <c r="AE63" s="818">
        <f t="shared" si="126"/>
        <v>0</v>
      </c>
      <c r="AF63" s="818">
        <f t="shared" si="126"/>
        <v>0</v>
      </c>
      <c r="AG63" s="818">
        <f t="shared" si="126"/>
        <v>7.1999999999999993</v>
      </c>
      <c r="AH63" s="449">
        <f t="shared" si="126"/>
        <v>0</v>
      </c>
      <c r="AI63" s="448">
        <f t="shared" si="118"/>
        <v>0</v>
      </c>
      <c r="AJ63" s="805">
        <f t="shared" si="118"/>
        <v>0</v>
      </c>
      <c r="AK63" s="805">
        <f t="shared" si="118"/>
        <v>0</v>
      </c>
      <c r="AL63" s="161">
        <f t="shared" si="118"/>
        <v>0</v>
      </c>
      <c r="AM63" s="448">
        <f t="shared" si="119"/>
        <v>0</v>
      </c>
      <c r="AN63" s="805">
        <f t="shared" si="119"/>
        <v>0</v>
      </c>
      <c r="AO63" s="805">
        <f t="shared" si="119"/>
        <v>0</v>
      </c>
      <c r="AP63" s="161">
        <f t="shared" si="119"/>
        <v>0</v>
      </c>
      <c r="AQ63" s="448">
        <f t="shared" si="120"/>
        <v>0</v>
      </c>
      <c r="AR63" s="805">
        <f t="shared" si="120"/>
        <v>0</v>
      </c>
      <c r="AS63" s="805">
        <f t="shared" si="120"/>
        <v>0</v>
      </c>
      <c r="AT63" s="161">
        <f t="shared" si="120"/>
        <v>0</v>
      </c>
      <c r="AU63" s="894">
        <f t="shared" si="127"/>
        <v>1.7999999999999998</v>
      </c>
      <c r="AV63" s="905">
        <f t="shared" si="128"/>
        <v>1.7999999999999998</v>
      </c>
      <c r="AW63" s="905">
        <f t="shared" si="129"/>
        <v>1.7999999999999998</v>
      </c>
      <c r="AX63" s="959">
        <f t="shared" si="130"/>
        <v>1.7999999999999998</v>
      </c>
      <c r="AY63" s="455">
        <f t="shared" si="121"/>
        <v>7.1999999999999993</v>
      </c>
      <c r="AZ63" s="2125" t="str">
        <f t="shared" si="122"/>
        <v>Correct</v>
      </c>
      <c r="BA63" s="870" t="s">
        <v>563</v>
      </c>
      <c r="BB63" s="568" t="s">
        <v>414</v>
      </c>
      <c r="BC63" s="568" t="str">
        <f>IFERROR(INDEX('Annex 2_Code'!$J$110:$J$127,MATCH('Annex 4_MoWRAM'!BA63,'Annex 2_Code'!$G$110:$G$127,0)),"")</f>
        <v>MOWRAM</v>
      </c>
      <c r="BD63" s="600" t="str">
        <f t="shared" si="115"/>
        <v>MOWRAM</v>
      </c>
    </row>
    <row r="64" spans="1:56" s="64" customFormat="1" ht="16.350000000000001" customHeight="1">
      <c r="A64" s="2160" t="str">
        <f t="shared" si="131"/>
        <v>Govt</v>
      </c>
      <c r="B64" s="2160" t="str">
        <f t="shared" si="131"/>
        <v>Govt</v>
      </c>
      <c r="C64" s="752" t="s">
        <v>58</v>
      </c>
      <c r="D64" s="69"/>
      <c r="E64" s="901"/>
      <c r="F64" s="901"/>
      <c r="G64" s="901" t="s">
        <v>927</v>
      </c>
      <c r="H64" s="901"/>
      <c r="I64" s="901"/>
      <c r="J64" s="901"/>
      <c r="K64" s="2069" t="s">
        <v>174</v>
      </c>
      <c r="L64" s="1219">
        <f>150/1000</f>
        <v>0.15</v>
      </c>
      <c r="M64" s="871">
        <v>9</v>
      </c>
      <c r="N64" s="129">
        <v>9</v>
      </c>
      <c r="O64" s="129">
        <v>9</v>
      </c>
      <c r="P64" s="129">
        <v>9</v>
      </c>
      <c r="Q64" s="57">
        <f t="shared" si="116"/>
        <v>36</v>
      </c>
      <c r="R64" s="447">
        <f t="shared" si="123"/>
        <v>1.3499999999999999</v>
      </c>
      <c r="S64" s="818">
        <f t="shared" si="124"/>
        <v>1.3499999999999999</v>
      </c>
      <c r="T64" s="818">
        <f t="shared" si="124"/>
        <v>1.3499999999999999</v>
      </c>
      <c r="U64" s="818">
        <f t="shared" si="124"/>
        <v>1.3499999999999999</v>
      </c>
      <c r="V64" s="303">
        <f t="shared" si="125"/>
        <v>5.3999999999999995</v>
      </c>
      <c r="W64" s="37"/>
      <c r="X64" s="746">
        <f>IFERROR(INDEX('Annex 2_Code'!I$8:I$33,MATCH('Annex 4_MoWRAM'!$BB64,'Annex 2_Code'!$G$8:$G$33,0)),"")</f>
        <v>0</v>
      </c>
      <c r="Y64" s="747">
        <f>IFERROR(INDEX('Annex 2_Code'!J$8:J$33,MATCH('Annex 4_MoWRAM'!$BB64,'Annex 2_Code'!$G$8:$G$33,0)),"")</f>
        <v>0</v>
      </c>
      <c r="Z64" s="747">
        <f>IFERROR(INDEX('Annex 2_Code'!K$8:K$33,MATCH('Annex 4_MoWRAM'!$BB64,'Annex 2_Code'!$G$8:$G$33,0)),"")</f>
        <v>0</v>
      </c>
      <c r="AA64" s="747">
        <f>IFERROR(INDEX('Annex 2_Code'!L$8:L$33,MATCH('Annex 4_MoWRAM'!$BB64,'Annex 2_Code'!$G$8:$G$33,0)),"")</f>
        <v>1</v>
      </c>
      <c r="AB64" s="748">
        <f>IFERROR(INDEX('Annex 2_Code'!M$8:M$33,MATCH('Annex 4_MoWRAM'!$BB64,'Annex 2_Code'!$G$8:$G$33,0)),"")</f>
        <v>0</v>
      </c>
      <c r="AC64" s="36"/>
      <c r="AD64" s="447">
        <f t="shared" si="126"/>
        <v>0</v>
      </c>
      <c r="AE64" s="818">
        <f t="shared" si="126"/>
        <v>0</v>
      </c>
      <c r="AF64" s="818">
        <f t="shared" si="126"/>
        <v>0</v>
      </c>
      <c r="AG64" s="818">
        <f t="shared" si="126"/>
        <v>5.3999999999999995</v>
      </c>
      <c r="AH64" s="449">
        <f t="shared" si="126"/>
        <v>0</v>
      </c>
      <c r="AI64" s="448">
        <f t="shared" si="118"/>
        <v>0</v>
      </c>
      <c r="AJ64" s="805">
        <f t="shared" si="118"/>
        <v>0</v>
      </c>
      <c r="AK64" s="805">
        <f t="shared" si="118"/>
        <v>0</v>
      </c>
      <c r="AL64" s="161">
        <f t="shared" si="118"/>
        <v>0</v>
      </c>
      <c r="AM64" s="448">
        <f t="shared" si="119"/>
        <v>0</v>
      </c>
      <c r="AN64" s="805">
        <f t="shared" si="119"/>
        <v>0</v>
      </c>
      <c r="AO64" s="805">
        <f t="shared" si="119"/>
        <v>0</v>
      </c>
      <c r="AP64" s="161">
        <f t="shared" si="119"/>
        <v>0</v>
      </c>
      <c r="AQ64" s="448">
        <f t="shared" si="120"/>
        <v>0</v>
      </c>
      <c r="AR64" s="805">
        <f t="shared" si="120"/>
        <v>0</v>
      </c>
      <c r="AS64" s="805">
        <f t="shared" si="120"/>
        <v>0</v>
      </c>
      <c r="AT64" s="161">
        <f t="shared" si="120"/>
        <v>0</v>
      </c>
      <c r="AU64" s="894">
        <f t="shared" si="127"/>
        <v>1.3499999999999999</v>
      </c>
      <c r="AV64" s="905">
        <f t="shared" si="128"/>
        <v>1.3499999999999999</v>
      </c>
      <c r="AW64" s="905">
        <f t="shared" si="129"/>
        <v>1.3499999999999999</v>
      </c>
      <c r="AX64" s="959">
        <f t="shared" si="130"/>
        <v>1.3499999999999999</v>
      </c>
      <c r="AY64" s="455">
        <f t="shared" si="121"/>
        <v>5.3999999999999995</v>
      </c>
      <c r="AZ64" s="2125" t="str">
        <f t="shared" si="122"/>
        <v>Correct</v>
      </c>
      <c r="BA64" s="870" t="s">
        <v>563</v>
      </c>
      <c r="BB64" s="568" t="s">
        <v>414</v>
      </c>
      <c r="BC64" s="568" t="str">
        <f>IFERROR(INDEX('Annex 2_Code'!$J$110:$J$127,MATCH('Annex 4_MoWRAM'!BA64,'Annex 2_Code'!$G$110:$G$127,0)),"")</f>
        <v>MOWRAM</v>
      </c>
      <c r="BD64" s="600" t="str">
        <f t="shared" si="115"/>
        <v>MOWRAM</v>
      </c>
    </row>
    <row r="65" spans="1:56" s="64" customFormat="1" ht="16.350000000000001" customHeight="1">
      <c r="A65" s="2160" t="str">
        <f t="shared" si="131"/>
        <v>Govt</v>
      </c>
      <c r="B65" s="2160" t="str">
        <f t="shared" si="131"/>
        <v>Govt</v>
      </c>
      <c r="C65" s="752" t="s">
        <v>58</v>
      </c>
      <c r="D65" s="69"/>
      <c r="E65" s="901"/>
      <c r="F65" s="901"/>
      <c r="G65" s="901" t="s">
        <v>928</v>
      </c>
      <c r="H65" s="901"/>
      <c r="I65" s="901"/>
      <c r="J65" s="901"/>
      <c r="K65" s="2069" t="s">
        <v>174</v>
      </c>
      <c r="L65" s="1219">
        <f>150/1000</f>
        <v>0.15</v>
      </c>
      <c r="M65" s="871">
        <v>6</v>
      </c>
      <c r="N65" s="129">
        <v>6</v>
      </c>
      <c r="O65" s="129">
        <v>6</v>
      </c>
      <c r="P65" s="129">
        <v>6</v>
      </c>
      <c r="Q65" s="57">
        <f t="shared" si="116"/>
        <v>24</v>
      </c>
      <c r="R65" s="447">
        <f t="shared" si="123"/>
        <v>0.89999999999999991</v>
      </c>
      <c r="S65" s="818">
        <f t="shared" si="124"/>
        <v>0.89999999999999991</v>
      </c>
      <c r="T65" s="818">
        <f t="shared" si="124"/>
        <v>0.89999999999999991</v>
      </c>
      <c r="U65" s="818">
        <f t="shared" si="124"/>
        <v>0.89999999999999991</v>
      </c>
      <c r="V65" s="303">
        <f t="shared" ref="V65" si="132">SUM(R65:U65)</f>
        <v>3.5999999999999996</v>
      </c>
      <c r="W65" s="37"/>
      <c r="X65" s="746">
        <f>IFERROR(INDEX('Annex 2_Code'!I$8:I$33,MATCH('Annex 4_MoWRAM'!$BB65,'Annex 2_Code'!$G$8:$G$33,0)),"")</f>
        <v>0</v>
      </c>
      <c r="Y65" s="747">
        <f>IFERROR(INDEX('Annex 2_Code'!J$8:J$33,MATCH('Annex 4_MoWRAM'!$BB65,'Annex 2_Code'!$G$8:$G$33,0)),"")</f>
        <v>0</v>
      </c>
      <c r="Z65" s="747">
        <f>IFERROR(INDEX('Annex 2_Code'!K$8:K$33,MATCH('Annex 4_MoWRAM'!$BB65,'Annex 2_Code'!$G$8:$G$33,0)),"")</f>
        <v>0</v>
      </c>
      <c r="AA65" s="747">
        <f>IFERROR(INDEX('Annex 2_Code'!L$8:L$33,MATCH('Annex 4_MoWRAM'!$BB65,'Annex 2_Code'!$G$8:$G$33,0)),"")</f>
        <v>1</v>
      </c>
      <c r="AB65" s="748">
        <f>IFERROR(INDEX('Annex 2_Code'!M$8:M$33,MATCH('Annex 4_MoWRAM'!$BB65,'Annex 2_Code'!$G$8:$G$33,0)),"")</f>
        <v>0</v>
      </c>
      <c r="AC65" s="36"/>
      <c r="AD65" s="447">
        <f t="shared" si="126"/>
        <v>0</v>
      </c>
      <c r="AE65" s="818">
        <f t="shared" si="126"/>
        <v>0</v>
      </c>
      <c r="AF65" s="818">
        <f t="shared" si="126"/>
        <v>0</v>
      </c>
      <c r="AG65" s="818">
        <f t="shared" si="126"/>
        <v>3.5999999999999996</v>
      </c>
      <c r="AH65" s="449">
        <f t="shared" si="126"/>
        <v>0</v>
      </c>
      <c r="AI65" s="448">
        <f t="shared" si="118"/>
        <v>0</v>
      </c>
      <c r="AJ65" s="805">
        <f t="shared" si="118"/>
        <v>0</v>
      </c>
      <c r="AK65" s="805">
        <f t="shared" si="118"/>
        <v>0</v>
      </c>
      <c r="AL65" s="161">
        <f t="shared" si="118"/>
        <v>0</v>
      </c>
      <c r="AM65" s="448">
        <f t="shared" si="119"/>
        <v>0</v>
      </c>
      <c r="AN65" s="805">
        <f t="shared" si="119"/>
        <v>0</v>
      </c>
      <c r="AO65" s="805">
        <f t="shared" si="119"/>
        <v>0</v>
      </c>
      <c r="AP65" s="161">
        <f t="shared" si="119"/>
        <v>0</v>
      </c>
      <c r="AQ65" s="448">
        <f t="shared" si="120"/>
        <v>0</v>
      </c>
      <c r="AR65" s="805">
        <f t="shared" si="120"/>
        <v>0</v>
      </c>
      <c r="AS65" s="805">
        <f t="shared" si="120"/>
        <v>0</v>
      </c>
      <c r="AT65" s="161">
        <f t="shared" si="120"/>
        <v>0</v>
      </c>
      <c r="AU65" s="894">
        <f t="shared" si="127"/>
        <v>0.89999999999999991</v>
      </c>
      <c r="AV65" s="905">
        <f t="shared" si="128"/>
        <v>0.89999999999999991</v>
      </c>
      <c r="AW65" s="905">
        <f t="shared" si="129"/>
        <v>0.89999999999999991</v>
      </c>
      <c r="AX65" s="959">
        <f t="shared" si="130"/>
        <v>0.89999999999999991</v>
      </c>
      <c r="AY65" s="455">
        <f t="shared" si="121"/>
        <v>3.5999999999999996</v>
      </c>
      <c r="AZ65" s="2125" t="str">
        <f t="shared" si="122"/>
        <v>Correct</v>
      </c>
      <c r="BA65" s="870" t="s">
        <v>563</v>
      </c>
      <c r="BB65" s="568" t="s">
        <v>414</v>
      </c>
      <c r="BC65" s="568" t="str">
        <f>IFERROR(INDEX('Annex 2_Code'!$J$110:$J$127,MATCH('Annex 4_MoWRAM'!BA65,'Annex 2_Code'!$G$110:$G$127,0)),"")</f>
        <v>MOWRAM</v>
      </c>
      <c r="BD65" s="600" t="str">
        <f t="shared" si="115"/>
        <v>MOWRAM</v>
      </c>
    </row>
    <row r="66" spans="1:56" s="64" customFormat="1" ht="16.350000000000001" customHeight="1">
      <c r="A66" s="2160" t="str">
        <f t="shared" si="131"/>
        <v>Govt</v>
      </c>
      <c r="B66" s="2160" t="str">
        <f t="shared" si="131"/>
        <v>Govt</v>
      </c>
      <c r="C66" s="752" t="s">
        <v>58</v>
      </c>
      <c r="D66" s="69"/>
      <c r="E66" s="901"/>
      <c r="F66" s="901"/>
      <c r="G66" s="901" t="s">
        <v>929</v>
      </c>
      <c r="H66" s="901"/>
      <c r="I66" s="901"/>
      <c r="J66" s="901"/>
      <c r="K66" s="2069" t="s">
        <v>174</v>
      </c>
      <c r="L66" s="1219">
        <f>150/1000</f>
        <v>0.15</v>
      </c>
      <c r="M66" s="871">
        <v>15</v>
      </c>
      <c r="N66" s="129">
        <v>15</v>
      </c>
      <c r="O66" s="129">
        <v>15</v>
      </c>
      <c r="P66" s="129">
        <v>15</v>
      </c>
      <c r="Q66" s="57">
        <f t="shared" si="116"/>
        <v>60</v>
      </c>
      <c r="R66" s="447">
        <f t="shared" si="123"/>
        <v>2.25</v>
      </c>
      <c r="S66" s="818">
        <f t="shared" si="124"/>
        <v>2.25</v>
      </c>
      <c r="T66" s="818">
        <f t="shared" si="124"/>
        <v>2.25</v>
      </c>
      <c r="U66" s="818">
        <f t="shared" si="124"/>
        <v>2.25</v>
      </c>
      <c r="V66" s="303">
        <f t="shared" si="125"/>
        <v>9</v>
      </c>
      <c r="W66" s="37"/>
      <c r="X66" s="746">
        <f>IFERROR(INDEX('Annex 2_Code'!I$8:I$33,MATCH('Annex 4_MoWRAM'!$BB66,'Annex 2_Code'!$G$8:$G$33,0)),"")</f>
        <v>0</v>
      </c>
      <c r="Y66" s="747">
        <f>IFERROR(INDEX('Annex 2_Code'!J$8:J$33,MATCH('Annex 4_MoWRAM'!$BB66,'Annex 2_Code'!$G$8:$G$33,0)),"")</f>
        <v>0</v>
      </c>
      <c r="Z66" s="747">
        <f>IFERROR(INDEX('Annex 2_Code'!K$8:K$33,MATCH('Annex 4_MoWRAM'!$BB66,'Annex 2_Code'!$G$8:$G$33,0)),"")</f>
        <v>0</v>
      </c>
      <c r="AA66" s="747">
        <f>IFERROR(INDEX('Annex 2_Code'!L$8:L$33,MATCH('Annex 4_MoWRAM'!$BB66,'Annex 2_Code'!$G$8:$G$33,0)),"")</f>
        <v>1</v>
      </c>
      <c r="AB66" s="748">
        <f>IFERROR(INDEX('Annex 2_Code'!M$8:M$33,MATCH('Annex 4_MoWRAM'!$BB66,'Annex 2_Code'!$G$8:$G$33,0)),"")</f>
        <v>0</v>
      </c>
      <c r="AC66" s="36"/>
      <c r="AD66" s="447">
        <f t="shared" si="126"/>
        <v>0</v>
      </c>
      <c r="AE66" s="818">
        <f t="shared" si="126"/>
        <v>0</v>
      </c>
      <c r="AF66" s="818">
        <f t="shared" si="126"/>
        <v>0</v>
      </c>
      <c r="AG66" s="818">
        <f t="shared" si="126"/>
        <v>9</v>
      </c>
      <c r="AH66" s="449">
        <f t="shared" si="126"/>
        <v>0</v>
      </c>
      <c r="AI66" s="448">
        <f t="shared" si="118"/>
        <v>0</v>
      </c>
      <c r="AJ66" s="805">
        <f t="shared" si="118"/>
        <v>0</v>
      </c>
      <c r="AK66" s="805">
        <f t="shared" si="118"/>
        <v>0</v>
      </c>
      <c r="AL66" s="161">
        <f t="shared" si="118"/>
        <v>0</v>
      </c>
      <c r="AM66" s="448">
        <f t="shared" si="119"/>
        <v>0</v>
      </c>
      <c r="AN66" s="805">
        <f t="shared" si="119"/>
        <v>0</v>
      </c>
      <c r="AO66" s="805">
        <f t="shared" si="119"/>
        <v>0</v>
      </c>
      <c r="AP66" s="161">
        <f t="shared" si="119"/>
        <v>0</v>
      </c>
      <c r="AQ66" s="448">
        <f t="shared" si="120"/>
        <v>0</v>
      </c>
      <c r="AR66" s="805">
        <f t="shared" si="120"/>
        <v>0</v>
      </c>
      <c r="AS66" s="805">
        <f t="shared" si="120"/>
        <v>0</v>
      </c>
      <c r="AT66" s="161">
        <f t="shared" si="120"/>
        <v>0</v>
      </c>
      <c r="AU66" s="894">
        <f t="shared" si="127"/>
        <v>2.25</v>
      </c>
      <c r="AV66" s="905">
        <f t="shared" si="128"/>
        <v>2.25</v>
      </c>
      <c r="AW66" s="905">
        <f t="shared" si="129"/>
        <v>2.25</v>
      </c>
      <c r="AX66" s="959">
        <f t="shared" si="130"/>
        <v>2.25</v>
      </c>
      <c r="AY66" s="455">
        <f t="shared" si="121"/>
        <v>9</v>
      </c>
      <c r="AZ66" s="2125" t="str">
        <f t="shared" si="122"/>
        <v>Correct</v>
      </c>
      <c r="BA66" s="870" t="s">
        <v>563</v>
      </c>
      <c r="BB66" s="568" t="s">
        <v>414</v>
      </c>
      <c r="BC66" s="568" t="str">
        <f>IFERROR(INDEX('Annex 2_Code'!$J$110:$J$127,MATCH('Annex 4_MoWRAM'!BA66,'Annex 2_Code'!$G$110:$G$127,0)),"")</f>
        <v>MOWRAM</v>
      </c>
      <c r="BD66" s="600" t="str">
        <f t="shared" si="115"/>
        <v>MOWRAM</v>
      </c>
    </row>
    <row r="67" spans="1:56" s="64" customFormat="1" ht="16.350000000000001" customHeight="1">
      <c r="A67" s="2160" t="str">
        <f t="shared" si="131"/>
        <v>Govt</v>
      </c>
      <c r="B67" s="2160" t="str">
        <f t="shared" si="131"/>
        <v>Govt</v>
      </c>
      <c r="C67" s="752" t="s">
        <v>58</v>
      </c>
      <c r="D67" s="69"/>
      <c r="E67" s="901"/>
      <c r="F67" s="874"/>
      <c r="G67" s="1220" t="s">
        <v>930</v>
      </c>
      <c r="H67" s="1221"/>
      <c r="I67" s="901"/>
      <c r="J67" s="901"/>
      <c r="K67" s="2069" t="s">
        <v>174</v>
      </c>
      <c r="L67" s="1219">
        <f>115/1000</f>
        <v>0.115</v>
      </c>
      <c r="M67" s="871">
        <v>12</v>
      </c>
      <c r="N67" s="129">
        <v>12</v>
      </c>
      <c r="O67" s="129">
        <v>12</v>
      </c>
      <c r="P67" s="129">
        <v>12</v>
      </c>
      <c r="Q67" s="57">
        <f>SUM(M67:P67)</f>
        <v>48</v>
      </c>
      <c r="R67" s="447">
        <f t="shared" si="123"/>
        <v>1.3800000000000001</v>
      </c>
      <c r="S67" s="818">
        <f t="shared" si="124"/>
        <v>1.3800000000000001</v>
      </c>
      <c r="T67" s="818">
        <f t="shared" si="124"/>
        <v>1.3800000000000001</v>
      </c>
      <c r="U67" s="818">
        <f t="shared" si="124"/>
        <v>1.3800000000000001</v>
      </c>
      <c r="V67" s="303">
        <f>SUM(R67:U67)</f>
        <v>5.5200000000000005</v>
      </c>
      <c r="W67" s="37"/>
      <c r="X67" s="746">
        <f>IFERROR(INDEX('Annex 2_Code'!I$8:I$33,MATCH('Annex 4_MoWRAM'!$BB67,'Annex 2_Code'!$G$8:$G$33,0)),"")</f>
        <v>0</v>
      </c>
      <c r="Y67" s="747">
        <f>IFERROR(INDEX('Annex 2_Code'!J$8:J$33,MATCH('Annex 4_MoWRAM'!$BB67,'Annex 2_Code'!$G$8:$G$33,0)),"")</f>
        <v>0</v>
      </c>
      <c r="Z67" s="747">
        <f>IFERROR(INDEX('Annex 2_Code'!K$8:K$33,MATCH('Annex 4_MoWRAM'!$BB67,'Annex 2_Code'!$G$8:$G$33,0)),"")</f>
        <v>0</v>
      </c>
      <c r="AA67" s="747">
        <f>IFERROR(INDEX('Annex 2_Code'!L$8:L$33,MATCH('Annex 4_MoWRAM'!$BB67,'Annex 2_Code'!$G$8:$G$33,0)),"")</f>
        <v>1</v>
      </c>
      <c r="AB67" s="748">
        <f>IFERROR(INDEX('Annex 2_Code'!M$8:M$33,MATCH('Annex 4_MoWRAM'!$BB67,'Annex 2_Code'!$G$8:$G$33,0)),"")</f>
        <v>0</v>
      </c>
      <c r="AC67" s="36"/>
      <c r="AD67" s="447">
        <f t="shared" si="126"/>
        <v>0</v>
      </c>
      <c r="AE67" s="818">
        <f t="shared" si="126"/>
        <v>0</v>
      </c>
      <c r="AF67" s="818">
        <f t="shared" si="126"/>
        <v>0</v>
      </c>
      <c r="AG67" s="818">
        <f t="shared" si="126"/>
        <v>5.5200000000000005</v>
      </c>
      <c r="AH67" s="449">
        <f t="shared" si="126"/>
        <v>0</v>
      </c>
      <c r="AI67" s="448">
        <f t="shared" si="118"/>
        <v>0</v>
      </c>
      <c r="AJ67" s="805">
        <f t="shared" si="118"/>
        <v>0</v>
      </c>
      <c r="AK67" s="805">
        <f t="shared" si="118"/>
        <v>0</v>
      </c>
      <c r="AL67" s="161">
        <f t="shared" si="118"/>
        <v>0</v>
      </c>
      <c r="AM67" s="448">
        <f t="shared" si="119"/>
        <v>0</v>
      </c>
      <c r="AN67" s="805">
        <f t="shared" si="119"/>
        <v>0</v>
      </c>
      <c r="AO67" s="805">
        <f t="shared" si="119"/>
        <v>0</v>
      </c>
      <c r="AP67" s="161">
        <f t="shared" si="119"/>
        <v>0</v>
      </c>
      <c r="AQ67" s="448">
        <f t="shared" si="120"/>
        <v>0</v>
      </c>
      <c r="AR67" s="805">
        <f t="shared" si="120"/>
        <v>0</v>
      </c>
      <c r="AS67" s="805">
        <f t="shared" si="120"/>
        <v>0</v>
      </c>
      <c r="AT67" s="161">
        <f t="shared" si="120"/>
        <v>0</v>
      </c>
      <c r="AU67" s="894">
        <f t="shared" si="127"/>
        <v>1.3800000000000001</v>
      </c>
      <c r="AV67" s="905">
        <f t="shared" si="128"/>
        <v>1.3800000000000001</v>
      </c>
      <c r="AW67" s="905">
        <f t="shared" si="129"/>
        <v>1.3800000000000001</v>
      </c>
      <c r="AX67" s="959">
        <f t="shared" si="130"/>
        <v>1.3800000000000001</v>
      </c>
      <c r="AY67" s="455">
        <f>SUM(AD67:AH67)</f>
        <v>5.5200000000000005</v>
      </c>
      <c r="AZ67" s="2125" t="str">
        <f t="shared" si="122"/>
        <v>Correct</v>
      </c>
      <c r="BA67" s="870" t="s">
        <v>563</v>
      </c>
      <c r="BB67" s="568" t="s">
        <v>414</v>
      </c>
      <c r="BC67" s="568" t="str">
        <f>IFERROR(INDEX('Annex 2_Code'!$J$110:$J$127,MATCH('Annex 4_MoWRAM'!BA67,'Annex 2_Code'!$G$110:$G$127,0)),"")</f>
        <v>MOWRAM</v>
      </c>
      <c r="BD67" s="600" t="str">
        <f t="shared" si="115"/>
        <v>MOWRAM</v>
      </c>
    </row>
    <row r="68" spans="1:56" s="64" customFormat="1" ht="16.350000000000001" customHeight="1">
      <c r="A68" s="2160" t="str">
        <f t="shared" si="131"/>
        <v>Govt</v>
      </c>
      <c r="B68" s="2160" t="str">
        <f t="shared" si="131"/>
        <v>Govt</v>
      </c>
      <c r="C68" s="752" t="s">
        <v>58</v>
      </c>
      <c r="D68" s="69"/>
      <c r="E68" s="901"/>
      <c r="F68" s="874"/>
      <c r="G68" s="1220" t="s">
        <v>335</v>
      </c>
      <c r="H68" s="1221"/>
      <c r="I68" s="901"/>
      <c r="J68" s="901"/>
      <c r="K68" s="2069" t="s">
        <v>174</v>
      </c>
      <c r="L68" s="1219">
        <f>100/1000</f>
        <v>0.1</v>
      </c>
      <c r="M68" s="871">
        <v>12</v>
      </c>
      <c r="N68" s="129">
        <v>12</v>
      </c>
      <c r="O68" s="129">
        <v>12</v>
      </c>
      <c r="P68" s="129">
        <v>12</v>
      </c>
      <c r="Q68" s="57">
        <f>SUM(M68:P68)</f>
        <v>48</v>
      </c>
      <c r="R68" s="447">
        <f t="shared" si="123"/>
        <v>1.2000000000000002</v>
      </c>
      <c r="S68" s="818">
        <f t="shared" si="124"/>
        <v>1.2000000000000002</v>
      </c>
      <c r="T68" s="818">
        <f t="shared" si="124"/>
        <v>1.2000000000000002</v>
      </c>
      <c r="U68" s="818">
        <f t="shared" si="124"/>
        <v>1.2000000000000002</v>
      </c>
      <c r="V68" s="303">
        <f>SUM(R68:U68)</f>
        <v>4.8000000000000007</v>
      </c>
      <c r="W68" s="37"/>
      <c r="X68" s="746">
        <f>IFERROR(INDEX('Annex 2_Code'!I$8:I$33,MATCH('Annex 4_MoWRAM'!$BB68,'Annex 2_Code'!$G$8:$G$33,0)),"")</f>
        <v>0</v>
      </c>
      <c r="Y68" s="747">
        <f>IFERROR(INDEX('Annex 2_Code'!J$8:J$33,MATCH('Annex 4_MoWRAM'!$BB68,'Annex 2_Code'!$G$8:$G$33,0)),"")</f>
        <v>0</v>
      </c>
      <c r="Z68" s="747">
        <f>IFERROR(INDEX('Annex 2_Code'!K$8:K$33,MATCH('Annex 4_MoWRAM'!$BB68,'Annex 2_Code'!$G$8:$G$33,0)),"")</f>
        <v>0</v>
      </c>
      <c r="AA68" s="747">
        <f>IFERROR(INDEX('Annex 2_Code'!L$8:L$33,MATCH('Annex 4_MoWRAM'!$BB68,'Annex 2_Code'!$G$8:$G$33,0)),"")</f>
        <v>1</v>
      </c>
      <c r="AB68" s="748">
        <f>IFERROR(INDEX('Annex 2_Code'!M$8:M$33,MATCH('Annex 4_MoWRAM'!$BB68,'Annex 2_Code'!$G$8:$G$33,0)),"")</f>
        <v>0</v>
      </c>
      <c r="AC68" s="36"/>
      <c r="AD68" s="447">
        <f>$V68*X68</f>
        <v>0</v>
      </c>
      <c r="AE68" s="818">
        <f t="shared" si="126"/>
        <v>0</v>
      </c>
      <c r="AF68" s="818">
        <f t="shared" si="126"/>
        <v>0</v>
      </c>
      <c r="AG68" s="818">
        <f t="shared" si="126"/>
        <v>4.8000000000000007</v>
      </c>
      <c r="AH68" s="449">
        <f>$V68*AB68</f>
        <v>0</v>
      </c>
      <c r="AI68" s="448">
        <f t="shared" si="118"/>
        <v>0</v>
      </c>
      <c r="AJ68" s="805">
        <f t="shared" si="118"/>
        <v>0</v>
      </c>
      <c r="AK68" s="805">
        <f t="shared" si="118"/>
        <v>0</v>
      </c>
      <c r="AL68" s="161">
        <f t="shared" si="118"/>
        <v>0</v>
      </c>
      <c r="AM68" s="448">
        <f t="shared" si="119"/>
        <v>0</v>
      </c>
      <c r="AN68" s="805">
        <f t="shared" si="119"/>
        <v>0</v>
      </c>
      <c r="AO68" s="805">
        <f t="shared" si="119"/>
        <v>0</v>
      </c>
      <c r="AP68" s="161">
        <f t="shared" si="119"/>
        <v>0</v>
      </c>
      <c r="AQ68" s="448">
        <f t="shared" si="120"/>
        <v>0</v>
      </c>
      <c r="AR68" s="805">
        <f t="shared" si="120"/>
        <v>0</v>
      </c>
      <c r="AS68" s="805">
        <f t="shared" si="120"/>
        <v>0</v>
      </c>
      <c r="AT68" s="161">
        <f t="shared" si="120"/>
        <v>0</v>
      </c>
      <c r="AU68" s="894">
        <f t="shared" si="127"/>
        <v>1.2000000000000002</v>
      </c>
      <c r="AV68" s="905">
        <f t="shared" si="128"/>
        <v>1.2000000000000002</v>
      </c>
      <c r="AW68" s="905">
        <f t="shared" si="129"/>
        <v>1.2000000000000002</v>
      </c>
      <c r="AX68" s="959">
        <f t="shared" si="130"/>
        <v>1.2000000000000002</v>
      </c>
      <c r="AY68" s="455">
        <f>SUM(AD68:AH68)</f>
        <v>4.8000000000000007</v>
      </c>
      <c r="AZ68" s="2125" t="str">
        <f t="shared" si="122"/>
        <v>Correct</v>
      </c>
      <c r="BA68" s="870" t="s">
        <v>563</v>
      </c>
      <c r="BB68" s="568" t="s">
        <v>414</v>
      </c>
      <c r="BC68" s="568" t="str">
        <f>IFERROR(INDEX('Annex 2_Code'!$J$110:$J$127,MATCH('Annex 4_MoWRAM'!BA68,'Annex 2_Code'!$G$110:$G$127,0)),"")</f>
        <v>MOWRAM</v>
      </c>
      <c r="BD68" s="600" t="str">
        <f t="shared" si="115"/>
        <v>MOWRAM</v>
      </c>
    </row>
    <row r="69" spans="1:56" s="64" customFormat="1" ht="16.350000000000001" customHeight="1">
      <c r="A69" s="2160" t="str">
        <f t="shared" si="131"/>
        <v>Govt</v>
      </c>
      <c r="B69" s="2160" t="str">
        <f t="shared" si="131"/>
        <v>Govt</v>
      </c>
      <c r="C69" s="752" t="s">
        <v>58</v>
      </c>
      <c r="D69" s="69"/>
      <c r="E69" s="901"/>
      <c r="F69" s="874"/>
      <c r="G69" s="1220" t="s">
        <v>336</v>
      </c>
      <c r="H69" s="1221"/>
      <c r="I69" s="901"/>
      <c r="J69" s="901"/>
      <c r="K69" s="2069" t="s">
        <v>174</v>
      </c>
      <c r="L69" s="1219">
        <f>100/1000</f>
        <v>0.1</v>
      </c>
      <c r="M69" s="871">
        <v>12</v>
      </c>
      <c r="N69" s="129">
        <v>12</v>
      </c>
      <c r="O69" s="129">
        <v>12</v>
      </c>
      <c r="P69" s="129">
        <v>12</v>
      </c>
      <c r="Q69" s="57">
        <f>SUM(M69:P69)</f>
        <v>48</v>
      </c>
      <c r="R69" s="447">
        <f t="shared" si="123"/>
        <v>1.2000000000000002</v>
      </c>
      <c r="S69" s="818">
        <f t="shared" si="124"/>
        <v>1.2000000000000002</v>
      </c>
      <c r="T69" s="818">
        <f t="shared" si="124"/>
        <v>1.2000000000000002</v>
      </c>
      <c r="U69" s="818">
        <f t="shared" si="124"/>
        <v>1.2000000000000002</v>
      </c>
      <c r="V69" s="303">
        <f>SUM(R69:U69)</f>
        <v>4.8000000000000007</v>
      </c>
      <c r="W69" s="37"/>
      <c r="X69" s="746">
        <f>IFERROR(INDEX('Annex 2_Code'!I$8:I$33,MATCH('Annex 4_MoWRAM'!$BB69,'Annex 2_Code'!$G$8:$G$33,0)),"")</f>
        <v>0</v>
      </c>
      <c r="Y69" s="747">
        <f>IFERROR(INDEX('Annex 2_Code'!J$8:J$33,MATCH('Annex 4_MoWRAM'!$BB69,'Annex 2_Code'!$G$8:$G$33,0)),"")</f>
        <v>0</v>
      </c>
      <c r="Z69" s="747">
        <f>IFERROR(INDEX('Annex 2_Code'!K$8:K$33,MATCH('Annex 4_MoWRAM'!$BB69,'Annex 2_Code'!$G$8:$G$33,0)),"")</f>
        <v>0</v>
      </c>
      <c r="AA69" s="747">
        <f>IFERROR(INDEX('Annex 2_Code'!L$8:L$33,MATCH('Annex 4_MoWRAM'!$BB69,'Annex 2_Code'!$G$8:$G$33,0)),"")</f>
        <v>1</v>
      </c>
      <c r="AB69" s="748">
        <f>IFERROR(INDEX('Annex 2_Code'!M$8:M$33,MATCH('Annex 4_MoWRAM'!$BB69,'Annex 2_Code'!$G$8:$G$33,0)),"")</f>
        <v>0</v>
      </c>
      <c r="AC69" s="36"/>
      <c r="AD69" s="447">
        <f t="shared" si="126"/>
        <v>0</v>
      </c>
      <c r="AE69" s="818">
        <f t="shared" si="126"/>
        <v>0</v>
      </c>
      <c r="AF69" s="818">
        <f t="shared" si="126"/>
        <v>0</v>
      </c>
      <c r="AG69" s="818">
        <f t="shared" si="126"/>
        <v>4.8000000000000007</v>
      </c>
      <c r="AH69" s="449">
        <f t="shared" si="126"/>
        <v>0</v>
      </c>
      <c r="AI69" s="448">
        <f t="shared" si="118"/>
        <v>0</v>
      </c>
      <c r="AJ69" s="805">
        <f t="shared" si="118"/>
        <v>0</v>
      </c>
      <c r="AK69" s="805">
        <f t="shared" si="118"/>
        <v>0</v>
      </c>
      <c r="AL69" s="161">
        <f t="shared" si="118"/>
        <v>0</v>
      </c>
      <c r="AM69" s="448">
        <f t="shared" si="119"/>
        <v>0</v>
      </c>
      <c r="AN69" s="805">
        <f t="shared" si="119"/>
        <v>0</v>
      </c>
      <c r="AO69" s="805">
        <f t="shared" si="119"/>
        <v>0</v>
      </c>
      <c r="AP69" s="161">
        <f t="shared" si="119"/>
        <v>0</v>
      </c>
      <c r="AQ69" s="448">
        <f t="shared" si="120"/>
        <v>0</v>
      </c>
      <c r="AR69" s="805">
        <f t="shared" si="120"/>
        <v>0</v>
      </c>
      <c r="AS69" s="805">
        <f t="shared" si="120"/>
        <v>0</v>
      </c>
      <c r="AT69" s="161">
        <f t="shared" si="120"/>
        <v>0</v>
      </c>
      <c r="AU69" s="894">
        <f t="shared" si="127"/>
        <v>1.2000000000000002</v>
      </c>
      <c r="AV69" s="905">
        <f t="shared" si="128"/>
        <v>1.2000000000000002</v>
      </c>
      <c r="AW69" s="905">
        <f t="shared" si="129"/>
        <v>1.2000000000000002</v>
      </c>
      <c r="AX69" s="959">
        <f t="shared" si="130"/>
        <v>1.2000000000000002</v>
      </c>
      <c r="AY69" s="455">
        <f>SUM(AD69:AH69)</f>
        <v>4.8000000000000007</v>
      </c>
      <c r="AZ69" s="2125" t="str">
        <f t="shared" si="122"/>
        <v>Correct</v>
      </c>
      <c r="BA69" s="870" t="s">
        <v>563</v>
      </c>
      <c r="BB69" s="568" t="s">
        <v>414</v>
      </c>
      <c r="BC69" s="568" t="str">
        <f>IFERROR(INDEX('Annex 2_Code'!$J$110:$J$127,MATCH('Annex 4_MoWRAM'!BA69,'Annex 2_Code'!$G$110:$G$127,0)),"")</f>
        <v>MOWRAM</v>
      </c>
      <c r="BD69" s="600" t="str">
        <f t="shared" ref="BD69" si="133">IF(ISNUMBER(FIND("-",BC69,1))=FALSE,LEFT(BC69,LEN(BC69)),LEFT(BC69,(FIND("-",BC69,1))-1))</f>
        <v>MOWRAM</v>
      </c>
    </row>
    <row r="70" spans="1:56" s="355" customFormat="1" ht="15.95" customHeight="1">
      <c r="A70" s="2163" t="str">
        <f t="shared" ref="A70:B86" si="134">IF(ISNUMBER(FIND("-",B70,1))=FALSE,LEFT(B70,LEN(B70)),LEFT(B70,(FIND("-",B70,1))-1))</f>
        <v/>
      </c>
      <c r="B70" s="2163" t="str">
        <f t="shared" si="134"/>
        <v/>
      </c>
      <c r="C70" s="757"/>
      <c r="D70" s="347"/>
      <c r="E70" s="347"/>
      <c r="F70" s="347" t="s">
        <v>41</v>
      </c>
      <c r="G70" s="347"/>
      <c r="H70" s="347"/>
      <c r="I70" s="347"/>
      <c r="J70" s="347"/>
      <c r="K70" s="2070"/>
      <c r="L70" s="2071"/>
      <c r="M70" s="353"/>
      <c r="N70" s="351"/>
      <c r="O70" s="351"/>
      <c r="P70" s="351"/>
      <c r="Q70" s="872"/>
      <c r="R70" s="451">
        <f>SUM(R60:R69)</f>
        <v>12.059999999999999</v>
      </c>
      <c r="S70" s="875">
        <f>SUM(S60:S69)</f>
        <v>12.059999999999999</v>
      </c>
      <c r="T70" s="875">
        <f>SUM(T60:T69)</f>
        <v>12.059999999999999</v>
      </c>
      <c r="U70" s="875">
        <f>SUM(U60:U69)</f>
        <v>12.059999999999999</v>
      </c>
      <c r="V70" s="356">
        <f>SUM(V60:V69,0)</f>
        <v>48.239999999999995</v>
      </c>
      <c r="W70" s="352"/>
      <c r="X70" s="746" t="str">
        <f>IFERROR(INDEX('Annex 2_Code'!I$8:I$33,MATCH('Annex 4_MoWRAM'!$BB70,'Annex 2_Code'!$G$8:$G$33,0)),"")</f>
        <v/>
      </c>
      <c r="Y70" s="747" t="str">
        <f>IFERROR(INDEX('Annex 2_Code'!J$8:J$33,MATCH('Annex 4_MoWRAM'!$BB70,'Annex 2_Code'!$G$8:$G$33,0)),"")</f>
        <v/>
      </c>
      <c r="Z70" s="747" t="str">
        <f>IFERROR(INDEX('Annex 2_Code'!K$8:K$33,MATCH('Annex 4_MoWRAM'!$BB70,'Annex 2_Code'!$G$8:$G$33,0)),"")</f>
        <v/>
      </c>
      <c r="AA70" s="747" t="str">
        <f>IFERROR(INDEX('Annex 2_Code'!L$8:L$33,MATCH('Annex 4_MoWRAM'!$BB70,'Annex 2_Code'!$G$8:$G$33,0)),"")</f>
        <v/>
      </c>
      <c r="AB70" s="748" t="str">
        <f>IFERROR(INDEX('Annex 2_Code'!M$8:M$33,MATCH('Annex 4_MoWRAM'!$BB70,'Annex 2_Code'!$G$8:$G$33,0)),"")</f>
        <v/>
      </c>
      <c r="AC70" s="351"/>
      <c r="AD70" s="458">
        <f t="shared" ref="AD70:AI70" si="135">SUM(AD60:AD69,0)</f>
        <v>0</v>
      </c>
      <c r="AE70" s="450">
        <f t="shared" si="135"/>
        <v>0</v>
      </c>
      <c r="AF70" s="450">
        <f t="shared" si="135"/>
        <v>0</v>
      </c>
      <c r="AG70" s="450">
        <f t="shared" si="135"/>
        <v>48.239999999999995</v>
      </c>
      <c r="AH70" s="459">
        <f t="shared" si="135"/>
        <v>0</v>
      </c>
      <c r="AI70" s="450">
        <f t="shared" si="135"/>
        <v>0</v>
      </c>
      <c r="AJ70" s="450">
        <f t="shared" ref="AJ70:AX70" si="136">SUM(AJ60:AJ69,0)</f>
        <v>0</v>
      </c>
      <c r="AK70" s="450">
        <f t="shared" si="136"/>
        <v>0</v>
      </c>
      <c r="AL70" s="459">
        <f t="shared" si="136"/>
        <v>0</v>
      </c>
      <c r="AM70" s="450">
        <f t="shared" si="136"/>
        <v>0</v>
      </c>
      <c r="AN70" s="450">
        <f t="shared" si="136"/>
        <v>0</v>
      </c>
      <c r="AO70" s="450">
        <f t="shared" si="136"/>
        <v>0</v>
      </c>
      <c r="AP70" s="450">
        <f t="shared" si="136"/>
        <v>0</v>
      </c>
      <c r="AQ70" s="458">
        <f t="shared" si="136"/>
        <v>0</v>
      </c>
      <c r="AR70" s="450">
        <f t="shared" si="136"/>
        <v>0</v>
      </c>
      <c r="AS70" s="450">
        <f t="shared" si="136"/>
        <v>0</v>
      </c>
      <c r="AT70" s="904">
        <f t="shared" si="136"/>
        <v>0</v>
      </c>
      <c r="AU70" s="458">
        <f t="shared" si="136"/>
        <v>12.059999999999999</v>
      </c>
      <c r="AV70" s="904">
        <f t="shared" si="136"/>
        <v>12.059999999999999</v>
      </c>
      <c r="AW70" s="904">
        <f t="shared" si="136"/>
        <v>12.059999999999999</v>
      </c>
      <c r="AX70" s="459">
        <f t="shared" si="136"/>
        <v>12.059999999999999</v>
      </c>
      <c r="AY70" s="454">
        <f t="shared" ref="AY70:AY72" si="137">SUM(AD70:AH70)</f>
        <v>48.239999999999995</v>
      </c>
      <c r="AZ70" s="2129" t="str">
        <f>IF(V70=AY70,"Correct","Incorrect")</f>
        <v>Correct</v>
      </c>
      <c r="BA70" s="870"/>
      <c r="BB70" s="568"/>
      <c r="BC70" s="568" t="str">
        <f>IFERROR(INDEX('Annex 2_Code'!$J$110:$J$127,MATCH('Annex 4_MoWRAM'!BA70,'Annex 2_Code'!$G$110:$G$127,0)),"")</f>
        <v/>
      </c>
      <c r="BD70" s="600" t="str">
        <f t="shared" si="115"/>
        <v/>
      </c>
    </row>
    <row r="71" spans="1:56" s="64" customFormat="1" ht="15.95" customHeight="1">
      <c r="A71" s="2160" t="str">
        <f t="shared" si="134"/>
        <v/>
      </c>
      <c r="B71" s="2160" t="str">
        <f t="shared" si="134"/>
        <v/>
      </c>
      <c r="C71" s="752"/>
      <c r="D71" s="66"/>
      <c r="E71" s="67" t="s">
        <v>125</v>
      </c>
      <c r="F71" s="66"/>
      <c r="G71" s="66"/>
      <c r="H71" s="66"/>
      <c r="I71" s="66"/>
      <c r="J71" s="66"/>
      <c r="K71" s="2072"/>
      <c r="L71" s="2073"/>
      <c r="M71" s="346"/>
      <c r="N71" s="57"/>
      <c r="O71" s="57"/>
      <c r="P71" s="57"/>
      <c r="Q71" s="865"/>
      <c r="R71" s="68"/>
      <c r="S71" s="863"/>
      <c r="T71" s="863"/>
      <c r="U71" s="863"/>
      <c r="V71" s="65"/>
      <c r="W71" s="37"/>
      <c r="X71" s="746" t="str">
        <f>IFERROR(INDEX('Annex 2_Code'!I$8:I$33,MATCH('Annex 4_MoWRAM'!$BB71,'Annex 2_Code'!$G$8:$G$33,0)),"")</f>
        <v/>
      </c>
      <c r="Y71" s="747" t="str">
        <f>IFERROR(INDEX('Annex 2_Code'!J$8:J$33,MATCH('Annex 4_MoWRAM'!$BB71,'Annex 2_Code'!$G$8:$G$33,0)),"")</f>
        <v/>
      </c>
      <c r="Z71" s="747" t="str">
        <f>IFERROR(INDEX('Annex 2_Code'!K$8:K$33,MATCH('Annex 4_MoWRAM'!$BB71,'Annex 2_Code'!$G$8:$G$33,0)),"")</f>
        <v/>
      </c>
      <c r="AA71" s="747" t="str">
        <f>IFERROR(INDEX('Annex 2_Code'!L$8:L$33,MATCH('Annex 4_MoWRAM'!$BB71,'Annex 2_Code'!$G$8:$G$33,0)),"")</f>
        <v/>
      </c>
      <c r="AB71" s="748" t="str">
        <f>IFERROR(INDEX('Annex 2_Code'!M$8:M$33,MATCH('Annex 4_MoWRAM'!$BB71,'Annex 2_Code'!$G$8:$G$33,0)),"")</f>
        <v/>
      </c>
      <c r="AC71" s="36"/>
      <c r="AD71" s="447"/>
      <c r="AE71" s="160"/>
      <c r="AF71" s="160"/>
      <c r="AG71" s="160"/>
      <c r="AH71" s="161"/>
      <c r="AI71" s="160"/>
      <c r="AJ71" s="160"/>
      <c r="AK71" s="160"/>
      <c r="AL71" s="161"/>
      <c r="AM71" s="160"/>
      <c r="AN71" s="160"/>
      <c r="AO71" s="160"/>
      <c r="AP71" s="160"/>
      <c r="AQ71" s="448"/>
      <c r="AR71" s="160"/>
      <c r="AS71" s="160"/>
      <c r="AT71" s="805"/>
      <c r="AU71" s="448"/>
      <c r="AV71" s="805"/>
      <c r="AW71" s="805"/>
      <c r="AX71" s="161"/>
      <c r="AY71" s="271">
        <f t="shared" si="137"/>
        <v>0</v>
      </c>
      <c r="AZ71" s="2234" t="str">
        <f t="shared" ref="AZ71:AZ77" si="138">IF(V71=AY71,"Correct","Incorrect")</f>
        <v>Correct</v>
      </c>
      <c r="BA71" s="870"/>
      <c r="BB71" s="568"/>
      <c r="BC71" s="568" t="str">
        <f>IFERROR(INDEX('Annex 2_Code'!$J$110:$J$127,MATCH('Annex 4_MoWRAM'!BA71,'Annex 2_Code'!$G$110:$G$127,0)),"")</f>
        <v/>
      </c>
      <c r="BD71" s="600" t="str">
        <f t="shared" si="115"/>
        <v/>
      </c>
    </row>
    <row r="72" spans="1:56" s="64" customFormat="1" ht="15.95" customHeight="1">
      <c r="A72" s="2160" t="str">
        <f t="shared" si="134"/>
        <v/>
      </c>
      <c r="B72" s="2160" t="str">
        <f t="shared" si="134"/>
        <v/>
      </c>
      <c r="C72" s="752"/>
      <c r="D72" s="66"/>
      <c r="E72" s="66"/>
      <c r="F72" s="67" t="s">
        <v>126</v>
      </c>
      <c r="G72" s="66"/>
      <c r="H72" s="66"/>
      <c r="I72" s="66"/>
      <c r="J72" s="66"/>
      <c r="K72" s="2072"/>
      <c r="L72" s="2074"/>
      <c r="M72" s="346"/>
      <c r="N72" s="57"/>
      <c r="O72" s="57"/>
      <c r="P72" s="57"/>
      <c r="Q72" s="865"/>
      <c r="R72" s="68"/>
      <c r="S72" s="863"/>
      <c r="T72" s="863"/>
      <c r="U72" s="863"/>
      <c r="V72" s="65"/>
      <c r="W72" s="37"/>
      <c r="X72" s="746" t="str">
        <f>IFERROR(INDEX('Annex 2_Code'!I$8:I$33,MATCH('Annex 4_MoWRAM'!$BB72,'Annex 2_Code'!$G$8:$G$33,0)),"")</f>
        <v/>
      </c>
      <c r="Y72" s="747" t="str">
        <f>IFERROR(INDEX('Annex 2_Code'!J$8:J$33,MATCH('Annex 4_MoWRAM'!$BB72,'Annex 2_Code'!$G$8:$G$33,0)),"")</f>
        <v/>
      </c>
      <c r="Z72" s="747" t="str">
        <f>IFERROR(INDEX('Annex 2_Code'!K$8:K$33,MATCH('Annex 4_MoWRAM'!$BB72,'Annex 2_Code'!$G$8:$G$33,0)),"")</f>
        <v/>
      </c>
      <c r="AA72" s="747" t="str">
        <f>IFERROR(INDEX('Annex 2_Code'!L$8:L$33,MATCH('Annex 4_MoWRAM'!$BB72,'Annex 2_Code'!$G$8:$G$33,0)),"")</f>
        <v/>
      </c>
      <c r="AB72" s="748" t="str">
        <f>IFERROR(INDEX('Annex 2_Code'!M$8:M$33,MATCH('Annex 4_MoWRAM'!$BB72,'Annex 2_Code'!$G$8:$G$33,0)),"")</f>
        <v/>
      </c>
      <c r="AC72" s="36"/>
      <c r="AD72" s="447"/>
      <c r="AE72" s="160"/>
      <c r="AF72" s="160"/>
      <c r="AG72" s="160"/>
      <c r="AH72" s="161"/>
      <c r="AI72" s="160"/>
      <c r="AJ72" s="160"/>
      <c r="AK72" s="160"/>
      <c r="AL72" s="161"/>
      <c r="AM72" s="160"/>
      <c r="AN72" s="160"/>
      <c r="AO72" s="160"/>
      <c r="AP72" s="160"/>
      <c r="AQ72" s="448"/>
      <c r="AR72" s="160"/>
      <c r="AS72" s="160"/>
      <c r="AT72" s="805"/>
      <c r="AU72" s="448"/>
      <c r="AV72" s="805"/>
      <c r="AW72" s="805"/>
      <c r="AX72" s="161"/>
      <c r="AY72" s="271">
        <f t="shared" si="137"/>
        <v>0</v>
      </c>
      <c r="AZ72" s="2234" t="str">
        <f t="shared" si="138"/>
        <v>Correct</v>
      </c>
      <c r="BA72" s="870"/>
      <c r="BB72" s="568"/>
      <c r="BC72" s="568" t="str">
        <f>IFERROR(INDEX('Annex 2_Code'!$J$110:$J$127,MATCH('Annex 4_MoWRAM'!BA72,'Annex 2_Code'!$G$110:$G$127,0)),"")</f>
        <v/>
      </c>
      <c r="BD72" s="600" t="str">
        <f t="shared" si="115"/>
        <v/>
      </c>
    </row>
    <row r="73" spans="1:56" s="64" customFormat="1" ht="16.350000000000001" customHeight="1">
      <c r="A73" s="2160" t="str">
        <f t="shared" si="134"/>
        <v>IOC</v>
      </c>
      <c r="B73" s="2160" t="str">
        <f t="shared" si="134"/>
        <v>IOC</v>
      </c>
      <c r="C73" s="752" t="s">
        <v>261</v>
      </c>
      <c r="D73" s="69"/>
      <c r="E73" s="901"/>
      <c r="F73" s="901"/>
      <c r="G73" s="901" t="s">
        <v>332</v>
      </c>
      <c r="H73" s="901"/>
      <c r="I73" s="901"/>
      <c r="J73" s="901"/>
      <c r="K73" s="2069" t="s">
        <v>174</v>
      </c>
      <c r="L73" s="1222">
        <v>1.2</v>
      </c>
      <c r="M73" s="57">
        <v>3</v>
      </c>
      <c r="N73" s="57">
        <v>3</v>
      </c>
      <c r="O73" s="57">
        <v>3</v>
      </c>
      <c r="P73" s="57">
        <v>3</v>
      </c>
      <c r="Q73" s="1223">
        <f>SUM(M73:P73)</f>
        <v>12</v>
      </c>
      <c r="R73" s="447">
        <f>$M73*$L73</f>
        <v>3.5999999999999996</v>
      </c>
      <c r="S73" s="818">
        <f>$N73*$L73</f>
        <v>3.5999999999999996</v>
      </c>
      <c r="T73" s="818">
        <f t="shared" ref="T73:U73" si="139">$N73*$L73</f>
        <v>3.5999999999999996</v>
      </c>
      <c r="U73" s="818">
        <f t="shared" si="139"/>
        <v>3.5999999999999996</v>
      </c>
      <c r="V73" s="303">
        <f>SUM(R73:U73)</f>
        <v>14.399999999999999</v>
      </c>
      <c r="W73" s="37"/>
      <c r="X73" s="746">
        <f>IFERROR(INDEX('Annex 2_Code'!I$8:I$33,MATCH('Annex 4_MoWRAM'!$BB73,'Annex 2_Code'!$G$8:$G$33,0)),"")</f>
        <v>1</v>
      </c>
      <c r="Y73" s="747">
        <f>IFERROR(INDEX('Annex 2_Code'!J$8:J$33,MATCH('Annex 4_MoWRAM'!$BB73,'Annex 2_Code'!$G$8:$G$33,0)),"")</f>
        <v>0</v>
      </c>
      <c r="Z73" s="747">
        <f>IFERROR(INDEX('Annex 2_Code'!K$8:K$33,MATCH('Annex 4_MoWRAM'!$BB73,'Annex 2_Code'!$G$8:$G$33,0)),"")</f>
        <v>0</v>
      </c>
      <c r="AA73" s="747">
        <f>IFERROR(INDEX('Annex 2_Code'!L$8:L$33,MATCH('Annex 4_MoWRAM'!$BB73,'Annex 2_Code'!$G$8:$G$33,0)),"")</f>
        <v>0</v>
      </c>
      <c r="AB73" s="748">
        <f>IFERROR(INDEX('Annex 2_Code'!M$8:M$33,MATCH('Annex 4_MoWRAM'!$BB73,'Annex 2_Code'!$G$8:$G$33,0)),"")</f>
        <v>0</v>
      </c>
      <c r="AC73" s="36"/>
      <c r="AD73" s="447">
        <f>$V73*X73</f>
        <v>14.399999999999999</v>
      </c>
      <c r="AE73" s="818">
        <f t="shared" ref="AD73:AH76" si="140">$V73*Y73</f>
        <v>0</v>
      </c>
      <c r="AF73" s="818">
        <f t="shared" si="140"/>
        <v>0</v>
      </c>
      <c r="AG73" s="818">
        <f t="shared" si="140"/>
        <v>0</v>
      </c>
      <c r="AH73" s="449">
        <f t="shared" si="140"/>
        <v>0</v>
      </c>
      <c r="AI73" s="448">
        <f t="shared" ref="AI73:AL76" si="141">R73*$X73</f>
        <v>3.5999999999999996</v>
      </c>
      <c r="AJ73" s="805">
        <f t="shared" si="141"/>
        <v>3.5999999999999996</v>
      </c>
      <c r="AK73" s="805">
        <f t="shared" si="141"/>
        <v>3.5999999999999996</v>
      </c>
      <c r="AL73" s="161">
        <f t="shared" si="141"/>
        <v>3.5999999999999996</v>
      </c>
      <c r="AM73" s="448">
        <f t="shared" ref="AM73:AP76" si="142">$Y73*R73</f>
        <v>0</v>
      </c>
      <c r="AN73" s="805">
        <f t="shared" si="142"/>
        <v>0</v>
      </c>
      <c r="AO73" s="805">
        <f t="shared" si="142"/>
        <v>0</v>
      </c>
      <c r="AP73" s="161">
        <f t="shared" si="142"/>
        <v>0</v>
      </c>
      <c r="AQ73" s="448">
        <f t="shared" ref="AQ73:AT76" si="143">$Z73*R73</f>
        <v>0</v>
      </c>
      <c r="AR73" s="805">
        <f t="shared" si="143"/>
        <v>0</v>
      </c>
      <c r="AS73" s="805">
        <f t="shared" si="143"/>
        <v>0</v>
      </c>
      <c r="AT73" s="161">
        <f t="shared" si="143"/>
        <v>0</v>
      </c>
      <c r="AU73" s="894">
        <f>$AA73*R73</f>
        <v>0</v>
      </c>
      <c r="AV73" s="905">
        <f>$AA73*S73</f>
        <v>0</v>
      </c>
      <c r="AW73" s="905">
        <f>$AA73*T73</f>
        <v>0</v>
      </c>
      <c r="AX73" s="959">
        <f>$AA73*U73</f>
        <v>0</v>
      </c>
      <c r="AY73" s="455">
        <f t="shared" ref="AY73:AY76" si="144">SUM(AD73:AH73)</f>
        <v>14.399999999999999</v>
      </c>
      <c r="AZ73" s="2234" t="str">
        <f t="shared" si="138"/>
        <v>Correct</v>
      </c>
      <c r="BA73" s="870" t="s">
        <v>563</v>
      </c>
      <c r="BB73" s="568" t="s">
        <v>412</v>
      </c>
      <c r="BC73" s="568" t="str">
        <f>IFERROR(INDEX('Annex 2_Code'!$J$110:$J$127,MATCH('Annex 4_MoWRAM'!BA73,'Annex 2_Code'!$G$110:$G$127,0)),"")</f>
        <v>MOWRAM</v>
      </c>
      <c r="BD73" s="600" t="str">
        <f t="shared" ref="BD73:BD77" si="145">IF(ISNUMBER(FIND("-",BC73,1))=FALSE,LEFT(BC73,LEN(BC73)),LEFT(BC73,(FIND("-",BC73,1))-1))</f>
        <v>MOWRAM</v>
      </c>
    </row>
    <row r="74" spans="1:56" s="64" customFormat="1" ht="16.350000000000001" customHeight="1">
      <c r="A74" s="2160" t="str">
        <f t="shared" si="134"/>
        <v>IOC</v>
      </c>
      <c r="B74" s="2160" t="str">
        <f t="shared" si="134"/>
        <v>IOC</v>
      </c>
      <c r="C74" s="752" t="s">
        <v>261</v>
      </c>
      <c r="D74" s="69"/>
      <c r="E74" s="901"/>
      <c r="F74" s="901"/>
      <c r="G74" s="901" t="s">
        <v>331</v>
      </c>
      <c r="H74" s="901"/>
      <c r="I74" s="901"/>
      <c r="J74" s="901"/>
      <c r="K74" s="2069" t="s">
        <v>174</v>
      </c>
      <c r="L74" s="1222">
        <v>1.02</v>
      </c>
      <c r="M74" s="57">
        <v>3</v>
      </c>
      <c r="N74" s="57">
        <v>3</v>
      </c>
      <c r="O74" s="57">
        <v>3</v>
      </c>
      <c r="P74" s="57">
        <v>3</v>
      </c>
      <c r="Q74" s="1223">
        <f>SUM(M74:P74)</f>
        <v>12</v>
      </c>
      <c r="R74" s="447">
        <f t="shared" ref="R74:R77" si="146">$M74*$L74</f>
        <v>3.06</v>
      </c>
      <c r="S74" s="818">
        <f t="shared" ref="S74:U77" si="147">$N74*$L74</f>
        <v>3.06</v>
      </c>
      <c r="T74" s="818">
        <f t="shared" si="147"/>
        <v>3.06</v>
      </c>
      <c r="U74" s="818">
        <f t="shared" si="147"/>
        <v>3.06</v>
      </c>
      <c r="V74" s="303">
        <f>SUM(R74:U74)</f>
        <v>12.24</v>
      </c>
      <c r="W74" s="37"/>
      <c r="X74" s="746">
        <f>IFERROR(INDEX('Annex 2_Code'!I$8:I$33,MATCH('Annex 4_MoWRAM'!$BB74,'Annex 2_Code'!$G$8:$G$33,0)),"")</f>
        <v>1</v>
      </c>
      <c r="Y74" s="747">
        <f>IFERROR(INDEX('Annex 2_Code'!J$8:J$33,MATCH('Annex 4_MoWRAM'!$BB74,'Annex 2_Code'!$G$8:$G$33,0)),"")</f>
        <v>0</v>
      </c>
      <c r="Z74" s="747">
        <f>IFERROR(INDEX('Annex 2_Code'!K$8:K$33,MATCH('Annex 4_MoWRAM'!$BB74,'Annex 2_Code'!$G$8:$G$33,0)),"")</f>
        <v>0</v>
      </c>
      <c r="AA74" s="747">
        <f>IFERROR(INDEX('Annex 2_Code'!L$8:L$33,MATCH('Annex 4_MoWRAM'!$BB74,'Annex 2_Code'!$G$8:$G$33,0)),"")</f>
        <v>0</v>
      </c>
      <c r="AB74" s="748">
        <f>IFERROR(INDEX('Annex 2_Code'!M$8:M$33,MATCH('Annex 4_MoWRAM'!$BB74,'Annex 2_Code'!$G$8:$G$33,0)),"")</f>
        <v>0</v>
      </c>
      <c r="AC74" s="36"/>
      <c r="AD74" s="447">
        <f t="shared" si="140"/>
        <v>12.24</v>
      </c>
      <c r="AE74" s="818">
        <f t="shared" si="140"/>
        <v>0</v>
      </c>
      <c r="AF74" s="818">
        <f t="shared" si="140"/>
        <v>0</v>
      </c>
      <c r="AG74" s="818">
        <f t="shared" si="140"/>
        <v>0</v>
      </c>
      <c r="AH74" s="449">
        <f t="shared" si="140"/>
        <v>0</v>
      </c>
      <c r="AI74" s="448">
        <f t="shared" si="141"/>
        <v>3.06</v>
      </c>
      <c r="AJ74" s="805">
        <f t="shared" si="141"/>
        <v>3.06</v>
      </c>
      <c r="AK74" s="805">
        <f t="shared" si="141"/>
        <v>3.06</v>
      </c>
      <c r="AL74" s="161">
        <f t="shared" si="141"/>
        <v>3.06</v>
      </c>
      <c r="AM74" s="448">
        <f t="shared" si="142"/>
        <v>0</v>
      </c>
      <c r="AN74" s="805">
        <f t="shared" si="142"/>
        <v>0</v>
      </c>
      <c r="AO74" s="805">
        <f t="shared" si="142"/>
        <v>0</v>
      </c>
      <c r="AP74" s="161">
        <f t="shared" si="142"/>
        <v>0</v>
      </c>
      <c r="AQ74" s="448">
        <f t="shared" si="143"/>
        <v>0</v>
      </c>
      <c r="AR74" s="805">
        <f t="shared" si="143"/>
        <v>0</v>
      </c>
      <c r="AS74" s="805">
        <f t="shared" si="143"/>
        <v>0</v>
      </c>
      <c r="AT74" s="161">
        <f t="shared" si="143"/>
        <v>0</v>
      </c>
      <c r="AU74" s="894">
        <f t="shared" ref="AU74:AU77" si="148">$AA74*R74</f>
        <v>0</v>
      </c>
      <c r="AV74" s="905">
        <f t="shared" ref="AV74:AV77" si="149">$AA74*S74</f>
        <v>0</v>
      </c>
      <c r="AW74" s="905">
        <f t="shared" ref="AW74:AW77" si="150">$AA74*T74</f>
        <v>0</v>
      </c>
      <c r="AX74" s="959">
        <f t="shared" ref="AX74:AX77" si="151">$AA74*U74</f>
        <v>0</v>
      </c>
      <c r="AY74" s="455">
        <f t="shared" si="144"/>
        <v>12.24</v>
      </c>
      <c r="AZ74" s="2234" t="str">
        <f t="shared" si="138"/>
        <v>Correct</v>
      </c>
      <c r="BA74" s="870" t="s">
        <v>563</v>
      </c>
      <c r="BB74" s="568" t="s">
        <v>412</v>
      </c>
      <c r="BC74" s="568" t="str">
        <f>IFERROR(INDEX('Annex 2_Code'!$J$110:$J$127,MATCH('Annex 4_MoWRAM'!BA74,'Annex 2_Code'!$G$110:$G$127,0)),"")</f>
        <v>MOWRAM</v>
      </c>
      <c r="BD74" s="600" t="str">
        <f t="shared" si="145"/>
        <v>MOWRAM</v>
      </c>
    </row>
    <row r="75" spans="1:56" s="64" customFormat="1" ht="16.350000000000001" customHeight="1">
      <c r="A75" s="2160" t="str">
        <f t="shared" si="134"/>
        <v>IOC</v>
      </c>
      <c r="B75" s="2160" t="str">
        <f t="shared" si="134"/>
        <v>IOC</v>
      </c>
      <c r="C75" s="752" t="s">
        <v>261</v>
      </c>
      <c r="D75" s="69"/>
      <c r="E75" s="901"/>
      <c r="F75" s="901"/>
      <c r="G75" s="901" t="s">
        <v>196</v>
      </c>
      <c r="H75" s="901"/>
      <c r="I75" s="901"/>
      <c r="J75" s="901"/>
      <c r="K75" s="2069" t="s">
        <v>174</v>
      </c>
      <c r="L75" s="1222">
        <v>0.6</v>
      </c>
      <c r="M75" s="57">
        <v>3</v>
      </c>
      <c r="N75" s="57">
        <v>3</v>
      </c>
      <c r="O75" s="57">
        <v>3</v>
      </c>
      <c r="P75" s="57">
        <v>3</v>
      </c>
      <c r="Q75" s="1223">
        <f>SUM(M75:P75)</f>
        <v>12</v>
      </c>
      <c r="R75" s="447">
        <f t="shared" si="146"/>
        <v>1.7999999999999998</v>
      </c>
      <c r="S75" s="818">
        <f t="shared" si="147"/>
        <v>1.7999999999999998</v>
      </c>
      <c r="T75" s="818">
        <f t="shared" si="147"/>
        <v>1.7999999999999998</v>
      </c>
      <c r="U75" s="818">
        <f t="shared" si="147"/>
        <v>1.7999999999999998</v>
      </c>
      <c r="V75" s="303">
        <f>SUM(R75:U75)</f>
        <v>7.1999999999999993</v>
      </c>
      <c r="W75" s="37"/>
      <c r="X75" s="746">
        <f>IFERROR(INDEX('Annex 2_Code'!I$8:I$33,MATCH('Annex 4_MoWRAM'!$BB75,'Annex 2_Code'!$G$8:$G$33,0)),"")</f>
        <v>1</v>
      </c>
      <c r="Y75" s="747">
        <f>IFERROR(INDEX('Annex 2_Code'!J$8:J$33,MATCH('Annex 4_MoWRAM'!$BB75,'Annex 2_Code'!$G$8:$G$33,0)),"")</f>
        <v>0</v>
      </c>
      <c r="Z75" s="747">
        <f>IFERROR(INDEX('Annex 2_Code'!K$8:K$33,MATCH('Annex 4_MoWRAM'!$BB75,'Annex 2_Code'!$G$8:$G$33,0)),"")</f>
        <v>0</v>
      </c>
      <c r="AA75" s="747">
        <f>IFERROR(INDEX('Annex 2_Code'!L$8:L$33,MATCH('Annex 4_MoWRAM'!$BB75,'Annex 2_Code'!$G$8:$G$33,0)),"")</f>
        <v>0</v>
      </c>
      <c r="AB75" s="748">
        <f>IFERROR(INDEX('Annex 2_Code'!M$8:M$33,MATCH('Annex 4_MoWRAM'!$BB75,'Annex 2_Code'!$G$8:$G$33,0)),"")</f>
        <v>0</v>
      </c>
      <c r="AC75" s="36"/>
      <c r="AD75" s="447">
        <f t="shared" si="140"/>
        <v>7.1999999999999993</v>
      </c>
      <c r="AE75" s="818">
        <f t="shared" si="140"/>
        <v>0</v>
      </c>
      <c r="AF75" s="818">
        <f t="shared" si="140"/>
        <v>0</v>
      </c>
      <c r="AG75" s="818">
        <f t="shared" si="140"/>
        <v>0</v>
      </c>
      <c r="AH75" s="449">
        <f t="shared" si="140"/>
        <v>0</v>
      </c>
      <c r="AI75" s="448">
        <f t="shared" si="141"/>
        <v>1.7999999999999998</v>
      </c>
      <c r="AJ75" s="805">
        <f t="shared" si="141"/>
        <v>1.7999999999999998</v>
      </c>
      <c r="AK75" s="805">
        <f t="shared" si="141"/>
        <v>1.7999999999999998</v>
      </c>
      <c r="AL75" s="161">
        <f t="shared" si="141"/>
        <v>1.7999999999999998</v>
      </c>
      <c r="AM75" s="448">
        <f t="shared" si="142"/>
        <v>0</v>
      </c>
      <c r="AN75" s="805">
        <f t="shared" si="142"/>
        <v>0</v>
      </c>
      <c r="AO75" s="805">
        <f t="shared" si="142"/>
        <v>0</v>
      </c>
      <c r="AP75" s="161">
        <f t="shared" si="142"/>
        <v>0</v>
      </c>
      <c r="AQ75" s="448">
        <f t="shared" si="143"/>
        <v>0</v>
      </c>
      <c r="AR75" s="805">
        <f t="shared" si="143"/>
        <v>0</v>
      </c>
      <c r="AS75" s="805">
        <f t="shared" si="143"/>
        <v>0</v>
      </c>
      <c r="AT75" s="161">
        <f t="shared" si="143"/>
        <v>0</v>
      </c>
      <c r="AU75" s="894">
        <f t="shared" si="148"/>
        <v>0</v>
      </c>
      <c r="AV75" s="905">
        <f t="shared" si="149"/>
        <v>0</v>
      </c>
      <c r="AW75" s="905">
        <f t="shared" si="150"/>
        <v>0</v>
      </c>
      <c r="AX75" s="959">
        <f t="shared" si="151"/>
        <v>0</v>
      </c>
      <c r="AY75" s="455">
        <f t="shared" si="144"/>
        <v>7.1999999999999993</v>
      </c>
      <c r="AZ75" s="2234" t="str">
        <f t="shared" si="138"/>
        <v>Correct</v>
      </c>
      <c r="BA75" s="870" t="s">
        <v>563</v>
      </c>
      <c r="BB75" s="568" t="s">
        <v>412</v>
      </c>
      <c r="BC75" s="568" t="str">
        <f>IFERROR(INDEX('Annex 2_Code'!$J$110:$J$127,MATCH('Annex 4_MoWRAM'!BA75,'Annex 2_Code'!$G$110:$G$127,0)),"")</f>
        <v>MOWRAM</v>
      </c>
      <c r="BD75" s="600" t="str">
        <f t="shared" si="145"/>
        <v>MOWRAM</v>
      </c>
    </row>
    <row r="76" spans="1:56" s="64" customFormat="1" ht="16.350000000000001" customHeight="1">
      <c r="A76" s="2160" t="str">
        <f t="shared" si="134"/>
        <v>Govt</v>
      </c>
      <c r="B76" s="2160" t="str">
        <f t="shared" si="134"/>
        <v>Govt</v>
      </c>
      <c r="C76" s="752" t="s">
        <v>58</v>
      </c>
      <c r="D76" s="69"/>
      <c r="E76" s="901"/>
      <c r="F76" s="901"/>
      <c r="G76" s="901" t="s">
        <v>127</v>
      </c>
      <c r="H76" s="901"/>
      <c r="I76" s="901"/>
      <c r="J76" s="901"/>
      <c r="K76" s="2069" t="s">
        <v>174</v>
      </c>
      <c r="L76" s="1222">
        <f>ROUND(7942.92067088333/1000,2)</f>
        <v>7.94</v>
      </c>
      <c r="M76" s="162">
        <v>0.25</v>
      </c>
      <c r="N76" s="162">
        <v>0.25</v>
      </c>
      <c r="O76" s="162">
        <v>0.25</v>
      </c>
      <c r="P76" s="162">
        <v>0.25</v>
      </c>
      <c r="Q76" s="1223">
        <f>SUM(M76:P76)</f>
        <v>1</v>
      </c>
      <c r="R76" s="447">
        <f t="shared" si="146"/>
        <v>1.9850000000000001</v>
      </c>
      <c r="S76" s="818">
        <f t="shared" si="147"/>
        <v>1.9850000000000001</v>
      </c>
      <c r="T76" s="818">
        <f t="shared" si="147"/>
        <v>1.9850000000000001</v>
      </c>
      <c r="U76" s="818">
        <f t="shared" si="147"/>
        <v>1.9850000000000001</v>
      </c>
      <c r="V76" s="303">
        <f>SUM(R76:U76)</f>
        <v>7.94</v>
      </c>
      <c r="W76" s="37"/>
      <c r="X76" s="746">
        <f>IFERROR(INDEX('Annex 2_Code'!I$8:I$33,MATCH('Annex 4_MoWRAM'!$BB76,'Annex 2_Code'!$G$8:$G$33,0)),"")</f>
        <v>0</v>
      </c>
      <c r="Y76" s="747">
        <f>IFERROR(INDEX('Annex 2_Code'!J$8:J$33,MATCH('Annex 4_MoWRAM'!$BB76,'Annex 2_Code'!$G$8:$G$33,0)),"")</f>
        <v>0</v>
      </c>
      <c r="Z76" s="747">
        <f>IFERROR(INDEX('Annex 2_Code'!K$8:K$33,MATCH('Annex 4_MoWRAM'!$BB76,'Annex 2_Code'!$G$8:$G$33,0)),"")</f>
        <v>0</v>
      </c>
      <c r="AA76" s="747">
        <f>IFERROR(INDEX('Annex 2_Code'!L$8:L$33,MATCH('Annex 4_MoWRAM'!$BB76,'Annex 2_Code'!$G$8:$G$33,0)),"")</f>
        <v>1</v>
      </c>
      <c r="AB76" s="748">
        <f>IFERROR(INDEX('Annex 2_Code'!M$8:M$33,MATCH('Annex 4_MoWRAM'!$BB76,'Annex 2_Code'!$G$8:$G$33,0)),"")</f>
        <v>0</v>
      </c>
      <c r="AC76" s="36"/>
      <c r="AD76" s="447">
        <f t="shared" si="140"/>
        <v>0</v>
      </c>
      <c r="AE76" s="818">
        <f t="shared" si="140"/>
        <v>0</v>
      </c>
      <c r="AF76" s="818">
        <f t="shared" si="140"/>
        <v>0</v>
      </c>
      <c r="AG76" s="818">
        <f>$V76*AA76</f>
        <v>7.94</v>
      </c>
      <c r="AH76" s="449">
        <f t="shared" si="140"/>
        <v>0</v>
      </c>
      <c r="AI76" s="448">
        <f t="shared" si="141"/>
        <v>0</v>
      </c>
      <c r="AJ76" s="805">
        <f t="shared" si="141"/>
        <v>0</v>
      </c>
      <c r="AK76" s="805">
        <f t="shared" si="141"/>
        <v>0</v>
      </c>
      <c r="AL76" s="161">
        <f t="shared" si="141"/>
        <v>0</v>
      </c>
      <c r="AM76" s="448">
        <f t="shared" si="142"/>
        <v>0</v>
      </c>
      <c r="AN76" s="805">
        <f t="shared" si="142"/>
        <v>0</v>
      </c>
      <c r="AO76" s="805">
        <f t="shared" si="142"/>
        <v>0</v>
      </c>
      <c r="AP76" s="161">
        <f t="shared" si="142"/>
        <v>0</v>
      </c>
      <c r="AQ76" s="448">
        <f t="shared" si="143"/>
        <v>0</v>
      </c>
      <c r="AR76" s="805">
        <f t="shared" si="143"/>
        <v>0</v>
      </c>
      <c r="AS76" s="805">
        <f t="shared" si="143"/>
        <v>0</v>
      </c>
      <c r="AT76" s="161">
        <f t="shared" si="143"/>
        <v>0</v>
      </c>
      <c r="AU76" s="894">
        <f t="shared" si="148"/>
        <v>1.9850000000000001</v>
      </c>
      <c r="AV76" s="905">
        <f t="shared" si="149"/>
        <v>1.9850000000000001</v>
      </c>
      <c r="AW76" s="905">
        <f t="shared" si="150"/>
        <v>1.9850000000000001</v>
      </c>
      <c r="AX76" s="959">
        <f t="shared" si="151"/>
        <v>1.9850000000000001</v>
      </c>
      <c r="AY76" s="455">
        <f t="shared" si="144"/>
        <v>7.94</v>
      </c>
      <c r="AZ76" s="2234" t="str">
        <f t="shared" si="138"/>
        <v>Correct</v>
      </c>
      <c r="BA76" s="870" t="s">
        <v>563</v>
      </c>
      <c r="BB76" s="568" t="s">
        <v>414</v>
      </c>
      <c r="BC76" s="568" t="str">
        <f>IFERROR(INDEX('Annex 2_Code'!$J$110:$J$127,MATCH('Annex 4_MoWRAM'!BA76,'Annex 2_Code'!$G$110:$G$127,0)),"")</f>
        <v>MOWRAM</v>
      </c>
      <c r="BD76" s="600" t="str">
        <f t="shared" si="145"/>
        <v>MOWRAM</v>
      </c>
    </row>
    <row r="77" spans="1:56" s="64" customFormat="1" ht="16.350000000000001" customHeight="1">
      <c r="A77" s="2160" t="str">
        <f>IF(ISNUMBER(FIND("-",B77,1))=FALSE,LEFT(B77,LEN(B77)),LEFT(B77,(FIND("-",B77,1))-1))</f>
        <v>Govt</v>
      </c>
      <c r="B77" s="2160" t="str">
        <f>IF(ISNUMBER(FIND("-",C77,1))=FALSE,LEFT(C77,LEN(C77)),LEFT(C77,(FIND("-",C77,1))-1))</f>
        <v>Govt</v>
      </c>
      <c r="C77" s="752" t="s">
        <v>58</v>
      </c>
      <c r="D77" s="69"/>
      <c r="E77" s="901"/>
      <c r="F77" s="901"/>
      <c r="G77" s="901" t="s">
        <v>253</v>
      </c>
      <c r="H77" s="901"/>
      <c r="I77" s="901"/>
      <c r="J77" s="901"/>
      <c r="K77" s="2069" t="s">
        <v>174</v>
      </c>
      <c r="L77" s="1222">
        <f>150000/1000</f>
        <v>150</v>
      </c>
      <c r="M77" s="818">
        <v>0.25</v>
      </c>
      <c r="N77" s="167">
        <v>0.25</v>
      </c>
      <c r="O77" s="167">
        <v>0.25</v>
      </c>
      <c r="P77" s="167">
        <v>0.25</v>
      </c>
      <c r="Q77" s="1223">
        <f>SUM(M77:P77)</f>
        <v>1</v>
      </c>
      <c r="R77" s="447">
        <f t="shared" si="146"/>
        <v>37.5</v>
      </c>
      <c r="S77" s="818">
        <f t="shared" si="147"/>
        <v>37.5</v>
      </c>
      <c r="T77" s="818">
        <f t="shared" si="147"/>
        <v>37.5</v>
      </c>
      <c r="U77" s="818">
        <f t="shared" si="147"/>
        <v>37.5</v>
      </c>
      <c r="V77" s="303">
        <f>SUM(R77:U77)</f>
        <v>150</v>
      </c>
      <c r="W77" s="166"/>
      <c r="X77" s="746">
        <f>IFERROR(INDEX('Annex 2_Code'!I$8:I$33,MATCH('Annex 4_MoWRAM'!$BB77,'Annex 2_Code'!$G$8:$G$33,0)),"")</f>
        <v>0</v>
      </c>
      <c r="Y77" s="747">
        <f>IFERROR(INDEX('Annex 2_Code'!J$8:J$33,MATCH('Annex 4_MoWRAM'!$BB77,'Annex 2_Code'!$G$8:$G$33,0)),"")</f>
        <v>0</v>
      </c>
      <c r="Z77" s="747">
        <f>IFERROR(INDEX('Annex 2_Code'!K$8:K$33,MATCH('Annex 4_MoWRAM'!$BB77,'Annex 2_Code'!$G$8:$G$33,0)),"")</f>
        <v>0</v>
      </c>
      <c r="AA77" s="747">
        <f>IFERROR(INDEX('Annex 2_Code'!L$8:L$33,MATCH('Annex 4_MoWRAM'!$BB77,'Annex 2_Code'!$G$8:$G$33,0)),"")</f>
        <v>1</v>
      </c>
      <c r="AB77" s="748">
        <f>IFERROR(INDEX('Annex 2_Code'!M$8:M$33,MATCH('Annex 4_MoWRAM'!$BB77,'Annex 2_Code'!$G$8:$G$33,0)),"")</f>
        <v>0</v>
      </c>
      <c r="AC77" s="36"/>
      <c r="AD77" s="447">
        <f>$V77*X77</f>
        <v>0</v>
      </c>
      <c r="AE77" s="818">
        <f>$V77*Y77</f>
        <v>0</v>
      </c>
      <c r="AF77" s="818">
        <f>$V77*Z77</f>
        <v>0</v>
      </c>
      <c r="AG77" s="818">
        <f>$V77*AA77</f>
        <v>150</v>
      </c>
      <c r="AH77" s="449">
        <f>$V77*AB77</f>
        <v>0</v>
      </c>
      <c r="AI77" s="448">
        <f>R77*$X77</f>
        <v>0</v>
      </c>
      <c r="AJ77" s="805">
        <f>S77*$X77</f>
        <v>0</v>
      </c>
      <c r="AK77" s="805">
        <f>T77*$X77</f>
        <v>0</v>
      </c>
      <c r="AL77" s="161">
        <f>U77*$X77</f>
        <v>0</v>
      </c>
      <c r="AM77" s="448">
        <f>$Y77*R77</f>
        <v>0</v>
      </c>
      <c r="AN77" s="805">
        <f>$Y77*S77</f>
        <v>0</v>
      </c>
      <c r="AO77" s="805">
        <f>$Y77*T77</f>
        <v>0</v>
      </c>
      <c r="AP77" s="161">
        <f>$Y77*U77</f>
        <v>0</v>
      </c>
      <c r="AQ77" s="448">
        <f>$Z77*R77</f>
        <v>0</v>
      </c>
      <c r="AR77" s="805">
        <f>$Z77*S77</f>
        <v>0</v>
      </c>
      <c r="AS77" s="805">
        <f>$Z77*T77</f>
        <v>0</v>
      </c>
      <c r="AT77" s="161">
        <f>$Z77*U77</f>
        <v>0</v>
      </c>
      <c r="AU77" s="894">
        <f t="shared" si="148"/>
        <v>37.5</v>
      </c>
      <c r="AV77" s="905">
        <f t="shared" si="149"/>
        <v>37.5</v>
      </c>
      <c r="AW77" s="905">
        <f t="shared" si="150"/>
        <v>37.5</v>
      </c>
      <c r="AX77" s="959">
        <f t="shared" si="151"/>
        <v>37.5</v>
      </c>
      <c r="AY77" s="455">
        <f>SUM(AD77:AH77)</f>
        <v>150</v>
      </c>
      <c r="AZ77" s="2234" t="str">
        <f t="shared" si="138"/>
        <v>Correct</v>
      </c>
      <c r="BA77" s="870" t="s">
        <v>563</v>
      </c>
      <c r="BB77" s="568" t="s">
        <v>414</v>
      </c>
      <c r="BC77" s="568" t="str">
        <f>IFERROR(INDEX('Annex 2_Code'!$J$110:$J$127,MATCH('Annex 4_MoWRAM'!BA77,'Annex 2_Code'!$G$110:$G$127,0)),"")</f>
        <v>MOWRAM</v>
      </c>
      <c r="BD77" s="600" t="str">
        <f t="shared" si="145"/>
        <v>MOWRAM</v>
      </c>
    </row>
    <row r="78" spans="1:56" s="355" customFormat="1" ht="15.95" customHeight="1">
      <c r="A78" s="2163" t="str">
        <f t="shared" si="134"/>
        <v/>
      </c>
      <c r="B78" s="2163" t="str">
        <f t="shared" si="134"/>
        <v/>
      </c>
      <c r="C78" s="757"/>
      <c r="D78" s="347"/>
      <c r="E78" s="347"/>
      <c r="F78" s="347" t="s">
        <v>41</v>
      </c>
      <c r="G78" s="347"/>
      <c r="H78" s="347"/>
      <c r="I78" s="347"/>
      <c r="J78" s="347"/>
      <c r="K78" s="2075"/>
      <c r="L78" s="2076" t="s">
        <v>173</v>
      </c>
      <c r="M78" s="348"/>
      <c r="N78" s="349"/>
      <c r="O78" s="349"/>
      <c r="P78" s="349"/>
      <c r="Q78" s="873"/>
      <c r="R78" s="451">
        <f>SUM(R73:R77)</f>
        <v>47.945</v>
      </c>
      <c r="S78" s="875">
        <f>SUM(S73:S77)</f>
        <v>47.945</v>
      </c>
      <c r="T78" s="875">
        <f>SUM(T73:T77)</f>
        <v>47.945</v>
      </c>
      <c r="U78" s="875">
        <f>SUM(U73:U77)</f>
        <v>47.945</v>
      </c>
      <c r="V78" s="356">
        <f>SUM(V73:V77,0)</f>
        <v>191.78</v>
      </c>
      <c r="W78" s="352"/>
      <c r="X78" s="746" t="str">
        <f>IFERROR(INDEX('Annex 2_Code'!I$8:I$33,MATCH('Annex 4_MoWRAM'!$BB78,'Annex 2_Code'!$G$8:$G$33,0)),"")</f>
        <v/>
      </c>
      <c r="Y78" s="747" t="str">
        <f>IFERROR(INDEX('Annex 2_Code'!J$8:J$33,MATCH('Annex 4_MoWRAM'!$BB78,'Annex 2_Code'!$G$8:$G$33,0)),"")</f>
        <v/>
      </c>
      <c r="Z78" s="747" t="str">
        <f>IFERROR(INDEX('Annex 2_Code'!K$8:K$33,MATCH('Annex 4_MoWRAM'!$BB78,'Annex 2_Code'!$G$8:$G$33,0)),"")</f>
        <v/>
      </c>
      <c r="AA78" s="747" t="str">
        <f>IFERROR(INDEX('Annex 2_Code'!L$8:L$33,MATCH('Annex 4_MoWRAM'!$BB78,'Annex 2_Code'!$G$8:$G$33,0)),"")</f>
        <v/>
      </c>
      <c r="AB78" s="748" t="str">
        <f>IFERROR(INDEX('Annex 2_Code'!M$8:M$33,MATCH('Annex 4_MoWRAM'!$BB78,'Annex 2_Code'!$G$8:$G$33,0)),"")</f>
        <v/>
      </c>
      <c r="AC78" s="351"/>
      <c r="AD78" s="451">
        <f>SUM(AD73:AD77,0)</f>
        <v>33.840000000000003</v>
      </c>
      <c r="AE78" s="354">
        <f>SUM(AE73:AE77,0)</f>
        <v>0</v>
      </c>
      <c r="AF78" s="354">
        <f>SUM(AF73:AF77,0)</f>
        <v>0</v>
      </c>
      <c r="AG78" s="354">
        <f>SUM(AG73:AG77,0)</f>
        <v>157.94</v>
      </c>
      <c r="AH78" s="356">
        <f>SUM(AH73:AH77,0)</f>
        <v>0</v>
      </c>
      <c r="AI78" s="354">
        <f>SUM(AI73:AI77)</f>
        <v>8.4600000000000009</v>
      </c>
      <c r="AJ78" s="354">
        <f t="shared" ref="AJ78:AX78" si="152">SUM(AJ73:AJ77)</f>
        <v>8.4600000000000009</v>
      </c>
      <c r="AK78" s="354">
        <f t="shared" si="152"/>
        <v>8.4600000000000009</v>
      </c>
      <c r="AL78" s="356">
        <f t="shared" si="152"/>
        <v>8.4600000000000009</v>
      </c>
      <c r="AM78" s="354">
        <f t="shared" si="152"/>
        <v>0</v>
      </c>
      <c r="AN78" s="354">
        <f t="shared" si="152"/>
        <v>0</v>
      </c>
      <c r="AO78" s="354">
        <f t="shared" si="152"/>
        <v>0</v>
      </c>
      <c r="AP78" s="354">
        <f t="shared" si="152"/>
        <v>0</v>
      </c>
      <c r="AQ78" s="451">
        <f t="shared" si="152"/>
        <v>0</v>
      </c>
      <c r="AR78" s="354">
        <f t="shared" si="152"/>
        <v>0</v>
      </c>
      <c r="AS78" s="354">
        <f t="shared" si="152"/>
        <v>0</v>
      </c>
      <c r="AT78" s="875">
        <f t="shared" si="152"/>
        <v>0</v>
      </c>
      <c r="AU78" s="451">
        <f t="shared" si="152"/>
        <v>39.484999999999999</v>
      </c>
      <c r="AV78" s="875">
        <f t="shared" si="152"/>
        <v>39.484999999999999</v>
      </c>
      <c r="AW78" s="875">
        <f t="shared" si="152"/>
        <v>39.484999999999999</v>
      </c>
      <c r="AX78" s="356">
        <f t="shared" si="152"/>
        <v>39.484999999999999</v>
      </c>
      <c r="AY78" s="454">
        <f>SUM(AD78:AH78)</f>
        <v>191.78</v>
      </c>
      <c r="AZ78" s="2129" t="str">
        <f>IF(V78=AY78,"Correct","Incorrect")</f>
        <v>Correct</v>
      </c>
      <c r="BA78" s="870"/>
      <c r="BB78" s="568"/>
      <c r="BC78" s="568" t="str">
        <f>IFERROR(INDEX('Annex 2_Code'!$J$110:$J$127,MATCH('Annex 4_MoWRAM'!BA78,'Annex 2_Code'!$G$110:$G$127,0)),"")</f>
        <v/>
      </c>
      <c r="BD78" s="600" t="str">
        <f t="shared" si="115"/>
        <v/>
      </c>
    </row>
    <row r="79" spans="1:56" s="64" customFormat="1" ht="15.95" customHeight="1">
      <c r="A79" s="2160" t="str">
        <f t="shared" si="134"/>
        <v/>
      </c>
      <c r="B79" s="2160" t="str">
        <f t="shared" si="134"/>
        <v/>
      </c>
      <c r="C79" s="752"/>
      <c r="D79" s="66"/>
      <c r="E79" s="67" t="s">
        <v>128</v>
      </c>
      <c r="F79" s="66"/>
      <c r="G79" s="66"/>
      <c r="H79" s="66"/>
      <c r="I79" s="66"/>
      <c r="J79" s="66"/>
      <c r="K79" s="2072"/>
      <c r="L79" s="2073" t="s">
        <v>173</v>
      </c>
      <c r="M79" s="346"/>
      <c r="N79" s="57"/>
      <c r="O79" s="57"/>
      <c r="P79" s="57"/>
      <c r="Q79" s="865"/>
      <c r="R79" s="447"/>
      <c r="S79" s="818"/>
      <c r="T79" s="818"/>
      <c r="U79" s="818"/>
      <c r="V79" s="303"/>
      <c r="W79" s="37"/>
      <c r="X79" s="746" t="str">
        <f>IFERROR(INDEX('Annex 2_Code'!I$8:I$33,MATCH('Annex 4_MoWRAM'!$BB79,'Annex 2_Code'!$G$8:$G$33,0)),"")</f>
        <v/>
      </c>
      <c r="Y79" s="747" t="str">
        <f>IFERROR(INDEX('Annex 2_Code'!J$8:J$33,MATCH('Annex 4_MoWRAM'!$BB79,'Annex 2_Code'!$G$8:$G$33,0)),"")</f>
        <v/>
      </c>
      <c r="Z79" s="747" t="str">
        <f>IFERROR(INDEX('Annex 2_Code'!K$8:K$33,MATCH('Annex 4_MoWRAM'!$BB79,'Annex 2_Code'!$G$8:$G$33,0)),"")</f>
        <v/>
      </c>
      <c r="AA79" s="747" t="str">
        <f>IFERROR(INDEX('Annex 2_Code'!L$8:L$33,MATCH('Annex 4_MoWRAM'!$BB79,'Annex 2_Code'!$G$8:$G$33,0)),"")</f>
        <v/>
      </c>
      <c r="AB79" s="748" t="str">
        <f>IFERROR(INDEX('Annex 2_Code'!M$8:M$33,MATCH('Annex 4_MoWRAM'!$BB79,'Annex 2_Code'!$G$8:$G$33,0)),"")</f>
        <v/>
      </c>
      <c r="AC79" s="36"/>
      <c r="AD79" s="447"/>
      <c r="AE79" s="160"/>
      <c r="AF79" s="160"/>
      <c r="AG79" s="160"/>
      <c r="AH79" s="161"/>
      <c r="AI79" s="160"/>
      <c r="AJ79" s="160"/>
      <c r="AK79" s="160"/>
      <c r="AL79" s="161"/>
      <c r="AM79" s="160"/>
      <c r="AN79" s="160"/>
      <c r="AO79" s="160"/>
      <c r="AP79" s="160"/>
      <c r="AQ79" s="448"/>
      <c r="AR79" s="160"/>
      <c r="AS79" s="160"/>
      <c r="AT79" s="805"/>
      <c r="AU79" s="448"/>
      <c r="AV79" s="805"/>
      <c r="AW79" s="805"/>
      <c r="AX79" s="161"/>
      <c r="AY79" s="271">
        <f t="shared" ref="AY79:AY86" si="153">SUM(AD79:AH79)</f>
        <v>0</v>
      </c>
      <c r="AZ79" s="2234" t="str">
        <f t="shared" ref="AZ79:AZ86" si="154">IF(V79=AY79,"Correct","Incorrect")</f>
        <v>Correct</v>
      </c>
      <c r="BA79" s="870"/>
      <c r="BB79" s="568"/>
      <c r="BC79" s="568" t="str">
        <f>IFERROR(INDEX('Annex 2_Code'!$J$110:$J$127,MATCH('Annex 4_MoWRAM'!BA79,'Annex 2_Code'!$G$110:$G$127,0)),"")</f>
        <v/>
      </c>
      <c r="BD79" s="600" t="str">
        <f t="shared" si="115"/>
        <v/>
      </c>
    </row>
    <row r="80" spans="1:56" s="64" customFormat="1" ht="15.95" customHeight="1">
      <c r="A80" s="2160" t="str">
        <f t="shared" si="134"/>
        <v>IOC</v>
      </c>
      <c r="B80" s="2160" t="str">
        <f t="shared" si="134"/>
        <v>IOC</v>
      </c>
      <c r="C80" s="752" t="s">
        <v>261</v>
      </c>
      <c r="D80" s="66"/>
      <c r="E80" s="66"/>
      <c r="F80" s="66"/>
      <c r="G80" s="66" t="s">
        <v>333</v>
      </c>
      <c r="H80" s="66"/>
      <c r="I80" s="66"/>
      <c r="J80" s="66"/>
      <c r="K80" s="2072" t="s">
        <v>174</v>
      </c>
      <c r="L80" s="1219">
        <f>450/1000</f>
        <v>0.45</v>
      </c>
      <c r="M80" s="57">
        <v>6</v>
      </c>
      <c r="N80" s="57">
        <v>6</v>
      </c>
      <c r="O80" s="57">
        <v>6</v>
      </c>
      <c r="P80" s="57">
        <v>6</v>
      </c>
      <c r="Q80" s="865">
        <f>SUM(M80:P80)</f>
        <v>24</v>
      </c>
      <c r="R80" s="447">
        <f>$M80*$L80</f>
        <v>2.7</v>
      </c>
      <c r="S80" s="818">
        <f>$N80*$L80</f>
        <v>2.7</v>
      </c>
      <c r="T80" s="818">
        <f t="shared" ref="T80:U80" si="155">$N80*$L80</f>
        <v>2.7</v>
      </c>
      <c r="U80" s="818">
        <f t="shared" si="155"/>
        <v>2.7</v>
      </c>
      <c r="V80" s="303">
        <f>SUM(R80:U80)</f>
        <v>10.8</v>
      </c>
      <c r="W80" s="37"/>
      <c r="X80" s="746">
        <f>IFERROR(INDEX('Annex 2_Code'!I$8:I$33,MATCH('Annex 4_MoWRAM'!$BB80,'Annex 2_Code'!$G$8:$G$33,0)),"")</f>
        <v>1</v>
      </c>
      <c r="Y80" s="747">
        <f>IFERROR(INDEX('Annex 2_Code'!J$8:J$33,MATCH('Annex 4_MoWRAM'!$BB80,'Annex 2_Code'!$G$8:$G$33,0)),"")</f>
        <v>0</v>
      </c>
      <c r="Z80" s="747">
        <f>IFERROR(INDEX('Annex 2_Code'!K$8:K$33,MATCH('Annex 4_MoWRAM'!$BB80,'Annex 2_Code'!$G$8:$G$33,0)),"")</f>
        <v>0</v>
      </c>
      <c r="AA80" s="747">
        <f>IFERROR(INDEX('Annex 2_Code'!L$8:L$33,MATCH('Annex 4_MoWRAM'!$BB80,'Annex 2_Code'!$G$8:$G$33,0)),"")</f>
        <v>0</v>
      </c>
      <c r="AB80" s="748">
        <f>IFERROR(INDEX('Annex 2_Code'!M$8:M$33,MATCH('Annex 4_MoWRAM'!$BB80,'Annex 2_Code'!$G$8:$G$33,0)),"")</f>
        <v>0</v>
      </c>
      <c r="AC80" s="36"/>
      <c r="AD80" s="447">
        <f t="shared" ref="AD80:AH82" si="156">$V80*X80</f>
        <v>10.8</v>
      </c>
      <c r="AE80" s="818">
        <f t="shared" si="156"/>
        <v>0</v>
      </c>
      <c r="AF80" s="818">
        <f t="shared" si="156"/>
        <v>0</v>
      </c>
      <c r="AG80" s="818">
        <f t="shared" si="156"/>
        <v>0</v>
      </c>
      <c r="AH80" s="449">
        <f t="shared" si="156"/>
        <v>0</v>
      </c>
      <c r="AI80" s="160">
        <f>R80*$X80</f>
        <v>2.7</v>
      </c>
      <c r="AJ80" s="160">
        <f>S80*$X80</f>
        <v>2.7</v>
      </c>
      <c r="AK80" s="160">
        <f t="shared" ref="AI80:AL82" si="157">T80*$X80</f>
        <v>2.7</v>
      </c>
      <c r="AL80" s="160">
        <f>U80*$X80</f>
        <v>2.7</v>
      </c>
      <c r="AM80" s="448">
        <f t="shared" ref="AM80:AP82" si="158">$Y80*R80</f>
        <v>0</v>
      </c>
      <c r="AN80" s="160">
        <f t="shared" si="158"/>
        <v>0</v>
      </c>
      <c r="AO80" s="160">
        <f t="shared" si="158"/>
        <v>0</v>
      </c>
      <c r="AP80" s="160">
        <f t="shared" si="158"/>
        <v>0</v>
      </c>
      <c r="AQ80" s="448">
        <f t="shared" ref="AQ80:AT82" si="159">$Z80*R80</f>
        <v>0</v>
      </c>
      <c r="AR80" s="805">
        <f t="shared" si="159"/>
        <v>0</v>
      </c>
      <c r="AS80" s="805">
        <f t="shared" si="159"/>
        <v>0</v>
      </c>
      <c r="AT80" s="805">
        <f t="shared" si="159"/>
        <v>0</v>
      </c>
      <c r="AU80" s="444">
        <f>$AA80*R80</f>
        <v>0</v>
      </c>
      <c r="AV80" s="903">
        <f t="shared" ref="AV80:AX82" si="160">$AA80*S80</f>
        <v>0</v>
      </c>
      <c r="AW80" s="903">
        <f t="shared" si="160"/>
        <v>0</v>
      </c>
      <c r="AX80" s="168">
        <f t="shared" si="160"/>
        <v>0</v>
      </c>
      <c r="AY80" s="271">
        <f t="shared" si="153"/>
        <v>10.8</v>
      </c>
      <c r="AZ80" s="2234" t="str">
        <f t="shared" si="154"/>
        <v>Correct</v>
      </c>
      <c r="BA80" s="870" t="s">
        <v>563</v>
      </c>
      <c r="BB80" s="568" t="s">
        <v>412</v>
      </c>
      <c r="BC80" s="568" t="str">
        <f>IFERROR(INDEX('Annex 2_Code'!$J$110:$J$127,MATCH('Annex 4_MoWRAM'!BA80,'Annex 2_Code'!$G$110:$G$127,0)),"")</f>
        <v>MOWRAM</v>
      </c>
      <c r="BD80" s="600" t="str">
        <f t="shared" si="115"/>
        <v>MOWRAM</v>
      </c>
    </row>
    <row r="81" spans="1:56" s="64" customFormat="1" ht="15.95" customHeight="1">
      <c r="A81" s="2160" t="str">
        <f t="shared" si="134"/>
        <v>IOC</v>
      </c>
      <c r="B81" s="2160" t="str">
        <f t="shared" si="134"/>
        <v>IOC</v>
      </c>
      <c r="C81" s="752" t="s">
        <v>261</v>
      </c>
      <c r="D81" s="66"/>
      <c r="E81" s="66"/>
      <c r="F81" s="66"/>
      <c r="G81" s="66" t="s">
        <v>579</v>
      </c>
      <c r="H81" s="66"/>
      <c r="I81" s="66"/>
      <c r="J81" s="66"/>
      <c r="K81" s="2072" t="s">
        <v>174</v>
      </c>
      <c r="L81" s="1219">
        <f>50/1000</f>
        <v>0.05</v>
      </c>
      <c r="M81" s="57">
        <v>9</v>
      </c>
      <c r="N81" s="57">
        <v>9</v>
      </c>
      <c r="O81" s="57">
        <v>9</v>
      </c>
      <c r="P81" s="57">
        <v>9</v>
      </c>
      <c r="Q81" s="865">
        <f>SUM(M81:P81)</f>
        <v>36</v>
      </c>
      <c r="R81" s="447">
        <f t="shared" ref="R81:R82" si="161">$M81*$L81</f>
        <v>0.45</v>
      </c>
      <c r="S81" s="818">
        <f t="shared" ref="S81:U82" si="162">$N81*$L81</f>
        <v>0.45</v>
      </c>
      <c r="T81" s="818">
        <f t="shared" si="162"/>
        <v>0.45</v>
      </c>
      <c r="U81" s="818">
        <f t="shared" si="162"/>
        <v>0.45</v>
      </c>
      <c r="V81" s="303">
        <f>SUM(R81:U81)</f>
        <v>1.8</v>
      </c>
      <c r="W81" s="37"/>
      <c r="X81" s="746">
        <f>IFERROR(INDEX('Annex 2_Code'!I$8:I$33,MATCH('Annex 4_MoWRAM'!$BB81,'Annex 2_Code'!$G$8:$G$33,0)),"")</f>
        <v>1</v>
      </c>
      <c r="Y81" s="747">
        <f>IFERROR(INDEX('Annex 2_Code'!J$8:J$33,MATCH('Annex 4_MoWRAM'!$BB81,'Annex 2_Code'!$G$8:$G$33,0)),"")</f>
        <v>0</v>
      </c>
      <c r="Z81" s="747">
        <f>IFERROR(INDEX('Annex 2_Code'!K$8:K$33,MATCH('Annex 4_MoWRAM'!$BB81,'Annex 2_Code'!$G$8:$G$33,0)),"")</f>
        <v>0</v>
      </c>
      <c r="AA81" s="747">
        <f>IFERROR(INDEX('Annex 2_Code'!L$8:L$33,MATCH('Annex 4_MoWRAM'!$BB81,'Annex 2_Code'!$G$8:$G$33,0)),"")</f>
        <v>0</v>
      </c>
      <c r="AB81" s="748">
        <f>IFERROR(INDEX('Annex 2_Code'!M$8:M$33,MATCH('Annex 4_MoWRAM'!$BB81,'Annex 2_Code'!$G$8:$G$33,0)),"")</f>
        <v>0</v>
      </c>
      <c r="AC81" s="36"/>
      <c r="AD81" s="447">
        <f t="shared" si="156"/>
        <v>1.8</v>
      </c>
      <c r="AE81" s="818">
        <f t="shared" si="156"/>
        <v>0</v>
      </c>
      <c r="AF81" s="818">
        <f t="shared" si="156"/>
        <v>0</v>
      </c>
      <c r="AG81" s="818">
        <f t="shared" si="156"/>
        <v>0</v>
      </c>
      <c r="AH81" s="449">
        <f t="shared" si="156"/>
        <v>0</v>
      </c>
      <c r="AI81" s="160">
        <f t="shared" si="157"/>
        <v>0.45</v>
      </c>
      <c r="AJ81" s="160">
        <f t="shared" si="157"/>
        <v>0.45</v>
      </c>
      <c r="AK81" s="160">
        <f t="shared" si="157"/>
        <v>0.45</v>
      </c>
      <c r="AL81" s="160">
        <f t="shared" si="157"/>
        <v>0.45</v>
      </c>
      <c r="AM81" s="448">
        <f t="shared" si="158"/>
        <v>0</v>
      </c>
      <c r="AN81" s="160">
        <f t="shared" si="158"/>
        <v>0</v>
      </c>
      <c r="AO81" s="160">
        <f t="shared" si="158"/>
        <v>0</v>
      </c>
      <c r="AP81" s="160">
        <f t="shared" si="158"/>
        <v>0</v>
      </c>
      <c r="AQ81" s="448">
        <f t="shared" si="159"/>
        <v>0</v>
      </c>
      <c r="AR81" s="805">
        <f t="shared" si="159"/>
        <v>0</v>
      </c>
      <c r="AS81" s="805">
        <f t="shared" si="159"/>
        <v>0</v>
      </c>
      <c r="AT81" s="805">
        <f t="shared" si="159"/>
        <v>0</v>
      </c>
      <c r="AU81" s="444">
        <f>$AA81*R81</f>
        <v>0</v>
      </c>
      <c r="AV81" s="903">
        <f t="shared" si="160"/>
        <v>0</v>
      </c>
      <c r="AW81" s="903">
        <f t="shared" si="160"/>
        <v>0</v>
      </c>
      <c r="AX81" s="168">
        <f t="shared" si="160"/>
        <v>0</v>
      </c>
      <c r="AY81" s="271">
        <f t="shared" si="153"/>
        <v>1.8</v>
      </c>
      <c r="AZ81" s="2234" t="str">
        <f t="shared" si="154"/>
        <v>Correct</v>
      </c>
      <c r="BA81" s="870" t="s">
        <v>563</v>
      </c>
      <c r="BB81" s="568" t="s">
        <v>412</v>
      </c>
      <c r="BC81" s="568" t="str">
        <f>IFERROR(INDEX('Annex 2_Code'!$J$110:$J$127,MATCH('Annex 4_MoWRAM'!BA81,'Annex 2_Code'!$G$110:$G$127,0)),"")</f>
        <v>MOWRAM</v>
      </c>
      <c r="BD81" s="600" t="str">
        <f t="shared" si="115"/>
        <v>MOWRAM</v>
      </c>
    </row>
    <row r="82" spans="1:56" s="64" customFormat="1" ht="15.95" customHeight="1">
      <c r="A82" s="2160" t="str">
        <f t="shared" si="134"/>
        <v>IOC</v>
      </c>
      <c r="B82" s="2160" t="str">
        <f t="shared" si="134"/>
        <v>IOC</v>
      </c>
      <c r="C82" s="752" t="s">
        <v>261</v>
      </c>
      <c r="D82" s="66"/>
      <c r="E82" s="66"/>
      <c r="F82" s="66"/>
      <c r="G82" s="66" t="s">
        <v>334</v>
      </c>
      <c r="H82" s="66"/>
      <c r="I82" s="66"/>
      <c r="J82" s="66"/>
      <c r="K82" s="2072" t="s">
        <v>174</v>
      </c>
      <c r="L82" s="1219">
        <f>250/1000</f>
        <v>0.25</v>
      </c>
      <c r="M82" s="57">
        <v>6</v>
      </c>
      <c r="N82" s="57">
        <v>6</v>
      </c>
      <c r="O82" s="57">
        <v>6</v>
      </c>
      <c r="P82" s="57">
        <v>6</v>
      </c>
      <c r="Q82" s="865">
        <f>SUM(M82:P82)</f>
        <v>24</v>
      </c>
      <c r="R82" s="447">
        <f t="shared" si="161"/>
        <v>1.5</v>
      </c>
      <c r="S82" s="818">
        <f t="shared" si="162"/>
        <v>1.5</v>
      </c>
      <c r="T82" s="818">
        <f t="shared" si="162"/>
        <v>1.5</v>
      </c>
      <c r="U82" s="818">
        <f t="shared" si="162"/>
        <v>1.5</v>
      </c>
      <c r="V82" s="303">
        <f>SUM(R82:U82)</f>
        <v>6</v>
      </c>
      <c r="W82" s="37"/>
      <c r="X82" s="746">
        <f>IFERROR(INDEX('Annex 2_Code'!I$8:I$33,MATCH('Annex 4_MoWRAM'!$BB82,'Annex 2_Code'!$G$8:$G$33,0)),"")</f>
        <v>1</v>
      </c>
      <c r="Y82" s="747">
        <f>IFERROR(INDEX('Annex 2_Code'!J$8:J$33,MATCH('Annex 4_MoWRAM'!$BB82,'Annex 2_Code'!$G$8:$G$33,0)),"")</f>
        <v>0</v>
      </c>
      <c r="Z82" s="747">
        <f>IFERROR(INDEX('Annex 2_Code'!K$8:K$33,MATCH('Annex 4_MoWRAM'!$BB82,'Annex 2_Code'!$G$8:$G$33,0)),"")</f>
        <v>0</v>
      </c>
      <c r="AA82" s="747">
        <f>IFERROR(INDEX('Annex 2_Code'!L$8:L$33,MATCH('Annex 4_MoWRAM'!$BB82,'Annex 2_Code'!$G$8:$G$33,0)),"")</f>
        <v>0</v>
      </c>
      <c r="AB82" s="748">
        <f>IFERROR(INDEX('Annex 2_Code'!M$8:M$33,MATCH('Annex 4_MoWRAM'!$BB82,'Annex 2_Code'!$G$8:$G$33,0)),"")</f>
        <v>0</v>
      </c>
      <c r="AC82" s="36"/>
      <c r="AD82" s="447">
        <f t="shared" si="156"/>
        <v>6</v>
      </c>
      <c r="AE82" s="818">
        <f t="shared" si="156"/>
        <v>0</v>
      </c>
      <c r="AF82" s="818">
        <f t="shared" si="156"/>
        <v>0</v>
      </c>
      <c r="AG82" s="818">
        <f t="shared" si="156"/>
        <v>0</v>
      </c>
      <c r="AH82" s="449">
        <f t="shared" si="156"/>
        <v>0</v>
      </c>
      <c r="AI82" s="160">
        <f t="shared" si="157"/>
        <v>1.5</v>
      </c>
      <c r="AJ82" s="160">
        <f t="shared" si="157"/>
        <v>1.5</v>
      </c>
      <c r="AK82" s="160">
        <f t="shared" si="157"/>
        <v>1.5</v>
      </c>
      <c r="AL82" s="160">
        <f t="shared" si="157"/>
        <v>1.5</v>
      </c>
      <c r="AM82" s="448">
        <f t="shared" si="158"/>
        <v>0</v>
      </c>
      <c r="AN82" s="160">
        <f t="shared" si="158"/>
        <v>0</v>
      </c>
      <c r="AO82" s="160">
        <f t="shared" si="158"/>
        <v>0</v>
      </c>
      <c r="AP82" s="160">
        <f t="shared" si="158"/>
        <v>0</v>
      </c>
      <c r="AQ82" s="448">
        <f t="shared" si="159"/>
        <v>0</v>
      </c>
      <c r="AR82" s="805">
        <f t="shared" si="159"/>
        <v>0</v>
      </c>
      <c r="AS82" s="805">
        <f t="shared" si="159"/>
        <v>0</v>
      </c>
      <c r="AT82" s="805">
        <f t="shared" si="159"/>
        <v>0</v>
      </c>
      <c r="AU82" s="444">
        <f>$AA82*R82</f>
        <v>0</v>
      </c>
      <c r="AV82" s="903">
        <f t="shared" si="160"/>
        <v>0</v>
      </c>
      <c r="AW82" s="903">
        <f t="shared" si="160"/>
        <v>0</v>
      </c>
      <c r="AX82" s="168">
        <f t="shared" si="160"/>
        <v>0</v>
      </c>
      <c r="AY82" s="271">
        <f t="shared" si="153"/>
        <v>6</v>
      </c>
      <c r="AZ82" s="2234" t="str">
        <f t="shared" si="154"/>
        <v>Correct</v>
      </c>
      <c r="BA82" s="870" t="s">
        <v>563</v>
      </c>
      <c r="BB82" s="568" t="s">
        <v>406</v>
      </c>
      <c r="BC82" s="568" t="str">
        <f>IFERROR(INDEX('Annex 2_Code'!$J$110:$J$127,MATCH('Annex 4_MoWRAM'!BA82,'Annex 2_Code'!$G$110:$G$127,0)),"")</f>
        <v>MOWRAM</v>
      </c>
      <c r="BD82" s="600" t="str">
        <f t="shared" si="115"/>
        <v>MOWRAM</v>
      </c>
    </row>
    <row r="83" spans="1:56" s="64" customFormat="1" ht="15.95" customHeight="1">
      <c r="A83" s="2160" t="str">
        <f t="shared" si="134"/>
        <v/>
      </c>
      <c r="B83" s="2160" t="str">
        <f t="shared" si="134"/>
        <v/>
      </c>
      <c r="C83" s="752"/>
      <c r="D83" s="66"/>
      <c r="E83" s="66"/>
      <c r="F83" s="67" t="s">
        <v>129</v>
      </c>
      <c r="G83" s="66"/>
      <c r="H83" s="66"/>
      <c r="I83" s="66"/>
      <c r="J83" s="66"/>
      <c r="K83" s="2072"/>
      <c r="L83" s="2073"/>
      <c r="M83" s="346"/>
      <c r="N83" s="57"/>
      <c r="O83" s="57"/>
      <c r="P83" s="57"/>
      <c r="Q83" s="865"/>
      <c r="R83" s="447"/>
      <c r="S83" s="818"/>
      <c r="T83" s="818"/>
      <c r="U83" s="818"/>
      <c r="V83" s="303"/>
      <c r="W83" s="37"/>
      <c r="X83" s="746" t="str">
        <f>IFERROR(INDEX('Annex 2_Code'!I$8:I$33,MATCH('Annex 4_MoWRAM'!$BB83,'Annex 2_Code'!$G$8:$G$33,0)),"")</f>
        <v/>
      </c>
      <c r="Y83" s="747" t="str">
        <f>IFERROR(INDEX('Annex 2_Code'!J$8:J$33,MATCH('Annex 4_MoWRAM'!$BB83,'Annex 2_Code'!$G$8:$G$33,0)),"")</f>
        <v/>
      </c>
      <c r="Z83" s="747" t="str">
        <f>IFERROR(INDEX('Annex 2_Code'!K$8:K$33,MATCH('Annex 4_MoWRAM'!$BB83,'Annex 2_Code'!$G$8:$G$33,0)),"")</f>
        <v/>
      </c>
      <c r="AA83" s="747" t="str">
        <f>IFERROR(INDEX('Annex 2_Code'!L$8:L$33,MATCH('Annex 4_MoWRAM'!$BB83,'Annex 2_Code'!$G$8:$G$33,0)),"")</f>
        <v/>
      </c>
      <c r="AB83" s="748" t="str">
        <f>IFERROR(INDEX('Annex 2_Code'!M$8:M$33,MATCH('Annex 4_MoWRAM'!$BB83,'Annex 2_Code'!$G$8:$G$33,0)),"")</f>
        <v/>
      </c>
      <c r="AC83" s="36"/>
      <c r="AD83" s="455"/>
      <c r="AE83" s="160"/>
      <c r="AF83" s="160"/>
      <c r="AG83" s="163"/>
      <c r="AH83" s="161"/>
      <c r="AI83" s="160"/>
      <c r="AJ83" s="160"/>
      <c r="AK83" s="160"/>
      <c r="AL83" s="161"/>
      <c r="AM83" s="160"/>
      <c r="AN83" s="160"/>
      <c r="AO83" s="160"/>
      <c r="AP83" s="160"/>
      <c r="AQ83" s="448"/>
      <c r="AR83" s="160"/>
      <c r="AS83" s="160"/>
      <c r="AT83" s="805"/>
      <c r="AU83" s="448"/>
      <c r="AV83" s="805"/>
      <c r="AW83" s="805"/>
      <c r="AX83" s="161"/>
      <c r="AY83" s="271">
        <f t="shared" si="153"/>
        <v>0</v>
      </c>
      <c r="AZ83" s="2234" t="str">
        <f t="shared" si="154"/>
        <v>Correct</v>
      </c>
      <c r="BA83" s="870"/>
      <c r="BB83" s="568"/>
      <c r="BC83" s="568" t="str">
        <f>IFERROR(INDEX('Annex 2_Code'!$J$110:$J$127,MATCH('Annex 4_MoWRAM'!BA83,'Annex 2_Code'!$G$110:$G$127,0)),"")</f>
        <v/>
      </c>
      <c r="BD83" s="600" t="str">
        <f t="shared" si="115"/>
        <v/>
      </c>
    </row>
    <row r="84" spans="1:56" s="64" customFormat="1" ht="15.95" customHeight="1">
      <c r="A84" s="2160" t="str">
        <f t="shared" si="134"/>
        <v>IOC</v>
      </c>
      <c r="B84" s="2160" t="str">
        <f t="shared" si="134"/>
        <v>IOC</v>
      </c>
      <c r="C84" s="752" t="s">
        <v>261</v>
      </c>
      <c r="D84" s="66"/>
      <c r="E84" s="66"/>
      <c r="F84" s="66"/>
      <c r="G84" s="66" t="s">
        <v>577</v>
      </c>
      <c r="H84" s="66"/>
      <c r="I84" s="66"/>
      <c r="J84" s="66"/>
      <c r="K84" s="2072" t="s">
        <v>174</v>
      </c>
      <c r="L84" s="2074">
        <f>350/1000</f>
        <v>0.35</v>
      </c>
      <c r="M84" s="346">
        <v>6</v>
      </c>
      <c r="N84" s="57">
        <v>6</v>
      </c>
      <c r="O84" s="57">
        <v>6</v>
      </c>
      <c r="P84" s="57">
        <v>6</v>
      </c>
      <c r="Q84" s="865">
        <f>SUM(M84:P84)</f>
        <v>24</v>
      </c>
      <c r="R84" s="447">
        <f>$L84*M84</f>
        <v>2.0999999999999996</v>
      </c>
      <c r="S84" s="818">
        <f>$L84*N84</f>
        <v>2.0999999999999996</v>
      </c>
      <c r="T84" s="818">
        <f t="shared" ref="T84:U86" si="163">$L84*O84</f>
        <v>2.0999999999999996</v>
      </c>
      <c r="U84" s="818">
        <f t="shared" si="163"/>
        <v>2.0999999999999996</v>
      </c>
      <c r="V84" s="303">
        <f>SUM(R84:U84)</f>
        <v>8.3999999999999986</v>
      </c>
      <c r="W84" s="37"/>
      <c r="X84" s="746">
        <f>IFERROR(INDEX('Annex 2_Code'!I$8:I$33,MATCH('Annex 4_MoWRAM'!$BB84,'Annex 2_Code'!$G$8:$G$33,0)),"")</f>
        <v>1</v>
      </c>
      <c r="Y84" s="747">
        <f>IFERROR(INDEX('Annex 2_Code'!J$8:J$33,MATCH('Annex 4_MoWRAM'!$BB84,'Annex 2_Code'!$G$8:$G$33,0)),"")</f>
        <v>0</v>
      </c>
      <c r="Z84" s="747">
        <f>IFERROR(INDEX('Annex 2_Code'!K$8:K$33,MATCH('Annex 4_MoWRAM'!$BB84,'Annex 2_Code'!$G$8:$G$33,0)),"")</f>
        <v>0</v>
      </c>
      <c r="AA84" s="747">
        <f>IFERROR(INDEX('Annex 2_Code'!L$8:L$33,MATCH('Annex 4_MoWRAM'!$BB84,'Annex 2_Code'!$G$8:$G$33,0)),"")</f>
        <v>0</v>
      </c>
      <c r="AB84" s="748">
        <f>IFERROR(INDEX('Annex 2_Code'!M$8:M$33,MATCH('Annex 4_MoWRAM'!$BB84,'Annex 2_Code'!$G$8:$G$33,0)),"")</f>
        <v>0</v>
      </c>
      <c r="AC84" s="36"/>
      <c r="AD84" s="447">
        <f t="shared" ref="AD84:AH86" si="164">$V84*X84</f>
        <v>8.3999999999999986</v>
      </c>
      <c r="AE84" s="818">
        <f t="shared" si="164"/>
        <v>0</v>
      </c>
      <c r="AF84" s="818">
        <f t="shared" si="164"/>
        <v>0</v>
      </c>
      <c r="AG84" s="818">
        <f t="shared" si="164"/>
        <v>0</v>
      </c>
      <c r="AH84" s="449">
        <f t="shared" si="164"/>
        <v>0</v>
      </c>
      <c r="AI84" s="160">
        <f t="shared" ref="AI84:AL86" si="165">R84*$X84</f>
        <v>2.0999999999999996</v>
      </c>
      <c r="AJ84" s="160">
        <f t="shared" si="165"/>
        <v>2.0999999999999996</v>
      </c>
      <c r="AK84" s="160">
        <f t="shared" si="165"/>
        <v>2.0999999999999996</v>
      </c>
      <c r="AL84" s="161">
        <f t="shared" si="165"/>
        <v>2.0999999999999996</v>
      </c>
      <c r="AM84" s="448">
        <f t="shared" ref="AM84:AP86" si="166">$Y84*R84</f>
        <v>0</v>
      </c>
      <c r="AN84" s="160">
        <f t="shared" si="166"/>
        <v>0</v>
      </c>
      <c r="AO84" s="160">
        <f t="shared" si="166"/>
        <v>0</v>
      </c>
      <c r="AP84" s="160">
        <f t="shared" si="166"/>
        <v>0</v>
      </c>
      <c r="AQ84" s="448">
        <f t="shared" ref="AQ84:AT86" si="167">$Z84*R84</f>
        <v>0</v>
      </c>
      <c r="AR84" s="805">
        <f t="shared" si="167"/>
        <v>0</v>
      </c>
      <c r="AS84" s="805">
        <f t="shared" si="167"/>
        <v>0</v>
      </c>
      <c r="AT84" s="805">
        <f t="shared" si="167"/>
        <v>0</v>
      </c>
      <c r="AU84" s="444">
        <f>$AA84*R84</f>
        <v>0</v>
      </c>
      <c r="AV84" s="903">
        <f>$AA84*S84</f>
        <v>0</v>
      </c>
      <c r="AW84" s="903">
        <f t="shared" ref="AV84:AX86" si="168">$AA84*T84</f>
        <v>0</v>
      </c>
      <c r="AX84" s="168">
        <f t="shared" si="168"/>
        <v>0</v>
      </c>
      <c r="AY84" s="271">
        <f t="shared" si="153"/>
        <v>8.3999999999999986</v>
      </c>
      <c r="AZ84" s="2234" t="str">
        <f t="shared" si="154"/>
        <v>Correct</v>
      </c>
      <c r="BA84" s="870" t="s">
        <v>563</v>
      </c>
      <c r="BB84" s="568" t="s">
        <v>412</v>
      </c>
      <c r="BC84" s="568" t="str">
        <f>IFERROR(INDEX('Annex 2_Code'!$J$110:$J$127,MATCH('Annex 4_MoWRAM'!BA84,'Annex 2_Code'!$G$110:$G$127,0)),"")</f>
        <v>MOWRAM</v>
      </c>
      <c r="BD84" s="600" t="str">
        <f t="shared" si="115"/>
        <v>MOWRAM</v>
      </c>
    </row>
    <row r="85" spans="1:56" s="64" customFormat="1" ht="15.95" customHeight="1">
      <c r="A85" s="2160" t="str">
        <f t="shared" si="134"/>
        <v>IOC</v>
      </c>
      <c r="B85" s="2160" t="str">
        <f t="shared" si="134"/>
        <v>IOC</v>
      </c>
      <c r="C85" s="752" t="s">
        <v>261</v>
      </c>
      <c r="D85" s="66"/>
      <c r="E85" s="66"/>
      <c r="F85" s="66"/>
      <c r="G85" s="66" t="s">
        <v>337</v>
      </c>
      <c r="H85" s="66"/>
      <c r="I85" s="66"/>
      <c r="J85" s="66"/>
      <c r="K85" s="2072" t="s">
        <v>578</v>
      </c>
      <c r="L85" s="2074">
        <f>50/1000</f>
        <v>0.05</v>
      </c>
      <c r="M85" s="346">
        <v>18</v>
      </c>
      <c r="N85" s="57">
        <v>18</v>
      </c>
      <c r="O85" s="57">
        <v>18</v>
      </c>
      <c r="P85" s="57">
        <v>18</v>
      </c>
      <c r="Q85" s="865">
        <f>SUM(M85:P85)</f>
        <v>72</v>
      </c>
      <c r="R85" s="447">
        <f t="shared" ref="R85:R86" si="169">$L85*M85</f>
        <v>0.9</v>
      </c>
      <c r="S85" s="818">
        <f t="shared" ref="S85:S86" si="170">$L85*N85</f>
        <v>0.9</v>
      </c>
      <c r="T85" s="818">
        <f t="shared" si="163"/>
        <v>0.9</v>
      </c>
      <c r="U85" s="818">
        <f t="shared" si="163"/>
        <v>0.9</v>
      </c>
      <c r="V85" s="303">
        <f>SUM(R85:U85)</f>
        <v>3.6</v>
      </c>
      <c r="W85" s="37"/>
      <c r="X85" s="746">
        <f>IFERROR(INDEX('Annex 2_Code'!I$8:I$33,MATCH('Annex 4_MoWRAM'!$BB85,'Annex 2_Code'!$G$8:$G$33,0)),"")</f>
        <v>1</v>
      </c>
      <c r="Y85" s="747">
        <f>IFERROR(INDEX('Annex 2_Code'!J$8:J$33,MATCH('Annex 4_MoWRAM'!$BB85,'Annex 2_Code'!$G$8:$G$33,0)),"")</f>
        <v>0</v>
      </c>
      <c r="Z85" s="747">
        <f>IFERROR(INDEX('Annex 2_Code'!K$8:K$33,MATCH('Annex 4_MoWRAM'!$BB85,'Annex 2_Code'!$G$8:$G$33,0)),"")</f>
        <v>0</v>
      </c>
      <c r="AA85" s="747">
        <f>IFERROR(INDEX('Annex 2_Code'!L$8:L$33,MATCH('Annex 4_MoWRAM'!$BB85,'Annex 2_Code'!$G$8:$G$33,0)),"")</f>
        <v>0</v>
      </c>
      <c r="AB85" s="748">
        <f>IFERROR(INDEX('Annex 2_Code'!M$8:M$33,MATCH('Annex 4_MoWRAM'!$BB85,'Annex 2_Code'!$G$8:$G$33,0)),"")</f>
        <v>0</v>
      </c>
      <c r="AC85" s="36"/>
      <c r="AD85" s="447">
        <f t="shared" si="164"/>
        <v>3.6</v>
      </c>
      <c r="AE85" s="818">
        <f t="shared" si="164"/>
        <v>0</v>
      </c>
      <c r="AF85" s="818">
        <f t="shared" si="164"/>
        <v>0</v>
      </c>
      <c r="AG85" s="818">
        <f t="shared" si="164"/>
        <v>0</v>
      </c>
      <c r="AH85" s="449">
        <f t="shared" si="164"/>
        <v>0</v>
      </c>
      <c r="AI85" s="160">
        <f t="shared" si="165"/>
        <v>0.9</v>
      </c>
      <c r="AJ85" s="160">
        <f t="shared" si="165"/>
        <v>0.9</v>
      </c>
      <c r="AK85" s="160">
        <f t="shared" si="165"/>
        <v>0.9</v>
      </c>
      <c r="AL85" s="161">
        <f t="shared" si="165"/>
        <v>0.9</v>
      </c>
      <c r="AM85" s="448">
        <f t="shared" si="166"/>
        <v>0</v>
      </c>
      <c r="AN85" s="160">
        <f t="shared" si="166"/>
        <v>0</v>
      </c>
      <c r="AO85" s="160">
        <f t="shared" si="166"/>
        <v>0</v>
      </c>
      <c r="AP85" s="160">
        <f t="shared" si="166"/>
        <v>0</v>
      </c>
      <c r="AQ85" s="448">
        <f t="shared" si="167"/>
        <v>0</v>
      </c>
      <c r="AR85" s="805">
        <f t="shared" si="167"/>
        <v>0</v>
      </c>
      <c r="AS85" s="805">
        <f t="shared" si="167"/>
        <v>0</v>
      </c>
      <c r="AT85" s="805">
        <f t="shared" si="167"/>
        <v>0</v>
      </c>
      <c r="AU85" s="444">
        <f>$AA85*R85</f>
        <v>0</v>
      </c>
      <c r="AV85" s="903">
        <f t="shared" si="168"/>
        <v>0</v>
      </c>
      <c r="AW85" s="903">
        <f t="shared" si="168"/>
        <v>0</v>
      </c>
      <c r="AX85" s="168">
        <f t="shared" si="168"/>
        <v>0</v>
      </c>
      <c r="AY85" s="271">
        <f t="shared" si="153"/>
        <v>3.6</v>
      </c>
      <c r="AZ85" s="2234" t="str">
        <f t="shared" si="154"/>
        <v>Correct</v>
      </c>
      <c r="BA85" s="870" t="s">
        <v>563</v>
      </c>
      <c r="BB85" s="568" t="s">
        <v>412</v>
      </c>
      <c r="BC85" s="568" t="str">
        <f>IFERROR(INDEX('Annex 2_Code'!$J$110:$J$127,MATCH('Annex 4_MoWRAM'!BA85,'Annex 2_Code'!$G$110:$G$127,0)),"")</f>
        <v>MOWRAM</v>
      </c>
      <c r="BD85" s="600" t="str">
        <f t="shared" si="115"/>
        <v>MOWRAM</v>
      </c>
    </row>
    <row r="86" spans="1:56" s="64" customFormat="1" ht="15.95" customHeight="1">
      <c r="A86" s="2160" t="str">
        <f t="shared" si="134"/>
        <v>IOC</v>
      </c>
      <c r="B86" s="2160" t="str">
        <f t="shared" si="134"/>
        <v>IOC</v>
      </c>
      <c r="C86" s="752" t="s">
        <v>261</v>
      </c>
      <c r="D86" s="66"/>
      <c r="E86" s="66"/>
      <c r="F86" s="66"/>
      <c r="G86" s="66" t="s">
        <v>567</v>
      </c>
      <c r="H86" s="66"/>
      <c r="I86" s="66"/>
      <c r="J86" s="66"/>
      <c r="K86" s="2072" t="s">
        <v>174</v>
      </c>
      <c r="L86" s="2074">
        <f>250/1000</f>
        <v>0.25</v>
      </c>
      <c r="M86" s="346">
        <v>6</v>
      </c>
      <c r="N86" s="57">
        <v>6</v>
      </c>
      <c r="O86" s="57">
        <v>6</v>
      </c>
      <c r="P86" s="57">
        <v>6</v>
      </c>
      <c r="Q86" s="865">
        <f>SUM(M86:P86)</f>
        <v>24</v>
      </c>
      <c r="R86" s="447">
        <f t="shared" si="169"/>
        <v>1.5</v>
      </c>
      <c r="S86" s="818">
        <f t="shared" si="170"/>
        <v>1.5</v>
      </c>
      <c r="T86" s="818">
        <f t="shared" si="163"/>
        <v>1.5</v>
      </c>
      <c r="U86" s="818">
        <f t="shared" si="163"/>
        <v>1.5</v>
      </c>
      <c r="V86" s="303">
        <f>SUM(R86:U86)</f>
        <v>6</v>
      </c>
      <c r="W86" s="37"/>
      <c r="X86" s="746">
        <f>IFERROR(INDEX('Annex 2_Code'!I$8:I$33,MATCH('Annex 4_MoWRAM'!$BB86,'Annex 2_Code'!$G$8:$G$33,0)),"")</f>
        <v>1</v>
      </c>
      <c r="Y86" s="747">
        <f>IFERROR(INDEX('Annex 2_Code'!J$8:J$33,MATCH('Annex 4_MoWRAM'!$BB86,'Annex 2_Code'!$G$8:$G$33,0)),"")</f>
        <v>0</v>
      </c>
      <c r="Z86" s="747">
        <f>IFERROR(INDEX('Annex 2_Code'!K$8:K$33,MATCH('Annex 4_MoWRAM'!$BB86,'Annex 2_Code'!$G$8:$G$33,0)),"")</f>
        <v>0</v>
      </c>
      <c r="AA86" s="747">
        <f>IFERROR(INDEX('Annex 2_Code'!L$8:L$33,MATCH('Annex 4_MoWRAM'!$BB86,'Annex 2_Code'!$G$8:$G$33,0)),"")</f>
        <v>0</v>
      </c>
      <c r="AB86" s="748">
        <f>IFERROR(INDEX('Annex 2_Code'!M$8:M$33,MATCH('Annex 4_MoWRAM'!$BB86,'Annex 2_Code'!$G$8:$G$33,0)),"")</f>
        <v>0</v>
      </c>
      <c r="AC86" s="36"/>
      <c r="AD86" s="447">
        <f t="shared" si="164"/>
        <v>6</v>
      </c>
      <c r="AE86" s="818">
        <f t="shared" si="164"/>
        <v>0</v>
      </c>
      <c r="AF86" s="818">
        <f t="shared" si="164"/>
        <v>0</v>
      </c>
      <c r="AG86" s="818">
        <f t="shared" si="164"/>
        <v>0</v>
      </c>
      <c r="AH86" s="449">
        <f t="shared" si="164"/>
        <v>0</v>
      </c>
      <c r="AI86" s="160">
        <f t="shared" si="165"/>
        <v>1.5</v>
      </c>
      <c r="AJ86" s="160">
        <f t="shared" si="165"/>
        <v>1.5</v>
      </c>
      <c r="AK86" s="160">
        <f t="shared" si="165"/>
        <v>1.5</v>
      </c>
      <c r="AL86" s="161">
        <f>U86*$X86</f>
        <v>1.5</v>
      </c>
      <c r="AM86" s="448">
        <f t="shared" si="166"/>
        <v>0</v>
      </c>
      <c r="AN86" s="160">
        <f t="shared" si="166"/>
        <v>0</v>
      </c>
      <c r="AO86" s="160">
        <f t="shared" si="166"/>
        <v>0</v>
      </c>
      <c r="AP86" s="160">
        <f t="shared" si="166"/>
        <v>0</v>
      </c>
      <c r="AQ86" s="448">
        <f t="shared" si="167"/>
        <v>0</v>
      </c>
      <c r="AR86" s="805">
        <f t="shared" si="167"/>
        <v>0</v>
      </c>
      <c r="AS86" s="805">
        <f t="shared" si="167"/>
        <v>0</v>
      </c>
      <c r="AT86" s="805">
        <f t="shared" si="167"/>
        <v>0</v>
      </c>
      <c r="AU86" s="444">
        <f>$AA86*R86</f>
        <v>0</v>
      </c>
      <c r="AV86" s="903">
        <f t="shared" si="168"/>
        <v>0</v>
      </c>
      <c r="AW86" s="903">
        <f t="shared" si="168"/>
        <v>0</v>
      </c>
      <c r="AX86" s="168">
        <f t="shared" si="168"/>
        <v>0</v>
      </c>
      <c r="AY86" s="271">
        <f t="shared" si="153"/>
        <v>6</v>
      </c>
      <c r="AZ86" s="2234" t="str">
        <f t="shared" si="154"/>
        <v>Correct</v>
      </c>
      <c r="BA86" s="870" t="s">
        <v>563</v>
      </c>
      <c r="BB86" s="568" t="s">
        <v>406</v>
      </c>
      <c r="BC86" s="568" t="str">
        <f>IFERROR(INDEX('Annex 2_Code'!$J$110:$J$127,MATCH('Annex 4_MoWRAM'!BA86,'Annex 2_Code'!$G$110:$G$127,0)),"")</f>
        <v>MOWRAM</v>
      </c>
      <c r="BD86" s="600" t="str">
        <f t="shared" si="115"/>
        <v>MOWRAM</v>
      </c>
    </row>
    <row r="87" spans="1:56" s="355" customFormat="1" ht="15.95" customHeight="1">
      <c r="A87" s="2164"/>
      <c r="B87" s="2164"/>
      <c r="C87" s="758"/>
      <c r="D87" s="347"/>
      <c r="E87" s="347"/>
      <c r="F87" s="347" t="s">
        <v>41</v>
      </c>
      <c r="G87" s="347"/>
      <c r="H87" s="347"/>
      <c r="I87" s="347"/>
      <c r="J87" s="347"/>
      <c r="K87" s="2077"/>
      <c r="L87" s="2078" t="s">
        <v>173</v>
      </c>
      <c r="M87" s="348"/>
      <c r="N87" s="349"/>
      <c r="O87" s="349"/>
      <c r="P87" s="349"/>
      <c r="Q87" s="873"/>
      <c r="R87" s="960">
        <f>SUM(R80:R86)</f>
        <v>9.15</v>
      </c>
      <c r="S87" s="961">
        <f>SUM(S80:S86)</f>
        <v>9.15</v>
      </c>
      <c r="T87" s="961">
        <f>SUM(T80:T86)</f>
        <v>9.15</v>
      </c>
      <c r="U87" s="961">
        <f>SUM(U80:U86)</f>
        <v>9.15</v>
      </c>
      <c r="V87" s="963">
        <f>SUM(V80:V86)</f>
        <v>36.6</v>
      </c>
      <c r="W87" s="352"/>
      <c r="X87" s="454"/>
      <c r="Y87" s="352"/>
      <c r="Z87" s="352"/>
      <c r="AA87" s="352"/>
      <c r="AB87" s="350"/>
      <c r="AC87" s="351"/>
      <c r="AD87" s="451">
        <f>SUM(AD80:AD86)</f>
        <v>36.6</v>
      </c>
      <c r="AE87" s="354">
        <f>SUM(AE80:AE86)</f>
        <v>0</v>
      </c>
      <c r="AF87" s="354">
        <f>SUM(AF80:AF86)</f>
        <v>0</v>
      </c>
      <c r="AG87" s="354">
        <f>SUM(AG81:AG86)</f>
        <v>0</v>
      </c>
      <c r="AH87" s="356">
        <f t="shared" ref="AH87:AX87" si="171">SUM(AH80:AH86)</f>
        <v>0</v>
      </c>
      <c r="AI87" s="354">
        <f>SUM(AI80:AI86)</f>
        <v>9.15</v>
      </c>
      <c r="AJ87" s="354">
        <f t="shared" si="171"/>
        <v>9.15</v>
      </c>
      <c r="AK87" s="354">
        <f t="shared" si="171"/>
        <v>9.15</v>
      </c>
      <c r="AL87" s="356">
        <f t="shared" si="171"/>
        <v>9.15</v>
      </c>
      <c r="AM87" s="354">
        <f t="shared" si="171"/>
        <v>0</v>
      </c>
      <c r="AN87" s="354">
        <f t="shared" si="171"/>
        <v>0</v>
      </c>
      <c r="AO87" s="354">
        <f t="shared" si="171"/>
        <v>0</v>
      </c>
      <c r="AP87" s="354">
        <f t="shared" si="171"/>
        <v>0</v>
      </c>
      <c r="AQ87" s="451">
        <f t="shared" si="171"/>
        <v>0</v>
      </c>
      <c r="AR87" s="354">
        <f t="shared" si="171"/>
        <v>0</v>
      </c>
      <c r="AS87" s="354">
        <f t="shared" si="171"/>
        <v>0</v>
      </c>
      <c r="AT87" s="875">
        <f t="shared" si="171"/>
        <v>0</v>
      </c>
      <c r="AU87" s="960">
        <f t="shared" si="171"/>
        <v>0</v>
      </c>
      <c r="AV87" s="961">
        <f t="shared" si="171"/>
        <v>0</v>
      </c>
      <c r="AW87" s="961">
        <f t="shared" si="171"/>
        <v>0</v>
      </c>
      <c r="AX87" s="962">
        <f t="shared" si="171"/>
        <v>0</v>
      </c>
      <c r="AY87" s="454">
        <f>SUM(AD87:AH87)</f>
        <v>36.6</v>
      </c>
      <c r="AZ87" s="2129" t="str">
        <f>IF(V87=AY87,"Correct","Incorrect")</f>
        <v>Correct</v>
      </c>
      <c r="BA87" s="2119"/>
      <c r="BB87" s="2120"/>
      <c r="BC87" s="2120"/>
      <c r="BD87" s="2120" t="str">
        <f t="shared" si="115"/>
        <v/>
      </c>
    </row>
    <row r="88" spans="1:56" s="456" customFormat="1" ht="24" customHeight="1">
      <c r="A88" s="2168"/>
      <c r="B88" s="2168"/>
      <c r="C88" s="944"/>
      <c r="D88" s="945" t="s">
        <v>338</v>
      </c>
      <c r="E88" s="945"/>
      <c r="F88" s="945"/>
      <c r="G88" s="946"/>
      <c r="H88" s="946"/>
      <c r="I88" s="946"/>
      <c r="J88" s="946"/>
      <c r="K88" s="947"/>
      <c r="L88" s="948"/>
      <c r="M88" s="949"/>
      <c r="N88" s="950"/>
      <c r="O88" s="950"/>
      <c r="P88" s="950"/>
      <c r="Q88" s="951"/>
      <c r="R88" s="952">
        <f>SUM(R87+R78+R70)</f>
        <v>69.155000000000001</v>
      </c>
      <c r="S88" s="953">
        <f>SUM(S87+S78+S70)</f>
        <v>69.155000000000001</v>
      </c>
      <c r="T88" s="953">
        <f>SUM(T87+T78+T70)</f>
        <v>69.155000000000001</v>
      </c>
      <c r="U88" s="953">
        <f>SUM(U87+U78+U70)</f>
        <v>69.155000000000001</v>
      </c>
      <c r="V88" s="1005">
        <f>SUM(V87+V78+V70)</f>
        <v>276.62</v>
      </c>
      <c r="W88" s="951"/>
      <c r="X88" s="954"/>
      <c r="Y88" s="951"/>
      <c r="Z88" s="951"/>
      <c r="AA88" s="951"/>
      <c r="AB88" s="955"/>
      <c r="AC88" s="948"/>
      <c r="AD88" s="956">
        <f>SUM(AD87+AD78+AD70)</f>
        <v>70.44</v>
      </c>
      <c r="AE88" s="957">
        <f>ROUND(AE87+AE78+AE70,0)</f>
        <v>0</v>
      </c>
      <c r="AF88" s="957">
        <f>ROUND(AF87+AF78+AF70,0)</f>
        <v>0</v>
      </c>
      <c r="AG88" s="957">
        <f>AG87+AG78+AG201+AG70</f>
        <v>206.18</v>
      </c>
      <c r="AH88" s="958">
        <f>ROUND(AH87+AH78+AH70,0)</f>
        <v>0</v>
      </c>
      <c r="AI88" s="957">
        <f t="shared" ref="AI88:AX88" si="172">AI87+AI78+AI70</f>
        <v>17.61</v>
      </c>
      <c r="AJ88" s="957">
        <f t="shared" si="172"/>
        <v>17.61</v>
      </c>
      <c r="AK88" s="957">
        <f t="shared" si="172"/>
        <v>17.61</v>
      </c>
      <c r="AL88" s="958">
        <f t="shared" si="172"/>
        <v>17.61</v>
      </c>
      <c r="AM88" s="957">
        <f t="shared" si="172"/>
        <v>0</v>
      </c>
      <c r="AN88" s="957">
        <f t="shared" si="172"/>
        <v>0</v>
      </c>
      <c r="AO88" s="957">
        <f t="shared" si="172"/>
        <v>0</v>
      </c>
      <c r="AP88" s="957">
        <f t="shared" si="172"/>
        <v>0</v>
      </c>
      <c r="AQ88" s="956">
        <f t="shared" si="172"/>
        <v>0</v>
      </c>
      <c r="AR88" s="957">
        <f t="shared" si="172"/>
        <v>0</v>
      </c>
      <c r="AS88" s="957">
        <f t="shared" si="172"/>
        <v>0</v>
      </c>
      <c r="AT88" s="957">
        <f t="shared" si="172"/>
        <v>0</v>
      </c>
      <c r="AU88" s="956">
        <f t="shared" si="172"/>
        <v>51.545000000000002</v>
      </c>
      <c r="AV88" s="957">
        <f t="shared" si="172"/>
        <v>51.545000000000002</v>
      </c>
      <c r="AW88" s="957">
        <f t="shared" si="172"/>
        <v>51.545000000000002</v>
      </c>
      <c r="AX88" s="958">
        <f t="shared" si="172"/>
        <v>51.545000000000002</v>
      </c>
      <c r="AY88" s="954">
        <f>SUM(AD88:AH88)</f>
        <v>276.62</v>
      </c>
      <c r="AZ88" s="2130" t="str">
        <f>IF(V88=AY88,"Correct","Incorrect")</f>
        <v>Correct</v>
      </c>
      <c r="BD88" s="456" t="str">
        <f t="shared" si="115"/>
        <v/>
      </c>
    </row>
    <row r="89" spans="1:56" ht="15.75">
      <c r="A89" s="2149"/>
      <c r="B89" s="2149"/>
      <c r="C89" s="759"/>
      <c r="D89" s="462"/>
      <c r="E89" s="463"/>
      <c r="F89" s="463" t="s">
        <v>339</v>
      </c>
      <c r="G89" s="464"/>
      <c r="H89" s="465"/>
      <c r="I89" s="466"/>
      <c r="J89" s="466"/>
      <c r="K89" s="467"/>
      <c r="L89" s="467"/>
      <c r="M89" s="467"/>
      <c r="N89" s="467"/>
      <c r="O89" s="467"/>
      <c r="P89" s="467"/>
      <c r="Q89" s="467"/>
      <c r="R89" s="469">
        <f>R88+R55</f>
        <v>215.86500000000001</v>
      </c>
      <c r="S89" s="468">
        <f>S88+S55</f>
        <v>929.21500000000003</v>
      </c>
      <c r="T89" s="468">
        <f t="shared" ref="T89:U89" si="173">T88+T55</f>
        <v>3607.6149999999998</v>
      </c>
      <c r="U89" s="468">
        <f t="shared" si="173"/>
        <v>4704.1749999999993</v>
      </c>
      <c r="V89" s="470">
        <f>V88+V55</f>
        <v>9456.8700000000008</v>
      </c>
      <c r="W89" s="2118"/>
      <c r="X89" s="817"/>
      <c r="Y89" s="468"/>
      <c r="Z89" s="468"/>
      <c r="AA89" s="468"/>
      <c r="AB89" s="468"/>
      <c r="AC89" s="468">
        <f>+AC88+AC55</f>
        <v>0</v>
      </c>
      <c r="AD89" s="469">
        <f>AD88+AD55</f>
        <v>6965.8943237746744</v>
      </c>
      <c r="AE89" s="468">
        <f>AE88+AE55</f>
        <v>1134.9329204298203</v>
      </c>
      <c r="AF89" s="468">
        <f>AF88+AF55</f>
        <v>1149.8627557955047</v>
      </c>
      <c r="AG89" s="468">
        <f>AG88+AG55</f>
        <v>206.18</v>
      </c>
      <c r="AH89" s="470">
        <f t="shared" ref="AH89:AN89" si="174">+AH88+AH55</f>
        <v>0</v>
      </c>
      <c r="AI89" s="468">
        <f t="shared" si="174"/>
        <v>67.93937202661516</v>
      </c>
      <c r="AJ89" s="468">
        <f t="shared" si="174"/>
        <v>643.06634346798444</v>
      </c>
      <c r="AK89" s="468">
        <f t="shared" si="174"/>
        <v>2706.2171923288256</v>
      </c>
      <c r="AL89" s="470">
        <f t="shared" si="174"/>
        <v>3548.6714159512508</v>
      </c>
      <c r="AM89" s="469">
        <f t="shared" si="174"/>
        <v>8.2837850119057332</v>
      </c>
      <c r="AN89" s="468">
        <f t="shared" si="174"/>
        <v>102.94477508842276</v>
      </c>
      <c r="AO89" s="468">
        <f t="shared" ref="AO89:AP89" si="175">+AO88+AO55</f>
        <v>442.52179325698097</v>
      </c>
      <c r="AP89" s="470">
        <f t="shared" si="175"/>
        <v>581.18256707251066</v>
      </c>
      <c r="AQ89" s="469">
        <f t="shared" ref="AQ89" si="176">+AQ88+AQ55</f>
        <v>88.096842961479112</v>
      </c>
      <c r="AR89" s="468">
        <f t="shared" ref="AR89" si="177">+AR88+AR55</f>
        <v>131.65888144359275</v>
      </c>
      <c r="AS89" s="468">
        <f t="shared" ref="AS89" si="178">+AS88+AS55</f>
        <v>407.3310144141941</v>
      </c>
      <c r="AT89" s="470">
        <f t="shared" ref="AT89" si="179">+AT88+AT55</f>
        <v>522.77601697623857</v>
      </c>
      <c r="AU89" s="469">
        <f t="shared" ref="AU89" si="180">+AU88+AU55</f>
        <v>51.545000000000002</v>
      </c>
      <c r="AV89" s="468">
        <f t="shared" ref="AV89" si="181">+AV88+AV55</f>
        <v>51.545000000000002</v>
      </c>
      <c r="AW89" s="468">
        <f t="shared" ref="AW89" si="182">+AW88+AW55</f>
        <v>51.545000000000002</v>
      </c>
      <c r="AX89" s="470">
        <f t="shared" ref="AX89" si="183">+AX88+AX55</f>
        <v>51.545000000000002</v>
      </c>
      <c r="AY89" s="469">
        <f t="shared" ref="AY89" si="184">+AY88+AY55</f>
        <v>9456.8700000000008</v>
      </c>
      <c r="AZ89" s="2131"/>
    </row>
    <row r="90" spans="1:56">
      <c r="B90" s="2152"/>
      <c r="C90" s="66"/>
      <c r="D90" s="66"/>
      <c r="E90" s="66"/>
      <c r="F90" s="66"/>
      <c r="G90" s="66"/>
      <c r="H90" s="66"/>
      <c r="I90" s="66"/>
      <c r="J90" s="66"/>
      <c r="K90" s="6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45"/>
      <c r="W90" s="34"/>
      <c r="X90" s="34"/>
      <c r="Y90" s="34"/>
      <c r="Z90" s="34"/>
      <c r="AA90" s="34"/>
      <c r="AB90" s="34"/>
      <c r="AC90" s="36"/>
      <c r="AD90" s="471" t="s">
        <v>931</v>
      </c>
      <c r="AE90" s="472"/>
      <c r="AF90" s="473">
        <f>AE92+AF92+AG92+AH92</f>
        <v>0</v>
      </c>
      <c r="AG90" s="472"/>
      <c r="AH90" s="472"/>
      <c r="AI90" s="472"/>
      <c r="AJ90" s="472"/>
      <c r="AK90" s="472"/>
      <c r="AL90" s="473"/>
      <c r="AM90" s="472"/>
      <c r="AN90" s="472"/>
      <c r="AO90" s="472"/>
      <c r="AP90" s="472"/>
      <c r="AQ90" s="472"/>
      <c r="AR90" s="472"/>
      <c r="AS90" s="472"/>
      <c r="AT90" s="472"/>
      <c r="AU90" s="472"/>
      <c r="AV90" s="472"/>
      <c r="AW90" s="472"/>
      <c r="AX90" s="472"/>
      <c r="AY90" s="67"/>
      <c r="AZ90" s="66"/>
    </row>
    <row r="91" spans="1:56">
      <c r="B91" s="2142"/>
      <c r="C91" s="133" t="s">
        <v>23</v>
      </c>
      <c r="D91" s="816" t="s">
        <v>340</v>
      </c>
      <c r="E91" s="816" t="s">
        <v>7</v>
      </c>
      <c r="F91" s="816" t="s">
        <v>8</v>
      </c>
      <c r="G91" s="816" t="s">
        <v>9</v>
      </c>
      <c r="H91" s="816" t="s">
        <v>10</v>
      </c>
      <c r="I91" s="66"/>
      <c r="J91" s="66"/>
      <c r="L91" s="3"/>
      <c r="M91" s="3"/>
      <c r="N91" s="3"/>
      <c r="O91" s="3"/>
      <c r="P91" s="3"/>
      <c r="Q91" s="3"/>
      <c r="R91" s="3"/>
      <c r="S91" s="3"/>
      <c r="T91" s="3"/>
      <c r="U91" s="3"/>
      <c r="W91" s="29"/>
      <c r="X91" s="29"/>
      <c r="Y91" s="29"/>
      <c r="Z91" s="29"/>
      <c r="AA91" s="895"/>
      <c r="AB91" s="895"/>
      <c r="AC91" s="852"/>
      <c r="AD91" s="1001"/>
      <c r="AE91" s="1001"/>
      <c r="AF91" s="1001"/>
      <c r="AG91" s="1001"/>
      <c r="AH91" s="1001">
        <f>SUM(AD89:AH89)</f>
        <v>9456.869999999999</v>
      </c>
      <c r="AI91" s="1224"/>
      <c r="AJ91" s="1224"/>
      <c r="AK91" s="1224"/>
      <c r="AL91" s="1224"/>
      <c r="AM91" s="1224"/>
      <c r="AN91" s="1224"/>
      <c r="AO91" s="1224"/>
      <c r="AP91" s="1224"/>
      <c r="AQ91" s="1224"/>
      <c r="AR91" s="1224"/>
      <c r="AS91" s="1224"/>
      <c r="AT91" s="1224"/>
      <c r="AU91" s="1224"/>
      <c r="AV91" s="1224"/>
      <c r="AW91" s="1224"/>
      <c r="AX91" s="1224"/>
    </row>
    <row r="92" spans="1:56">
      <c r="B92" s="2142"/>
      <c r="C92" s="134" t="s">
        <v>169</v>
      </c>
      <c r="D92" s="1002">
        <f>SUM(E92:H92)</f>
        <v>6965.8943237746753</v>
      </c>
      <c r="E92" s="474">
        <f>AI89</f>
        <v>67.93937202661516</v>
      </c>
      <c r="F92" s="2158">
        <f>AJ89</f>
        <v>643.06634346798444</v>
      </c>
      <c r="G92" s="2158">
        <f>AK89</f>
        <v>2706.2171923288256</v>
      </c>
      <c r="H92" s="2158">
        <f>AL89</f>
        <v>3548.6714159512508</v>
      </c>
      <c r="I92" s="66"/>
      <c r="J92" s="66"/>
      <c r="L92" s="3"/>
      <c r="M92" s="3"/>
      <c r="N92" s="3"/>
      <c r="O92" s="3"/>
      <c r="P92" s="3"/>
      <c r="Q92" s="3"/>
      <c r="R92" s="3"/>
      <c r="S92" s="3"/>
      <c r="T92" s="3"/>
      <c r="U92" s="3"/>
      <c r="W92" s="29"/>
      <c r="X92" s="29"/>
      <c r="Y92" s="29"/>
      <c r="Z92" s="29"/>
      <c r="AA92" s="895"/>
      <c r="AB92" s="895"/>
      <c r="AC92" s="853"/>
      <c r="AD92" s="162"/>
      <c r="AE92" s="897"/>
      <c r="AF92" s="897"/>
      <c r="AG92" s="897"/>
      <c r="AH92" s="897">
        <f>AH91-H117</f>
        <v>0</v>
      </c>
      <c r="AI92" s="896"/>
      <c r="AJ92" s="851"/>
      <c r="AK92" s="851"/>
      <c r="AL92" s="851"/>
      <c r="AM92" s="851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</row>
    <row r="93" spans="1:56">
      <c r="B93" s="2142"/>
      <c r="C93" s="134" t="s">
        <v>48</v>
      </c>
      <c r="D93" s="1002">
        <f>SUM(E93:H93)</f>
        <v>1134.9329204298201</v>
      </c>
      <c r="E93" s="156">
        <f>AM89</f>
        <v>8.2837850119057332</v>
      </c>
      <c r="F93" s="2157">
        <f>AN89</f>
        <v>102.94477508842276</v>
      </c>
      <c r="G93" s="2157">
        <f>AO89</f>
        <v>442.52179325698097</v>
      </c>
      <c r="H93" s="2157">
        <f>AP89</f>
        <v>581.18256707251066</v>
      </c>
      <c r="I93" s="66"/>
      <c r="J93" s="66"/>
      <c r="L93" s="3"/>
      <c r="M93" s="3"/>
      <c r="N93" s="3"/>
      <c r="O93" s="3"/>
      <c r="P93" s="3"/>
      <c r="Q93" s="3"/>
      <c r="R93" s="3"/>
      <c r="S93" s="3"/>
      <c r="T93" s="3"/>
      <c r="U93" s="3"/>
      <c r="W93" s="29"/>
      <c r="X93" s="29"/>
      <c r="Y93" s="29"/>
      <c r="Z93" s="29"/>
      <c r="AA93" s="895"/>
      <c r="AB93" s="895"/>
      <c r="AC93" s="853"/>
      <c r="AD93" s="162"/>
      <c r="AE93" s="162"/>
      <c r="AF93" s="162"/>
      <c r="AG93" s="162"/>
      <c r="AH93" s="162"/>
      <c r="AI93" s="896"/>
      <c r="AJ93" s="162"/>
      <c r="AK93" s="162"/>
      <c r="AL93" s="162"/>
      <c r="AM93" s="162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Z93" s="745"/>
      <c r="BA93" s="745"/>
    </row>
    <row r="94" spans="1:56">
      <c r="B94" s="2142"/>
      <c r="C94" s="134" t="s">
        <v>170</v>
      </c>
      <c r="D94" s="1002">
        <f>SUM(E94:H94)</f>
        <v>1149.8627557955047</v>
      </c>
      <c r="E94" s="156">
        <f>AQ89</f>
        <v>88.096842961479112</v>
      </c>
      <c r="F94" s="2157">
        <f>AR89</f>
        <v>131.65888144359275</v>
      </c>
      <c r="G94" s="2157">
        <f>AS89</f>
        <v>407.3310144141941</v>
      </c>
      <c r="H94" s="2157">
        <f>AT89</f>
        <v>522.77601697623857</v>
      </c>
      <c r="L94" s="3"/>
      <c r="M94" s="3"/>
      <c r="N94" s="3"/>
      <c r="O94" s="3"/>
      <c r="P94" s="3"/>
      <c r="Q94" s="3"/>
      <c r="R94" s="3"/>
      <c r="S94" s="3"/>
      <c r="T94" s="45"/>
      <c r="U94" s="45"/>
      <c r="W94" s="29"/>
      <c r="X94" s="29"/>
      <c r="Y94" s="29"/>
      <c r="Z94" s="29"/>
      <c r="AA94" s="895"/>
      <c r="AB94" s="895"/>
      <c r="AC94" s="853"/>
      <c r="AD94" s="162"/>
      <c r="AE94" s="162"/>
      <c r="AF94" s="162"/>
      <c r="AG94" s="162"/>
      <c r="AH94" s="162"/>
      <c r="AI94" s="896"/>
      <c r="AJ94" s="162"/>
      <c r="AK94" s="162"/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Z94" s="745"/>
      <c r="BA94" s="745"/>
    </row>
    <row r="95" spans="1:56">
      <c r="B95" s="2142"/>
      <c r="C95" s="134" t="s">
        <v>27</v>
      </c>
      <c r="D95" s="1002">
        <f>SUM(E95:H95)</f>
        <v>206.18</v>
      </c>
      <c r="E95" s="156">
        <f>AU89</f>
        <v>51.545000000000002</v>
      </c>
      <c r="F95" s="2157">
        <f>AV89</f>
        <v>51.545000000000002</v>
      </c>
      <c r="G95" s="2157">
        <f>AW89</f>
        <v>51.545000000000002</v>
      </c>
      <c r="H95" s="2157">
        <f>AX89</f>
        <v>51.545000000000002</v>
      </c>
      <c r="L95" s="3"/>
      <c r="M95" s="3"/>
      <c r="N95" s="3"/>
      <c r="O95" s="3"/>
      <c r="P95" s="3"/>
      <c r="Q95" s="3"/>
      <c r="R95" s="3"/>
      <c r="S95" s="3"/>
      <c r="T95" s="3"/>
      <c r="U95" s="3"/>
      <c r="W95" s="29"/>
      <c r="X95" s="29"/>
      <c r="Y95" s="29"/>
      <c r="Z95" s="29"/>
      <c r="AA95" s="895"/>
      <c r="AB95" s="895"/>
      <c r="AC95" s="853"/>
      <c r="AD95" s="162"/>
      <c r="AE95" s="162"/>
      <c r="AF95" s="162"/>
      <c r="AG95" s="162"/>
      <c r="AH95" s="162"/>
      <c r="AI95" s="896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Z95" s="745"/>
      <c r="BA95" s="745"/>
    </row>
    <row r="96" spans="1:56">
      <c r="B96" s="2142"/>
      <c r="C96" s="134" t="s">
        <v>51</v>
      </c>
      <c r="D96" s="264">
        <f>SUM(E96:H96)</f>
        <v>0</v>
      </c>
      <c r="E96" s="2157">
        <f>$AZ$89</f>
        <v>0</v>
      </c>
      <c r="F96" s="156">
        <f>$AZ$89</f>
        <v>0</v>
      </c>
      <c r="G96" s="156">
        <f>$BA$89</f>
        <v>0</v>
      </c>
      <c r="H96" s="156">
        <f>$BB$89</f>
        <v>0</v>
      </c>
      <c r="L96" s="3"/>
      <c r="M96" s="3"/>
      <c r="N96" s="3"/>
      <c r="O96" s="3"/>
      <c r="P96" s="3"/>
      <c r="Q96" s="3"/>
      <c r="R96" s="3"/>
      <c r="S96" s="3"/>
      <c r="T96" s="3"/>
      <c r="U96" s="3"/>
      <c r="W96" s="29"/>
      <c r="X96" s="29"/>
      <c r="Y96" s="29"/>
      <c r="Z96" s="29"/>
      <c r="AA96" s="895"/>
      <c r="AB96" s="895"/>
      <c r="AC96" s="853"/>
      <c r="AD96" s="162"/>
      <c r="AE96" s="162"/>
      <c r="AF96" s="162"/>
      <c r="AG96" s="162"/>
      <c r="AH96" s="162"/>
      <c r="AI96" s="896"/>
      <c r="AJ96" s="162"/>
      <c r="AK96" s="162"/>
      <c r="AL96" s="162"/>
      <c r="AM96" s="162"/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Z96" s="745"/>
      <c r="BA96" s="745"/>
    </row>
    <row r="97" spans="2:50">
      <c r="B97" s="2146"/>
      <c r="C97" s="373" t="s">
        <v>266</v>
      </c>
      <c r="D97" s="316">
        <f>SUM(D92:D96)</f>
        <v>9456.8700000000008</v>
      </c>
      <c r="E97" s="316">
        <f>SUM(E92:E96)</f>
        <v>215.86500000000001</v>
      </c>
      <c r="F97" s="316">
        <f>SUM(F92:F96)</f>
        <v>929.2149999999998</v>
      </c>
      <c r="G97" s="316">
        <f>SUM(G92:G96)</f>
        <v>3607.6150000000007</v>
      </c>
      <c r="H97" s="475">
        <f>SUM(H92:H96)</f>
        <v>4704.1750000000002</v>
      </c>
      <c r="L97" s="3"/>
      <c r="M97" s="3"/>
      <c r="N97" s="3"/>
      <c r="O97" s="3"/>
      <c r="P97" s="3"/>
      <c r="Q97" s="3"/>
      <c r="R97" s="3"/>
      <c r="S97" s="3"/>
      <c r="T97" s="3"/>
      <c r="U97" s="3"/>
      <c r="W97" s="29"/>
      <c r="X97" s="29"/>
      <c r="Y97" s="29"/>
      <c r="Z97" s="29"/>
      <c r="AA97" s="895"/>
      <c r="AB97" s="895"/>
      <c r="AC97" s="854"/>
      <c r="AD97" s="165"/>
      <c r="AE97" s="165"/>
      <c r="AF97" s="165"/>
      <c r="AG97" s="165"/>
      <c r="AH97" s="165"/>
      <c r="AI97" s="896"/>
      <c r="AJ97" s="162"/>
      <c r="AK97" s="162"/>
      <c r="AL97" s="162"/>
      <c r="AM97" s="162"/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</row>
    <row r="98" spans="2:50" ht="15.75">
      <c r="B98" s="2142"/>
      <c r="C98" s="154" t="s">
        <v>341</v>
      </c>
      <c r="D98" s="155" t="str">
        <f>IF(V89=D97,"Correct","Incorrect")</f>
        <v>Correct</v>
      </c>
      <c r="E98" s="468"/>
      <c r="F98" s="468"/>
      <c r="G98" s="468"/>
      <c r="H98" s="468"/>
      <c r="L98" s="3"/>
      <c r="M98" s="3"/>
      <c r="N98" s="3"/>
      <c r="O98" s="3"/>
      <c r="P98" s="3"/>
      <c r="Q98" s="3"/>
      <c r="R98" s="3"/>
      <c r="S98" s="3"/>
      <c r="T98" s="3"/>
      <c r="U98" s="3"/>
      <c r="W98" s="29"/>
      <c r="X98" s="29"/>
      <c r="Y98" s="29"/>
      <c r="Z98" s="29"/>
      <c r="AA98" s="895"/>
      <c r="AB98" s="895"/>
      <c r="AC98" s="855"/>
      <c r="AD98" s="856"/>
      <c r="AE98" s="857"/>
      <c r="AF98" s="857"/>
      <c r="AG98" s="857"/>
      <c r="AH98" s="898"/>
      <c r="AI98" s="896"/>
      <c r="AJ98" s="165"/>
      <c r="AK98" s="165"/>
      <c r="AL98" s="165"/>
      <c r="AM98" s="165"/>
      <c r="AN98" s="165"/>
      <c r="AO98" s="165"/>
      <c r="AP98" s="165"/>
      <c r="AQ98" s="165"/>
      <c r="AR98" s="165"/>
      <c r="AS98" s="165"/>
      <c r="AT98" s="165"/>
      <c r="AU98" s="165"/>
      <c r="AV98" s="165"/>
      <c r="AW98" s="165"/>
      <c r="AX98" s="165"/>
    </row>
    <row r="99" spans="2:50">
      <c r="B99" s="2151"/>
      <c r="C99" s="64"/>
      <c r="D99" s="370" t="s">
        <v>7</v>
      </c>
      <c r="E99" s="370" t="s">
        <v>8</v>
      </c>
      <c r="F99" s="370" t="s">
        <v>9</v>
      </c>
      <c r="G99" s="370" t="s">
        <v>10</v>
      </c>
      <c r="H99" s="370" t="s">
        <v>11</v>
      </c>
      <c r="AA99" s="887"/>
      <c r="AB99" s="887"/>
      <c r="AC99" s="899"/>
      <c r="AD99" s="900"/>
      <c r="AE99" s="896"/>
      <c r="AF99" s="896"/>
      <c r="AG99" s="896"/>
      <c r="AH99" s="896"/>
      <c r="AI99" s="896"/>
      <c r="AJ99" s="896"/>
      <c r="AK99" s="896"/>
      <c r="AL99" s="896"/>
      <c r="AM99" s="896"/>
    </row>
    <row r="100" spans="2:50">
      <c r="B100" s="2151"/>
      <c r="C100" s="64" t="s">
        <v>24</v>
      </c>
      <c r="D100" s="476">
        <f>SUMIFS(D$108:D$116,$B$108:$B$116,$C100)</f>
        <v>65.510000000000005</v>
      </c>
      <c r="E100" s="476">
        <f>SUMIFS(E$108:E$116,$B$108:$B$116,$C100)</f>
        <v>814.11</v>
      </c>
      <c r="F100" s="476">
        <f>SUMIFS(F$108:F$116,$B$108:$B$116,$C100)</f>
        <v>3499.5600000000004</v>
      </c>
      <c r="G100" s="476">
        <f>SUMIFS(G$108:G$116,$B$108:$B$116,$C100)</f>
        <v>4596.12</v>
      </c>
      <c r="H100" s="476">
        <f>SUMIFS(H$108:H$116,$B$108:$B$116,$C100)</f>
        <v>8975.3000000000011</v>
      </c>
      <c r="AA100" s="887"/>
      <c r="AB100" s="887"/>
      <c r="AC100" s="899"/>
      <c r="AD100" s="900"/>
      <c r="AE100" s="896"/>
      <c r="AF100" s="896"/>
      <c r="AG100" s="896"/>
      <c r="AH100" s="896"/>
      <c r="AI100" s="896"/>
      <c r="AJ100" s="896"/>
      <c r="AK100" s="896"/>
      <c r="AL100" s="896"/>
      <c r="AM100" s="896"/>
    </row>
    <row r="101" spans="2:50">
      <c r="B101" s="2151"/>
      <c r="C101" s="64" t="s">
        <v>58</v>
      </c>
      <c r="D101" s="476">
        <f t="shared" ref="D101:G103" si="185">SUMIFS(D$108:D$116,$B$108:$B$116,$C101)</f>
        <v>51.545000000000002</v>
      </c>
      <c r="E101" s="476">
        <f t="shared" si="185"/>
        <v>51.545000000000002</v>
      </c>
      <c r="F101" s="476">
        <f t="shared" si="185"/>
        <v>51.545000000000002</v>
      </c>
      <c r="G101" s="476">
        <f>SUMIFS(G$108:G$116,$B$108:$B$116,$C101)</f>
        <v>51.545000000000002</v>
      </c>
      <c r="H101" s="476">
        <f t="shared" ref="H101:H103" si="186">SUMIFS(H$109:H$116,$B$109:$B$116,$C101)</f>
        <v>206.18</v>
      </c>
    </row>
    <row r="102" spans="2:50">
      <c r="B102" s="2151"/>
      <c r="C102" s="64" t="s">
        <v>261</v>
      </c>
      <c r="D102" s="476">
        <f t="shared" si="185"/>
        <v>17.61</v>
      </c>
      <c r="E102" s="476">
        <f t="shared" si="185"/>
        <v>17.61</v>
      </c>
      <c r="F102" s="476">
        <f t="shared" si="185"/>
        <v>17.61</v>
      </c>
      <c r="G102" s="476">
        <f t="shared" si="185"/>
        <v>17.61</v>
      </c>
      <c r="H102" s="476">
        <f t="shared" si="186"/>
        <v>70.44</v>
      </c>
    </row>
    <row r="103" spans="2:50">
      <c r="B103" s="2151"/>
      <c r="C103" s="64" t="s">
        <v>57</v>
      </c>
      <c r="D103" s="476">
        <f t="shared" si="185"/>
        <v>81.2</v>
      </c>
      <c r="E103" s="476">
        <f t="shared" si="185"/>
        <v>45.949999999999996</v>
      </c>
      <c r="F103" s="476">
        <f t="shared" si="185"/>
        <v>38.900000000000013</v>
      </c>
      <c r="G103" s="476">
        <f>SUMIFS(G$108:G$116,$B$108:$B$116,$C103)</f>
        <v>38.900000000000013</v>
      </c>
      <c r="H103" s="476">
        <f t="shared" si="186"/>
        <v>204.95000000000002</v>
      </c>
      <c r="AE103" s="480"/>
      <c r="AF103" s="480"/>
      <c r="AG103" s="480"/>
      <c r="AH103" s="480"/>
    </row>
    <row r="104" spans="2:50">
      <c r="B104" s="2151"/>
      <c r="C104" s="64" t="s">
        <v>11</v>
      </c>
      <c r="D104" s="476">
        <f>SUM(D100:D103)</f>
        <v>215.86500000000001</v>
      </c>
      <c r="E104" s="476">
        <f>SUM(E100:E103)</f>
        <v>929.21500000000003</v>
      </c>
      <c r="F104" s="476">
        <f>SUM(F100:F103)</f>
        <v>3607.6150000000007</v>
      </c>
      <c r="G104" s="476">
        <f>SUM(G100:G103)</f>
        <v>4704.1749999999993</v>
      </c>
      <c r="H104" s="476">
        <f>SUM(H100:H103)</f>
        <v>9456.8700000000026</v>
      </c>
      <c r="AB104" s="477"/>
      <c r="AD104" s="481"/>
      <c r="AE104" s="480"/>
      <c r="AF104" s="480"/>
      <c r="AG104" s="480"/>
      <c r="AH104" s="480"/>
    </row>
    <row r="105" spans="2:50">
      <c r="B105" s="2151"/>
      <c r="C105" s="64"/>
      <c r="D105" s="476"/>
      <c r="E105" s="476"/>
      <c r="F105" s="476"/>
      <c r="G105" s="476"/>
      <c r="H105" s="476"/>
      <c r="AB105" s="477"/>
    </row>
    <row r="106" spans="2:50">
      <c r="B106" s="2151"/>
      <c r="C106" s="478"/>
      <c r="D106" s="478"/>
      <c r="E106" s="460"/>
      <c r="F106" s="5"/>
      <c r="G106" s="5"/>
      <c r="H106" s="5"/>
    </row>
    <row r="107" spans="2:50">
      <c r="B107" s="2151"/>
      <c r="C107" s="64"/>
      <c r="D107" s="370" t="s">
        <v>7</v>
      </c>
      <c r="E107" s="370" t="s">
        <v>8</v>
      </c>
      <c r="F107" s="370" t="s">
        <v>9</v>
      </c>
      <c r="G107" s="370" t="s">
        <v>10</v>
      </c>
      <c r="H107" s="370" t="s">
        <v>11</v>
      </c>
    </row>
    <row r="108" spans="2:50">
      <c r="B108" s="2151" t="s">
        <v>24</v>
      </c>
      <c r="C108" s="64" t="s">
        <v>417</v>
      </c>
      <c r="D108" s="2132">
        <f>SUMIFS(R$9:R$89,$B$9:$B$89,$C108)</f>
        <v>0</v>
      </c>
      <c r="E108" s="2132">
        <f t="shared" ref="E108:E116" si="187">SUMIFS(S$9:S$92,$B$9:$B$92,$C108)</f>
        <v>0</v>
      </c>
      <c r="F108" s="2132">
        <f t="shared" ref="F108:F116" si="188">SUMIFS(T$9:T$92,$B$9:$B$92,$C108)</f>
        <v>0</v>
      </c>
      <c r="G108" s="2132">
        <f t="shared" ref="G108:G116" si="189">SUMIFS(U$9:U$92,$B$9:$B$92,$C108)</f>
        <v>0</v>
      </c>
      <c r="H108" s="2132">
        <f t="shared" ref="H108:H116" si="190">SUM(D108:G108)</f>
        <v>0</v>
      </c>
    </row>
    <row r="109" spans="2:50">
      <c r="B109" s="2151" t="s">
        <v>24</v>
      </c>
      <c r="C109" s="64" t="s">
        <v>322</v>
      </c>
      <c r="D109" s="2132">
        <f t="shared" ref="D109:D116" si="191">SUMIFS(R$9:R$92,$B$9:$B$92,$C109)</f>
        <v>65.510000000000005</v>
      </c>
      <c r="E109" s="2132">
        <f t="shared" si="187"/>
        <v>196.53</v>
      </c>
      <c r="F109" s="2132">
        <f t="shared" si="188"/>
        <v>196.53</v>
      </c>
      <c r="G109" s="2132">
        <f t="shared" si="189"/>
        <v>131.02000000000001</v>
      </c>
      <c r="H109" s="2132">
        <f t="shared" si="190"/>
        <v>589.59</v>
      </c>
    </row>
    <row r="110" spans="2:50">
      <c r="B110" s="2151" t="s">
        <v>24</v>
      </c>
      <c r="C110" s="64" t="s">
        <v>323</v>
      </c>
      <c r="D110" s="2132">
        <f t="shared" si="191"/>
        <v>0</v>
      </c>
      <c r="E110" s="2132">
        <f t="shared" si="187"/>
        <v>0</v>
      </c>
      <c r="F110" s="2132">
        <f t="shared" si="188"/>
        <v>420.74</v>
      </c>
      <c r="G110" s="2132">
        <f t="shared" si="189"/>
        <v>1026.8400000000001</v>
      </c>
      <c r="H110" s="2132">
        <f t="shared" si="190"/>
        <v>1447.5800000000002</v>
      </c>
    </row>
    <row r="111" spans="2:50">
      <c r="B111" s="2151" t="s">
        <v>24</v>
      </c>
      <c r="C111" s="64" t="s">
        <v>325</v>
      </c>
      <c r="D111" s="2132">
        <f t="shared" si="191"/>
        <v>0</v>
      </c>
      <c r="E111" s="2132">
        <f t="shared" si="187"/>
        <v>265.21000000000004</v>
      </c>
      <c r="F111" s="2132">
        <f t="shared" si="188"/>
        <v>795.63000000000011</v>
      </c>
      <c r="G111" s="2132">
        <f t="shared" si="189"/>
        <v>992.06000000000006</v>
      </c>
      <c r="H111" s="2132">
        <f t="shared" si="190"/>
        <v>2052.9</v>
      </c>
    </row>
    <row r="112" spans="2:50">
      <c r="B112" s="2151" t="s">
        <v>24</v>
      </c>
      <c r="C112" s="64" t="s">
        <v>326</v>
      </c>
      <c r="D112" s="2132">
        <f t="shared" si="191"/>
        <v>0</v>
      </c>
      <c r="E112" s="2132">
        <f t="shared" si="187"/>
        <v>182.97</v>
      </c>
      <c r="F112" s="2132">
        <f t="shared" si="188"/>
        <v>548.91000000000008</v>
      </c>
      <c r="G112" s="2132">
        <f t="shared" si="189"/>
        <v>504.41999999999996</v>
      </c>
      <c r="H112" s="2132">
        <f t="shared" si="190"/>
        <v>1236.3000000000002</v>
      </c>
    </row>
    <row r="113" spans="2:70" s="5" customFormat="1">
      <c r="B113" s="2151" t="s">
        <v>24</v>
      </c>
      <c r="C113" s="64" t="s">
        <v>324</v>
      </c>
      <c r="D113" s="2132">
        <f t="shared" si="191"/>
        <v>0</v>
      </c>
      <c r="E113" s="2132">
        <f t="shared" si="187"/>
        <v>169.4</v>
      </c>
      <c r="F113" s="2132">
        <f t="shared" si="188"/>
        <v>1537.75</v>
      </c>
      <c r="G113" s="2132">
        <f t="shared" si="189"/>
        <v>1941.78</v>
      </c>
      <c r="H113" s="2132">
        <f t="shared" si="190"/>
        <v>3648.9300000000003</v>
      </c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AC113" s="2"/>
      <c r="AD113" s="27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4"/>
      <c r="AZ113" s="64"/>
      <c r="BA113" s="64"/>
      <c r="BB113" s="64"/>
      <c r="BC113" s="64"/>
      <c r="BD113" s="64"/>
      <c r="BE113" s="64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2:70" s="5" customFormat="1">
      <c r="B114" s="2151" t="s">
        <v>58</v>
      </c>
      <c r="C114" s="64" t="s">
        <v>58</v>
      </c>
      <c r="D114" s="2132">
        <f t="shared" si="191"/>
        <v>51.545000000000002</v>
      </c>
      <c r="E114" s="2132">
        <f t="shared" si="187"/>
        <v>51.545000000000002</v>
      </c>
      <c r="F114" s="2132">
        <f t="shared" si="188"/>
        <v>51.545000000000002</v>
      </c>
      <c r="G114" s="2132">
        <f t="shared" si="189"/>
        <v>51.545000000000002</v>
      </c>
      <c r="H114" s="2132">
        <f t="shared" si="190"/>
        <v>206.18</v>
      </c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AC114" s="2"/>
      <c r="AD114" s="27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4"/>
      <c r="AZ114" s="64"/>
      <c r="BA114" s="64"/>
      <c r="BB114" s="64"/>
      <c r="BC114" s="64"/>
      <c r="BD114" s="64"/>
      <c r="BE114" s="64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2:70" s="5" customFormat="1">
      <c r="B115" s="2151" t="s">
        <v>261</v>
      </c>
      <c r="C115" s="64" t="s">
        <v>261</v>
      </c>
      <c r="D115" s="2132">
        <f t="shared" si="191"/>
        <v>17.61</v>
      </c>
      <c r="E115" s="2132">
        <f t="shared" si="187"/>
        <v>17.61</v>
      </c>
      <c r="F115" s="2132">
        <f t="shared" si="188"/>
        <v>17.61</v>
      </c>
      <c r="G115" s="2132">
        <f t="shared" si="189"/>
        <v>17.61</v>
      </c>
      <c r="H115" s="2132">
        <f t="shared" si="190"/>
        <v>70.44</v>
      </c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AC115" s="2"/>
      <c r="AD115" s="27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4"/>
      <c r="AZ115" s="64"/>
      <c r="BA115" s="64"/>
      <c r="BB115" s="64"/>
      <c r="BC115" s="64"/>
      <c r="BD115" s="64"/>
      <c r="BE115" s="64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2:70" s="5" customFormat="1">
      <c r="B116" s="2151" t="s">
        <v>57</v>
      </c>
      <c r="C116" s="64" t="s">
        <v>57</v>
      </c>
      <c r="D116" s="2132">
        <f t="shared" si="191"/>
        <v>81.2</v>
      </c>
      <c r="E116" s="2132">
        <f t="shared" si="187"/>
        <v>45.949999999999996</v>
      </c>
      <c r="F116" s="2132">
        <f t="shared" si="188"/>
        <v>38.900000000000013</v>
      </c>
      <c r="G116" s="2132">
        <f t="shared" si="189"/>
        <v>38.900000000000013</v>
      </c>
      <c r="H116" s="2132">
        <f t="shared" si="190"/>
        <v>204.95000000000002</v>
      </c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AC116" s="2"/>
      <c r="AD116" s="27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4"/>
      <c r="AZ116" s="64"/>
      <c r="BA116" s="64"/>
      <c r="BB116" s="64"/>
      <c r="BC116" s="64"/>
      <c r="BD116" s="64"/>
      <c r="BE116" s="64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2:70" s="5" customFormat="1" ht="21.75" customHeight="1">
      <c r="B117" s="2151"/>
      <c r="C117" s="479" t="s">
        <v>11</v>
      </c>
      <c r="D117" s="479">
        <f>SUM(D108:D116)</f>
        <v>215.86500000000001</v>
      </c>
      <c r="E117" s="479">
        <f>SUM(E108:E116)</f>
        <v>929.21500000000003</v>
      </c>
      <c r="F117" s="479">
        <f>SUM(F108:F116)</f>
        <v>3607.6150000000007</v>
      </c>
      <c r="G117" s="479">
        <f>SUM(G108:G116)</f>
        <v>4704.1749999999993</v>
      </c>
      <c r="H117" s="479">
        <f>SUM(H108:H116)</f>
        <v>9456.8700000000026</v>
      </c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AC117" s="2"/>
      <c r="AD117" s="27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4"/>
      <c r="AZ117" s="64"/>
      <c r="BA117" s="64"/>
      <c r="BB117" s="64"/>
      <c r="BC117" s="64"/>
      <c r="BD117" s="64"/>
      <c r="BE117" s="64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</sheetData>
  <autoFilter ref="BB1:BB117" xr:uid="{00000000-0009-0000-0000-000004000000}"/>
  <mergeCells count="3">
    <mergeCell ref="K5:K7"/>
    <mergeCell ref="AD5:AH5"/>
    <mergeCell ref="D6:F6"/>
  </mergeCells>
  <printOptions horizontalCentered="1" headings="1"/>
  <pageMargins left="0.39370078740157483" right="0.39370078740157483" top="0.23622047244094491" bottom="0.23622047244094491" header="0.51181102362204722" footer="0.51181102362204722"/>
  <pageSetup paperSize="8" scale="56" orientation="landscape" r:id="rId1"/>
  <headerFooter>
    <oddHeader xml:space="preserve">&amp;L&amp;"Arial,Italic"&amp;12&amp;K002060TSSD-AF&amp;R&amp;"Calibri,Italic"&amp;12AWPB 2020 
Annex 4b&amp;10
</oddHeader>
    <oddFooter xml:space="preserve">&amp;R&amp;"Calibri,Italic"&amp;12Annex 4b - Page &amp;P 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'Annex 2_Code'!$G$110:$G$127</xm:f>
          </x14:formula1>
          <xm:sqref>BA8:BA9 BA15:BA16 BA22:BA23 BA29:BA30 BA35 BA70:BA72 BA78:BA86 BA55:BA59</xm:sqref>
        </x14:dataValidation>
        <x14:dataValidation type="list" allowBlank="1" showInputMessage="1" showErrorMessage="1" xr:uid="{00000000-0002-0000-0400-000001000000}">
          <x14:formula1>
            <xm:f>'Annex 2_Code'!$G$37:$G$94</xm:f>
          </x14:formula1>
          <xm:sqref>C9 C15:C16 C22:C23 C29:C30 C35 C38:C88</xm:sqref>
        </x14:dataValidation>
        <x14:dataValidation type="list" allowBlank="1" showInputMessage="1" showErrorMessage="1" xr:uid="{00000000-0002-0000-0400-000002000000}">
          <x14:formula1>
            <xm:f>'D:\MAFF\Agribusiness\AWPB 2021\MOWRAM\[Final_CFAVC_AWPB2021_Accepted_format_by_MEF_MOWRAM_V2.xlsx]Annex 2'!#REF!</xm:f>
          </x14:formula1>
          <xm:sqref>C10:C14 C17:C21 C24:C28 C31:C34 BA10:BA14 BA73:BA77 C36:C37 BA17:BA21 BA24:BA28 BA31:BA34 BA60:BA69 BA36:BA54</xm:sqref>
        </x14:dataValidation>
        <x14:dataValidation type="list" allowBlank="1" showInputMessage="1" showErrorMessage="1" xr:uid="{00000000-0002-0000-0400-000003000000}">
          <x14:formula1>
            <xm:f>'Annex 2_Code'!$G$8:$G$33</xm:f>
          </x14:formula1>
          <xm:sqref>BB8:BB86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BI226"/>
  <sheetViews>
    <sheetView showGridLines="0" topLeftCell="A130" zoomScale="90" zoomScaleNormal="90" workbookViewId="0">
      <selection activeCell="G18" sqref="G18"/>
    </sheetView>
  </sheetViews>
  <sheetFormatPr defaultColWidth="9.140625" defaultRowHeight="12.75"/>
  <cols>
    <col min="1" max="1" width="3.85546875" style="140" customWidth="1"/>
    <col min="2" max="2" width="9.42578125" style="140" bestFit="1" customWidth="1"/>
    <col min="3" max="3" width="8.7109375" style="141" customWidth="1"/>
    <col min="4" max="4" width="5.42578125" style="99" customWidth="1"/>
    <col min="5" max="6" width="5.140625" style="99" customWidth="1"/>
    <col min="7" max="7" width="62.5703125" style="99" customWidth="1"/>
    <col min="8" max="8" width="11.140625" style="142" customWidth="1"/>
    <col min="9" max="10" width="12" style="142" customWidth="1"/>
    <col min="11" max="11" width="14.42578125" style="99" customWidth="1"/>
    <col min="12" max="12" width="13.140625" style="99" customWidth="1"/>
    <col min="13" max="13" width="11.140625" style="99" customWidth="1"/>
    <col min="14" max="15" width="10" style="99" customWidth="1"/>
    <col min="16" max="16" width="11.28515625" style="99" customWidth="1"/>
    <col min="17" max="17" width="11" style="99" customWidth="1"/>
    <col min="18" max="18" width="11.5703125" style="99" customWidth="1"/>
    <col min="19" max="19" width="12.7109375" style="99" customWidth="1"/>
    <col min="20" max="20" width="11.28515625" style="99" customWidth="1"/>
    <col min="21" max="21" width="13" style="123" customWidth="1"/>
    <col min="22" max="22" width="11.7109375" style="143" customWidth="1"/>
    <col min="23" max="24" width="9.5703125" style="144" customWidth="1"/>
    <col min="25" max="25" width="9.7109375" style="144" customWidth="1"/>
    <col min="26" max="29" width="10.42578125" style="99" customWidth="1"/>
    <col min="30" max="31" width="11.140625" style="99" customWidth="1"/>
    <col min="32" max="41" width="9.7109375" style="99" customWidth="1"/>
    <col min="42" max="50" width="8.42578125" style="99" customWidth="1"/>
    <col min="51" max="51" width="11.7109375" style="99" customWidth="1"/>
    <col min="52" max="53" width="13.85546875" style="99" customWidth="1"/>
    <col min="54" max="54" width="15" style="99" customWidth="1"/>
    <col min="55" max="55" width="11" style="99" customWidth="1"/>
    <col min="56" max="56" width="3.42578125" style="99" customWidth="1"/>
    <col min="57" max="57" width="16" style="99" customWidth="1"/>
    <col min="58" max="58" width="22.85546875" style="99" customWidth="1"/>
    <col min="59" max="59" width="13" style="99" bestFit="1" customWidth="1"/>
    <col min="60" max="16384" width="9.140625" style="99"/>
  </cols>
  <sheetData>
    <row r="1" spans="1:61" s="64" customFormat="1">
      <c r="A1" s="30"/>
      <c r="B1" s="25"/>
      <c r="C1" s="1225"/>
      <c r="D1" s="67" t="s">
        <v>39</v>
      </c>
      <c r="E1" s="66"/>
      <c r="G1" s="66"/>
      <c r="H1" s="31"/>
      <c r="I1" s="66"/>
      <c r="J1" s="66"/>
      <c r="K1" s="66"/>
      <c r="L1" s="66"/>
      <c r="M1" s="66"/>
      <c r="N1" s="66"/>
      <c r="O1" s="66"/>
      <c r="P1" s="66" t="s">
        <v>14</v>
      </c>
      <c r="Q1" s="66"/>
      <c r="R1" s="66"/>
      <c r="S1" s="66"/>
      <c r="T1" s="67"/>
      <c r="U1" s="39"/>
      <c r="V1" s="40"/>
      <c r="W1" s="40"/>
      <c r="X1" s="40"/>
      <c r="Y1" s="40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</row>
    <row r="2" spans="1:61" s="64" customFormat="1">
      <c r="A2" s="30"/>
      <c r="B2" s="25"/>
      <c r="C2" s="1225"/>
      <c r="D2" s="67" t="s">
        <v>707</v>
      </c>
      <c r="E2" s="66"/>
      <c r="G2" s="66"/>
      <c r="H2" s="31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  <c r="U2" s="39"/>
      <c r="V2" s="40"/>
      <c r="W2" s="40"/>
      <c r="X2" s="40"/>
      <c r="Y2" s="40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</row>
    <row r="3" spans="1:61" s="64" customFormat="1">
      <c r="A3" s="30"/>
      <c r="B3" s="25"/>
      <c r="C3" s="1225"/>
      <c r="D3" s="71" t="s">
        <v>190</v>
      </c>
      <c r="E3" s="66"/>
      <c r="G3" s="66"/>
      <c r="H3" s="31"/>
      <c r="I3" s="66">
        <v>1000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39"/>
      <c r="V3" s="40"/>
      <c r="W3" s="40"/>
      <c r="X3" s="40"/>
      <c r="Y3" s="40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</row>
    <row r="4" spans="1:61" s="64" customFormat="1" ht="6" customHeight="1">
      <c r="A4" s="30"/>
      <c r="B4" s="38"/>
      <c r="C4" s="49"/>
      <c r="D4" s="66"/>
      <c r="E4" s="66"/>
      <c r="F4" s="66"/>
      <c r="G4" s="66"/>
      <c r="H4" s="3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7"/>
      <c r="U4" s="39"/>
      <c r="V4" s="40"/>
      <c r="W4" s="40"/>
      <c r="X4" s="40"/>
      <c r="Y4" s="40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1:61" s="64" customFormat="1" ht="24" customHeight="1">
      <c r="A5" s="30"/>
      <c r="B5" s="2368" t="s">
        <v>0</v>
      </c>
      <c r="C5" s="2368" t="s">
        <v>500</v>
      </c>
      <c r="D5" s="2371" t="s">
        <v>932</v>
      </c>
      <c r="E5" s="2372"/>
      <c r="F5" s="2372"/>
      <c r="G5" s="1490"/>
      <c r="H5" s="2376" t="s">
        <v>1</v>
      </c>
      <c r="I5" s="2378" t="s">
        <v>2</v>
      </c>
      <c r="J5" s="1634" t="s">
        <v>1082</v>
      </c>
      <c r="K5" s="1226"/>
      <c r="L5" s="1227"/>
      <c r="M5" s="1227"/>
      <c r="N5" s="1227"/>
      <c r="O5" s="1228"/>
      <c r="P5" s="1226"/>
      <c r="Q5" s="1227"/>
      <c r="R5" s="1227"/>
      <c r="S5" s="1227"/>
      <c r="T5" s="1228"/>
      <c r="U5" s="1229" t="s">
        <v>47</v>
      </c>
      <c r="V5" s="1230"/>
      <c r="W5" s="1230"/>
      <c r="X5" s="1230"/>
      <c r="Y5" s="1231"/>
      <c r="Z5" s="2381" t="s">
        <v>1036</v>
      </c>
      <c r="AA5" s="2382"/>
      <c r="AB5" s="2382"/>
      <c r="AC5" s="2382"/>
      <c r="AD5" s="2382"/>
      <c r="AE5" s="2382"/>
      <c r="AF5" s="2382"/>
      <c r="AG5" s="2382"/>
      <c r="AH5" s="2382"/>
      <c r="AI5" s="2382"/>
      <c r="AJ5" s="2382"/>
      <c r="AK5" s="2382"/>
      <c r="AL5" s="2382"/>
      <c r="AM5" s="2382"/>
      <c r="AN5" s="2382"/>
      <c r="AO5" s="2382"/>
      <c r="AP5" s="2382"/>
      <c r="AQ5" s="2382"/>
      <c r="AR5" s="2382"/>
      <c r="AS5" s="2382"/>
      <c r="AT5" s="2382"/>
      <c r="AU5" s="2382"/>
      <c r="AV5" s="2382"/>
      <c r="AW5" s="2382"/>
      <c r="AX5" s="2383"/>
      <c r="AY5" s="1232"/>
      <c r="AZ5" s="1233"/>
      <c r="BA5" s="1233"/>
      <c r="BB5" s="1233"/>
      <c r="BC5" s="1234"/>
      <c r="BD5" s="66"/>
      <c r="BE5" s="1045"/>
      <c r="BF5" s="1045"/>
      <c r="BG5" s="1045"/>
      <c r="BH5" s="1045"/>
      <c r="BI5" s="66"/>
    </row>
    <row r="6" spans="1:61" s="64" customFormat="1" ht="24.6" customHeight="1">
      <c r="A6" s="30"/>
      <c r="B6" s="2369"/>
      <c r="C6" s="2369"/>
      <c r="D6" s="2363"/>
      <c r="E6" s="2373"/>
      <c r="F6" s="2373"/>
      <c r="G6" s="1048" t="s">
        <v>6</v>
      </c>
      <c r="H6" s="2358"/>
      <c r="I6" s="2379"/>
      <c r="J6" s="2369" t="s">
        <v>1083</v>
      </c>
      <c r="K6" s="800" t="s">
        <v>3</v>
      </c>
      <c r="L6" s="801"/>
      <c r="M6" s="801"/>
      <c r="N6" s="801"/>
      <c r="O6" s="802"/>
      <c r="P6" s="800" t="s">
        <v>4</v>
      </c>
      <c r="Q6" s="801"/>
      <c r="R6" s="801"/>
      <c r="S6" s="801"/>
      <c r="T6" s="802"/>
      <c r="U6" s="70" t="s">
        <v>14</v>
      </c>
      <c r="V6" s="70"/>
      <c r="W6" s="70"/>
      <c r="X6" s="70"/>
      <c r="Y6" s="72"/>
      <c r="Z6" s="2384" t="s">
        <v>26</v>
      </c>
      <c r="AA6" s="2385"/>
      <c r="AB6" s="2385"/>
      <c r="AC6" s="2385"/>
      <c r="AD6" s="2386"/>
      <c r="AE6" s="2384" t="s">
        <v>48</v>
      </c>
      <c r="AF6" s="2385"/>
      <c r="AG6" s="2385"/>
      <c r="AH6" s="2385"/>
      <c r="AI6" s="2386"/>
      <c r="AJ6" s="2387" t="s">
        <v>49</v>
      </c>
      <c r="AK6" s="2387"/>
      <c r="AL6" s="2387"/>
      <c r="AM6" s="2387"/>
      <c r="AN6" s="2387"/>
      <c r="AO6" s="2384" t="s">
        <v>50</v>
      </c>
      <c r="AP6" s="2385"/>
      <c r="AQ6" s="2385"/>
      <c r="AR6" s="2385"/>
      <c r="AS6" s="2386"/>
      <c r="AT6" s="2387" t="s">
        <v>51</v>
      </c>
      <c r="AU6" s="2387"/>
      <c r="AV6" s="2387"/>
      <c r="AW6" s="2387"/>
      <c r="AX6" s="2388"/>
      <c r="AY6" s="1235" t="s">
        <v>1036</v>
      </c>
      <c r="AZ6" s="1236"/>
      <c r="BA6" s="1236"/>
      <c r="BB6" s="1236"/>
      <c r="BC6" s="1237"/>
      <c r="BD6" s="66"/>
      <c r="BE6" s="1560" t="s">
        <v>556</v>
      </c>
      <c r="BF6" s="1560" t="s">
        <v>555</v>
      </c>
      <c r="BG6" s="1560" t="s">
        <v>470</v>
      </c>
      <c r="BH6" s="1560" t="s">
        <v>557</v>
      </c>
      <c r="BI6" s="66"/>
    </row>
    <row r="7" spans="1:61" s="64" customFormat="1" ht="13.5">
      <c r="A7" s="30"/>
      <c r="B7" s="2370"/>
      <c r="C7" s="2370"/>
      <c r="D7" s="2374"/>
      <c r="E7" s="2375"/>
      <c r="F7" s="2375"/>
      <c r="G7" s="1491"/>
      <c r="H7" s="2377"/>
      <c r="I7" s="2380"/>
      <c r="J7" s="2370"/>
      <c r="K7" s="62" t="s">
        <v>7</v>
      </c>
      <c r="L7" s="59" t="s">
        <v>8</v>
      </c>
      <c r="M7" s="59" t="s">
        <v>9</v>
      </c>
      <c r="N7" s="59" t="s">
        <v>10</v>
      </c>
      <c r="O7" s="60" t="s">
        <v>11</v>
      </c>
      <c r="P7" s="59" t="s">
        <v>7</v>
      </c>
      <c r="Q7" s="59" t="s">
        <v>8</v>
      </c>
      <c r="R7" s="59" t="s">
        <v>9</v>
      </c>
      <c r="S7" s="59" t="s">
        <v>10</v>
      </c>
      <c r="T7" s="60" t="s">
        <v>11</v>
      </c>
      <c r="U7" s="148" t="s">
        <v>26</v>
      </c>
      <c r="V7" s="148" t="s">
        <v>48</v>
      </c>
      <c r="W7" s="148" t="s">
        <v>49</v>
      </c>
      <c r="X7" s="148" t="s">
        <v>50</v>
      </c>
      <c r="Y7" s="147" t="s">
        <v>51</v>
      </c>
      <c r="Z7" s="795" t="s">
        <v>7</v>
      </c>
      <c r="AA7" s="433" t="s">
        <v>8</v>
      </c>
      <c r="AB7" s="433" t="s">
        <v>9</v>
      </c>
      <c r="AC7" s="433" t="s">
        <v>10</v>
      </c>
      <c r="AD7" s="796" t="s">
        <v>11</v>
      </c>
      <c r="AE7" s="795" t="s">
        <v>7</v>
      </c>
      <c r="AF7" s="433" t="s">
        <v>8</v>
      </c>
      <c r="AG7" s="433" t="s">
        <v>9</v>
      </c>
      <c r="AH7" s="433" t="s">
        <v>10</v>
      </c>
      <c r="AI7" s="796" t="s">
        <v>11</v>
      </c>
      <c r="AJ7" s="433" t="s">
        <v>7</v>
      </c>
      <c r="AK7" s="433" t="s">
        <v>8</v>
      </c>
      <c r="AL7" s="433" t="s">
        <v>9</v>
      </c>
      <c r="AM7" s="433" t="s">
        <v>10</v>
      </c>
      <c r="AN7" s="433" t="s">
        <v>11</v>
      </c>
      <c r="AO7" s="795" t="s">
        <v>7</v>
      </c>
      <c r="AP7" s="433" t="s">
        <v>8</v>
      </c>
      <c r="AQ7" s="433" t="s">
        <v>9</v>
      </c>
      <c r="AR7" s="433" t="s">
        <v>10</v>
      </c>
      <c r="AS7" s="796" t="s">
        <v>11</v>
      </c>
      <c r="AT7" s="433" t="s">
        <v>7</v>
      </c>
      <c r="AU7" s="433" t="s">
        <v>8</v>
      </c>
      <c r="AV7" s="433" t="s">
        <v>9</v>
      </c>
      <c r="AW7" s="433" t="s">
        <v>10</v>
      </c>
      <c r="AX7" s="796" t="s">
        <v>11</v>
      </c>
      <c r="AY7" s="1238" t="s">
        <v>26</v>
      </c>
      <c r="AZ7" s="1239" t="s">
        <v>48</v>
      </c>
      <c r="BA7" s="1239" t="s">
        <v>49</v>
      </c>
      <c r="BB7" s="1239" t="s">
        <v>50</v>
      </c>
      <c r="BC7" s="1240" t="s">
        <v>51</v>
      </c>
      <c r="BD7" s="66"/>
      <c r="BE7" s="1561"/>
      <c r="BF7" s="1561"/>
      <c r="BG7" s="1561"/>
      <c r="BH7" s="1562"/>
      <c r="BI7" s="66"/>
    </row>
    <row r="8" spans="1:61" ht="21" customHeight="1">
      <c r="A8" s="102"/>
      <c r="B8" s="103"/>
      <c r="C8" s="104"/>
      <c r="D8" s="61" t="s">
        <v>12</v>
      </c>
      <c r="E8" s="273"/>
      <c r="F8" s="273"/>
      <c r="G8" s="273"/>
      <c r="H8" s="1241"/>
      <c r="I8" s="767"/>
      <c r="J8" s="275"/>
      <c r="K8" s="275"/>
      <c r="L8" s="274"/>
      <c r="M8" s="274"/>
      <c r="N8" s="274"/>
      <c r="O8" s="760"/>
      <c r="P8" s="274"/>
      <c r="Q8" s="274"/>
      <c r="R8" s="274"/>
      <c r="S8" s="274"/>
      <c r="T8" s="807"/>
      <c r="U8" s="808"/>
      <c r="V8" s="276"/>
      <c r="W8" s="276"/>
      <c r="X8" s="276"/>
      <c r="Y8" s="105"/>
      <c r="Z8" s="78"/>
      <c r="AA8" s="97"/>
      <c r="AB8" s="97"/>
      <c r="AC8" s="97"/>
      <c r="AD8" s="98"/>
      <c r="AE8" s="78"/>
      <c r="AF8" s="97"/>
      <c r="AG8" s="97"/>
      <c r="AH8" s="97"/>
      <c r="AI8" s="98"/>
      <c r="AJ8" s="97"/>
      <c r="AK8" s="97"/>
      <c r="AL8" s="97"/>
      <c r="AM8" s="97"/>
      <c r="AN8" s="97"/>
      <c r="AO8" s="78"/>
      <c r="AP8" s="97"/>
      <c r="AQ8" s="97"/>
      <c r="AR8" s="97"/>
      <c r="AS8" s="98"/>
      <c r="AT8" s="78"/>
      <c r="AU8" s="97"/>
      <c r="AV8" s="97"/>
      <c r="AW8" s="97"/>
      <c r="AX8" s="98"/>
      <c r="AY8" s="78"/>
      <c r="AZ8" s="97"/>
      <c r="BA8" s="97"/>
      <c r="BB8" s="97"/>
      <c r="BC8" s="98"/>
      <c r="BD8" s="97"/>
      <c r="BE8" s="1282"/>
      <c r="BF8" s="1282"/>
      <c r="BG8" s="1282"/>
      <c r="BH8" s="1563"/>
      <c r="BI8" s="97"/>
    </row>
    <row r="9" spans="1:61" s="85" customFormat="1" ht="20.100000000000001" customHeight="1">
      <c r="A9" s="92"/>
      <c r="B9" s="93"/>
      <c r="C9" s="89"/>
      <c r="D9" s="277" t="s">
        <v>193</v>
      </c>
      <c r="E9" s="278"/>
      <c r="F9" s="279"/>
      <c r="G9" s="280"/>
      <c r="H9" s="768"/>
      <c r="I9" s="769"/>
      <c r="J9" s="1637"/>
      <c r="K9" s="787"/>
      <c r="L9" s="108"/>
      <c r="M9" s="108"/>
      <c r="N9" s="108"/>
      <c r="O9" s="761"/>
      <c r="P9" s="281"/>
      <c r="Q9" s="281"/>
      <c r="R9" s="281"/>
      <c r="S9" s="281"/>
      <c r="T9" s="109"/>
      <c r="U9" s="809"/>
      <c r="V9" s="282"/>
      <c r="W9" s="282"/>
      <c r="X9" s="282"/>
      <c r="Y9" s="90"/>
      <c r="Z9" s="113"/>
      <c r="AA9" s="84"/>
      <c r="AB9" s="84"/>
      <c r="AC9" s="84"/>
      <c r="AD9" s="91"/>
      <c r="AE9" s="113"/>
      <c r="AF9" s="84"/>
      <c r="AG9" s="84"/>
      <c r="AH9" s="84"/>
      <c r="AI9" s="91"/>
      <c r="AJ9" s="84"/>
      <c r="AK9" s="84"/>
      <c r="AL9" s="84"/>
      <c r="AM9" s="84"/>
      <c r="AN9" s="84"/>
      <c r="AO9" s="113"/>
      <c r="AP9" s="84"/>
      <c r="AQ9" s="84"/>
      <c r="AR9" s="84"/>
      <c r="AS9" s="91"/>
      <c r="AT9" s="113"/>
      <c r="AU9" s="84"/>
      <c r="AV9" s="84"/>
      <c r="AW9" s="84"/>
      <c r="AX9" s="91"/>
      <c r="AY9" s="110"/>
      <c r="AZ9" s="84"/>
      <c r="BA9" s="84"/>
      <c r="BB9" s="84"/>
      <c r="BC9" s="91"/>
      <c r="BD9" s="84"/>
      <c r="BE9" s="1282"/>
      <c r="BF9" s="1282"/>
      <c r="BG9" s="1282"/>
      <c r="BH9" s="1563"/>
      <c r="BI9" s="84"/>
    </row>
    <row r="10" spans="1:61" s="85" customFormat="1" ht="20.100000000000001" customHeight="1">
      <c r="A10" s="75"/>
      <c r="B10" s="76"/>
      <c r="C10" s="77"/>
      <c r="D10" s="1242" t="s">
        <v>306</v>
      </c>
      <c r="F10" s="283"/>
      <c r="G10" s="284"/>
      <c r="H10" s="770"/>
      <c r="I10" s="771"/>
      <c r="J10" s="771"/>
      <c r="K10" s="79"/>
      <c r="L10" s="79"/>
      <c r="M10" s="79"/>
      <c r="N10" s="79"/>
      <c r="O10" s="762"/>
      <c r="P10" s="281"/>
      <c r="Q10" s="281"/>
      <c r="R10" s="281"/>
      <c r="S10" s="281"/>
      <c r="T10" s="87"/>
      <c r="U10" s="810"/>
      <c r="V10" s="285"/>
      <c r="W10" s="285"/>
      <c r="X10" s="285"/>
      <c r="Y10" s="94"/>
      <c r="Z10" s="86"/>
      <c r="AA10" s="82"/>
      <c r="AB10" s="82"/>
      <c r="AC10" s="82"/>
      <c r="AD10" s="83"/>
      <c r="AE10" s="86"/>
      <c r="AF10" s="82"/>
      <c r="AG10" s="82"/>
      <c r="AH10" s="82"/>
      <c r="AI10" s="83"/>
      <c r="AJ10" s="82"/>
      <c r="AK10" s="82"/>
      <c r="AL10" s="82"/>
      <c r="AM10" s="82"/>
      <c r="AN10" s="82"/>
      <c r="AO10" s="86"/>
      <c r="AP10" s="82"/>
      <c r="AQ10" s="82"/>
      <c r="AR10" s="82"/>
      <c r="AS10" s="83"/>
      <c r="AT10" s="86"/>
      <c r="AU10" s="82"/>
      <c r="AV10" s="82"/>
      <c r="AW10" s="82"/>
      <c r="AX10" s="83"/>
      <c r="AY10" s="78"/>
      <c r="AZ10" s="82"/>
      <c r="BA10" s="82"/>
      <c r="BB10" s="82"/>
      <c r="BC10" s="83"/>
      <c r="BD10" s="84"/>
      <c r="BE10" s="1564"/>
      <c r="BF10" s="1564"/>
      <c r="BG10" s="1282"/>
      <c r="BH10" s="1565"/>
      <c r="BI10" s="84"/>
    </row>
    <row r="11" spans="1:61" s="85" customFormat="1" ht="20.100000000000001" customHeight="1">
      <c r="A11" s="75"/>
      <c r="B11" s="76" t="s">
        <v>24</v>
      </c>
      <c r="C11" s="76" t="s">
        <v>307</v>
      </c>
      <c r="D11" s="69" t="s">
        <v>933</v>
      </c>
      <c r="H11" s="1243"/>
      <c r="I11" s="1244"/>
      <c r="J11" s="1244"/>
      <c r="K11" s="1245"/>
      <c r="L11" s="1245"/>
      <c r="M11" s="1246"/>
      <c r="N11" s="1246"/>
      <c r="O11" s="1247"/>
      <c r="P11" s="1248"/>
      <c r="Q11" s="1248"/>
      <c r="R11" s="1248"/>
      <c r="S11" s="1248"/>
      <c r="T11" s="1249"/>
      <c r="U11" s="1250"/>
      <c r="V11" s="1251"/>
      <c r="W11" s="1251"/>
      <c r="X11" s="1251"/>
      <c r="Y11" s="1252"/>
      <c r="Z11" s="1253">
        <f t="shared" ref="Z11:AC22" si="0">P11*$U11</f>
        <v>0</v>
      </c>
      <c r="AA11" s="1254">
        <f t="shared" si="0"/>
        <v>0</v>
      </c>
      <c r="AB11" s="1254">
        <f t="shared" si="0"/>
        <v>0</v>
      </c>
      <c r="AC11" s="1254">
        <f t="shared" si="0"/>
        <v>0</v>
      </c>
      <c r="AD11" s="1255">
        <f t="shared" ref="AD11" si="1">SUM(Z11:AC11)</f>
        <v>0</v>
      </c>
      <c r="AE11" s="1253">
        <f t="shared" ref="AE11:AI22" si="2">P11*$V11</f>
        <v>0</v>
      </c>
      <c r="AF11" s="1254">
        <f t="shared" si="2"/>
        <v>0</v>
      </c>
      <c r="AG11" s="1254">
        <f t="shared" si="2"/>
        <v>0</v>
      </c>
      <c r="AH11" s="1254">
        <f t="shared" si="2"/>
        <v>0</v>
      </c>
      <c r="AI11" s="1255"/>
      <c r="AJ11" s="1254"/>
      <c r="AK11" s="1254"/>
      <c r="AL11" s="1254"/>
      <c r="AM11" s="1254"/>
      <c r="AN11" s="1256"/>
      <c r="AO11" s="1253"/>
      <c r="AP11" s="1254"/>
      <c r="AQ11" s="1254"/>
      <c r="AR11" s="1254"/>
      <c r="AS11" s="1257"/>
      <c r="AT11" s="1253">
        <f t="shared" ref="AT11:AW22" si="3">P11*$Y11</f>
        <v>0</v>
      </c>
      <c r="AU11" s="1254">
        <f t="shared" si="3"/>
        <v>0</v>
      </c>
      <c r="AV11" s="1254">
        <f t="shared" si="3"/>
        <v>0</v>
      </c>
      <c r="AW11" s="1254">
        <f t="shared" si="3"/>
        <v>0</v>
      </c>
      <c r="AX11" s="1257">
        <f t="shared" ref="AX11:AX21" si="4">SUM(AT11:AW11)</f>
        <v>0</v>
      </c>
      <c r="AY11" s="1258"/>
      <c r="AZ11" s="1259"/>
      <c r="BA11" s="1259"/>
      <c r="BB11" s="1259"/>
      <c r="BC11" s="1260"/>
      <c r="BD11" s="84"/>
      <c r="BE11" s="1564"/>
      <c r="BF11" s="1564"/>
      <c r="BG11" s="1282"/>
      <c r="BH11" s="1565"/>
      <c r="BI11" s="84"/>
    </row>
    <row r="12" spans="1:61" s="85" customFormat="1" ht="20.100000000000001" customHeight="1">
      <c r="A12" s="75"/>
      <c r="B12" s="76" t="s">
        <v>24</v>
      </c>
      <c r="C12" s="76" t="s">
        <v>307</v>
      </c>
      <c r="D12" s="78"/>
      <c r="E12" s="1566"/>
      <c r="F12" t="s">
        <v>934</v>
      </c>
      <c r="H12" s="1755" t="s">
        <v>1095</v>
      </c>
      <c r="I12" s="773">
        <v>2.5</v>
      </c>
      <c r="J12" s="1026">
        <v>2.5000000000000001E-3</v>
      </c>
      <c r="K12" s="2236">
        <v>1467</v>
      </c>
      <c r="L12" s="2236">
        <v>1467</v>
      </c>
      <c r="M12" s="2236">
        <v>1467</v>
      </c>
      <c r="N12" s="2236">
        <v>1467</v>
      </c>
      <c r="O12" s="2235">
        <v>5868</v>
      </c>
      <c r="P12" s="2258">
        <f>K12*$I12/1000</f>
        <v>3.6675</v>
      </c>
      <c r="Q12" s="2258">
        <f t="shared" ref="Q12:R12" si="5">L12*$I12/1000</f>
        <v>3.6675</v>
      </c>
      <c r="R12" s="2258">
        <f t="shared" si="5"/>
        <v>3.6675</v>
      </c>
      <c r="S12" s="2258">
        <f>N12*$I12/1000</f>
        <v>3.6675</v>
      </c>
      <c r="T12" s="1263">
        <f>SUM(P12:S12)</f>
        <v>14.67</v>
      </c>
      <c r="U12" s="1250">
        <f>IFERROR(INDEX([8]Code!I$8:I$33,MATCH('[8]$MRD-Annex'!$BG13,[8]Code!$G$8:$G$33,0)),"")</f>
        <v>0.76827006604510995</v>
      </c>
      <c r="V12" s="1251">
        <f>IFERROR(INDEX([8]Code!J$8:J$33,MATCH('[8]$MRD-Annex'!$BG13,[8]Code!$G$8:$G$33,0)),"")</f>
        <v>0.12645069473218948</v>
      </c>
      <c r="W12" s="1251">
        <f>IFERROR(INDEX([8]Code!K$8:K$33,MATCH('[8]$MRD-Annex'!$BG13,[8]Code!$G$8:$G$33,0)),"")</f>
        <v>0.10527923922270058</v>
      </c>
      <c r="X12" s="1251">
        <f>IFERROR(INDEX([8]Code!L$8:L$33,MATCH('[8]$MRD-Annex'!$BG13,[8]Code!$G$8:$G$33,0)),"")</f>
        <v>0</v>
      </c>
      <c r="Y12" s="1252">
        <f>IFERROR(INDEX([8]Code!M$8:M$33,MATCH('[8]$MRD-Annex'!$BG13,[8]Code!$G$8:$G$33,0)),"")</f>
        <v>0</v>
      </c>
      <c r="Z12" s="1253">
        <f t="shared" si="0"/>
        <v>2.8176304672204409</v>
      </c>
      <c r="AA12" s="1254">
        <f t="shared" si="0"/>
        <v>2.8176304672204409</v>
      </c>
      <c r="AB12" s="1254">
        <f t="shared" si="0"/>
        <v>2.8176304672204409</v>
      </c>
      <c r="AC12" s="1254">
        <f t="shared" si="0"/>
        <v>2.8176304672204409</v>
      </c>
      <c r="AD12" s="1255">
        <f t="shared" ref="AD12:AD22" si="6">SUM(Z12:AC12)</f>
        <v>11.270521868881763</v>
      </c>
      <c r="AE12" s="1253">
        <f t="shared" si="2"/>
        <v>0.46375792293030493</v>
      </c>
      <c r="AF12" s="1254">
        <f t="shared" si="2"/>
        <v>0.46375792293030493</v>
      </c>
      <c r="AG12" s="1254">
        <f t="shared" si="2"/>
        <v>0.46375792293030493</v>
      </c>
      <c r="AH12" s="1254">
        <f t="shared" si="2"/>
        <v>0.46375792293030493</v>
      </c>
      <c r="AI12" s="1255">
        <f t="shared" si="2"/>
        <v>1.8550316917212197</v>
      </c>
      <c r="AJ12" s="1254">
        <f t="shared" ref="AJ12:AM22" si="7">P12*$W12</f>
        <v>0.38611160984925436</v>
      </c>
      <c r="AK12" s="1254">
        <f t="shared" si="7"/>
        <v>0.38611160984925436</v>
      </c>
      <c r="AL12" s="1254">
        <f t="shared" si="7"/>
        <v>0.38611160984925436</v>
      </c>
      <c r="AM12" s="1254">
        <f t="shared" si="7"/>
        <v>0.38611160984925436</v>
      </c>
      <c r="AN12" s="1256">
        <f t="shared" ref="AN12:AN22" si="8">SUM(AJ12:AM12)</f>
        <v>1.5444464393970174</v>
      </c>
      <c r="AO12" s="1253">
        <f t="shared" ref="AO12:AR22" si="9">P12*$X12</f>
        <v>0</v>
      </c>
      <c r="AP12" s="1254">
        <f t="shared" si="9"/>
        <v>0</v>
      </c>
      <c r="AQ12" s="1254">
        <f t="shared" si="9"/>
        <v>0</v>
      </c>
      <c r="AR12" s="1254">
        <f t="shared" si="9"/>
        <v>0</v>
      </c>
      <c r="AS12" s="1257">
        <f t="shared" ref="AS12:AS21" si="10">SUM(AO12:AR12)</f>
        <v>0</v>
      </c>
      <c r="AT12" s="1253">
        <f t="shared" si="3"/>
        <v>0</v>
      </c>
      <c r="AU12" s="1254">
        <f t="shared" si="3"/>
        <v>0</v>
      </c>
      <c r="AV12" s="1254">
        <f t="shared" si="3"/>
        <v>0</v>
      </c>
      <c r="AW12" s="1254">
        <f t="shared" si="3"/>
        <v>0</v>
      </c>
      <c r="AX12" s="1257">
        <f t="shared" si="4"/>
        <v>0</v>
      </c>
      <c r="AY12" s="1258">
        <f t="shared" ref="AY12:AY22" si="11">SUM($T12*U12)</f>
        <v>11.270521868881763</v>
      </c>
      <c r="AZ12" s="1264">
        <f t="shared" ref="AZ12:BC22" si="12">SUM($T12*V12)</f>
        <v>1.8550316917212197</v>
      </c>
      <c r="BA12" s="1264">
        <f t="shared" si="12"/>
        <v>1.5444464393970174</v>
      </c>
      <c r="BB12" s="1264">
        <f t="shared" si="12"/>
        <v>0</v>
      </c>
      <c r="BC12" s="1263">
        <f t="shared" si="12"/>
        <v>0</v>
      </c>
      <c r="BD12" s="84"/>
      <c r="BE12" s="568" t="s">
        <v>366</v>
      </c>
      <c r="BF12" s="568" t="s">
        <v>366</v>
      </c>
      <c r="BG12" s="591" t="str">
        <f>IFERROR(INDEX('Annex 2_Code'!$J$110:$J$127,MATCH('Annex 5_MRD'!BE12,'Annex 2_Code'!$G$110:$G$127,0)),"")</f>
        <v>MRD</v>
      </c>
      <c r="BH12" s="1565" t="str">
        <f>IF(ISNUMBER(FIND("-",BG12,1))=FALSE,LEFT(BG12,LEN(BG12)),LEFT(BG12,(FIND("-",BG12,1))-1))</f>
        <v>MRD</v>
      </c>
      <c r="BI12" s="84"/>
    </row>
    <row r="13" spans="1:61" s="85" customFormat="1" ht="20.100000000000001" customHeight="1">
      <c r="A13" s="75"/>
      <c r="B13" s="76" t="s">
        <v>24</v>
      </c>
      <c r="C13" s="76" t="s">
        <v>307</v>
      </c>
      <c r="D13" s="78"/>
      <c r="E13" s="1566"/>
      <c r="F13" s="66" t="s">
        <v>935</v>
      </c>
      <c r="H13" s="1755" t="s">
        <v>1095</v>
      </c>
      <c r="I13" s="10">
        <v>21</v>
      </c>
      <c r="J13" s="1026">
        <v>2.1000000000000001E-2</v>
      </c>
      <c r="K13" s="2236">
        <v>123.22800000000001</v>
      </c>
      <c r="L13" s="2236">
        <v>123.22800000000001</v>
      </c>
      <c r="M13" s="2236">
        <v>123.22800000000001</v>
      </c>
      <c r="N13" s="2236">
        <v>123.22800000000001</v>
      </c>
      <c r="O13" s="2235">
        <v>492.91200000000003</v>
      </c>
      <c r="P13" s="2258">
        <f t="shared" ref="P13:P22" si="13">K13*$I13/1000</f>
        <v>2.5877880000000002</v>
      </c>
      <c r="Q13" s="2258">
        <f t="shared" ref="Q13:Q22" si="14">L13*$I13/1000</f>
        <v>2.5877880000000002</v>
      </c>
      <c r="R13" s="2258">
        <f t="shared" ref="R13:R21" si="15">M13*$I13/1000</f>
        <v>2.5877880000000002</v>
      </c>
      <c r="S13" s="2258">
        <f t="shared" ref="S13:S21" si="16">N13*$I13/1000</f>
        <v>2.5877880000000002</v>
      </c>
      <c r="T13" s="1263">
        <f t="shared" ref="T13:T48" si="17">SUM(P13:S13)</f>
        <v>10.351152000000001</v>
      </c>
      <c r="U13" s="1250">
        <f>IFERROR(INDEX([8]Code!I$8:I$33,MATCH('[8]$MRD-Annex'!$BG14,[8]Code!$G$8:$G$33,0)),"")</f>
        <v>0.76827006604510995</v>
      </c>
      <c r="V13" s="1251">
        <f>IFERROR(INDEX([8]Code!J$8:J$33,MATCH('[8]$MRD-Annex'!$BG14,[8]Code!$G$8:$G$33,0)),"")</f>
        <v>0.12645069473218948</v>
      </c>
      <c r="W13" s="1251">
        <f>IFERROR(INDEX([8]Code!K$8:K$33,MATCH('[8]$MRD-Annex'!$BG14,[8]Code!$G$8:$G$33,0)),"")</f>
        <v>0.10527923922270058</v>
      </c>
      <c r="X13" s="1251">
        <f>IFERROR(INDEX([8]Code!L$8:L$33,MATCH('[8]$MRD-Annex'!$BG14,[8]Code!$G$8:$G$33,0)),"")</f>
        <v>0</v>
      </c>
      <c r="Y13" s="1252">
        <f>IFERROR(INDEX([8]Code!M$8:M$33,MATCH('[8]$MRD-Annex'!$BG14,[8]Code!$G$8:$G$33,0)),"")</f>
        <v>0</v>
      </c>
      <c r="Z13" s="1253">
        <f t="shared" si="0"/>
        <v>1.9881200576707432</v>
      </c>
      <c r="AA13" s="1254">
        <f t="shared" si="0"/>
        <v>1.9881200576707432</v>
      </c>
      <c r="AB13" s="1254">
        <f t="shared" si="0"/>
        <v>1.9881200576707432</v>
      </c>
      <c r="AC13" s="1254">
        <f t="shared" si="0"/>
        <v>1.9881200576707432</v>
      </c>
      <c r="AD13" s="1255">
        <f t="shared" si="6"/>
        <v>7.9524802306829727</v>
      </c>
      <c r="AE13" s="1253">
        <f t="shared" si="2"/>
        <v>0.32722759041962318</v>
      </c>
      <c r="AF13" s="1254">
        <f t="shared" si="2"/>
        <v>0.32722759041962318</v>
      </c>
      <c r="AG13" s="1254">
        <f t="shared" si="2"/>
        <v>0.32722759041962318</v>
      </c>
      <c r="AH13" s="1254">
        <f t="shared" si="2"/>
        <v>0.32722759041962318</v>
      </c>
      <c r="AI13" s="1255">
        <f t="shared" si="2"/>
        <v>1.3089103616784927</v>
      </c>
      <c r="AJ13" s="1254">
        <f t="shared" si="7"/>
        <v>0.27244035190963389</v>
      </c>
      <c r="AK13" s="1254">
        <f t="shared" si="7"/>
        <v>0.27244035190963389</v>
      </c>
      <c r="AL13" s="1254">
        <f t="shared" si="7"/>
        <v>0.27244035190963389</v>
      </c>
      <c r="AM13" s="1254">
        <f t="shared" si="7"/>
        <v>0.27244035190963389</v>
      </c>
      <c r="AN13" s="1256">
        <f t="shared" si="8"/>
        <v>1.0897614076385356</v>
      </c>
      <c r="AO13" s="1253">
        <f t="shared" si="9"/>
        <v>0</v>
      </c>
      <c r="AP13" s="1254">
        <f t="shared" si="9"/>
        <v>0</v>
      </c>
      <c r="AQ13" s="1254">
        <f t="shared" si="9"/>
        <v>0</v>
      </c>
      <c r="AR13" s="1254">
        <f t="shared" si="9"/>
        <v>0</v>
      </c>
      <c r="AS13" s="1257">
        <f t="shared" si="10"/>
        <v>0</v>
      </c>
      <c r="AT13" s="1253">
        <f t="shared" si="3"/>
        <v>0</v>
      </c>
      <c r="AU13" s="1254">
        <f t="shared" si="3"/>
        <v>0</v>
      </c>
      <c r="AV13" s="1254">
        <f t="shared" si="3"/>
        <v>0</v>
      </c>
      <c r="AW13" s="1254">
        <f t="shared" si="3"/>
        <v>0</v>
      </c>
      <c r="AX13" s="1257">
        <f t="shared" si="4"/>
        <v>0</v>
      </c>
      <c r="AY13" s="1258">
        <f t="shared" si="11"/>
        <v>7.9524802306829727</v>
      </c>
      <c r="AZ13" s="1264">
        <f t="shared" si="12"/>
        <v>1.3089103616784927</v>
      </c>
      <c r="BA13" s="1264">
        <f t="shared" si="12"/>
        <v>1.0897614076385356</v>
      </c>
      <c r="BB13" s="1264">
        <f t="shared" si="12"/>
        <v>0</v>
      </c>
      <c r="BC13" s="1263">
        <f t="shared" si="12"/>
        <v>0</v>
      </c>
      <c r="BD13" s="84"/>
      <c r="BE13" s="568" t="s">
        <v>366</v>
      </c>
      <c r="BF13" s="568" t="s">
        <v>366</v>
      </c>
      <c r="BG13" s="591" t="str">
        <f>IFERROR(INDEX('Annex 2_Code'!$J$110:$J$127,MATCH('Annex 5_MRD'!BE13,'Annex 2_Code'!$G$110:$G$127,0)),"")</f>
        <v>MRD</v>
      </c>
      <c r="BH13" s="1565" t="str">
        <f t="shared" ref="BH13:BH74" si="18">IF(ISNUMBER(FIND("-",BG13,1))=FALSE,LEFT(BG13,LEN(BG13)),LEFT(BG13,(FIND("-",BG13,1))-1))</f>
        <v>MRD</v>
      </c>
      <c r="BI13" s="84"/>
    </row>
    <row r="14" spans="1:61" s="85" customFormat="1" ht="20.100000000000001" customHeight="1">
      <c r="A14" s="75"/>
      <c r="B14" s="76" t="s">
        <v>24</v>
      </c>
      <c r="C14" s="76" t="s">
        <v>307</v>
      </c>
      <c r="D14" s="78"/>
      <c r="E14" s="1566"/>
      <c r="F14" t="s">
        <v>936</v>
      </c>
      <c r="H14" s="1755" t="s">
        <v>1095</v>
      </c>
      <c r="I14" s="10">
        <v>21</v>
      </c>
      <c r="J14" s="1026">
        <v>2.1000000000000001E-2</v>
      </c>
      <c r="K14" s="2236">
        <v>281.66399999999999</v>
      </c>
      <c r="L14" s="2236">
        <v>281.66399999999999</v>
      </c>
      <c r="M14" s="2236">
        <v>281.66399999999999</v>
      </c>
      <c r="N14" s="2236">
        <v>281.66399999999999</v>
      </c>
      <c r="O14" s="2235">
        <v>1126.6559999999999</v>
      </c>
      <c r="P14" s="2258">
        <f t="shared" si="13"/>
        <v>5.9149439999999993</v>
      </c>
      <c r="Q14" s="2258">
        <f t="shared" si="14"/>
        <v>5.9149439999999993</v>
      </c>
      <c r="R14" s="2258">
        <f t="shared" si="15"/>
        <v>5.9149439999999993</v>
      </c>
      <c r="S14" s="2258">
        <f t="shared" si="16"/>
        <v>5.9149439999999993</v>
      </c>
      <c r="T14" s="1263">
        <f t="shared" si="17"/>
        <v>23.659775999999997</v>
      </c>
      <c r="U14" s="1250">
        <f>IFERROR(INDEX([8]Code!I$8:I$33,MATCH('[8]$MRD-Annex'!$BG15,[8]Code!$G$8:$G$33,0)),"")</f>
        <v>0.76827006604510995</v>
      </c>
      <c r="V14" s="1251">
        <f>IFERROR(INDEX([8]Code!J$8:J$33,MATCH('[8]$MRD-Annex'!$BG15,[8]Code!$G$8:$G$33,0)),"")</f>
        <v>0.12645069473218948</v>
      </c>
      <c r="W14" s="1251">
        <f>IFERROR(INDEX([8]Code!K$8:K$33,MATCH('[8]$MRD-Annex'!$BG15,[8]Code!$G$8:$G$33,0)),"")</f>
        <v>0.10527923922270058</v>
      </c>
      <c r="X14" s="1251">
        <f>IFERROR(INDEX([8]Code!L$8:L$33,MATCH('[8]$MRD-Annex'!$BG15,[8]Code!$G$8:$G$33,0)),"")</f>
        <v>0</v>
      </c>
      <c r="Y14" s="1252">
        <f>IFERROR(INDEX([8]Code!M$8:M$33,MATCH('[8]$MRD-Annex'!$BG15,[8]Code!$G$8:$G$33,0)),"")</f>
        <v>0</v>
      </c>
      <c r="Z14" s="1253">
        <f t="shared" si="0"/>
        <v>4.544274417533126</v>
      </c>
      <c r="AA14" s="1254">
        <f t="shared" si="0"/>
        <v>4.544274417533126</v>
      </c>
      <c r="AB14" s="1254">
        <f t="shared" si="0"/>
        <v>4.544274417533126</v>
      </c>
      <c r="AC14" s="1254">
        <f t="shared" si="0"/>
        <v>4.544274417533126</v>
      </c>
      <c r="AD14" s="1255">
        <f t="shared" si="6"/>
        <v>18.177097670132504</v>
      </c>
      <c r="AE14" s="1253">
        <f t="shared" si="2"/>
        <v>0.74794877810199567</v>
      </c>
      <c r="AF14" s="1254">
        <f t="shared" si="2"/>
        <v>0.74794877810199567</v>
      </c>
      <c r="AG14" s="1254">
        <f t="shared" si="2"/>
        <v>0.74794877810199567</v>
      </c>
      <c r="AH14" s="1254">
        <f t="shared" si="2"/>
        <v>0.74794877810199567</v>
      </c>
      <c r="AI14" s="1255">
        <f t="shared" si="2"/>
        <v>2.9917951124079827</v>
      </c>
      <c r="AJ14" s="1254">
        <f t="shared" si="7"/>
        <v>0.62272080436487742</v>
      </c>
      <c r="AK14" s="1254">
        <f t="shared" si="7"/>
        <v>0.62272080436487742</v>
      </c>
      <c r="AL14" s="1254">
        <f t="shared" si="7"/>
        <v>0.62272080436487742</v>
      </c>
      <c r="AM14" s="1254">
        <f t="shared" si="7"/>
        <v>0.62272080436487742</v>
      </c>
      <c r="AN14" s="1256">
        <f t="shared" si="8"/>
        <v>2.4908832174595097</v>
      </c>
      <c r="AO14" s="1253">
        <f t="shared" si="9"/>
        <v>0</v>
      </c>
      <c r="AP14" s="1254">
        <f t="shared" si="9"/>
        <v>0</v>
      </c>
      <c r="AQ14" s="1254">
        <f t="shared" si="9"/>
        <v>0</v>
      </c>
      <c r="AR14" s="1254">
        <f t="shared" si="9"/>
        <v>0</v>
      </c>
      <c r="AS14" s="1257">
        <f t="shared" si="10"/>
        <v>0</v>
      </c>
      <c r="AT14" s="1253">
        <f t="shared" si="3"/>
        <v>0</v>
      </c>
      <c r="AU14" s="1254">
        <f t="shared" si="3"/>
        <v>0</v>
      </c>
      <c r="AV14" s="1254">
        <f t="shared" si="3"/>
        <v>0</v>
      </c>
      <c r="AW14" s="1254">
        <f t="shared" si="3"/>
        <v>0</v>
      </c>
      <c r="AX14" s="1257">
        <f t="shared" si="4"/>
        <v>0</v>
      </c>
      <c r="AY14" s="1258">
        <f t="shared" si="11"/>
        <v>18.177097670132504</v>
      </c>
      <c r="AZ14" s="1264">
        <f t="shared" si="12"/>
        <v>2.9917951124079827</v>
      </c>
      <c r="BA14" s="1264">
        <f t="shared" si="12"/>
        <v>2.4908832174595097</v>
      </c>
      <c r="BB14" s="1264">
        <f t="shared" si="12"/>
        <v>0</v>
      </c>
      <c r="BC14" s="1263">
        <f t="shared" si="12"/>
        <v>0</v>
      </c>
      <c r="BD14" s="84"/>
      <c r="BE14" s="568" t="s">
        <v>366</v>
      </c>
      <c r="BF14" s="568" t="s">
        <v>366</v>
      </c>
      <c r="BG14" s="591" t="str">
        <f>IFERROR(INDEX('Annex 2_Code'!$J$110:$J$127,MATCH('Annex 5_MRD'!BE14,'Annex 2_Code'!$G$110:$G$127,0)),"")</f>
        <v>MRD</v>
      </c>
      <c r="BH14" s="1565" t="str">
        <f t="shared" si="18"/>
        <v>MRD</v>
      </c>
      <c r="BI14" s="84"/>
    </row>
    <row r="15" spans="1:61" s="85" customFormat="1" ht="20.100000000000001" customHeight="1">
      <c r="A15" s="75"/>
      <c r="B15" s="76" t="s">
        <v>24</v>
      </c>
      <c r="C15" s="76" t="s">
        <v>307</v>
      </c>
      <c r="D15" s="78"/>
      <c r="E15" s="1566"/>
      <c r="F15" t="s">
        <v>311</v>
      </c>
      <c r="H15" s="1755" t="s">
        <v>1095</v>
      </c>
      <c r="I15" s="773">
        <v>2.5</v>
      </c>
      <c r="J15" s="1026">
        <v>2.5000000000000001E-3</v>
      </c>
      <c r="K15" s="2236">
        <v>132.03</v>
      </c>
      <c r="L15" s="2236">
        <v>132.03</v>
      </c>
      <c r="M15" s="2236">
        <v>132.03</v>
      </c>
      <c r="N15" s="2236">
        <v>132.03</v>
      </c>
      <c r="O15" s="2235">
        <v>528.12</v>
      </c>
      <c r="P15" s="2258">
        <f t="shared" si="13"/>
        <v>0.33007500000000001</v>
      </c>
      <c r="Q15" s="2258">
        <f t="shared" si="14"/>
        <v>0.33007500000000001</v>
      </c>
      <c r="R15" s="2258">
        <f t="shared" si="15"/>
        <v>0.33007500000000001</v>
      </c>
      <c r="S15" s="2258">
        <f t="shared" si="16"/>
        <v>0.33007500000000001</v>
      </c>
      <c r="T15" s="1263">
        <f t="shared" si="17"/>
        <v>1.3203</v>
      </c>
      <c r="U15" s="1250">
        <f>IFERROR(INDEX([8]Code!I$8:I$33,MATCH('[8]$MRD-Annex'!$BG16,[8]Code!$G$8:$G$33,0)),"")</f>
        <v>0.76827006604510995</v>
      </c>
      <c r="V15" s="1251">
        <f>IFERROR(INDEX([8]Code!J$8:J$33,MATCH('[8]$MRD-Annex'!$BG16,[8]Code!$G$8:$G$33,0)),"")</f>
        <v>0.12645069473218948</v>
      </c>
      <c r="W15" s="1251">
        <f>IFERROR(INDEX([8]Code!K$8:K$33,MATCH('[8]$MRD-Annex'!$BG16,[8]Code!$G$8:$G$33,0)),"")</f>
        <v>0.10527923922270058</v>
      </c>
      <c r="X15" s="1251">
        <f>IFERROR(INDEX([8]Code!L$8:L$33,MATCH('[8]$MRD-Annex'!$BG16,[8]Code!$G$8:$G$33,0)),"")</f>
        <v>0</v>
      </c>
      <c r="Y15" s="1252">
        <f>IFERROR(INDEX([8]Code!M$8:M$33,MATCH('[8]$MRD-Annex'!$BG16,[8]Code!$G$8:$G$33,0)),"")</f>
        <v>0</v>
      </c>
      <c r="Z15" s="1253">
        <f t="shared" si="0"/>
        <v>0.25358674204983966</v>
      </c>
      <c r="AA15" s="1254">
        <f t="shared" si="0"/>
        <v>0.25358674204983966</v>
      </c>
      <c r="AB15" s="1254">
        <f t="shared" si="0"/>
        <v>0.25358674204983966</v>
      </c>
      <c r="AC15" s="1254">
        <f t="shared" si="0"/>
        <v>0.25358674204983966</v>
      </c>
      <c r="AD15" s="1255">
        <f t="shared" si="6"/>
        <v>1.0143469681993587</v>
      </c>
      <c r="AE15" s="1253">
        <f t="shared" si="2"/>
        <v>4.1738213063727443E-2</v>
      </c>
      <c r="AF15" s="1254">
        <f t="shared" si="2"/>
        <v>4.1738213063727443E-2</v>
      </c>
      <c r="AG15" s="1254">
        <f t="shared" si="2"/>
        <v>4.1738213063727443E-2</v>
      </c>
      <c r="AH15" s="1254">
        <f t="shared" si="2"/>
        <v>4.1738213063727443E-2</v>
      </c>
      <c r="AI15" s="1255">
        <f t="shared" si="2"/>
        <v>0.16695285225490977</v>
      </c>
      <c r="AJ15" s="1254">
        <f t="shared" si="7"/>
        <v>3.4750044886432893E-2</v>
      </c>
      <c r="AK15" s="1254">
        <f t="shared" si="7"/>
        <v>3.4750044886432893E-2</v>
      </c>
      <c r="AL15" s="1254">
        <f t="shared" si="7"/>
        <v>3.4750044886432893E-2</v>
      </c>
      <c r="AM15" s="1254">
        <f t="shared" si="7"/>
        <v>3.4750044886432893E-2</v>
      </c>
      <c r="AN15" s="1256">
        <f t="shared" si="8"/>
        <v>0.13900017954573157</v>
      </c>
      <c r="AO15" s="1253">
        <f t="shared" si="9"/>
        <v>0</v>
      </c>
      <c r="AP15" s="1254">
        <f t="shared" si="9"/>
        <v>0</v>
      </c>
      <c r="AQ15" s="1254">
        <f t="shared" si="9"/>
        <v>0</v>
      </c>
      <c r="AR15" s="1254">
        <f t="shared" si="9"/>
        <v>0</v>
      </c>
      <c r="AS15" s="1257">
        <f t="shared" si="10"/>
        <v>0</v>
      </c>
      <c r="AT15" s="1253">
        <f t="shared" si="3"/>
        <v>0</v>
      </c>
      <c r="AU15" s="1254">
        <f t="shared" si="3"/>
        <v>0</v>
      </c>
      <c r="AV15" s="1254">
        <f t="shared" si="3"/>
        <v>0</v>
      </c>
      <c r="AW15" s="1254">
        <f t="shared" si="3"/>
        <v>0</v>
      </c>
      <c r="AX15" s="1257">
        <f t="shared" si="4"/>
        <v>0</v>
      </c>
      <c r="AY15" s="1258">
        <f t="shared" si="11"/>
        <v>1.0143469681993587</v>
      </c>
      <c r="AZ15" s="1264">
        <f t="shared" si="12"/>
        <v>0.16695285225490977</v>
      </c>
      <c r="BA15" s="1264">
        <f t="shared" si="12"/>
        <v>0.13900017954573157</v>
      </c>
      <c r="BB15" s="1264">
        <f t="shared" si="12"/>
        <v>0</v>
      </c>
      <c r="BC15" s="1263">
        <f t="shared" si="12"/>
        <v>0</v>
      </c>
      <c r="BD15" s="84"/>
      <c r="BE15" s="568" t="s">
        <v>366</v>
      </c>
      <c r="BF15" s="568" t="s">
        <v>366</v>
      </c>
      <c r="BG15" s="591" t="str">
        <f>IFERROR(INDEX('Annex 2_Code'!$J$110:$J$127,MATCH('Annex 5_MRD'!BE15,'Annex 2_Code'!$G$110:$G$127,0)),"")</f>
        <v>MRD</v>
      </c>
      <c r="BH15" s="1565" t="str">
        <f t="shared" si="18"/>
        <v>MRD</v>
      </c>
      <c r="BI15" s="84"/>
    </row>
    <row r="16" spans="1:61" s="85" customFormat="1" ht="20.100000000000001" customHeight="1">
      <c r="A16" s="75"/>
      <c r="B16" s="76" t="s">
        <v>24</v>
      </c>
      <c r="C16" s="76" t="s">
        <v>307</v>
      </c>
      <c r="D16" s="78"/>
      <c r="E16" s="1566"/>
      <c r="F16" s="66" t="s">
        <v>312</v>
      </c>
      <c r="H16" s="1755" t="s">
        <v>1095</v>
      </c>
      <c r="I16" s="773">
        <v>1</v>
      </c>
      <c r="J16" s="1026">
        <v>1E-3</v>
      </c>
      <c r="K16" s="2236">
        <v>15403.5</v>
      </c>
      <c r="L16" s="2236">
        <v>15403.5</v>
      </c>
      <c r="M16" s="2236">
        <v>15403.5</v>
      </c>
      <c r="N16" s="2236">
        <v>15403.5</v>
      </c>
      <c r="O16" s="2235">
        <v>61614</v>
      </c>
      <c r="P16" s="2258">
        <f t="shared" si="13"/>
        <v>15.403499999999999</v>
      </c>
      <c r="Q16" s="2258">
        <f t="shared" si="14"/>
        <v>15.403499999999999</v>
      </c>
      <c r="R16" s="2258">
        <f t="shared" si="15"/>
        <v>15.403499999999999</v>
      </c>
      <c r="S16" s="2258">
        <f t="shared" si="16"/>
        <v>15.403499999999999</v>
      </c>
      <c r="T16" s="1263">
        <f t="shared" si="17"/>
        <v>61.613999999999997</v>
      </c>
      <c r="U16" s="1250">
        <f>IFERROR(INDEX([8]Code!I$8:I$33,MATCH('[8]$MRD-Annex'!$BG17,[8]Code!$G$8:$G$33,0)),"")</f>
        <v>0.76827006604510995</v>
      </c>
      <c r="V16" s="1251">
        <f>IFERROR(INDEX([8]Code!J$8:J$33,MATCH('[8]$MRD-Annex'!$BG17,[8]Code!$G$8:$G$33,0)),"")</f>
        <v>0.12645069473218948</v>
      </c>
      <c r="W16" s="1251">
        <f>IFERROR(INDEX([8]Code!K$8:K$33,MATCH('[8]$MRD-Annex'!$BG17,[8]Code!$G$8:$G$33,0)),"")</f>
        <v>0.10527923922270058</v>
      </c>
      <c r="X16" s="1251">
        <f>IFERROR(INDEX([8]Code!L$8:L$33,MATCH('[8]$MRD-Annex'!$BG17,[8]Code!$G$8:$G$33,0)),"")</f>
        <v>0</v>
      </c>
      <c r="Y16" s="1252">
        <f>IFERROR(INDEX([8]Code!M$8:M$33,MATCH('[8]$MRD-Annex'!$BG17,[8]Code!$G$8:$G$33,0)),"")</f>
        <v>0</v>
      </c>
      <c r="Z16" s="1253">
        <f t="shared" si="0"/>
        <v>11.834047962325851</v>
      </c>
      <c r="AA16" s="1254">
        <f t="shared" si="0"/>
        <v>11.834047962325851</v>
      </c>
      <c r="AB16" s="1254">
        <f t="shared" si="0"/>
        <v>11.834047962325851</v>
      </c>
      <c r="AC16" s="1254">
        <f t="shared" si="0"/>
        <v>11.834047962325851</v>
      </c>
      <c r="AD16" s="1255">
        <f t="shared" si="6"/>
        <v>47.336191849303404</v>
      </c>
      <c r="AE16" s="1253">
        <f t="shared" si="2"/>
        <v>1.9477832763072804</v>
      </c>
      <c r="AF16" s="1254">
        <f t="shared" si="2"/>
        <v>1.9477832763072804</v>
      </c>
      <c r="AG16" s="1254">
        <f t="shared" si="2"/>
        <v>1.9477832763072804</v>
      </c>
      <c r="AH16" s="1254">
        <f t="shared" si="2"/>
        <v>1.9477832763072804</v>
      </c>
      <c r="AI16" s="1255">
        <f t="shared" si="2"/>
        <v>7.7911331052291217</v>
      </c>
      <c r="AJ16" s="1254">
        <f t="shared" si="7"/>
        <v>1.6216687613668683</v>
      </c>
      <c r="AK16" s="1254">
        <f t="shared" si="7"/>
        <v>1.6216687613668683</v>
      </c>
      <c r="AL16" s="1254">
        <f t="shared" si="7"/>
        <v>1.6216687613668683</v>
      </c>
      <c r="AM16" s="1254">
        <f t="shared" si="7"/>
        <v>1.6216687613668683</v>
      </c>
      <c r="AN16" s="1256">
        <f t="shared" si="8"/>
        <v>6.4866750454674733</v>
      </c>
      <c r="AO16" s="1253">
        <f t="shared" si="9"/>
        <v>0</v>
      </c>
      <c r="AP16" s="1254">
        <f t="shared" si="9"/>
        <v>0</v>
      </c>
      <c r="AQ16" s="1254">
        <f t="shared" si="9"/>
        <v>0</v>
      </c>
      <c r="AR16" s="1254">
        <f t="shared" si="9"/>
        <v>0</v>
      </c>
      <c r="AS16" s="1257">
        <f t="shared" si="10"/>
        <v>0</v>
      </c>
      <c r="AT16" s="1253">
        <f t="shared" si="3"/>
        <v>0</v>
      </c>
      <c r="AU16" s="1254">
        <f t="shared" si="3"/>
        <v>0</v>
      </c>
      <c r="AV16" s="1254">
        <f t="shared" si="3"/>
        <v>0</v>
      </c>
      <c r="AW16" s="1254">
        <f t="shared" si="3"/>
        <v>0</v>
      </c>
      <c r="AX16" s="1257">
        <f t="shared" si="4"/>
        <v>0</v>
      </c>
      <c r="AY16" s="1258">
        <f t="shared" si="11"/>
        <v>47.336191849303404</v>
      </c>
      <c r="AZ16" s="1264">
        <f t="shared" si="12"/>
        <v>7.7911331052291217</v>
      </c>
      <c r="BA16" s="1264">
        <f t="shared" si="12"/>
        <v>6.4866750454674733</v>
      </c>
      <c r="BB16" s="1264">
        <f t="shared" si="12"/>
        <v>0</v>
      </c>
      <c r="BC16" s="1263">
        <f t="shared" si="12"/>
        <v>0</v>
      </c>
      <c r="BD16" s="84"/>
      <c r="BE16" s="568" t="s">
        <v>366</v>
      </c>
      <c r="BF16" s="568" t="s">
        <v>366</v>
      </c>
      <c r="BG16" s="591" t="str">
        <f>IFERROR(INDEX('Annex 2_Code'!$J$110:$J$127,MATCH('Annex 5_MRD'!BE16,'Annex 2_Code'!$G$110:$G$127,0)),"")</f>
        <v>MRD</v>
      </c>
      <c r="BH16" s="1565" t="str">
        <f t="shared" si="18"/>
        <v>MRD</v>
      </c>
      <c r="BI16" s="84"/>
    </row>
    <row r="17" spans="1:61" s="85" customFormat="1" ht="20.100000000000001" customHeight="1">
      <c r="A17" s="75"/>
      <c r="B17" s="76" t="s">
        <v>24</v>
      </c>
      <c r="C17" s="76" t="s">
        <v>307</v>
      </c>
      <c r="D17" s="78"/>
      <c r="E17" s="1566"/>
      <c r="F17" s="66" t="s">
        <v>937</v>
      </c>
      <c r="H17" s="1755" t="s">
        <v>1095</v>
      </c>
      <c r="I17" s="773">
        <v>18</v>
      </c>
      <c r="J17" s="1026">
        <v>1.7999999999999999E-2</v>
      </c>
      <c r="K17" s="2236">
        <v>5017.1400000000003</v>
      </c>
      <c r="L17" s="2236">
        <v>5017.1400000000003</v>
      </c>
      <c r="M17" s="2236">
        <v>5017.1400000000003</v>
      </c>
      <c r="N17" s="2236">
        <v>5017.1400000000003</v>
      </c>
      <c r="O17" s="2235">
        <v>20068.560000000001</v>
      </c>
      <c r="P17" s="2258">
        <f t="shared" si="13"/>
        <v>90.308520000000001</v>
      </c>
      <c r="Q17" s="2258">
        <f t="shared" si="14"/>
        <v>90.308520000000001</v>
      </c>
      <c r="R17" s="2258">
        <f t="shared" si="15"/>
        <v>90.308520000000001</v>
      </c>
      <c r="S17" s="2258">
        <f t="shared" si="16"/>
        <v>90.308520000000001</v>
      </c>
      <c r="T17" s="1263">
        <f t="shared" si="17"/>
        <v>361.23408000000001</v>
      </c>
      <c r="U17" s="1250">
        <f>IFERROR(INDEX([8]Code!I$8:I$33,MATCH('[8]$MRD-Annex'!$BG18,[8]Code!$G$8:$G$33,0)),"")</f>
        <v>0.76827006604510995</v>
      </c>
      <c r="V17" s="1251">
        <f>IFERROR(INDEX([8]Code!J$8:J$33,MATCH('[8]$MRD-Annex'!$BG18,[8]Code!$G$8:$G$33,0)),"")</f>
        <v>0.12645069473218948</v>
      </c>
      <c r="W17" s="1251">
        <f>IFERROR(INDEX([8]Code!K$8:K$33,MATCH('[8]$MRD-Annex'!$BG18,[8]Code!$G$8:$G$33,0)),"")</f>
        <v>0.10527923922270058</v>
      </c>
      <c r="X17" s="1251">
        <f>IFERROR(INDEX([8]Code!L$8:L$33,MATCH('[8]$MRD-Annex'!$BG18,[8]Code!$G$8:$G$33,0)),"")</f>
        <v>0</v>
      </c>
      <c r="Y17" s="1252">
        <f>IFERROR(INDEX([8]Code!M$8:M$33,MATCH('[8]$MRD-Annex'!$BG18,[8]Code!$G$8:$G$33,0)),"")</f>
        <v>0</v>
      </c>
      <c r="Z17" s="1253">
        <f t="shared" si="0"/>
        <v>69.381332624836134</v>
      </c>
      <c r="AA17" s="1254">
        <f t="shared" si="0"/>
        <v>69.381332624836134</v>
      </c>
      <c r="AB17" s="1254">
        <f t="shared" si="0"/>
        <v>69.381332624836134</v>
      </c>
      <c r="AC17" s="1254">
        <f t="shared" si="0"/>
        <v>69.381332624836134</v>
      </c>
      <c r="AD17" s="1255">
        <f t="shared" si="6"/>
        <v>277.52533049934453</v>
      </c>
      <c r="AE17" s="1253">
        <f t="shared" si="2"/>
        <v>11.419575094235828</v>
      </c>
      <c r="AF17" s="1254">
        <f t="shared" si="2"/>
        <v>11.419575094235828</v>
      </c>
      <c r="AG17" s="1254">
        <f t="shared" si="2"/>
        <v>11.419575094235828</v>
      </c>
      <c r="AH17" s="1254">
        <f t="shared" si="2"/>
        <v>11.419575094235828</v>
      </c>
      <c r="AI17" s="1255">
        <f t="shared" si="2"/>
        <v>45.678300376943312</v>
      </c>
      <c r="AJ17" s="1254">
        <f t="shared" si="7"/>
        <v>9.5076122809280399</v>
      </c>
      <c r="AK17" s="1254">
        <f t="shared" si="7"/>
        <v>9.5076122809280399</v>
      </c>
      <c r="AL17" s="1254">
        <f t="shared" si="7"/>
        <v>9.5076122809280399</v>
      </c>
      <c r="AM17" s="1254">
        <f t="shared" si="7"/>
        <v>9.5076122809280399</v>
      </c>
      <c r="AN17" s="1256">
        <f t="shared" si="8"/>
        <v>38.03044912371216</v>
      </c>
      <c r="AO17" s="1253">
        <f t="shared" si="9"/>
        <v>0</v>
      </c>
      <c r="AP17" s="1254">
        <f t="shared" si="9"/>
        <v>0</v>
      </c>
      <c r="AQ17" s="1254">
        <f t="shared" si="9"/>
        <v>0</v>
      </c>
      <c r="AR17" s="1254">
        <f t="shared" si="9"/>
        <v>0</v>
      </c>
      <c r="AS17" s="1257">
        <f t="shared" si="10"/>
        <v>0</v>
      </c>
      <c r="AT17" s="1253">
        <f t="shared" si="3"/>
        <v>0</v>
      </c>
      <c r="AU17" s="1254">
        <f t="shared" si="3"/>
        <v>0</v>
      </c>
      <c r="AV17" s="1254">
        <f t="shared" si="3"/>
        <v>0</v>
      </c>
      <c r="AW17" s="1254">
        <f t="shared" si="3"/>
        <v>0</v>
      </c>
      <c r="AX17" s="1257">
        <f t="shared" si="4"/>
        <v>0</v>
      </c>
      <c r="AY17" s="1258">
        <f t="shared" si="11"/>
        <v>277.52533049934453</v>
      </c>
      <c r="AZ17" s="1264">
        <f t="shared" si="12"/>
        <v>45.678300376943312</v>
      </c>
      <c r="BA17" s="1264">
        <f t="shared" si="12"/>
        <v>38.03044912371216</v>
      </c>
      <c r="BB17" s="1264">
        <f t="shared" si="12"/>
        <v>0</v>
      </c>
      <c r="BC17" s="1263">
        <f t="shared" si="12"/>
        <v>0</v>
      </c>
      <c r="BD17" s="84"/>
      <c r="BE17" s="568" t="s">
        <v>366</v>
      </c>
      <c r="BF17" s="568" t="s">
        <v>366</v>
      </c>
      <c r="BG17" s="591" t="str">
        <f>IFERROR(INDEX('Annex 2_Code'!$J$110:$J$127,MATCH('Annex 5_MRD'!BE17,'Annex 2_Code'!$G$110:$G$127,0)),"")</f>
        <v>MRD</v>
      </c>
      <c r="BH17" s="1565" t="str">
        <f t="shared" si="18"/>
        <v>MRD</v>
      </c>
      <c r="BI17" s="84"/>
    </row>
    <row r="18" spans="1:61" s="85" customFormat="1" ht="20.100000000000001" customHeight="1">
      <c r="A18" s="75"/>
      <c r="B18" s="76" t="s">
        <v>24</v>
      </c>
      <c r="C18" s="76" t="s">
        <v>307</v>
      </c>
      <c r="D18" s="78"/>
      <c r="E18" s="1566"/>
      <c r="F18" s="66" t="s">
        <v>938</v>
      </c>
      <c r="H18" s="1755" t="s">
        <v>1095</v>
      </c>
      <c r="I18" s="773">
        <v>4</v>
      </c>
      <c r="J18" s="1026">
        <v>4.0000000000000001E-3</v>
      </c>
      <c r="K18" s="2236">
        <v>8361.9</v>
      </c>
      <c r="L18" s="2236">
        <v>8361.9</v>
      </c>
      <c r="M18" s="2236">
        <v>8361.9</v>
      </c>
      <c r="N18" s="2236">
        <v>8361.9</v>
      </c>
      <c r="O18" s="2235">
        <v>33447.599999999999</v>
      </c>
      <c r="P18" s="2258">
        <f t="shared" si="13"/>
        <v>33.447600000000001</v>
      </c>
      <c r="Q18" s="2258">
        <f t="shared" si="14"/>
        <v>33.447600000000001</v>
      </c>
      <c r="R18" s="2258">
        <f t="shared" si="15"/>
        <v>33.447600000000001</v>
      </c>
      <c r="S18" s="2258">
        <f t="shared" si="16"/>
        <v>33.447600000000001</v>
      </c>
      <c r="T18" s="1263">
        <f t="shared" si="17"/>
        <v>133.79040000000001</v>
      </c>
      <c r="U18" s="1250">
        <f>IFERROR(INDEX([8]Code!I$8:I$33,MATCH('[8]$MRD-Annex'!$BG19,[8]Code!$G$8:$G$33,0)),"")</f>
        <v>0.76827006604510995</v>
      </c>
      <c r="V18" s="1251">
        <f>IFERROR(INDEX([8]Code!J$8:J$33,MATCH('[8]$MRD-Annex'!$BG19,[8]Code!$G$8:$G$33,0)),"")</f>
        <v>0.12645069473218948</v>
      </c>
      <c r="W18" s="1251">
        <f>IFERROR(INDEX([8]Code!K$8:K$33,MATCH('[8]$MRD-Annex'!$BG19,[8]Code!$G$8:$G$33,0)),"")</f>
        <v>0.10527923922270058</v>
      </c>
      <c r="X18" s="1251">
        <f>IFERROR(INDEX([8]Code!L$8:L$33,MATCH('[8]$MRD-Annex'!$BG19,[8]Code!$G$8:$G$33,0)),"")</f>
        <v>0</v>
      </c>
      <c r="Y18" s="1252">
        <f>IFERROR(INDEX([8]Code!M$8:M$33,MATCH('[8]$MRD-Annex'!$BG19,[8]Code!$G$8:$G$33,0)),"")</f>
        <v>0</v>
      </c>
      <c r="Z18" s="1253">
        <f t="shared" si="0"/>
        <v>25.696789861050419</v>
      </c>
      <c r="AA18" s="1254">
        <f t="shared" si="0"/>
        <v>25.696789861050419</v>
      </c>
      <c r="AB18" s="1254">
        <f t="shared" si="0"/>
        <v>25.696789861050419</v>
      </c>
      <c r="AC18" s="1254">
        <f t="shared" si="0"/>
        <v>25.696789861050419</v>
      </c>
      <c r="AD18" s="1255">
        <f t="shared" si="6"/>
        <v>102.78715944420168</v>
      </c>
      <c r="AE18" s="1253">
        <f t="shared" si="2"/>
        <v>4.2294722571243808</v>
      </c>
      <c r="AF18" s="1254">
        <f t="shared" si="2"/>
        <v>4.2294722571243808</v>
      </c>
      <c r="AG18" s="1254">
        <f t="shared" si="2"/>
        <v>4.2294722571243808</v>
      </c>
      <c r="AH18" s="1254">
        <f t="shared" si="2"/>
        <v>4.2294722571243808</v>
      </c>
      <c r="AI18" s="1255">
        <f t="shared" si="2"/>
        <v>16.917889028497523</v>
      </c>
      <c r="AJ18" s="1254">
        <f t="shared" si="7"/>
        <v>3.5213378818251999</v>
      </c>
      <c r="AK18" s="1254">
        <f t="shared" si="7"/>
        <v>3.5213378818251999</v>
      </c>
      <c r="AL18" s="1254">
        <f t="shared" si="7"/>
        <v>3.5213378818251999</v>
      </c>
      <c r="AM18" s="1254">
        <f t="shared" si="7"/>
        <v>3.5213378818251999</v>
      </c>
      <c r="AN18" s="1256">
        <f t="shared" si="8"/>
        <v>14.0853515273008</v>
      </c>
      <c r="AO18" s="1253">
        <f t="shared" si="9"/>
        <v>0</v>
      </c>
      <c r="AP18" s="1254">
        <f t="shared" si="9"/>
        <v>0</v>
      </c>
      <c r="AQ18" s="1254">
        <f t="shared" si="9"/>
        <v>0</v>
      </c>
      <c r="AR18" s="1254">
        <f t="shared" si="9"/>
        <v>0</v>
      </c>
      <c r="AS18" s="1257">
        <f t="shared" si="10"/>
        <v>0</v>
      </c>
      <c r="AT18" s="1253">
        <f t="shared" si="3"/>
        <v>0</v>
      </c>
      <c r="AU18" s="1254">
        <f t="shared" si="3"/>
        <v>0</v>
      </c>
      <c r="AV18" s="1254">
        <f t="shared" si="3"/>
        <v>0</v>
      </c>
      <c r="AW18" s="1254">
        <f t="shared" si="3"/>
        <v>0</v>
      </c>
      <c r="AX18" s="1257">
        <f t="shared" si="4"/>
        <v>0</v>
      </c>
      <c r="AY18" s="1258">
        <f t="shared" si="11"/>
        <v>102.78715944420168</v>
      </c>
      <c r="AZ18" s="1264">
        <f t="shared" si="12"/>
        <v>16.917889028497523</v>
      </c>
      <c r="BA18" s="1264">
        <f t="shared" si="12"/>
        <v>14.0853515273008</v>
      </c>
      <c r="BB18" s="1264">
        <f t="shared" si="12"/>
        <v>0</v>
      </c>
      <c r="BC18" s="1263">
        <f t="shared" si="12"/>
        <v>0</v>
      </c>
      <c r="BD18" s="84"/>
      <c r="BE18" s="568" t="s">
        <v>366</v>
      </c>
      <c r="BF18" s="568" t="s">
        <v>366</v>
      </c>
      <c r="BG18" s="591" t="str">
        <f>IFERROR(INDEX('Annex 2_Code'!$J$110:$J$127,MATCH('Annex 5_MRD'!BE18,'Annex 2_Code'!$G$110:$G$127,0)),"")</f>
        <v>MRD</v>
      </c>
      <c r="BH18" s="1565" t="str">
        <f t="shared" si="18"/>
        <v>MRD</v>
      </c>
      <c r="BI18" s="84"/>
    </row>
    <row r="19" spans="1:61" s="85" customFormat="1" ht="20.100000000000001" customHeight="1">
      <c r="A19" s="75"/>
      <c r="B19" s="76" t="s">
        <v>24</v>
      </c>
      <c r="C19" s="76" t="s">
        <v>307</v>
      </c>
      <c r="D19" s="78"/>
      <c r="E19" s="1566"/>
      <c r="F19" s="66" t="s">
        <v>939</v>
      </c>
      <c r="H19" s="1755" t="s">
        <v>1095</v>
      </c>
      <c r="I19" s="773">
        <v>3.5</v>
      </c>
      <c r="J19" s="1026">
        <v>3.5000000000000001E-3</v>
      </c>
      <c r="K19" s="2236">
        <v>5163.8400000000011</v>
      </c>
      <c r="L19" s="2236">
        <v>5163.8400000000011</v>
      </c>
      <c r="M19" s="2236">
        <v>5163.8400000000011</v>
      </c>
      <c r="N19" s="2236">
        <v>5163.8400000000011</v>
      </c>
      <c r="O19" s="2235">
        <v>20655.360000000004</v>
      </c>
      <c r="P19" s="2258">
        <f t="shared" si="13"/>
        <v>18.073440000000002</v>
      </c>
      <c r="Q19" s="2258">
        <f t="shared" si="14"/>
        <v>18.073440000000002</v>
      </c>
      <c r="R19" s="2258">
        <f t="shared" si="15"/>
        <v>18.073440000000002</v>
      </c>
      <c r="S19" s="2258">
        <f t="shared" si="16"/>
        <v>18.073440000000002</v>
      </c>
      <c r="T19" s="1263">
        <f t="shared" si="17"/>
        <v>72.293760000000006</v>
      </c>
      <c r="U19" s="1250">
        <f>IFERROR(INDEX([8]Code!I$8:I$33,MATCH('[8]$MRD-Annex'!$BG20,[8]Code!$G$8:$G$33,0)),"")</f>
        <v>0.76827006604510995</v>
      </c>
      <c r="V19" s="1251">
        <f>IFERROR(INDEX([8]Code!J$8:J$33,MATCH('[8]$MRD-Annex'!$BG20,[8]Code!$G$8:$G$33,0)),"")</f>
        <v>0.12645069473218948</v>
      </c>
      <c r="W19" s="1251">
        <f>IFERROR(INDEX([8]Code!K$8:K$33,MATCH('[8]$MRD-Annex'!$BG20,[8]Code!$G$8:$G$33,0)),"")</f>
        <v>0.10527923922270058</v>
      </c>
      <c r="X19" s="1251">
        <f>IFERROR(INDEX([8]Code!L$8:L$33,MATCH('[8]$MRD-Annex'!$BG20,[8]Code!$G$8:$G$33,0)),"")</f>
        <v>0</v>
      </c>
      <c r="Y19" s="1252">
        <f>IFERROR(INDEX([8]Code!M$8:M$33,MATCH('[8]$MRD-Annex'!$BG20,[8]Code!$G$8:$G$33,0)),"")</f>
        <v>0</v>
      </c>
      <c r="Z19" s="1253">
        <f t="shared" si="0"/>
        <v>13.885282942462332</v>
      </c>
      <c r="AA19" s="1254">
        <f t="shared" si="0"/>
        <v>13.885282942462332</v>
      </c>
      <c r="AB19" s="1254">
        <f t="shared" si="0"/>
        <v>13.885282942462332</v>
      </c>
      <c r="AC19" s="1254">
        <f t="shared" si="0"/>
        <v>13.885282942462332</v>
      </c>
      <c r="AD19" s="1255">
        <f t="shared" si="6"/>
        <v>55.541131769849329</v>
      </c>
      <c r="AE19" s="1253">
        <f t="shared" si="2"/>
        <v>2.2853990442005427</v>
      </c>
      <c r="AF19" s="1254">
        <f t="shared" si="2"/>
        <v>2.2853990442005427</v>
      </c>
      <c r="AG19" s="1254">
        <f t="shared" si="2"/>
        <v>2.2853990442005427</v>
      </c>
      <c r="AH19" s="1254">
        <f t="shared" si="2"/>
        <v>2.2853990442005427</v>
      </c>
      <c r="AI19" s="1255">
        <f t="shared" si="2"/>
        <v>9.141596176802171</v>
      </c>
      <c r="AJ19" s="1254">
        <f t="shared" si="7"/>
        <v>1.9027580133371256</v>
      </c>
      <c r="AK19" s="1254">
        <f t="shared" si="7"/>
        <v>1.9027580133371256</v>
      </c>
      <c r="AL19" s="1254">
        <f t="shared" si="7"/>
        <v>1.9027580133371256</v>
      </c>
      <c r="AM19" s="1254">
        <f t="shared" si="7"/>
        <v>1.9027580133371256</v>
      </c>
      <c r="AN19" s="1256">
        <f t="shared" si="8"/>
        <v>7.6110320533485023</v>
      </c>
      <c r="AO19" s="1253">
        <f t="shared" si="9"/>
        <v>0</v>
      </c>
      <c r="AP19" s="1254">
        <f t="shared" si="9"/>
        <v>0</v>
      </c>
      <c r="AQ19" s="1254">
        <f t="shared" si="9"/>
        <v>0</v>
      </c>
      <c r="AR19" s="1254">
        <f t="shared" si="9"/>
        <v>0</v>
      </c>
      <c r="AS19" s="1257">
        <f t="shared" si="10"/>
        <v>0</v>
      </c>
      <c r="AT19" s="1253">
        <f t="shared" si="3"/>
        <v>0</v>
      </c>
      <c r="AU19" s="1254">
        <f t="shared" si="3"/>
        <v>0</v>
      </c>
      <c r="AV19" s="1254">
        <f t="shared" si="3"/>
        <v>0</v>
      </c>
      <c r="AW19" s="1254">
        <f t="shared" si="3"/>
        <v>0</v>
      </c>
      <c r="AX19" s="1257">
        <f t="shared" si="4"/>
        <v>0</v>
      </c>
      <c r="AY19" s="1258">
        <f t="shared" si="11"/>
        <v>55.541131769849329</v>
      </c>
      <c r="AZ19" s="1264">
        <f t="shared" si="12"/>
        <v>9.141596176802171</v>
      </c>
      <c r="BA19" s="1264">
        <f t="shared" si="12"/>
        <v>7.6110320533485023</v>
      </c>
      <c r="BB19" s="1264">
        <f t="shared" si="12"/>
        <v>0</v>
      </c>
      <c r="BC19" s="1263">
        <f t="shared" si="12"/>
        <v>0</v>
      </c>
      <c r="BD19" s="84"/>
      <c r="BE19" s="568" t="s">
        <v>366</v>
      </c>
      <c r="BF19" s="568" t="s">
        <v>366</v>
      </c>
      <c r="BG19" s="591" t="str">
        <f>IFERROR(INDEX('Annex 2_Code'!$J$110:$J$127,MATCH('Annex 5_MRD'!BE19,'Annex 2_Code'!$G$110:$G$127,0)),"")</f>
        <v>MRD</v>
      </c>
      <c r="BH19" s="1565" t="str">
        <f t="shared" si="18"/>
        <v>MRD</v>
      </c>
      <c r="BI19" s="84"/>
    </row>
    <row r="20" spans="1:61" s="85" customFormat="1" ht="20.100000000000001" customHeight="1">
      <c r="A20" s="75"/>
      <c r="B20" s="76" t="s">
        <v>24</v>
      </c>
      <c r="C20" s="76" t="s">
        <v>307</v>
      </c>
      <c r="D20" s="78"/>
      <c r="E20" s="1566"/>
      <c r="F20" s="66" t="s">
        <v>940</v>
      </c>
      <c r="H20" s="1755" t="s">
        <v>1095</v>
      </c>
      <c r="I20" s="773">
        <v>1.45</v>
      </c>
      <c r="J20" s="1026">
        <v>1.4499999999999999E-3</v>
      </c>
      <c r="K20" s="2236">
        <v>14376.6</v>
      </c>
      <c r="L20" s="2236">
        <v>14376.6</v>
      </c>
      <c r="M20" s="2236">
        <v>14376.6</v>
      </c>
      <c r="N20" s="2236">
        <v>14376.6</v>
      </c>
      <c r="O20" s="2235">
        <v>57506.400000000001</v>
      </c>
      <c r="P20" s="2258">
        <f t="shared" si="13"/>
        <v>20.846070000000001</v>
      </c>
      <c r="Q20" s="2258">
        <f t="shared" si="14"/>
        <v>20.846070000000001</v>
      </c>
      <c r="R20" s="2258">
        <f t="shared" si="15"/>
        <v>20.846070000000001</v>
      </c>
      <c r="S20" s="2258">
        <f t="shared" si="16"/>
        <v>20.846070000000001</v>
      </c>
      <c r="T20" s="1263">
        <f t="shared" si="17"/>
        <v>83.384280000000004</v>
      </c>
      <c r="U20" s="1250">
        <f>IFERROR(INDEX([8]Code!I$8:I$33,MATCH('[8]$MRD-Annex'!$BG21,[8]Code!$G$8:$G$33,0)),"")</f>
        <v>0.76827006604510995</v>
      </c>
      <c r="V20" s="1251">
        <f>IFERROR(INDEX([8]Code!J$8:J$33,MATCH('[8]$MRD-Annex'!$BG21,[8]Code!$G$8:$G$33,0)),"")</f>
        <v>0.12645069473218948</v>
      </c>
      <c r="W20" s="1251">
        <f>IFERROR(INDEX([8]Code!K$8:K$33,MATCH('[8]$MRD-Annex'!$BG21,[8]Code!$G$8:$G$33,0)),"")</f>
        <v>0.10527923922270058</v>
      </c>
      <c r="X20" s="1251">
        <f>IFERROR(INDEX([8]Code!L$8:L$33,MATCH('[8]$MRD-Annex'!$BG21,[8]Code!$G$8:$G$33,0)),"")</f>
        <v>0</v>
      </c>
      <c r="Y20" s="1252">
        <f>IFERROR(INDEX([8]Code!M$8:M$33,MATCH('[8]$MRD-Annex'!$BG21,[8]Code!$G$8:$G$33,0)),"")</f>
        <v>0</v>
      </c>
      <c r="Z20" s="1253">
        <f t="shared" si="0"/>
        <v>16.015411575680986</v>
      </c>
      <c r="AA20" s="1254">
        <f t="shared" si="0"/>
        <v>16.015411575680986</v>
      </c>
      <c r="AB20" s="1254">
        <f t="shared" si="0"/>
        <v>16.015411575680986</v>
      </c>
      <c r="AC20" s="1254">
        <f t="shared" si="0"/>
        <v>16.015411575680986</v>
      </c>
      <c r="AD20" s="1255">
        <f t="shared" si="6"/>
        <v>64.061646302723943</v>
      </c>
      <c r="AE20" s="1253">
        <f t="shared" si="2"/>
        <v>2.6360000339358534</v>
      </c>
      <c r="AF20" s="1254">
        <f t="shared" si="2"/>
        <v>2.6360000339358534</v>
      </c>
      <c r="AG20" s="1254">
        <f t="shared" si="2"/>
        <v>2.6360000339358534</v>
      </c>
      <c r="AH20" s="1254">
        <f t="shared" si="2"/>
        <v>2.6360000339358534</v>
      </c>
      <c r="AI20" s="1255">
        <f t="shared" si="2"/>
        <v>10.544000135743413</v>
      </c>
      <c r="AJ20" s="1254">
        <f t="shared" si="7"/>
        <v>2.1946583903831618</v>
      </c>
      <c r="AK20" s="1254">
        <f t="shared" si="7"/>
        <v>2.1946583903831618</v>
      </c>
      <c r="AL20" s="1254">
        <f t="shared" si="7"/>
        <v>2.1946583903831618</v>
      </c>
      <c r="AM20" s="1254">
        <f t="shared" si="7"/>
        <v>2.1946583903831618</v>
      </c>
      <c r="AN20" s="1256">
        <f t="shared" si="8"/>
        <v>8.7786335615326472</v>
      </c>
      <c r="AO20" s="1253">
        <f t="shared" si="9"/>
        <v>0</v>
      </c>
      <c r="AP20" s="1254">
        <f t="shared" si="9"/>
        <v>0</v>
      </c>
      <c r="AQ20" s="1254">
        <f t="shared" si="9"/>
        <v>0</v>
      </c>
      <c r="AR20" s="1254">
        <f t="shared" si="9"/>
        <v>0</v>
      </c>
      <c r="AS20" s="1257">
        <f t="shared" si="10"/>
        <v>0</v>
      </c>
      <c r="AT20" s="1253">
        <f t="shared" si="3"/>
        <v>0</v>
      </c>
      <c r="AU20" s="1254">
        <f t="shared" si="3"/>
        <v>0</v>
      </c>
      <c r="AV20" s="1254">
        <f t="shared" si="3"/>
        <v>0</v>
      </c>
      <c r="AW20" s="1254">
        <f t="shared" si="3"/>
        <v>0</v>
      </c>
      <c r="AX20" s="1257">
        <f t="shared" si="4"/>
        <v>0</v>
      </c>
      <c r="AY20" s="1258">
        <f t="shared" si="11"/>
        <v>64.061646302723943</v>
      </c>
      <c r="AZ20" s="1264">
        <f t="shared" si="12"/>
        <v>10.544000135743413</v>
      </c>
      <c r="BA20" s="1264">
        <f t="shared" si="12"/>
        <v>8.7786335615326472</v>
      </c>
      <c r="BB20" s="1264">
        <f t="shared" si="12"/>
        <v>0</v>
      </c>
      <c r="BC20" s="1263">
        <f t="shared" si="12"/>
        <v>0</v>
      </c>
      <c r="BD20" s="84"/>
      <c r="BE20" s="568" t="s">
        <v>366</v>
      </c>
      <c r="BF20" s="568" t="s">
        <v>366</v>
      </c>
      <c r="BG20" s="591" t="str">
        <f>IFERROR(INDEX('Annex 2_Code'!$J$110:$J$127,MATCH('Annex 5_MRD'!BE20,'Annex 2_Code'!$G$110:$G$127,0)),"")</f>
        <v>MRD</v>
      </c>
      <c r="BH20" s="1565" t="str">
        <f t="shared" si="18"/>
        <v>MRD</v>
      </c>
      <c r="BI20" s="84"/>
    </row>
    <row r="21" spans="1:61" s="85" customFormat="1" ht="20.100000000000001" customHeight="1">
      <c r="A21" s="75"/>
      <c r="B21" s="76" t="s">
        <v>24</v>
      </c>
      <c r="C21" s="76" t="s">
        <v>307</v>
      </c>
      <c r="D21" s="78"/>
      <c r="E21" s="1566"/>
      <c r="F21" s="66" t="s">
        <v>308</v>
      </c>
      <c r="H21" s="1756" t="s">
        <v>309</v>
      </c>
      <c r="I21" s="1567">
        <v>38142</v>
      </c>
      <c r="J21" s="1026">
        <v>38.142000000000003</v>
      </c>
      <c r="K21" s="2237">
        <v>0.15</v>
      </c>
      <c r="L21" s="2237">
        <v>0.1</v>
      </c>
      <c r="M21" s="2237">
        <v>0.2</v>
      </c>
      <c r="N21" s="2237">
        <v>0.25</v>
      </c>
      <c r="O21" s="2235">
        <v>0.7</v>
      </c>
      <c r="P21" s="2258">
        <f t="shared" si="13"/>
        <v>5.7213000000000003</v>
      </c>
      <c r="Q21" s="2258">
        <f t="shared" si="14"/>
        <v>3.8142000000000005</v>
      </c>
      <c r="R21" s="2258">
        <f t="shared" si="15"/>
        <v>7.628400000000001</v>
      </c>
      <c r="S21" s="2258">
        <f t="shared" si="16"/>
        <v>9.5355000000000008</v>
      </c>
      <c r="T21" s="1263">
        <f t="shared" si="17"/>
        <v>26.699400000000004</v>
      </c>
      <c r="U21" s="1250">
        <f>IFERROR(INDEX([8]Code!I$8:I$33,MATCH('[8]$MRD-Annex'!$BG22,[8]Code!$G$8:$G$33,0)),"")</f>
        <v>0.76827006604510995</v>
      </c>
      <c r="V21" s="1251">
        <f>IFERROR(INDEX([8]Code!J$8:J$33,MATCH('[8]$MRD-Annex'!$BG22,[8]Code!$G$8:$G$33,0)),"")</f>
        <v>0.12645069473218948</v>
      </c>
      <c r="W21" s="1251">
        <f>IFERROR(INDEX([8]Code!K$8:K$33,MATCH('[8]$MRD-Annex'!$BG22,[8]Code!$G$8:$G$33,0)),"")</f>
        <v>0.10527923922270058</v>
      </c>
      <c r="X21" s="1251">
        <f>IFERROR(INDEX([8]Code!L$8:L$33,MATCH('[8]$MRD-Annex'!$BG22,[8]Code!$G$8:$G$33,0)),"")</f>
        <v>0</v>
      </c>
      <c r="Y21" s="1252">
        <f>IFERROR(INDEX([8]Code!M$8:M$33,MATCH('[8]$MRD-Annex'!$BG22,[8]Code!$G$8:$G$33,0)),"")</f>
        <v>0</v>
      </c>
      <c r="Z21" s="1253">
        <f t="shared" si="0"/>
        <v>4.3955035288638875</v>
      </c>
      <c r="AA21" s="1254">
        <f t="shared" si="0"/>
        <v>2.9303356859092586</v>
      </c>
      <c r="AB21" s="1254">
        <f t="shared" si="0"/>
        <v>5.8606713718185173</v>
      </c>
      <c r="AC21" s="1254">
        <f t="shared" si="0"/>
        <v>7.3258392147731461</v>
      </c>
      <c r="AD21" s="1255">
        <f t="shared" si="6"/>
        <v>20.51234980136481</v>
      </c>
      <c r="AE21" s="1253">
        <f t="shared" si="2"/>
        <v>0.72346235977127571</v>
      </c>
      <c r="AF21" s="1254">
        <f t="shared" si="2"/>
        <v>0.4823082398475172</v>
      </c>
      <c r="AG21" s="1254">
        <f t="shared" si="2"/>
        <v>0.96461647969503439</v>
      </c>
      <c r="AH21" s="1254">
        <f t="shared" si="2"/>
        <v>1.2057705996187928</v>
      </c>
      <c r="AI21" s="1255">
        <f t="shared" si="2"/>
        <v>3.3761576789326204</v>
      </c>
      <c r="AJ21" s="1254">
        <f t="shared" si="7"/>
        <v>0.60233411136483683</v>
      </c>
      <c r="AK21" s="1254">
        <f t="shared" si="7"/>
        <v>0.40155607424322459</v>
      </c>
      <c r="AL21" s="1254">
        <f t="shared" si="7"/>
        <v>0.80311214848644918</v>
      </c>
      <c r="AM21" s="1254">
        <f t="shared" si="7"/>
        <v>1.0038901856080615</v>
      </c>
      <c r="AN21" s="1256">
        <f t="shared" si="8"/>
        <v>2.8108925197025725</v>
      </c>
      <c r="AO21" s="1253">
        <f t="shared" si="9"/>
        <v>0</v>
      </c>
      <c r="AP21" s="1254">
        <f t="shared" si="9"/>
        <v>0</v>
      </c>
      <c r="AQ21" s="1254">
        <f t="shared" si="9"/>
        <v>0</v>
      </c>
      <c r="AR21" s="1254">
        <f t="shared" si="9"/>
        <v>0</v>
      </c>
      <c r="AS21" s="1257">
        <f t="shared" si="10"/>
        <v>0</v>
      </c>
      <c r="AT21" s="1253">
        <f t="shared" si="3"/>
        <v>0</v>
      </c>
      <c r="AU21" s="1254">
        <f t="shared" si="3"/>
        <v>0</v>
      </c>
      <c r="AV21" s="1254">
        <f t="shared" si="3"/>
        <v>0</v>
      </c>
      <c r="AW21" s="1254">
        <f t="shared" si="3"/>
        <v>0</v>
      </c>
      <c r="AX21" s="1257">
        <f t="shared" si="4"/>
        <v>0</v>
      </c>
      <c r="AY21" s="1258">
        <f t="shared" si="11"/>
        <v>20.512349801364813</v>
      </c>
      <c r="AZ21" s="1264">
        <f t="shared" si="12"/>
        <v>3.3761576789326204</v>
      </c>
      <c r="BA21" s="1264">
        <f t="shared" si="12"/>
        <v>2.810892519702572</v>
      </c>
      <c r="BB21" s="1264">
        <f t="shared" si="12"/>
        <v>0</v>
      </c>
      <c r="BC21" s="1263">
        <f t="shared" si="12"/>
        <v>0</v>
      </c>
      <c r="BD21" s="84"/>
      <c r="BE21" s="568" t="s">
        <v>366</v>
      </c>
      <c r="BF21" s="568" t="s">
        <v>366</v>
      </c>
      <c r="BG21" s="591" t="str">
        <f>IFERROR(INDEX('Annex 2_Code'!$J$110:$J$127,MATCH('Annex 5_MRD'!BE21,'Annex 2_Code'!$G$110:$G$127,0)),"")</f>
        <v>MRD</v>
      </c>
      <c r="BH21" s="1565" t="str">
        <f t="shared" si="18"/>
        <v>MRD</v>
      </c>
      <c r="BI21" s="84"/>
    </row>
    <row r="22" spans="1:61" s="85" customFormat="1" ht="20.100000000000001" customHeight="1">
      <c r="A22" s="75"/>
      <c r="B22" s="76" t="s">
        <v>24</v>
      </c>
      <c r="C22" s="76" t="s">
        <v>307</v>
      </c>
      <c r="D22" s="78"/>
      <c r="E22" s="1566"/>
      <c r="F22" s="66" t="s">
        <v>310</v>
      </c>
      <c r="H22" s="1756" t="s">
        <v>309</v>
      </c>
      <c r="I22" s="1567">
        <v>176040.00000000003</v>
      </c>
      <c r="J22" s="1026">
        <v>176.04000000000002</v>
      </c>
      <c r="K22" s="2237">
        <v>0.15</v>
      </c>
      <c r="L22" s="2237">
        <v>0.1</v>
      </c>
      <c r="M22" s="2237">
        <v>0.2</v>
      </c>
      <c r="N22" s="2237">
        <v>0.25</v>
      </c>
      <c r="O22" s="2235">
        <v>0.7</v>
      </c>
      <c r="P22" s="2258">
        <f t="shared" si="13"/>
        <v>26.406000000000002</v>
      </c>
      <c r="Q22" s="2258">
        <f t="shared" si="14"/>
        <v>17.604000000000003</v>
      </c>
      <c r="R22" s="2258">
        <f>M22*$I22/1000</f>
        <v>35.208000000000006</v>
      </c>
      <c r="S22" s="2258">
        <f>N22*$I22/1000</f>
        <v>44.010000000000005</v>
      </c>
      <c r="T22" s="1263">
        <f t="shared" si="17"/>
        <v>123.22800000000002</v>
      </c>
      <c r="U22" s="1250">
        <f>IFERROR(INDEX([8]Code!I$8:I$33,MATCH('[8]$MRD-Annex'!$BG23,[8]Code!$G$8:$G$33,0)),"")</f>
        <v>0.76827006604510995</v>
      </c>
      <c r="V22" s="1251">
        <f>IFERROR(INDEX([8]Code!J$8:J$33,MATCH('[8]$MRD-Annex'!$BG23,[8]Code!$G$8:$G$33,0)),"")</f>
        <v>0.12645069473218948</v>
      </c>
      <c r="W22" s="1251">
        <f>IFERROR(INDEX([8]Code!K$8:K$33,MATCH('[8]$MRD-Annex'!$BG23,[8]Code!$G$8:$G$33,0)),"")</f>
        <v>0.10527923922270058</v>
      </c>
      <c r="X22" s="1251">
        <f>IFERROR(INDEX([8]Code!L$8:L$33,MATCH('[8]$MRD-Annex'!$BG23,[8]Code!$G$8:$G$33,0)),"")</f>
        <v>0</v>
      </c>
      <c r="Y22" s="1252">
        <f>IFERROR(INDEX([8]Code!M$8:M$33,MATCH('[8]$MRD-Annex'!$BG23,[8]Code!$G$8:$G$33,0)),"")</f>
        <v>0</v>
      </c>
      <c r="Z22" s="1253">
        <f t="shared" si="0"/>
        <v>20.286939363987177</v>
      </c>
      <c r="AA22" s="1254">
        <f t="shared" si="0"/>
        <v>13.524626242658117</v>
      </c>
      <c r="AB22" s="1254">
        <f t="shared" si="0"/>
        <v>27.049252485316234</v>
      </c>
      <c r="AC22" s="1254">
        <f t="shared" si="0"/>
        <v>33.811565606645296</v>
      </c>
      <c r="AD22" s="1255">
        <f t="shared" si="6"/>
        <v>94.672383698606836</v>
      </c>
      <c r="AE22" s="1253">
        <f t="shared" si="2"/>
        <v>3.3390570450981958</v>
      </c>
      <c r="AF22" s="1254">
        <f t="shared" si="2"/>
        <v>2.2260380300654639</v>
      </c>
      <c r="AG22" s="1254">
        <f t="shared" si="2"/>
        <v>4.4520760601309277</v>
      </c>
      <c r="AH22" s="1254">
        <f t="shared" si="2"/>
        <v>5.5650950751636596</v>
      </c>
      <c r="AI22" s="1255">
        <f t="shared" si="2"/>
        <v>15.582266210458249</v>
      </c>
      <c r="AJ22" s="1254">
        <f t="shared" si="7"/>
        <v>2.7800035909146317</v>
      </c>
      <c r="AK22" s="1254">
        <f t="shared" si="7"/>
        <v>1.8533357272764213</v>
      </c>
      <c r="AL22" s="1254">
        <f t="shared" si="7"/>
        <v>3.7066714545528425</v>
      </c>
      <c r="AM22" s="1254">
        <f t="shared" si="7"/>
        <v>4.6333393181910525</v>
      </c>
      <c r="AN22" s="1256">
        <f t="shared" si="8"/>
        <v>12.973350090934947</v>
      </c>
      <c r="AO22" s="1253">
        <f t="shared" si="9"/>
        <v>0</v>
      </c>
      <c r="AP22" s="1254">
        <f t="shared" si="9"/>
        <v>0</v>
      </c>
      <c r="AQ22" s="1254">
        <f t="shared" si="9"/>
        <v>0</v>
      </c>
      <c r="AR22" s="1254">
        <f t="shared" si="9"/>
        <v>0</v>
      </c>
      <c r="AS22" s="1257">
        <f>SUM(AO22:AR22)</f>
        <v>0</v>
      </c>
      <c r="AT22" s="1253">
        <f t="shared" si="3"/>
        <v>0</v>
      </c>
      <c r="AU22" s="1254">
        <f t="shared" si="3"/>
        <v>0</v>
      </c>
      <c r="AV22" s="1254">
        <f t="shared" si="3"/>
        <v>0</v>
      </c>
      <c r="AW22" s="1254">
        <f t="shared" si="3"/>
        <v>0</v>
      </c>
      <c r="AX22" s="1257">
        <f>SUM(AT22:AW22)</f>
        <v>0</v>
      </c>
      <c r="AY22" s="1258">
        <f t="shared" si="11"/>
        <v>94.672383698606822</v>
      </c>
      <c r="AZ22" s="1264">
        <f t="shared" si="12"/>
        <v>15.582266210458249</v>
      </c>
      <c r="BA22" s="1264">
        <f t="shared" si="12"/>
        <v>12.973350090934948</v>
      </c>
      <c r="BB22" s="1264">
        <f t="shared" si="12"/>
        <v>0</v>
      </c>
      <c r="BC22" s="1263">
        <f t="shared" si="12"/>
        <v>0</v>
      </c>
      <c r="BD22" s="84"/>
      <c r="BE22" s="568" t="s">
        <v>366</v>
      </c>
      <c r="BF22" s="568" t="s">
        <v>366</v>
      </c>
      <c r="BG22" s="591" t="str">
        <f>IFERROR(INDEX('Annex 2_Code'!$J$110:$J$127,MATCH('Annex 5_MRD'!BE22,'Annex 2_Code'!$G$110:$G$127,0)),"")</f>
        <v>MRD</v>
      </c>
      <c r="BH22" s="1565" t="str">
        <f t="shared" si="18"/>
        <v>MRD</v>
      </c>
      <c r="BI22" s="84"/>
    </row>
    <row r="23" spans="1:61" s="85" customFormat="1" ht="20.100000000000001" customHeight="1">
      <c r="A23" s="75"/>
      <c r="B23" s="1267"/>
      <c r="C23" s="1568"/>
      <c r="D23" s="382"/>
      <c r="E23" s="383" t="s">
        <v>41</v>
      </c>
      <c r="F23" s="384"/>
      <c r="G23" s="385"/>
      <c r="H23" s="1749"/>
      <c r="I23" s="776"/>
      <c r="J23" s="1641"/>
      <c r="K23" s="386"/>
      <c r="L23" s="386"/>
      <c r="M23" s="839"/>
      <c r="N23" s="840"/>
      <c r="O23" s="388"/>
      <c r="P23" s="1268">
        <f>SUM(P12:P22)</f>
        <v>222.70673700000003</v>
      </c>
      <c r="Q23" s="1268">
        <f t="shared" ref="Q23" si="19">SUM(Q12:Q22)</f>
        <v>211.99763700000003</v>
      </c>
      <c r="R23" s="1268">
        <f>SUM(R12:R22)</f>
        <v>233.41583700000001</v>
      </c>
      <c r="S23" s="1268">
        <f>SUM(S12:S22)</f>
        <v>244.12493700000005</v>
      </c>
      <c r="T23" s="1269">
        <f>SUM(T12:T22)</f>
        <v>912.24514800000009</v>
      </c>
      <c r="U23" s="1270" t="str">
        <f>IFERROR(INDEX([8]Code!I$8:I$33,MATCH('[8]$MRD-Annex'!$BG24,[8]Code!$G$8:$G$33,0)),"")</f>
        <v/>
      </c>
      <c r="V23" s="1271" t="str">
        <f>IFERROR(INDEX([8]Code!J$8:J$33,MATCH('[8]$MRD-Annex'!$BG24,[8]Code!$G$8:$G$33,0)),"")</f>
        <v/>
      </c>
      <c r="W23" s="1271" t="str">
        <f>IFERROR(INDEX([8]Code!K$8:K$33,MATCH('[8]$MRD-Annex'!$BG24,[8]Code!$G$8:$G$33,0)),"")</f>
        <v/>
      </c>
      <c r="X23" s="1271" t="str">
        <f>IFERROR(INDEX([8]Code!L$8:L$33,MATCH('[8]$MRD-Annex'!$BG24,[8]Code!$G$8:$G$33,0)),"")</f>
        <v/>
      </c>
      <c r="Y23" s="1272" t="str">
        <f>IFERROR(INDEX([8]Code!M$8:M$33,MATCH('[8]$MRD-Annex'!$BG24,[8]Code!$G$8:$G$33,0)),"")</f>
        <v/>
      </c>
      <c r="Z23" s="1274">
        <f>SUM(Z22,Z21,Z20,Z19,Z18,Z14,Z12,Z17,Z16,Z15,Z13)</f>
        <v>171.09891954368095</v>
      </c>
      <c r="AA23" s="1268">
        <f t="shared" ref="AA23:AD23" si="20">SUM(AA22,AA21,AA20,AA19,AA18,AA14,AA12,AA17,AA16,AA15,AA13)</f>
        <v>162.87143857939725</v>
      </c>
      <c r="AB23" s="1268">
        <f t="shared" si="20"/>
        <v>179.32640050796462</v>
      </c>
      <c r="AC23" s="1268">
        <f t="shared" si="20"/>
        <v>187.55388147224832</v>
      </c>
      <c r="AD23" s="1275">
        <f t="shared" si="20"/>
        <v>700.8506401032912</v>
      </c>
      <c r="AE23" s="1268">
        <f>SUM(AE22,AE21,AE20,AE19,AE18,AE17,AE16,AE15,AE14,AE13,AE12)</f>
        <v>28.16142161518901</v>
      </c>
      <c r="AF23" s="1268">
        <f t="shared" ref="AF23:AI23" si="21">SUM(AF22,AF21,AF20,AF19,AF18,AF17,AF16,AF15,AF14,AF13,AF12)</f>
        <v>26.80724848023252</v>
      </c>
      <c r="AG23" s="1268">
        <f t="shared" si="21"/>
        <v>29.515594750145503</v>
      </c>
      <c r="AH23" s="1268">
        <f t="shared" si="21"/>
        <v>30.869767885101993</v>
      </c>
      <c r="AI23" s="1268">
        <f t="shared" si="21"/>
        <v>115.35403273066903</v>
      </c>
      <c r="AJ23" s="1274">
        <f>SUM(AJ22,AJ21,AJ20,AJ19,AJ18,AJ17,AJ16,AJ15,AJ14,AJ13,AJ12)</f>
        <v>23.446395841130066</v>
      </c>
      <c r="AK23" s="1268">
        <f t="shared" ref="AK23:AN23" si="22">SUM(AK22,AK21,AK20,AK19,AK18,AK17,AK16,AK15,AK14,AK13,AK12)</f>
        <v>22.318949940370242</v>
      </c>
      <c r="AL23" s="1268">
        <f t="shared" si="22"/>
        <v>24.57384174188989</v>
      </c>
      <c r="AM23" s="1268">
        <f t="shared" si="22"/>
        <v>25.70128764264971</v>
      </c>
      <c r="AN23" s="1275">
        <f t="shared" si="22"/>
        <v>96.040475166039911</v>
      </c>
      <c r="AO23" s="1274"/>
      <c r="AP23" s="1268"/>
      <c r="AQ23" s="1268"/>
      <c r="AR23" s="1268"/>
      <c r="AS23" s="1276"/>
      <c r="AT23" s="1277"/>
      <c r="AU23" s="1273"/>
      <c r="AV23" s="1273"/>
      <c r="AW23" s="1273"/>
      <c r="AX23" s="1276"/>
      <c r="AY23" s="1278">
        <f>SUM(AY22,AY21,AY20,AY19,AY18,AY14,AY12,AY17,AY16,AY15,AY13)</f>
        <v>700.8506401032912</v>
      </c>
      <c r="AZ23" s="1279">
        <f>SUM(AZ22,AZ21,AZ20,AZ19,AZ18,AZ14,AZ12,AZ17,AZ16,AZ15,AZ13)</f>
        <v>115.35403273066903</v>
      </c>
      <c r="BA23" s="1279">
        <f>SUM(BA22,BA21,BA20,BA19,BA18,BA14,BA12,BA17,BA16,BA15,BA13)</f>
        <v>96.040475166039911</v>
      </c>
      <c r="BB23" s="1279">
        <f t="shared" ref="BB23:BC23" si="23">SUM(BB22,BB21,BB20,BB19,BB18,BB14,BB12,BB17,BB16,BB15,BB13)</f>
        <v>0</v>
      </c>
      <c r="BC23" s="1279">
        <f t="shared" si="23"/>
        <v>0</v>
      </c>
      <c r="BD23" s="84"/>
      <c r="BE23" s="1282"/>
      <c r="BF23" s="1282"/>
      <c r="BG23" s="1282"/>
      <c r="BH23" s="1565"/>
      <c r="BI23" s="84"/>
    </row>
    <row r="24" spans="1:61" s="85" customFormat="1" ht="20.100000000000001" customHeight="1">
      <c r="A24" s="75"/>
      <c r="B24" s="76" t="s">
        <v>24</v>
      </c>
      <c r="C24" s="76" t="s">
        <v>307</v>
      </c>
      <c r="D24" s="78"/>
      <c r="E24" s="66" t="s">
        <v>941</v>
      </c>
      <c r="H24" s="1758"/>
      <c r="I24" s="778"/>
      <c r="J24" s="1026"/>
      <c r="K24" s="789"/>
      <c r="L24" s="112"/>
      <c r="M24" s="841"/>
      <c r="N24" s="841"/>
      <c r="O24" s="145"/>
      <c r="P24" s="1248"/>
      <c r="Q24" s="1248"/>
      <c r="R24" s="1248"/>
      <c r="S24" s="1248"/>
      <c r="T24" s="1249"/>
      <c r="U24" s="1250">
        <f>IFERROR(INDEX([8]Code!I$8:I$33,MATCH('[8]$MRD-Annex'!$BG25,[8]Code!$G$8:$G$33,0)),"")</f>
        <v>0.76827006604510995</v>
      </c>
      <c r="V24" s="1251">
        <f>IFERROR(INDEX([8]Code!J$8:J$33,MATCH('[8]$MRD-Annex'!$BG25,[8]Code!$G$8:$G$33,0)),"")</f>
        <v>0.12645069473218948</v>
      </c>
      <c r="W24" s="1251">
        <f>IFERROR(INDEX([8]Code!K$8:K$33,MATCH('[8]$MRD-Annex'!$BG25,[8]Code!$G$8:$G$33,0)),"")</f>
        <v>0.10527923922270058</v>
      </c>
      <c r="X24" s="1251">
        <f>IFERROR(INDEX([8]Code!L$8:L$33,MATCH('[8]$MRD-Annex'!$BG25,[8]Code!$G$8:$G$33,0)),"")</f>
        <v>0</v>
      </c>
      <c r="Y24" s="1252">
        <f>IFERROR(INDEX([8]Code!M$8:M$33,MATCH('[8]$MRD-Annex'!$BG25,[8]Code!$G$8:$G$33,0)),"")</f>
        <v>0</v>
      </c>
      <c r="Z24" s="1253">
        <f t="shared" ref="Z24:AC35" si="24">P24*$U24</f>
        <v>0</v>
      </c>
      <c r="AA24" s="1254">
        <f t="shared" si="24"/>
        <v>0</v>
      </c>
      <c r="AB24" s="1254">
        <f t="shared" si="24"/>
        <v>0</v>
      </c>
      <c r="AC24" s="1254">
        <f t="shared" si="24"/>
        <v>0</v>
      </c>
      <c r="AD24" s="1255">
        <f t="shared" ref="AD24:AD35" si="25">SUM(Z24:AC24)</f>
        <v>0</v>
      </c>
      <c r="AE24" s="1253">
        <f t="shared" ref="AE24:AI35" si="26">P24*$V24</f>
        <v>0</v>
      </c>
      <c r="AF24" s="1254">
        <f t="shared" si="26"/>
        <v>0</v>
      </c>
      <c r="AG24" s="1254">
        <f t="shared" si="26"/>
        <v>0</v>
      </c>
      <c r="AH24" s="1254">
        <f t="shared" si="26"/>
        <v>0</v>
      </c>
      <c r="AI24" s="1255">
        <f t="shared" si="26"/>
        <v>0</v>
      </c>
      <c r="AJ24" s="1254"/>
      <c r="AK24" s="1254"/>
      <c r="AL24" s="1254"/>
      <c r="AM24" s="1254"/>
      <c r="AN24" s="1256"/>
      <c r="AO24" s="1253">
        <f t="shared" ref="AO24:AR35" si="27">P24*$X24</f>
        <v>0</v>
      </c>
      <c r="AP24" s="1254">
        <f t="shared" si="27"/>
        <v>0</v>
      </c>
      <c r="AQ24" s="1254">
        <f t="shared" si="27"/>
        <v>0</v>
      </c>
      <c r="AR24" s="1254">
        <f t="shared" si="27"/>
        <v>0</v>
      </c>
      <c r="AS24" s="1257">
        <f t="shared" ref="AS24:AS35" si="28">SUM(AO24:AR24)</f>
        <v>0</v>
      </c>
      <c r="AT24" s="1253">
        <f t="shared" ref="AT24:AW35" si="29">P24*$Y24</f>
        <v>0</v>
      </c>
      <c r="AU24" s="1254">
        <f t="shared" si="29"/>
        <v>0</v>
      </c>
      <c r="AV24" s="1254">
        <f t="shared" si="29"/>
        <v>0</v>
      </c>
      <c r="AW24" s="1254">
        <f t="shared" si="29"/>
        <v>0</v>
      </c>
      <c r="AX24" s="1257">
        <f t="shared" ref="AX24:AX35" si="30">SUM(AT24:AW24)</f>
        <v>0</v>
      </c>
      <c r="AY24" s="1258">
        <f t="shared" ref="AY24:AY35" si="31">SUM($T24*U24)</f>
        <v>0</v>
      </c>
      <c r="AZ24" s="1264">
        <f t="shared" ref="AZ24:BC35" si="32">SUM($T24*V24)</f>
        <v>0</v>
      </c>
      <c r="BA24" s="1264">
        <f t="shared" si="32"/>
        <v>0</v>
      </c>
      <c r="BB24" s="1264">
        <f t="shared" si="32"/>
        <v>0</v>
      </c>
      <c r="BC24" s="1263">
        <f t="shared" si="32"/>
        <v>0</v>
      </c>
      <c r="BD24" s="84"/>
      <c r="BE24" s="1282"/>
      <c r="BF24" s="1282"/>
      <c r="BG24" s="1282"/>
      <c r="BH24" s="1565"/>
      <c r="BI24" s="84"/>
    </row>
    <row r="25" spans="1:61" s="85" customFormat="1" ht="20.100000000000001" customHeight="1">
      <c r="A25" s="75"/>
      <c r="B25" s="76" t="s">
        <v>24</v>
      </c>
      <c r="C25" s="76" t="s">
        <v>307</v>
      </c>
      <c r="D25" s="78"/>
      <c r="E25" s="66"/>
      <c r="F25" t="s">
        <v>934</v>
      </c>
      <c r="H25" s="1755" t="s">
        <v>1095</v>
      </c>
      <c r="I25" s="167">
        <v>2.5</v>
      </c>
      <c r="J25" s="1026">
        <v>2.5000000000000001E-3</v>
      </c>
      <c r="K25" s="2238">
        <v>0</v>
      </c>
      <c r="L25" s="2239">
        <v>2183</v>
      </c>
      <c r="M25" s="2239">
        <v>2183</v>
      </c>
      <c r="N25" s="2239">
        <v>4366</v>
      </c>
      <c r="O25" s="1280">
        <f>SUM(K25:N25)</f>
        <v>8732</v>
      </c>
      <c r="P25" s="2258">
        <f t="shared" ref="P25:P35" si="33">K25*$I25/1000</f>
        <v>0</v>
      </c>
      <c r="Q25" s="2258">
        <f t="shared" ref="Q25:Q35" si="34">L25*$I25/1000</f>
        <v>5.4574999999999996</v>
      </c>
      <c r="R25" s="2258">
        <f t="shared" ref="R25:R35" si="35">M25*$I25/1000</f>
        <v>5.4574999999999996</v>
      </c>
      <c r="S25" s="2258">
        <f t="shared" ref="S25:S34" si="36">N25*$I25/1000</f>
        <v>10.914999999999999</v>
      </c>
      <c r="T25" s="1281">
        <f t="shared" ref="T25:T35" si="37">SUM(P25:S25)</f>
        <v>21.83</v>
      </c>
      <c r="U25" s="1250">
        <f>IFERROR(INDEX([8]Code!I$8:I$33,MATCH('[8]$MRD-Annex'!$BG26,[8]Code!$G$8:$G$33,0)),"")</f>
        <v>0.76827006604510995</v>
      </c>
      <c r="V25" s="1251">
        <f>IFERROR(INDEX([8]Code!J$8:J$33,MATCH('[8]$MRD-Annex'!$BG26,[8]Code!$G$8:$G$33,0)),"")</f>
        <v>0.12645069473218948</v>
      </c>
      <c r="W25" s="1251">
        <f>IFERROR(INDEX([8]Code!K$8:K$33,MATCH('[8]$MRD-Annex'!$BG26,[8]Code!$G$8:$G$33,0)),"")</f>
        <v>0.10527923922270058</v>
      </c>
      <c r="X25" s="1251">
        <f>IFERROR(INDEX([8]Code!L$8:L$33,MATCH('[8]$MRD-Annex'!$BG26,[8]Code!$G$8:$G$33,0)),"")</f>
        <v>0</v>
      </c>
      <c r="Y25" s="1252">
        <f>IFERROR(INDEX([8]Code!M$8:M$33,MATCH('[8]$MRD-Annex'!$BG26,[8]Code!$G$8:$G$33,0)),"")</f>
        <v>0</v>
      </c>
      <c r="Z25" s="1253">
        <f t="shared" si="24"/>
        <v>0</v>
      </c>
      <c r="AA25" s="1254">
        <f t="shared" si="24"/>
        <v>4.1928338854411873</v>
      </c>
      <c r="AB25" s="1254">
        <f t="shared" si="24"/>
        <v>4.1928338854411873</v>
      </c>
      <c r="AC25" s="1254">
        <f t="shared" si="24"/>
        <v>8.3856677708823746</v>
      </c>
      <c r="AD25" s="1255">
        <f t="shared" si="25"/>
        <v>16.771335541764749</v>
      </c>
      <c r="AE25" s="1253">
        <f t="shared" si="26"/>
        <v>0</v>
      </c>
      <c r="AF25" s="1254">
        <f t="shared" si="26"/>
        <v>0.69010466650092406</v>
      </c>
      <c r="AG25" s="1254">
        <f t="shared" si="26"/>
        <v>0.69010466650092406</v>
      </c>
      <c r="AH25" s="1254">
        <f t="shared" si="26"/>
        <v>1.3802093330018481</v>
      </c>
      <c r="AI25" s="1255">
        <f t="shared" si="26"/>
        <v>2.7604186660036962</v>
      </c>
      <c r="AJ25" s="1254">
        <f t="shared" ref="AJ25:AM35" si="38">P25*$W25</f>
        <v>0</v>
      </c>
      <c r="AK25" s="1254">
        <f t="shared" si="38"/>
        <v>0.57456144805788834</v>
      </c>
      <c r="AL25" s="1254">
        <f t="shared" si="38"/>
        <v>0.57456144805788834</v>
      </c>
      <c r="AM25" s="1254">
        <f t="shared" si="38"/>
        <v>1.1491228961157767</v>
      </c>
      <c r="AN25" s="1256">
        <f t="shared" ref="AN25:AN35" si="39">SUM(AJ25:AM25)</f>
        <v>2.2982457922315533</v>
      </c>
      <c r="AO25" s="1253">
        <f t="shared" si="27"/>
        <v>0</v>
      </c>
      <c r="AP25" s="1254">
        <f t="shared" si="27"/>
        <v>0</v>
      </c>
      <c r="AQ25" s="1254">
        <f t="shared" si="27"/>
        <v>0</v>
      </c>
      <c r="AR25" s="1254">
        <f t="shared" si="27"/>
        <v>0</v>
      </c>
      <c r="AS25" s="1257">
        <f t="shared" si="28"/>
        <v>0</v>
      </c>
      <c r="AT25" s="1253">
        <f t="shared" si="29"/>
        <v>0</v>
      </c>
      <c r="AU25" s="1254">
        <f t="shared" si="29"/>
        <v>0</v>
      </c>
      <c r="AV25" s="1254">
        <f t="shared" si="29"/>
        <v>0</v>
      </c>
      <c r="AW25" s="1254">
        <f t="shared" si="29"/>
        <v>0</v>
      </c>
      <c r="AX25" s="1257">
        <f t="shared" si="30"/>
        <v>0</v>
      </c>
      <c r="AY25" s="1258">
        <f t="shared" si="31"/>
        <v>16.771335541764749</v>
      </c>
      <c r="AZ25" s="1264">
        <f t="shared" si="32"/>
        <v>2.7604186660036962</v>
      </c>
      <c r="BA25" s="1264">
        <f t="shared" si="32"/>
        <v>2.2982457922315533</v>
      </c>
      <c r="BB25" s="1264">
        <f t="shared" si="32"/>
        <v>0</v>
      </c>
      <c r="BC25" s="1263">
        <f t="shared" si="32"/>
        <v>0</v>
      </c>
      <c r="BD25" s="84"/>
      <c r="BE25" s="568" t="s">
        <v>366</v>
      </c>
      <c r="BF25" s="568" t="s">
        <v>366</v>
      </c>
      <c r="BG25" s="591" t="str">
        <f>IFERROR(INDEX('Annex 2_Code'!$J$110:$J$127,MATCH('Annex 5_MRD'!BE25,'Annex 2_Code'!$G$110:$G$127,0)),"")</f>
        <v>MRD</v>
      </c>
      <c r="BH25" s="1565" t="str">
        <f t="shared" si="18"/>
        <v>MRD</v>
      </c>
      <c r="BI25" s="84"/>
    </row>
    <row r="26" spans="1:61" s="85" customFormat="1" ht="20.100000000000001" customHeight="1">
      <c r="A26" s="75"/>
      <c r="B26" s="76" t="s">
        <v>24</v>
      </c>
      <c r="C26" s="76" t="s">
        <v>307</v>
      </c>
      <c r="D26" s="78"/>
      <c r="E26" s="66"/>
      <c r="F26" s="66" t="s">
        <v>935</v>
      </c>
      <c r="H26" s="1755" t="s">
        <v>1095</v>
      </c>
      <c r="I26">
        <v>21</v>
      </c>
      <c r="J26" s="1026">
        <v>2.1000000000000001E-2</v>
      </c>
      <c r="K26" s="2238">
        <v>0</v>
      </c>
      <c r="L26" s="2239">
        <v>183.37200000000001</v>
      </c>
      <c r="M26" s="2239">
        <v>183.37200000000001</v>
      </c>
      <c r="N26" s="2239">
        <v>366.74400000000003</v>
      </c>
      <c r="O26" s="1280">
        <f t="shared" ref="O26:O35" si="40">SUM(K26:N26)</f>
        <v>733.48800000000006</v>
      </c>
      <c r="P26" s="2258">
        <f t="shared" si="33"/>
        <v>0</v>
      </c>
      <c r="Q26" s="2258">
        <f t="shared" si="34"/>
        <v>3.8508120000000003</v>
      </c>
      <c r="R26" s="2258">
        <f t="shared" si="35"/>
        <v>3.8508120000000003</v>
      </c>
      <c r="S26" s="2258">
        <f t="shared" si="36"/>
        <v>7.7016240000000007</v>
      </c>
      <c r="T26" s="1281">
        <f t="shared" si="37"/>
        <v>15.403248000000001</v>
      </c>
      <c r="U26" s="1250">
        <f>IFERROR(INDEX([8]Code!I$8:I$33,MATCH('[8]$MRD-Annex'!$BG27,[8]Code!$G$8:$G$33,0)),"")</f>
        <v>0.76827006604510995</v>
      </c>
      <c r="V26" s="1251">
        <f>IFERROR(INDEX([8]Code!J$8:J$33,MATCH('[8]$MRD-Annex'!$BG27,[8]Code!$G$8:$G$33,0)),"")</f>
        <v>0.12645069473218948</v>
      </c>
      <c r="W26" s="1251">
        <f>IFERROR(INDEX([8]Code!K$8:K$33,MATCH('[8]$MRD-Annex'!$BG27,[8]Code!$G$8:$G$33,0)),"")</f>
        <v>0.10527923922270058</v>
      </c>
      <c r="X26" s="1251">
        <f>IFERROR(INDEX([8]Code!L$8:L$33,MATCH('[8]$MRD-Annex'!$BG27,[8]Code!$G$8:$G$33,0)),"")</f>
        <v>0</v>
      </c>
      <c r="Y26" s="1252">
        <f>IFERROR(INDEX([8]Code!M$8:M$33,MATCH('[8]$MRD-Annex'!$BG27,[8]Code!$G$8:$G$33,0)),"")</f>
        <v>0</v>
      </c>
      <c r="Z26" s="1253">
        <f t="shared" si="24"/>
        <v>0</v>
      </c>
      <c r="AA26" s="1254">
        <f t="shared" si="24"/>
        <v>2.9584635895673022</v>
      </c>
      <c r="AB26" s="1254">
        <f t="shared" si="24"/>
        <v>2.9584635895673022</v>
      </c>
      <c r="AC26" s="1254">
        <f t="shared" si="24"/>
        <v>5.9169271791346043</v>
      </c>
      <c r="AD26" s="1255">
        <f t="shared" si="25"/>
        <v>11.833854358269209</v>
      </c>
      <c r="AE26" s="1253">
        <f t="shared" si="26"/>
        <v>0</v>
      </c>
      <c r="AF26" s="1254">
        <f t="shared" si="26"/>
        <v>0.48693785268305206</v>
      </c>
      <c r="AG26" s="1254">
        <f t="shared" si="26"/>
        <v>0.48693785268305206</v>
      </c>
      <c r="AH26" s="1254">
        <f t="shared" si="26"/>
        <v>0.97387570536610413</v>
      </c>
      <c r="AI26" s="1255">
        <f t="shared" si="26"/>
        <v>1.9477514107322083</v>
      </c>
      <c r="AJ26" s="1254">
        <f t="shared" si="38"/>
        <v>0</v>
      </c>
      <c r="AK26" s="1254">
        <f t="shared" si="38"/>
        <v>0.40541055774964607</v>
      </c>
      <c r="AL26" s="1254">
        <f t="shared" si="38"/>
        <v>0.40541055774964607</v>
      </c>
      <c r="AM26" s="1254">
        <f t="shared" si="38"/>
        <v>0.81082111549929214</v>
      </c>
      <c r="AN26" s="1256">
        <f t="shared" si="39"/>
        <v>1.6216422309985843</v>
      </c>
      <c r="AO26" s="1253">
        <f t="shared" si="27"/>
        <v>0</v>
      </c>
      <c r="AP26" s="1254">
        <f t="shared" si="27"/>
        <v>0</v>
      </c>
      <c r="AQ26" s="1254">
        <f t="shared" si="27"/>
        <v>0</v>
      </c>
      <c r="AR26" s="1254">
        <f t="shared" si="27"/>
        <v>0</v>
      </c>
      <c r="AS26" s="1257">
        <f t="shared" si="28"/>
        <v>0</v>
      </c>
      <c r="AT26" s="1253">
        <f t="shared" si="29"/>
        <v>0</v>
      </c>
      <c r="AU26" s="1254">
        <f t="shared" si="29"/>
        <v>0</v>
      </c>
      <c r="AV26" s="1254">
        <f t="shared" si="29"/>
        <v>0</v>
      </c>
      <c r="AW26" s="1254">
        <f t="shared" si="29"/>
        <v>0</v>
      </c>
      <c r="AX26" s="1257">
        <f t="shared" si="30"/>
        <v>0</v>
      </c>
      <c r="AY26" s="1258">
        <f t="shared" si="31"/>
        <v>11.833854358269209</v>
      </c>
      <c r="AZ26" s="1264">
        <f t="shared" si="32"/>
        <v>1.9477514107322083</v>
      </c>
      <c r="BA26" s="1264">
        <f t="shared" si="32"/>
        <v>1.6216422309985843</v>
      </c>
      <c r="BB26" s="1264">
        <f t="shared" si="32"/>
        <v>0</v>
      </c>
      <c r="BC26" s="1263">
        <f t="shared" si="32"/>
        <v>0</v>
      </c>
      <c r="BD26" s="84"/>
      <c r="BE26" s="568" t="s">
        <v>366</v>
      </c>
      <c r="BF26" s="568" t="s">
        <v>366</v>
      </c>
      <c r="BG26" s="591" t="str">
        <f>IFERROR(INDEX('Annex 2_Code'!$J$110:$J$127,MATCH('Annex 5_MRD'!BE26,'Annex 2_Code'!$G$110:$G$127,0)),"")</f>
        <v>MRD</v>
      </c>
      <c r="BH26" s="1565" t="str">
        <f t="shared" si="18"/>
        <v>MRD</v>
      </c>
      <c r="BI26" s="84"/>
    </row>
    <row r="27" spans="1:61" s="85" customFormat="1" ht="20.100000000000001" customHeight="1">
      <c r="A27" s="75"/>
      <c r="B27" s="76" t="s">
        <v>24</v>
      </c>
      <c r="C27" s="76" t="s">
        <v>307</v>
      </c>
      <c r="D27" s="78"/>
      <c r="E27" s="66"/>
      <c r="F27" t="s">
        <v>936</v>
      </c>
      <c r="H27" s="1755" t="s">
        <v>1095</v>
      </c>
      <c r="I27">
        <v>21</v>
      </c>
      <c r="J27" s="1026">
        <v>2.1000000000000001E-2</v>
      </c>
      <c r="K27" s="2238">
        <v>0</v>
      </c>
      <c r="L27" s="2239">
        <v>419.13600000000008</v>
      </c>
      <c r="M27" s="2239">
        <v>419.13600000000008</v>
      </c>
      <c r="N27" s="2239">
        <v>838.27200000000016</v>
      </c>
      <c r="O27" s="1280">
        <f t="shared" si="40"/>
        <v>1676.5440000000003</v>
      </c>
      <c r="P27" s="2258">
        <f t="shared" si="33"/>
        <v>0</v>
      </c>
      <c r="Q27" s="2258">
        <f t="shared" si="34"/>
        <v>8.8018560000000008</v>
      </c>
      <c r="R27" s="2258">
        <f t="shared" si="35"/>
        <v>8.8018560000000008</v>
      </c>
      <c r="S27" s="2258">
        <f t="shared" si="36"/>
        <v>17.603712000000002</v>
      </c>
      <c r="T27" s="1281">
        <f t="shared" si="37"/>
        <v>35.207424000000003</v>
      </c>
      <c r="U27" s="1250">
        <f>IFERROR(INDEX([8]Code!I$8:I$33,MATCH('[8]$MRD-Annex'!$BG28,[8]Code!$G$8:$G$33,0)),"")</f>
        <v>0.76827006604510995</v>
      </c>
      <c r="V27" s="1251">
        <f>IFERROR(INDEX([8]Code!J$8:J$33,MATCH('[8]$MRD-Annex'!$BG28,[8]Code!$G$8:$G$33,0)),"")</f>
        <v>0.12645069473218948</v>
      </c>
      <c r="W27" s="1251">
        <f>IFERROR(INDEX([8]Code!K$8:K$33,MATCH('[8]$MRD-Annex'!$BG28,[8]Code!$G$8:$G$33,0)),"")</f>
        <v>0.10527923922270058</v>
      </c>
      <c r="X27" s="1251">
        <f>IFERROR(INDEX([8]Code!L$8:L$33,MATCH('[8]$MRD-Annex'!$BG28,[8]Code!$G$8:$G$33,0)),"")</f>
        <v>0</v>
      </c>
      <c r="Y27" s="1252">
        <f>IFERROR(INDEX([8]Code!M$8:M$33,MATCH('[8]$MRD-Annex'!$BG28,[8]Code!$G$8:$G$33,0)),"")</f>
        <v>0</v>
      </c>
      <c r="Z27" s="1253">
        <f t="shared" si="24"/>
        <v>0</v>
      </c>
      <c r="AA27" s="1254">
        <f t="shared" si="24"/>
        <v>6.7622024904395479</v>
      </c>
      <c r="AB27" s="1254">
        <f t="shared" si="24"/>
        <v>6.7622024904395479</v>
      </c>
      <c r="AC27" s="1254">
        <f t="shared" si="24"/>
        <v>13.524404980879096</v>
      </c>
      <c r="AD27" s="1255">
        <f t="shared" si="25"/>
        <v>27.048809961758192</v>
      </c>
      <c r="AE27" s="1253">
        <f t="shared" si="26"/>
        <v>0</v>
      </c>
      <c r="AF27" s="1254">
        <f t="shared" si="26"/>
        <v>1.1130008061326904</v>
      </c>
      <c r="AG27" s="1254">
        <f t="shared" si="26"/>
        <v>1.1130008061326904</v>
      </c>
      <c r="AH27" s="1254">
        <f t="shared" si="26"/>
        <v>2.2260016122653807</v>
      </c>
      <c r="AI27" s="1255">
        <f t="shared" si="26"/>
        <v>4.4520032245307615</v>
      </c>
      <c r="AJ27" s="1254">
        <f t="shared" si="38"/>
        <v>0</v>
      </c>
      <c r="AK27" s="1254">
        <f t="shared" si="38"/>
        <v>0.92665270342776251</v>
      </c>
      <c r="AL27" s="1254">
        <f t="shared" si="38"/>
        <v>0.92665270342776251</v>
      </c>
      <c r="AM27" s="1254">
        <f t="shared" si="38"/>
        <v>1.853305406855525</v>
      </c>
      <c r="AN27" s="1256">
        <f t="shared" si="39"/>
        <v>3.7066108137110501</v>
      </c>
      <c r="AO27" s="1253">
        <f t="shared" si="27"/>
        <v>0</v>
      </c>
      <c r="AP27" s="1254">
        <f t="shared" si="27"/>
        <v>0</v>
      </c>
      <c r="AQ27" s="1254">
        <f t="shared" si="27"/>
        <v>0</v>
      </c>
      <c r="AR27" s="1254">
        <f t="shared" si="27"/>
        <v>0</v>
      </c>
      <c r="AS27" s="1257">
        <f t="shared" si="28"/>
        <v>0</v>
      </c>
      <c r="AT27" s="1253">
        <f t="shared" si="29"/>
        <v>0</v>
      </c>
      <c r="AU27" s="1254">
        <f t="shared" si="29"/>
        <v>0</v>
      </c>
      <c r="AV27" s="1254">
        <f t="shared" si="29"/>
        <v>0</v>
      </c>
      <c r="AW27" s="1254">
        <f t="shared" si="29"/>
        <v>0</v>
      </c>
      <c r="AX27" s="1257">
        <f t="shared" si="30"/>
        <v>0</v>
      </c>
      <c r="AY27" s="1258">
        <f t="shared" si="31"/>
        <v>27.048809961758192</v>
      </c>
      <c r="AZ27" s="1264">
        <f t="shared" si="32"/>
        <v>4.4520032245307615</v>
      </c>
      <c r="BA27" s="1264">
        <f t="shared" si="32"/>
        <v>3.7066108137110501</v>
      </c>
      <c r="BB27" s="1264">
        <f t="shared" si="32"/>
        <v>0</v>
      </c>
      <c r="BC27" s="1263">
        <f t="shared" si="32"/>
        <v>0</v>
      </c>
      <c r="BD27" s="84"/>
      <c r="BE27" s="568" t="s">
        <v>366</v>
      </c>
      <c r="BF27" s="568" t="s">
        <v>366</v>
      </c>
      <c r="BG27" s="591" t="str">
        <f>IFERROR(INDEX('Annex 2_Code'!$J$110:$J$127,MATCH('Annex 5_MRD'!BE27,'Annex 2_Code'!$G$110:$G$127,0)),"")</f>
        <v>MRD</v>
      </c>
      <c r="BH27" s="1565" t="str">
        <f t="shared" si="18"/>
        <v>MRD</v>
      </c>
      <c r="BI27" s="84"/>
    </row>
    <row r="28" spans="1:61" s="85" customFormat="1" ht="20.100000000000001" customHeight="1">
      <c r="A28" s="75"/>
      <c r="B28" s="76" t="s">
        <v>24</v>
      </c>
      <c r="C28" s="76" t="s">
        <v>307</v>
      </c>
      <c r="D28" s="78"/>
      <c r="E28" s="66"/>
      <c r="F28" t="s">
        <v>311</v>
      </c>
      <c r="H28" s="1755" t="s">
        <v>1095</v>
      </c>
      <c r="I28" s="167">
        <v>2.5</v>
      </c>
      <c r="J28" s="1026">
        <v>2.5000000000000001E-3</v>
      </c>
      <c r="K28" s="2238">
        <v>0</v>
      </c>
      <c r="L28" s="2239">
        <v>196.47</v>
      </c>
      <c r="M28" s="2239">
        <v>196.47</v>
      </c>
      <c r="N28" s="2239">
        <v>392.94</v>
      </c>
      <c r="O28" s="1280">
        <f t="shared" si="40"/>
        <v>785.88</v>
      </c>
      <c r="P28" s="2258">
        <f t="shared" si="33"/>
        <v>0</v>
      </c>
      <c r="Q28" s="2258">
        <f t="shared" si="34"/>
        <v>0.49117500000000003</v>
      </c>
      <c r="R28" s="2258">
        <f t="shared" si="35"/>
        <v>0.49117500000000003</v>
      </c>
      <c r="S28" s="2258">
        <f t="shared" si="36"/>
        <v>0.98235000000000006</v>
      </c>
      <c r="T28" s="1281">
        <f t="shared" si="37"/>
        <v>1.9647000000000001</v>
      </c>
      <c r="U28" s="1250">
        <f>IFERROR(INDEX([8]Code!I$8:I$33,MATCH('[8]$MRD-Annex'!$BG29,[8]Code!$G$8:$G$33,0)),"")</f>
        <v>0.76827006604510995</v>
      </c>
      <c r="V28" s="1251">
        <f>IFERROR(INDEX([8]Code!J$8:J$33,MATCH('[8]$MRD-Annex'!$BG29,[8]Code!$G$8:$G$33,0)),"")</f>
        <v>0.12645069473218948</v>
      </c>
      <c r="W28" s="1251">
        <f>IFERROR(INDEX([8]Code!K$8:K$33,MATCH('[8]$MRD-Annex'!$BG29,[8]Code!$G$8:$G$33,0)),"")</f>
        <v>0.10527923922270058</v>
      </c>
      <c r="X28" s="1251">
        <f>IFERROR(INDEX([8]Code!L$8:L$33,MATCH('[8]$MRD-Annex'!$BG29,[8]Code!$G$8:$G$33,0)),"")</f>
        <v>0</v>
      </c>
      <c r="Y28" s="1252">
        <f>IFERROR(INDEX([8]Code!M$8:M$33,MATCH('[8]$MRD-Annex'!$BG29,[8]Code!$G$8:$G$33,0)),"")</f>
        <v>0</v>
      </c>
      <c r="Z28" s="1253">
        <f t="shared" si="24"/>
        <v>0</v>
      </c>
      <c r="AA28" s="1254">
        <f t="shared" si="24"/>
        <v>0.3773550496897069</v>
      </c>
      <c r="AB28" s="1254">
        <f t="shared" si="24"/>
        <v>0.3773550496897069</v>
      </c>
      <c r="AC28" s="1254">
        <f t="shared" si="24"/>
        <v>0.7547100993794138</v>
      </c>
      <c r="AD28" s="1255">
        <f t="shared" si="25"/>
        <v>1.5094201987588276</v>
      </c>
      <c r="AE28" s="1253">
        <f t="shared" si="26"/>
        <v>0</v>
      </c>
      <c r="AF28" s="1254">
        <f t="shared" si="26"/>
        <v>6.2109419985083174E-2</v>
      </c>
      <c r="AG28" s="1254">
        <f t="shared" si="26"/>
        <v>6.2109419985083174E-2</v>
      </c>
      <c r="AH28" s="1254">
        <f t="shared" si="26"/>
        <v>0.12421883997016635</v>
      </c>
      <c r="AI28" s="1255">
        <f t="shared" si="26"/>
        <v>0.2484376799403327</v>
      </c>
      <c r="AJ28" s="1254">
        <f t="shared" si="38"/>
        <v>0</v>
      </c>
      <c r="AK28" s="1254">
        <f t="shared" si="38"/>
        <v>5.1710530325209961E-2</v>
      </c>
      <c r="AL28" s="1254">
        <f t="shared" si="38"/>
        <v>5.1710530325209961E-2</v>
      </c>
      <c r="AM28" s="1254">
        <f t="shared" si="38"/>
        <v>0.10342106065041992</v>
      </c>
      <c r="AN28" s="1256">
        <f t="shared" si="39"/>
        <v>0.20684212130083984</v>
      </c>
      <c r="AO28" s="1253">
        <f t="shared" si="27"/>
        <v>0</v>
      </c>
      <c r="AP28" s="1254">
        <f t="shared" si="27"/>
        <v>0</v>
      </c>
      <c r="AQ28" s="1254">
        <f t="shared" si="27"/>
        <v>0</v>
      </c>
      <c r="AR28" s="1254">
        <f t="shared" si="27"/>
        <v>0</v>
      </c>
      <c r="AS28" s="1257">
        <f t="shared" si="28"/>
        <v>0</v>
      </c>
      <c r="AT28" s="1253">
        <f t="shared" si="29"/>
        <v>0</v>
      </c>
      <c r="AU28" s="1254">
        <f t="shared" si="29"/>
        <v>0</v>
      </c>
      <c r="AV28" s="1254">
        <f t="shared" si="29"/>
        <v>0</v>
      </c>
      <c r="AW28" s="1254">
        <f t="shared" si="29"/>
        <v>0</v>
      </c>
      <c r="AX28" s="1257">
        <f t="shared" si="30"/>
        <v>0</v>
      </c>
      <c r="AY28" s="1258">
        <f t="shared" si="31"/>
        <v>1.5094201987588276</v>
      </c>
      <c r="AZ28" s="1264">
        <f t="shared" si="32"/>
        <v>0.2484376799403327</v>
      </c>
      <c r="BA28" s="1264">
        <f t="shared" si="32"/>
        <v>0.20684212130083984</v>
      </c>
      <c r="BB28" s="1264">
        <f t="shared" si="32"/>
        <v>0</v>
      </c>
      <c r="BC28" s="1263">
        <f t="shared" si="32"/>
        <v>0</v>
      </c>
      <c r="BD28" s="84"/>
      <c r="BE28" s="568" t="s">
        <v>366</v>
      </c>
      <c r="BF28" s="568" t="s">
        <v>366</v>
      </c>
      <c r="BG28" s="591" t="str">
        <f>IFERROR(INDEX('Annex 2_Code'!$J$110:$J$127,MATCH('Annex 5_MRD'!BE28,'Annex 2_Code'!$G$110:$G$127,0)),"")</f>
        <v>MRD</v>
      </c>
      <c r="BH28" s="1565" t="str">
        <f t="shared" si="18"/>
        <v>MRD</v>
      </c>
      <c r="BI28" s="84"/>
    </row>
    <row r="29" spans="1:61" s="85" customFormat="1" ht="20.100000000000001" customHeight="1">
      <c r="A29" s="75"/>
      <c r="B29" s="76" t="s">
        <v>24</v>
      </c>
      <c r="C29" s="76" t="s">
        <v>307</v>
      </c>
      <c r="D29" s="78"/>
      <c r="E29" s="66"/>
      <c r="F29" s="66" t="s">
        <v>312</v>
      </c>
      <c r="H29" s="1755" t="s">
        <v>1095</v>
      </c>
      <c r="I29" s="167">
        <v>1</v>
      </c>
      <c r="J29" s="1026">
        <v>1E-3</v>
      </c>
      <c r="K29" s="2238">
        <v>0</v>
      </c>
      <c r="L29" s="2239">
        <v>22921.5</v>
      </c>
      <c r="M29" s="2239">
        <v>22921.5</v>
      </c>
      <c r="N29" s="2239">
        <v>45843</v>
      </c>
      <c r="O29" s="1280">
        <f t="shared" si="40"/>
        <v>91686</v>
      </c>
      <c r="P29" s="2258">
        <f t="shared" si="33"/>
        <v>0</v>
      </c>
      <c r="Q29" s="2258">
        <f t="shared" si="34"/>
        <v>22.921500000000002</v>
      </c>
      <c r="R29" s="2258">
        <f t="shared" si="35"/>
        <v>22.921500000000002</v>
      </c>
      <c r="S29" s="2258">
        <f t="shared" si="36"/>
        <v>45.843000000000004</v>
      </c>
      <c r="T29" s="1281">
        <f t="shared" si="37"/>
        <v>91.686000000000007</v>
      </c>
      <c r="U29" s="1250">
        <f>IFERROR(INDEX([8]Code!I$8:I$33,MATCH('[8]$MRD-Annex'!$BG30,[8]Code!$G$8:$G$33,0)),"")</f>
        <v>0.76827006604510995</v>
      </c>
      <c r="V29" s="1251">
        <f>IFERROR(INDEX([8]Code!J$8:J$33,MATCH('[8]$MRD-Annex'!$BG30,[8]Code!$G$8:$G$33,0)),"")</f>
        <v>0.12645069473218948</v>
      </c>
      <c r="W29" s="1251">
        <f>IFERROR(INDEX([8]Code!K$8:K$33,MATCH('[8]$MRD-Annex'!$BG30,[8]Code!$G$8:$G$33,0)),"")</f>
        <v>0.10527923922270058</v>
      </c>
      <c r="X29" s="1251">
        <f>IFERROR(INDEX([8]Code!L$8:L$33,MATCH('[8]$MRD-Annex'!$BG30,[8]Code!$G$8:$G$33,0)),"")</f>
        <v>0</v>
      </c>
      <c r="Y29" s="1252">
        <f>IFERROR(INDEX([8]Code!M$8:M$33,MATCH('[8]$MRD-Annex'!$BG30,[8]Code!$G$8:$G$33,0)),"")</f>
        <v>0</v>
      </c>
      <c r="Z29" s="1253">
        <f t="shared" si="24"/>
        <v>0</v>
      </c>
      <c r="AA29" s="1254">
        <f t="shared" si="24"/>
        <v>17.609902318852988</v>
      </c>
      <c r="AB29" s="1254">
        <f t="shared" si="24"/>
        <v>17.609902318852988</v>
      </c>
      <c r="AC29" s="1254">
        <f t="shared" si="24"/>
        <v>35.219804637705977</v>
      </c>
      <c r="AD29" s="1255">
        <f t="shared" si="25"/>
        <v>70.439609275411954</v>
      </c>
      <c r="AE29" s="1253">
        <f t="shared" si="26"/>
        <v>0</v>
      </c>
      <c r="AF29" s="1254">
        <f t="shared" si="26"/>
        <v>2.8984395993038814</v>
      </c>
      <c r="AG29" s="1254">
        <f t="shared" si="26"/>
        <v>2.8984395993038814</v>
      </c>
      <c r="AH29" s="1254">
        <f t="shared" si="26"/>
        <v>5.7968791986077628</v>
      </c>
      <c r="AI29" s="1255">
        <f t="shared" si="26"/>
        <v>11.593758397215526</v>
      </c>
      <c r="AJ29" s="1254">
        <f t="shared" si="38"/>
        <v>0</v>
      </c>
      <c r="AK29" s="1254">
        <f t="shared" si="38"/>
        <v>2.4131580818431315</v>
      </c>
      <c r="AL29" s="1254">
        <f t="shared" si="38"/>
        <v>2.4131580818431315</v>
      </c>
      <c r="AM29" s="1254">
        <f t="shared" si="38"/>
        <v>4.826316163686263</v>
      </c>
      <c r="AN29" s="1256">
        <f t="shared" si="39"/>
        <v>9.6526323273725261</v>
      </c>
      <c r="AO29" s="1253">
        <f t="shared" si="27"/>
        <v>0</v>
      </c>
      <c r="AP29" s="1254">
        <f t="shared" si="27"/>
        <v>0</v>
      </c>
      <c r="AQ29" s="1254">
        <f t="shared" si="27"/>
        <v>0</v>
      </c>
      <c r="AR29" s="1254">
        <f t="shared" si="27"/>
        <v>0</v>
      </c>
      <c r="AS29" s="1257">
        <f t="shared" si="28"/>
        <v>0</v>
      </c>
      <c r="AT29" s="1253">
        <f t="shared" si="29"/>
        <v>0</v>
      </c>
      <c r="AU29" s="1254">
        <f t="shared" si="29"/>
        <v>0</v>
      </c>
      <c r="AV29" s="1254">
        <f t="shared" si="29"/>
        <v>0</v>
      </c>
      <c r="AW29" s="1254">
        <f t="shared" si="29"/>
        <v>0</v>
      </c>
      <c r="AX29" s="1257">
        <f t="shared" si="30"/>
        <v>0</v>
      </c>
      <c r="AY29" s="1258">
        <f t="shared" si="31"/>
        <v>70.439609275411954</v>
      </c>
      <c r="AZ29" s="1264">
        <f t="shared" si="32"/>
        <v>11.593758397215526</v>
      </c>
      <c r="BA29" s="1264">
        <f t="shared" si="32"/>
        <v>9.6526323273725261</v>
      </c>
      <c r="BB29" s="1264">
        <f t="shared" si="32"/>
        <v>0</v>
      </c>
      <c r="BC29" s="1263">
        <f t="shared" si="32"/>
        <v>0</v>
      </c>
      <c r="BD29" s="84"/>
      <c r="BE29" s="568" t="s">
        <v>366</v>
      </c>
      <c r="BF29" s="568" t="s">
        <v>366</v>
      </c>
      <c r="BG29" s="591" t="str">
        <f>IFERROR(INDEX('Annex 2_Code'!$J$110:$J$127,MATCH('Annex 5_MRD'!BE29,'Annex 2_Code'!$G$110:$G$127,0)),"")</f>
        <v>MRD</v>
      </c>
      <c r="BH29" s="1565" t="str">
        <f t="shared" si="18"/>
        <v>MRD</v>
      </c>
      <c r="BI29" s="84"/>
    </row>
    <row r="30" spans="1:61" s="85" customFormat="1" ht="20.100000000000001" customHeight="1">
      <c r="A30" s="75"/>
      <c r="B30" s="76" t="s">
        <v>24</v>
      </c>
      <c r="C30" s="76" t="s">
        <v>307</v>
      </c>
      <c r="D30" s="78"/>
      <c r="E30" s="66"/>
      <c r="F30" s="66" t="s">
        <v>937</v>
      </c>
      <c r="H30" s="1755" t="s">
        <v>1095</v>
      </c>
      <c r="I30" s="167">
        <v>18</v>
      </c>
      <c r="J30" s="1026">
        <v>1.7999999999999999E-2</v>
      </c>
      <c r="K30" s="2238">
        <v>0</v>
      </c>
      <c r="L30" s="2239">
        <v>7465.86</v>
      </c>
      <c r="M30" s="2239">
        <v>7465.86</v>
      </c>
      <c r="N30" s="2239">
        <v>14931.72</v>
      </c>
      <c r="O30" s="1280">
        <f t="shared" si="40"/>
        <v>29863.439999999999</v>
      </c>
      <c r="P30" s="2258">
        <f t="shared" si="33"/>
        <v>0</v>
      </c>
      <c r="Q30" s="2258">
        <f t="shared" si="34"/>
        <v>134.38547999999997</v>
      </c>
      <c r="R30" s="2258">
        <f t="shared" si="35"/>
        <v>134.38547999999997</v>
      </c>
      <c r="S30" s="2258">
        <f t="shared" si="36"/>
        <v>268.77095999999995</v>
      </c>
      <c r="T30" s="1281">
        <f t="shared" si="37"/>
        <v>537.54191999999989</v>
      </c>
      <c r="U30" s="1250">
        <f>IFERROR(INDEX([8]Code!I$8:I$33,MATCH('[8]$MRD-Annex'!$BG31,[8]Code!$G$8:$G$33,0)),"")</f>
        <v>0.76827006604510995</v>
      </c>
      <c r="V30" s="1251">
        <f>IFERROR(INDEX([8]Code!J$8:J$33,MATCH('[8]$MRD-Annex'!$BG31,[8]Code!$G$8:$G$33,0)),"")</f>
        <v>0.12645069473218948</v>
      </c>
      <c r="W30" s="1251">
        <f>IFERROR(INDEX([8]Code!K$8:K$33,MATCH('[8]$MRD-Annex'!$BG31,[8]Code!$G$8:$G$33,0)),"")</f>
        <v>0.10527923922270058</v>
      </c>
      <c r="X30" s="1251">
        <f>IFERROR(INDEX([8]Code!L$8:L$33,MATCH('[8]$MRD-Annex'!$BG31,[8]Code!$G$8:$G$33,0)),"")</f>
        <v>0</v>
      </c>
      <c r="Y30" s="1252">
        <f>IFERROR(INDEX([8]Code!M$8:M$33,MATCH('[8]$MRD-Annex'!$BG31,[8]Code!$G$8:$G$33,0)),"")</f>
        <v>0</v>
      </c>
      <c r="Z30" s="1253">
        <f t="shared" si="24"/>
        <v>0</v>
      </c>
      <c r="AA30" s="1254">
        <f t="shared" si="24"/>
        <v>103.24434159510378</v>
      </c>
      <c r="AB30" s="1254">
        <f t="shared" si="24"/>
        <v>103.24434159510378</v>
      </c>
      <c r="AC30" s="1254">
        <f t="shared" si="24"/>
        <v>206.48868319020755</v>
      </c>
      <c r="AD30" s="1255">
        <f t="shared" si="25"/>
        <v>412.97736638041511</v>
      </c>
      <c r="AE30" s="1253">
        <f t="shared" si="26"/>
        <v>0</v>
      </c>
      <c r="AF30" s="1254">
        <f t="shared" si="26"/>
        <v>16.993137307918751</v>
      </c>
      <c r="AG30" s="1254">
        <f t="shared" si="26"/>
        <v>16.993137307918751</v>
      </c>
      <c r="AH30" s="1254">
        <f t="shared" si="26"/>
        <v>33.986274615837502</v>
      </c>
      <c r="AI30" s="1255">
        <f t="shared" si="26"/>
        <v>67.972549231675004</v>
      </c>
      <c r="AJ30" s="1254">
        <f t="shared" si="38"/>
        <v>0</v>
      </c>
      <c r="AK30" s="1254">
        <f t="shared" si="38"/>
        <v>14.148001096977442</v>
      </c>
      <c r="AL30" s="1254">
        <f t="shared" si="38"/>
        <v>14.148001096977442</v>
      </c>
      <c r="AM30" s="1254">
        <f t="shared" si="38"/>
        <v>28.296002193954884</v>
      </c>
      <c r="AN30" s="1256">
        <f t="shared" si="39"/>
        <v>56.592004387909768</v>
      </c>
      <c r="AO30" s="1253">
        <f t="shared" si="27"/>
        <v>0</v>
      </c>
      <c r="AP30" s="1254">
        <f t="shared" si="27"/>
        <v>0</v>
      </c>
      <c r="AQ30" s="1254">
        <f t="shared" si="27"/>
        <v>0</v>
      </c>
      <c r="AR30" s="1254">
        <f t="shared" si="27"/>
        <v>0</v>
      </c>
      <c r="AS30" s="1257">
        <f t="shared" si="28"/>
        <v>0</v>
      </c>
      <c r="AT30" s="1253">
        <f t="shared" si="29"/>
        <v>0</v>
      </c>
      <c r="AU30" s="1254">
        <f t="shared" si="29"/>
        <v>0</v>
      </c>
      <c r="AV30" s="1254">
        <f t="shared" si="29"/>
        <v>0</v>
      </c>
      <c r="AW30" s="1254">
        <f t="shared" si="29"/>
        <v>0</v>
      </c>
      <c r="AX30" s="1257">
        <f t="shared" si="30"/>
        <v>0</v>
      </c>
      <c r="AY30" s="1258">
        <f t="shared" si="31"/>
        <v>412.97736638041511</v>
      </c>
      <c r="AZ30" s="1264">
        <f t="shared" si="32"/>
        <v>67.972549231675004</v>
      </c>
      <c r="BA30" s="1264">
        <f t="shared" si="32"/>
        <v>56.592004387909768</v>
      </c>
      <c r="BB30" s="1264">
        <f t="shared" si="32"/>
        <v>0</v>
      </c>
      <c r="BC30" s="1263">
        <f t="shared" si="32"/>
        <v>0</v>
      </c>
      <c r="BD30" s="84"/>
      <c r="BE30" s="568" t="s">
        <v>366</v>
      </c>
      <c r="BF30" s="568" t="s">
        <v>366</v>
      </c>
      <c r="BG30" s="591" t="str">
        <f>IFERROR(INDEX('Annex 2_Code'!$J$110:$J$127,MATCH('Annex 5_MRD'!BE30,'Annex 2_Code'!$G$110:$G$127,0)),"")</f>
        <v>MRD</v>
      </c>
      <c r="BH30" s="1565" t="str">
        <f t="shared" si="18"/>
        <v>MRD</v>
      </c>
      <c r="BI30" s="84"/>
    </row>
    <row r="31" spans="1:61" s="85" customFormat="1" ht="20.100000000000001" customHeight="1">
      <c r="A31" s="75"/>
      <c r="B31" s="76" t="s">
        <v>24</v>
      </c>
      <c r="C31" s="76" t="s">
        <v>307</v>
      </c>
      <c r="D31" s="78"/>
      <c r="E31" s="66"/>
      <c r="F31" s="66" t="s">
        <v>938</v>
      </c>
      <c r="H31" s="1755" t="s">
        <v>1095</v>
      </c>
      <c r="I31" s="167">
        <v>4</v>
      </c>
      <c r="J31" s="1026">
        <v>4.0000000000000001E-3</v>
      </c>
      <c r="K31" s="2238">
        <v>0</v>
      </c>
      <c r="L31" s="2239">
        <v>12443.1</v>
      </c>
      <c r="M31" s="2239">
        <v>12443.1</v>
      </c>
      <c r="N31" s="2239">
        <v>24886.2</v>
      </c>
      <c r="O31" s="1280">
        <f t="shared" si="40"/>
        <v>49772.4</v>
      </c>
      <c r="P31" s="2258">
        <f t="shared" si="33"/>
        <v>0</v>
      </c>
      <c r="Q31" s="2258">
        <f t="shared" si="34"/>
        <v>49.772400000000005</v>
      </c>
      <c r="R31" s="2258">
        <f t="shared" si="35"/>
        <v>49.772400000000005</v>
      </c>
      <c r="S31" s="2258">
        <f t="shared" si="36"/>
        <v>99.544800000000009</v>
      </c>
      <c r="T31" s="1281">
        <f t="shared" si="37"/>
        <v>199.08960000000002</v>
      </c>
      <c r="U31" s="1250">
        <f>IFERROR(INDEX([8]Code!I$8:I$33,MATCH('[8]$MRD-Annex'!$BG32,[8]Code!$G$8:$G$33,0)),"")</f>
        <v>0.76827006604510995</v>
      </c>
      <c r="V31" s="1251">
        <f>IFERROR(INDEX([8]Code!J$8:J$33,MATCH('[8]$MRD-Annex'!$BG32,[8]Code!$G$8:$G$33,0)),"")</f>
        <v>0.12645069473218948</v>
      </c>
      <c r="W31" s="1251">
        <f>IFERROR(INDEX([8]Code!K$8:K$33,MATCH('[8]$MRD-Annex'!$BG32,[8]Code!$G$8:$G$33,0)),"")</f>
        <v>0.10527923922270058</v>
      </c>
      <c r="X31" s="1251">
        <f>IFERROR(INDEX([8]Code!L$8:L$33,MATCH('[8]$MRD-Annex'!$BG32,[8]Code!$G$8:$G$33,0)),"")</f>
        <v>0</v>
      </c>
      <c r="Y31" s="1252">
        <f>IFERROR(INDEX([8]Code!M$8:M$33,MATCH('[8]$MRD-Annex'!$BG32,[8]Code!$G$8:$G$33,0)),"")</f>
        <v>0</v>
      </c>
      <c r="Z31" s="1253">
        <f t="shared" si="24"/>
        <v>0</v>
      </c>
      <c r="AA31" s="1254">
        <f t="shared" si="24"/>
        <v>38.238645035223634</v>
      </c>
      <c r="AB31" s="1254">
        <f t="shared" si="24"/>
        <v>38.238645035223634</v>
      </c>
      <c r="AC31" s="1254">
        <f t="shared" si="24"/>
        <v>76.477290070447268</v>
      </c>
      <c r="AD31" s="1255">
        <f t="shared" si="25"/>
        <v>152.95458014089454</v>
      </c>
      <c r="AE31" s="1253">
        <f t="shared" si="26"/>
        <v>0</v>
      </c>
      <c r="AF31" s="1254">
        <f t="shared" si="26"/>
        <v>6.2937545584884278</v>
      </c>
      <c r="AG31" s="1254">
        <f t="shared" si="26"/>
        <v>6.2937545584884278</v>
      </c>
      <c r="AH31" s="1254">
        <f t="shared" si="26"/>
        <v>12.587509116976856</v>
      </c>
      <c r="AI31" s="1255">
        <f t="shared" si="26"/>
        <v>25.175018233953711</v>
      </c>
      <c r="AJ31" s="1254">
        <f t="shared" si="38"/>
        <v>0</v>
      </c>
      <c r="AK31" s="1254">
        <f t="shared" si="38"/>
        <v>5.2400004062879431</v>
      </c>
      <c r="AL31" s="1254">
        <f t="shared" si="38"/>
        <v>5.2400004062879431</v>
      </c>
      <c r="AM31" s="1254">
        <f t="shared" si="38"/>
        <v>10.480000812575886</v>
      </c>
      <c r="AN31" s="1256">
        <f t="shared" si="39"/>
        <v>20.960001625151772</v>
      </c>
      <c r="AO31" s="1253">
        <f t="shared" si="27"/>
        <v>0</v>
      </c>
      <c r="AP31" s="1254">
        <f t="shared" si="27"/>
        <v>0</v>
      </c>
      <c r="AQ31" s="1254">
        <f t="shared" si="27"/>
        <v>0</v>
      </c>
      <c r="AR31" s="1254">
        <f t="shared" si="27"/>
        <v>0</v>
      </c>
      <c r="AS31" s="1257">
        <f t="shared" si="28"/>
        <v>0</v>
      </c>
      <c r="AT31" s="1253">
        <f t="shared" si="29"/>
        <v>0</v>
      </c>
      <c r="AU31" s="1254">
        <f t="shared" si="29"/>
        <v>0</v>
      </c>
      <c r="AV31" s="1254">
        <f t="shared" si="29"/>
        <v>0</v>
      </c>
      <c r="AW31" s="1254">
        <f t="shared" si="29"/>
        <v>0</v>
      </c>
      <c r="AX31" s="1257">
        <f t="shared" si="30"/>
        <v>0</v>
      </c>
      <c r="AY31" s="1258">
        <f t="shared" si="31"/>
        <v>152.95458014089454</v>
      </c>
      <c r="AZ31" s="1264">
        <f t="shared" si="32"/>
        <v>25.175018233953711</v>
      </c>
      <c r="BA31" s="1264">
        <f t="shared" si="32"/>
        <v>20.960001625151772</v>
      </c>
      <c r="BB31" s="1264">
        <f t="shared" si="32"/>
        <v>0</v>
      </c>
      <c r="BC31" s="1263">
        <f t="shared" si="32"/>
        <v>0</v>
      </c>
      <c r="BD31" s="84"/>
      <c r="BE31" s="568" t="s">
        <v>366</v>
      </c>
      <c r="BF31" s="568" t="s">
        <v>366</v>
      </c>
      <c r="BG31" s="591" t="str">
        <f>IFERROR(INDEX('Annex 2_Code'!$J$110:$J$127,MATCH('Annex 5_MRD'!BE31,'Annex 2_Code'!$G$110:$G$127,0)),"")</f>
        <v>MRD</v>
      </c>
      <c r="BH31" s="1565" t="str">
        <f t="shared" si="18"/>
        <v>MRD</v>
      </c>
      <c r="BI31" s="84"/>
    </row>
    <row r="32" spans="1:61" s="85" customFormat="1" ht="20.100000000000001" customHeight="1">
      <c r="A32" s="75"/>
      <c r="B32" s="76" t="s">
        <v>24</v>
      </c>
      <c r="C32" s="76" t="s">
        <v>307</v>
      </c>
      <c r="D32" s="78"/>
      <c r="E32" s="66"/>
      <c r="F32" s="66" t="s">
        <v>939</v>
      </c>
      <c r="H32" s="1755" t="s">
        <v>1095</v>
      </c>
      <c r="I32" s="167">
        <v>3.5</v>
      </c>
      <c r="J32" s="1026">
        <v>3.5000000000000001E-3</v>
      </c>
      <c r="K32" s="2238">
        <v>0</v>
      </c>
      <c r="L32" s="2239">
        <v>7684.1600000000008</v>
      </c>
      <c r="M32" s="2239">
        <v>7684.1600000000008</v>
      </c>
      <c r="N32" s="2239">
        <v>15368.320000000002</v>
      </c>
      <c r="O32" s="1280">
        <f t="shared" si="40"/>
        <v>30736.640000000003</v>
      </c>
      <c r="P32" s="2258">
        <f t="shared" si="33"/>
        <v>0</v>
      </c>
      <c r="Q32" s="2258">
        <f t="shared" si="34"/>
        <v>26.894560000000002</v>
      </c>
      <c r="R32" s="2258">
        <f t="shared" si="35"/>
        <v>26.894560000000002</v>
      </c>
      <c r="S32" s="2258">
        <f t="shared" si="36"/>
        <v>53.789120000000004</v>
      </c>
      <c r="T32" s="1281">
        <f t="shared" si="37"/>
        <v>107.57824000000001</v>
      </c>
      <c r="U32" s="1250">
        <f>IFERROR(INDEX([8]Code!I$8:I$33,MATCH('[8]$MRD-Annex'!$BG33,[8]Code!$G$8:$G$33,0)),"")</f>
        <v>0.76827006604510995</v>
      </c>
      <c r="V32" s="1251">
        <f>IFERROR(INDEX([8]Code!J$8:J$33,MATCH('[8]$MRD-Annex'!$BG33,[8]Code!$G$8:$G$33,0)),"")</f>
        <v>0.12645069473218948</v>
      </c>
      <c r="W32" s="1251">
        <f>IFERROR(INDEX([8]Code!K$8:K$33,MATCH('[8]$MRD-Annex'!$BG33,[8]Code!$G$8:$G$33,0)),"")</f>
        <v>0.10527923922270058</v>
      </c>
      <c r="X32" s="1251">
        <f>IFERROR(INDEX([8]Code!L$8:L$33,MATCH('[8]$MRD-Annex'!$BG33,[8]Code!$G$8:$G$33,0)),"")</f>
        <v>0</v>
      </c>
      <c r="Y32" s="1252">
        <f>IFERROR(INDEX([8]Code!M$8:M$33,MATCH('[8]$MRD-Annex'!$BG33,[8]Code!$G$8:$G$33,0)),"")</f>
        <v>0</v>
      </c>
      <c r="Z32" s="1253">
        <f t="shared" si="24"/>
        <v>0</v>
      </c>
      <c r="AA32" s="1254">
        <f t="shared" si="24"/>
        <v>20.662285387454173</v>
      </c>
      <c r="AB32" s="1254">
        <f t="shared" si="24"/>
        <v>20.662285387454173</v>
      </c>
      <c r="AC32" s="1254">
        <f t="shared" si="24"/>
        <v>41.324570774908345</v>
      </c>
      <c r="AD32" s="1255">
        <f t="shared" si="25"/>
        <v>82.64914154981669</v>
      </c>
      <c r="AE32" s="1253">
        <f t="shared" si="26"/>
        <v>0</v>
      </c>
      <c r="AF32" s="1254">
        <f t="shared" si="26"/>
        <v>3.4008357965165543</v>
      </c>
      <c r="AG32" s="1254">
        <f t="shared" si="26"/>
        <v>3.4008357965165543</v>
      </c>
      <c r="AH32" s="1254">
        <f t="shared" si="26"/>
        <v>6.8016715930331086</v>
      </c>
      <c r="AI32" s="1255">
        <f t="shared" si="26"/>
        <v>13.603343186066217</v>
      </c>
      <c r="AJ32" s="1254">
        <f t="shared" si="38"/>
        <v>0</v>
      </c>
      <c r="AK32" s="1254">
        <f t="shared" si="38"/>
        <v>2.8314388160292743</v>
      </c>
      <c r="AL32" s="1254">
        <f t="shared" si="38"/>
        <v>2.8314388160292743</v>
      </c>
      <c r="AM32" s="1254">
        <f t="shared" si="38"/>
        <v>5.6628776320585485</v>
      </c>
      <c r="AN32" s="1256">
        <f t="shared" si="39"/>
        <v>11.325755264117097</v>
      </c>
      <c r="AO32" s="1253">
        <f t="shared" si="27"/>
        <v>0</v>
      </c>
      <c r="AP32" s="1254">
        <f t="shared" si="27"/>
        <v>0</v>
      </c>
      <c r="AQ32" s="1254">
        <f t="shared" si="27"/>
        <v>0</v>
      </c>
      <c r="AR32" s="1254">
        <f t="shared" si="27"/>
        <v>0</v>
      </c>
      <c r="AS32" s="1257">
        <f t="shared" si="28"/>
        <v>0</v>
      </c>
      <c r="AT32" s="1253">
        <f t="shared" si="29"/>
        <v>0</v>
      </c>
      <c r="AU32" s="1254">
        <f t="shared" si="29"/>
        <v>0</v>
      </c>
      <c r="AV32" s="1254">
        <f t="shared" si="29"/>
        <v>0</v>
      </c>
      <c r="AW32" s="1254">
        <f t="shared" si="29"/>
        <v>0</v>
      </c>
      <c r="AX32" s="1257">
        <f t="shared" si="30"/>
        <v>0</v>
      </c>
      <c r="AY32" s="1258">
        <f t="shared" si="31"/>
        <v>82.64914154981669</v>
      </c>
      <c r="AZ32" s="1264">
        <f t="shared" si="32"/>
        <v>13.603343186066217</v>
      </c>
      <c r="BA32" s="1264">
        <f t="shared" si="32"/>
        <v>11.325755264117097</v>
      </c>
      <c r="BB32" s="1264">
        <f t="shared" si="32"/>
        <v>0</v>
      </c>
      <c r="BC32" s="1263">
        <f t="shared" si="32"/>
        <v>0</v>
      </c>
      <c r="BD32" s="84"/>
      <c r="BE32" s="568" t="s">
        <v>366</v>
      </c>
      <c r="BF32" s="568" t="s">
        <v>366</v>
      </c>
      <c r="BG32" s="591" t="str">
        <f>IFERROR(INDEX('Annex 2_Code'!$J$110:$J$127,MATCH('Annex 5_MRD'!BE32,'Annex 2_Code'!$G$110:$G$127,0)),"")</f>
        <v>MRD</v>
      </c>
      <c r="BH32" s="1565" t="str">
        <f t="shared" si="18"/>
        <v>MRD</v>
      </c>
      <c r="BI32" s="84"/>
    </row>
    <row r="33" spans="1:61" s="85" customFormat="1" ht="20.100000000000001" customHeight="1">
      <c r="A33" s="75"/>
      <c r="B33" s="76" t="s">
        <v>24</v>
      </c>
      <c r="C33" s="76" t="s">
        <v>307</v>
      </c>
      <c r="D33" s="78"/>
      <c r="E33" s="66"/>
      <c r="F33" s="66" t="s">
        <v>942</v>
      </c>
      <c r="H33" s="1755" t="s">
        <v>1095</v>
      </c>
      <c r="I33" s="167">
        <v>1.45</v>
      </c>
      <c r="J33" s="1026">
        <v>1.4499999999999999E-3</v>
      </c>
      <c r="K33" s="2238">
        <v>0</v>
      </c>
      <c r="L33" s="2239">
        <v>21393.400000000005</v>
      </c>
      <c r="M33" s="2239">
        <v>21393.400000000005</v>
      </c>
      <c r="N33" s="2239">
        <v>42786.80000000001</v>
      </c>
      <c r="O33" s="1280">
        <f t="shared" si="40"/>
        <v>85573.60000000002</v>
      </c>
      <c r="P33" s="2258">
        <f t="shared" si="33"/>
        <v>0</v>
      </c>
      <c r="Q33" s="2258">
        <f t="shared" si="34"/>
        <v>31.020430000000008</v>
      </c>
      <c r="R33" s="2258">
        <f t="shared" si="35"/>
        <v>31.020430000000008</v>
      </c>
      <c r="S33" s="2258">
        <f t="shared" si="36"/>
        <v>62.040860000000016</v>
      </c>
      <c r="T33" s="1281">
        <f t="shared" si="37"/>
        <v>124.08172000000003</v>
      </c>
      <c r="U33" s="1250">
        <f>IFERROR(INDEX([8]Code!I$8:I$33,MATCH('[8]$MRD-Annex'!$BG34,[8]Code!$G$8:$G$33,0)),"")</f>
        <v>0.76827006604510995</v>
      </c>
      <c r="V33" s="1251">
        <f>IFERROR(INDEX([8]Code!J$8:J$33,MATCH('[8]$MRD-Annex'!$BG34,[8]Code!$G$8:$G$33,0)),"")</f>
        <v>0.12645069473218948</v>
      </c>
      <c r="W33" s="1251">
        <f>IFERROR(INDEX([8]Code!K$8:K$33,MATCH('[8]$MRD-Annex'!$BG34,[8]Code!$G$8:$G$33,0)),"")</f>
        <v>0.10527923922270058</v>
      </c>
      <c r="X33" s="1251">
        <f>IFERROR(INDEX([8]Code!L$8:L$33,MATCH('[8]$MRD-Annex'!$BG34,[8]Code!$G$8:$G$33,0)),"")</f>
        <v>0</v>
      </c>
      <c r="Y33" s="1252">
        <f>IFERROR(INDEX([8]Code!M$8:M$33,MATCH('[8]$MRD-Annex'!$BG34,[8]Code!$G$8:$G$33,0)),"")</f>
        <v>0</v>
      </c>
      <c r="Z33" s="1253">
        <f t="shared" si="24"/>
        <v>0</v>
      </c>
      <c r="AA33" s="1254">
        <f t="shared" si="24"/>
        <v>23.832067804847718</v>
      </c>
      <c r="AB33" s="1254">
        <f t="shared" si="24"/>
        <v>23.832067804847718</v>
      </c>
      <c r="AC33" s="1254">
        <f t="shared" si="24"/>
        <v>47.664135609695435</v>
      </c>
      <c r="AD33" s="1255">
        <f t="shared" si="25"/>
        <v>95.328271219390871</v>
      </c>
      <c r="AE33" s="1253">
        <f t="shared" si="26"/>
        <v>0</v>
      </c>
      <c r="AF33" s="1254">
        <f t="shared" si="26"/>
        <v>3.9225549243912536</v>
      </c>
      <c r="AG33" s="1254">
        <f t="shared" si="26"/>
        <v>3.9225549243912536</v>
      </c>
      <c r="AH33" s="1254">
        <f t="shared" si="26"/>
        <v>7.8451098487825073</v>
      </c>
      <c r="AI33" s="1255">
        <f t="shared" si="26"/>
        <v>15.690219697565015</v>
      </c>
      <c r="AJ33" s="1254">
        <f t="shared" si="38"/>
        <v>0</v>
      </c>
      <c r="AK33" s="1254">
        <f t="shared" si="38"/>
        <v>3.2658072707610386</v>
      </c>
      <c r="AL33" s="1254">
        <f t="shared" si="38"/>
        <v>3.2658072707610386</v>
      </c>
      <c r="AM33" s="1254">
        <f t="shared" si="38"/>
        <v>6.5316145415220772</v>
      </c>
      <c r="AN33" s="1256">
        <f t="shared" si="39"/>
        <v>13.063229083044154</v>
      </c>
      <c r="AO33" s="1253">
        <f t="shared" si="27"/>
        <v>0</v>
      </c>
      <c r="AP33" s="1254">
        <f t="shared" si="27"/>
        <v>0</v>
      </c>
      <c r="AQ33" s="1254">
        <f t="shared" si="27"/>
        <v>0</v>
      </c>
      <c r="AR33" s="1254">
        <f t="shared" si="27"/>
        <v>0</v>
      </c>
      <c r="AS33" s="1257">
        <f t="shared" si="28"/>
        <v>0</v>
      </c>
      <c r="AT33" s="1253">
        <f t="shared" si="29"/>
        <v>0</v>
      </c>
      <c r="AU33" s="1254">
        <f t="shared" si="29"/>
        <v>0</v>
      </c>
      <c r="AV33" s="1254">
        <f t="shared" si="29"/>
        <v>0</v>
      </c>
      <c r="AW33" s="1254">
        <f t="shared" si="29"/>
        <v>0</v>
      </c>
      <c r="AX33" s="1257">
        <f t="shared" si="30"/>
        <v>0</v>
      </c>
      <c r="AY33" s="1258">
        <f t="shared" si="31"/>
        <v>95.328271219390871</v>
      </c>
      <c r="AZ33" s="1264">
        <f t="shared" si="32"/>
        <v>15.690219697565015</v>
      </c>
      <c r="BA33" s="1264">
        <f t="shared" si="32"/>
        <v>13.063229083044154</v>
      </c>
      <c r="BB33" s="1264">
        <f t="shared" si="32"/>
        <v>0</v>
      </c>
      <c r="BC33" s="1263">
        <f t="shared" si="32"/>
        <v>0</v>
      </c>
      <c r="BD33" s="84"/>
      <c r="BE33" s="568" t="s">
        <v>366</v>
      </c>
      <c r="BF33" s="568" t="s">
        <v>366</v>
      </c>
      <c r="BG33" s="591" t="str">
        <f>IFERROR(INDEX('Annex 2_Code'!$J$110:$J$127,MATCH('Annex 5_MRD'!BE33,'Annex 2_Code'!$G$110:$G$127,0)),"")</f>
        <v>MRD</v>
      </c>
      <c r="BH33" s="1565" t="str">
        <f t="shared" si="18"/>
        <v>MRD</v>
      </c>
      <c r="BI33" s="84"/>
    </row>
    <row r="34" spans="1:61" s="85" customFormat="1" ht="20.100000000000001" customHeight="1">
      <c r="A34" s="75"/>
      <c r="B34" s="76" t="s">
        <v>24</v>
      </c>
      <c r="C34" s="76" t="s">
        <v>307</v>
      </c>
      <c r="D34" s="78"/>
      <c r="E34" s="66"/>
      <c r="F34" s="66" t="s">
        <v>308</v>
      </c>
      <c r="H34" s="1743" t="s">
        <v>309</v>
      </c>
      <c r="I34" s="167">
        <v>56758</v>
      </c>
      <c r="J34" s="1026">
        <v>56.758000000000003</v>
      </c>
      <c r="K34" s="2238">
        <v>0</v>
      </c>
      <c r="L34" s="2240">
        <v>0.15</v>
      </c>
      <c r="M34" s="2240">
        <v>0.15</v>
      </c>
      <c r="N34" s="2240">
        <v>0.25</v>
      </c>
      <c r="O34" s="1280">
        <f t="shared" si="40"/>
        <v>0.55000000000000004</v>
      </c>
      <c r="P34" s="2258">
        <f t="shared" si="33"/>
        <v>0</v>
      </c>
      <c r="Q34" s="2258">
        <f t="shared" si="34"/>
        <v>8.5136999999999983</v>
      </c>
      <c r="R34" s="2258">
        <f t="shared" si="35"/>
        <v>8.5136999999999983</v>
      </c>
      <c r="S34" s="2258">
        <f t="shared" si="36"/>
        <v>14.189500000000001</v>
      </c>
      <c r="T34" s="1281">
        <f t="shared" si="37"/>
        <v>31.216899999999995</v>
      </c>
      <c r="U34" s="1250">
        <f>IFERROR(INDEX([8]Code!I$8:I$33,MATCH('[8]$MRD-Annex'!$BG35,[8]Code!$G$8:$G$33,0)),"")</f>
        <v>0.76827006604510995</v>
      </c>
      <c r="V34" s="1251">
        <f>IFERROR(INDEX([8]Code!J$8:J$33,MATCH('[8]$MRD-Annex'!$BG35,[8]Code!$G$8:$G$33,0)),"")</f>
        <v>0.12645069473218948</v>
      </c>
      <c r="W34" s="1251">
        <f>IFERROR(INDEX([8]Code!K$8:K$33,MATCH('[8]$MRD-Annex'!$BG35,[8]Code!$G$8:$G$33,0)),"")</f>
        <v>0.10527923922270058</v>
      </c>
      <c r="X34" s="1251">
        <f>IFERROR(INDEX([8]Code!L$8:L$33,MATCH('[8]$MRD-Annex'!$BG35,[8]Code!$G$8:$G$33,0)),"")</f>
        <v>0</v>
      </c>
      <c r="Y34" s="1252">
        <f>IFERROR(INDEX([8]Code!M$8:M$33,MATCH('[8]$MRD-Annex'!$BG35,[8]Code!$G$8:$G$33,0)),"")</f>
        <v>0</v>
      </c>
      <c r="Z34" s="1253">
        <f t="shared" si="24"/>
        <v>0</v>
      </c>
      <c r="AA34" s="1254">
        <f t="shared" si="24"/>
        <v>6.5408208612882515</v>
      </c>
      <c r="AB34" s="1254">
        <f t="shared" si="24"/>
        <v>6.5408208612882515</v>
      </c>
      <c r="AC34" s="1254">
        <f t="shared" si="24"/>
        <v>10.901368102147089</v>
      </c>
      <c r="AD34" s="1255">
        <f t="shared" si="25"/>
        <v>23.983009824723592</v>
      </c>
      <c r="AE34" s="1253">
        <f t="shared" si="26"/>
        <v>0</v>
      </c>
      <c r="AF34" s="1254">
        <f t="shared" si="26"/>
        <v>1.0765632797414413</v>
      </c>
      <c r="AG34" s="1254">
        <f t="shared" si="26"/>
        <v>1.0765632797414413</v>
      </c>
      <c r="AH34" s="1254">
        <f t="shared" si="26"/>
        <v>1.7942721329024027</v>
      </c>
      <c r="AI34" s="1255">
        <f t="shared" si="26"/>
        <v>3.9473986923852853</v>
      </c>
      <c r="AJ34" s="1254">
        <f t="shared" si="38"/>
        <v>0</v>
      </c>
      <c r="AK34" s="1254">
        <f t="shared" si="38"/>
        <v>0.89631585897030575</v>
      </c>
      <c r="AL34" s="1254">
        <f t="shared" si="38"/>
        <v>0.89631585897030575</v>
      </c>
      <c r="AM34" s="1254">
        <f t="shared" si="38"/>
        <v>1.4938597649505099</v>
      </c>
      <c r="AN34" s="1256">
        <f t="shared" si="39"/>
        <v>3.2864914828911216</v>
      </c>
      <c r="AO34" s="1253">
        <f t="shared" si="27"/>
        <v>0</v>
      </c>
      <c r="AP34" s="1254">
        <f t="shared" si="27"/>
        <v>0</v>
      </c>
      <c r="AQ34" s="1254">
        <f t="shared" si="27"/>
        <v>0</v>
      </c>
      <c r="AR34" s="1254">
        <f t="shared" si="27"/>
        <v>0</v>
      </c>
      <c r="AS34" s="1257">
        <f t="shared" si="28"/>
        <v>0</v>
      </c>
      <c r="AT34" s="1253">
        <f t="shared" si="29"/>
        <v>0</v>
      </c>
      <c r="AU34" s="1254">
        <f t="shared" si="29"/>
        <v>0</v>
      </c>
      <c r="AV34" s="1254">
        <f t="shared" si="29"/>
        <v>0</v>
      </c>
      <c r="AW34" s="1254">
        <f t="shared" si="29"/>
        <v>0</v>
      </c>
      <c r="AX34" s="1257">
        <f t="shared" si="30"/>
        <v>0</v>
      </c>
      <c r="AY34" s="1258">
        <f t="shared" si="31"/>
        <v>23.983009824723588</v>
      </c>
      <c r="AZ34" s="1264">
        <f t="shared" si="32"/>
        <v>3.9473986923852853</v>
      </c>
      <c r="BA34" s="1264">
        <f t="shared" si="32"/>
        <v>3.2864914828911211</v>
      </c>
      <c r="BB34" s="1264">
        <f t="shared" si="32"/>
        <v>0</v>
      </c>
      <c r="BC34" s="1263">
        <f t="shared" si="32"/>
        <v>0</v>
      </c>
      <c r="BD34" s="84"/>
      <c r="BE34" s="568" t="s">
        <v>366</v>
      </c>
      <c r="BF34" s="568" t="s">
        <v>366</v>
      </c>
      <c r="BG34" s="591" t="str">
        <f>IFERROR(INDEX('Annex 2_Code'!$J$110:$J$127,MATCH('Annex 5_MRD'!BE34,'Annex 2_Code'!$G$110:$G$127,0)),"")</f>
        <v>MRD</v>
      </c>
      <c r="BH34" s="1565" t="str">
        <f t="shared" si="18"/>
        <v>MRD</v>
      </c>
      <c r="BI34" s="84"/>
    </row>
    <row r="35" spans="1:61" s="85" customFormat="1" ht="20.100000000000001" customHeight="1">
      <c r="A35" s="75"/>
      <c r="B35" s="76" t="s">
        <v>24</v>
      </c>
      <c r="C35" s="76" t="s">
        <v>307</v>
      </c>
      <c r="D35" s="78"/>
      <c r="E35" s="66"/>
      <c r="F35" s="66" t="s">
        <v>310</v>
      </c>
      <c r="H35" s="1743" t="s">
        <v>309</v>
      </c>
      <c r="I35" s="1569">
        <v>261959.99999999997</v>
      </c>
      <c r="J35" s="1026">
        <v>261.95999999999998</v>
      </c>
      <c r="K35" s="2238">
        <v>0</v>
      </c>
      <c r="L35" s="2240">
        <v>0.15</v>
      </c>
      <c r="M35" s="2240">
        <v>0.15</v>
      </c>
      <c r="N35" s="2240">
        <v>0.25</v>
      </c>
      <c r="O35" s="1280">
        <f t="shared" si="40"/>
        <v>0.55000000000000004</v>
      </c>
      <c r="P35" s="2258">
        <f t="shared" si="33"/>
        <v>0</v>
      </c>
      <c r="Q35" s="2258">
        <f t="shared" si="34"/>
        <v>39.29399999999999</v>
      </c>
      <c r="R35" s="2258">
        <f t="shared" si="35"/>
        <v>39.29399999999999</v>
      </c>
      <c r="S35" s="2258">
        <f>N35*$I35/1000</f>
        <v>65.489999999999995</v>
      </c>
      <c r="T35" s="1281">
        <f t="shared" si="37"/>
        <v>144.07799999999997</v>
      </c>
      <c r="U35" s="1250">
        <f>IFERROR(INDEX([8]Code!I$8:I$33,MATCH('[8]$MRD-Annex'!$BG36,[8]Code!$G$8:$G$33,0)),"")</f>
        <v>0.76827006604510995</v>
      </c>
      <c r="V35" s="1251">
        <f>IFERROR(INDEX([8]Code!J$8:J$33,MATCH('[8]$MRD-Annex'!$BG36,[8]Code!$G$8:$G$33,0)),"")</f>
        <v>0.12645069473218948</v>
      </c>
      <c r="W35" s="1251">
        <f>IFERROR(INDEX([8]Code!K$8:K$33,MATCH('[8]$MRD-Annex'!$BG36,[8]Code!$G$8:$G$33,0)),"")</f>
        <v>0.10527923922270058</v>
      </c>
      <c r="X35" s="1251">
        <f>IFERROR(INDEX([8]Code!L$8:L$33,MATCH('[8]$MRD-Annex'!$BG36,[8]Code!$G$8:$G$33,0)),"")</f>
        <v>0</v>
      </c>
      <c r="Y35" s="1252">
        <f>IFERROR(INDEX([8]Code!M$8:M$33,MATCH('[8]$MRD-Annex'!$BG36,[8]Code!$G$8:$G$33,0)),"")</f>
        <v>0</v>
      </c>
      <c r="Z35" s="1253">
        <f t="shared" si="24"/>
        <v>0</v>
      </c>
      <c r="AA35" s="1254">
        <f t="shared" si="24"/>
        <v>30.188403975176541</v>
      </c>
      <c r="AB35" s="1254">
        <f t="shared" si="24"/>
        <v>30.188403975176541</v>
      </c>
      <c r="AC35" s="1254">
        <f t="shared" si="24"/>
        <v>50.314006625294247</v>
      </c>
      <c r="AD35" s="1255">
        <f t="shared" si="25"/>
        <v>110.69081457564732</v>
      </c>
      <c r="AE35" s="1253">
        <f t="shared" si="26"/>
        <v>0</v>
      </c>
      <c r="AF35" s="1254">
        <f t="shared" si="26"/>
        <v>4.9687535988066518</v>
      </c>
      <c r="AG35" s="1254">
        <f t="shared" si="26"/>
        <v>4.9687535988066518</v>
      </c>
      <c r="AH35" s="1254">
        <f t="shared" si="26"/>
        <v>8.2812559980110887</v>
      </c>
      <c r="AI35" s="1255">
        <f t="shared" si="26"/>
        <v>18.218763195624394</v>
      </c>
      <c r="AJ35" s="1254">
        <f t="shared" si="38"/>
        <v>0</v>
      </c>
      <c r="AK35" s="1254">
        <f t="shared" si="38"/>
        <v>4.1368424260167957</v>
      </c>
      <c r="AL35" s="1254">
        <f t="shared" si="38"/>
        <v>4.1368424260167957</v>
      </c>
      <c r="AM35" s="1254">
        <f t="shared" si="38"/>
        <v>6.8947373766946605</v>
      </c>
      <c r="AN35" s="1256">
        <f t="shared" si="39"/>
        <v>15.168422228728252</v>
      </c>
      <c r="AO35" s="1253">
        <f t="shared" si="27"/>
        <v>0</v>
      </c>
      <c r="AP35" s="1254">
        <f t="shared" si="27"/>
        <v>0</v>
      </c>
      <c r="AQ35" s="1254">
        <f t="shared" si="27"/>
        <v>0</v>
      </c>
      <c r="AR35" s="1254">
        <f t="shared" si="27"/>
        <v>0</v>
      </c>
      <c r="AS35" s="1257">
        <f t="shared" si="28"/>
        <v>0</v>
      </c>
      <c r="AT35" s="1253">
        <f t="shared" si="29"/>
        <v>0</v>
      </c>
      <c r="AU35" s="1254">
        <f t="shared" si="29"/>
        <v>0</v>
      </c>
      <c r="AV35" s="1254">
        <f t="shared" si="29"/>
        <v>0</v>
      </c>
      <c r="AW35" s="1254">
        <f t="shared" si="29"/>
        <v>0</v>
      </c>
      <c r="AX35" s="1257">
        <f t="shared" si="30"/>
        <v>0</v>
      </c>
      <c r="AY35" s="1258">
        <f t="shared" si="31"/>
        <v>110.69081457564734</v>
      </c>
      <c r="AZ35" s="1264">
        <f t="shared" si="32"/>
        <v>18.218763195624394</v>
      </c>
      <c r="BA35" s="1264">
        <f t="shared" si="32"/>
        <v>15.16842222872825</v>
      </c>
      <c r="BB35" s="1264">
        <f t="shared" si="32"/>
        <v>0</v>
      </c>
      <c r="BC35" s="1263">
        <f t="shared" si="32"/>
        <v>0</v>
      </c>
      <c r="BD35" s="84"/>
      <c r="BE35" s="568" t="s">
        <v>366</v>
      </c>
      <c r="BF35" s="568" t="s">
        <v>366</v>
      </c>
      <c r="BG35" s="591" t="str">
        <f>IFERROR(INDEX('Annex 2_Code'!$J$110:$J$127,MATCH('Annex 5_MRD'!BE35,'Annex 2_Code'!$G$110:$G$127,0)),"")</f>
        <v>MRD</v>
      </c>
      <c r="BH35" s="1565" t="str">
        <f t="shared" si="18"/>
        <v>MRD</v>
      </c>
      <c r="BI35" s="84"/>
    </row>
    <row r="36" spans="1:61" s="85" customFormat="1" ht="20.100000000000001" customHeight="1">
      <c r="A36" s="75"/>
      <c r="B36" s="1267"/>
      <c r="C36" s="1568"/>
      <c r="D36" s="382"/>
      <c r="E36" s="383" t="s">
        <v>41</v>
      </c>
      <c r="F36" s="384"/>
      <c r="G36" s="385"/>
      <c r="H36" s="1749"/>
      <c r="I36" s="776"/>
      <c r="J36" s="1641"/>
      <c r="K36" s="791"/>
      <c r="L36" s="386"/>
      <c r="M36" s="839"/>
      <c r="N36" s="840"/>
      <c r="O36" s="388"/>
      <c r="P36" s="1268">
        <f>SUM(P25:P35)</f>
        <v>0</v>
      </c>
      <c r="Q36" s="1268">
        <f>SUM(Q25:Q35)</f>
        <v>331.40341299999994</v>
      </c>
      <c r="R36" s="1268">
        <f>SUM(R25:R35)</f>
        <v>331.40341299999994</v>
      </c>
      <c r="S36" s="1268">
        <f>SUM(S25:S35)</f>
        <v>646.87092599999994</v>
      </c>
      <c r="T36" s="1269">
        <f>SUM(T25:T35)</f>
        <v>1309.6777519999998</v>
      </c>
      <c r="U36" s="1270" t="str">
        <f>IFERROR(INDEX([8]Code!I$8:I$33,MATCH('[8]$MRD-Annex'!$BG37,[8]Code!$G$8:$G$33,0)),"")</f>
        <v/>
      </c>
      <c r="V36" s="1271" t="str">
        <f>IFERROR(INDEX([8]Code!J$8:J$33,MATCH('[8]$MRD-Annex'!$BG37,[8]Code!$G$8:$G$33,0)),"")</f>
        <v/>
      </c>
      <c r="W36" s="1271" t="str">
        <f>IFERROR(INDEX([8]Code!K$8:K$33,MATCH('[8]$MRD-Annex'!$BG37,[8]Code!$G$8:$G$33,0)),"")</f>
        <v/>
      </c>
      <c r="X36" s="1271" t="str">
        <f>IFERROR(INDEX([8]Code!L$8:L$33,MATCH('[8]$MRD-Annex'!$BG37,[8]Code!$G$8:$G$33,0)),"")</f>
        <v/>
      </c>
      <c r="Y36" s="1272" t="str">
        <f>IFERROR(INDEX([8]Code!M$8:M$33,MATCH('[8]$MRD-Annex'!$BG37,[8]Code!$G$8:$G$33,0)),"")</f>
        <v/>
      </c>
      <c r="Z36" s="1274">
        <f>SUM(Z35,Z34,Z33,Z31,Z30,Z29,Z28,Z27,Z26,Z25)</f>
        <v>0</v>
      </c>
      <c r="AA36" s="1268">
        <f>SUM(AA35,AA34,AA33,AA31,AA30,AA29,AA28,AA27,AA26,AA25,AA32)</f>
        <v>254.60732199308484</v>
      </c>
      <c r="AB36" s="1268">
        <f>SUM(AB35,AB34,AB33,AB31,AB30,AB29,AB28,AB27,AB26,AB25,AB32)</f>
        <v>254.60732199308484</v>
      </c>
      <c r="AC36" s="1268">
        <f>SUM(AC35,AC34,AC33,AC31,AC30,AC29,AC28,AC27,AC26,AC25,AC32)</f>
        <v>496.9715690406814</v>
      </c>
      <c r="AD36" s="1275">
        <f>SUM(AD35,AD34,AD33,AD31,AD30,AD29,AD28,AD27,AD26,AD25,AD32)</f>
        <v>1006.186213026851</v>
      </c>
      <c r="AE36" s="1274">
        <f>SUM(AE35,AE34,AE33,AE31,AE30,AE29,AE28,AE27,AE26,AE25,AE24)</f>
        <v>0</v>
      </c>
      <c r="AF36" s="1268">
        <f>SUM(AF35,AF34,AF33,AF31,AF30,AF29,AF28,AF27,AF26,AF25,AF24,AF32)</f>
        <v>41.906191810468705</v>
      </c>
      <c r="AG36" s="1268">
        <f t="shared" ref="AG36:AH36" si="41">SUM(AG35,AG34,AG33,AG31,AG30,AG29,AG28,AG27,AG26,AG25,AG24,AG32)</f>
        <v>41.906191810468705</v>
      </c>
      <c r="AH36" s="1268">
        <f t="shared" si="41"/>
        <v>81.797277994754722</v>
      </c>
      <c r="AI36" s="1275">
        <f>SUM(AI35,AI34,AI33,AI31,AI30,AI29,AI28,AI27,AI26,AI25,AI24,AI32)</f>
        <v>165.60966161569212</v>
      </c>
      <c r="AJ36" s="1274">
        <f>SUM(AJ35,AJ34,AJ33,AJ31,AJ30,AJ29,AJ28,AJ27,AJ26,AJ25,AJ24)</f>
        <v>0</v>
      </c>
      <c r="AK36" s="1268">
        <f>SUM(AK35,AK34,AK33,AK31,AK30,AK29,AK28,AK27,AK26,AK25,AK24,AK32)</f>
        <v>34.889899196446443</v>
      </c>
      <c r="AL36" s="1268">
        <f t="shared" ref="AL36:AM36" si="42">SUM(AL35,AL34,AL33,AL31,AL30,AL29,AL28,AL27,AL26,AL25,AL24,AL32)</f>
        <v>34.889899196446443</v>
      </c>
      <c r="AM36" s="1268">
        <f t="shared" si="42"/>
        <v>68.102078964563844</v>
      </c>
      <c r="AN36" s="1275">
        <f>SUM(AN35,AN34,AN33,AN31,AN30,AN29,AN28,AN27,AN26,AN25,AN24,AN32)</f>
        <v>137.88187735745672</v>
      </c>
      <c r="AO36" s="1274"/>
      <c r="AP36" s="1268"/>
      <c r="AQ36" s="1268"/>
      <c r="AR36" s="1268"/>
      <c r="AS36" s="1276"/>
      <c r="AT36" s="1277"/>
      <c r="AU36" s="1273"/>
      <c r="AV36" s="1273"/>
      <c r="AW36" s="1273"/>
      <c r="AX36" s="1276"/>
      <c r="AY36" s="1278">
        <f>SUM(AY35,AY34,AY33,AY31,AY30,AY29,AY28,AY27,AY26,AY25,AY32)</f>
        <v>1006.1862130268511</v>
      </c>
      <c r="AZ36" s="1279">
        <f>SUM(AZ35,AZ34,AZ33,AZ31,AZ30,AZ29,AZ28,AZ27,AZ26,AZ25,AZ32)</f>
        <v>165.60966161569212</v>
      </c>
      <c r="BA36" s="1279">
        <f>SUM(BA35,BA34,BA33,BA31,BA30,BA29,BA28,BA27,BA26,BA25,BA32)</f>
        <v>137.88187735745672</v>
      </c>
      <c r="BB36" s="1279">
        <f t="shared" ref="BB36" si="43">SUM(BB35,BB34,BB33,BB31,BB30,BB29,BB28,BB27,BB26,BB25,BB32)</f>
        <v>0</v>
      </c>
      <c r="BC36" s="1269">
        <f>SUM(BC35,BC34,BC33,BC31,BC30,BC29,BC28,BC27,BC26,BC25)</f>
        <v>0</v>
      </c>
      <c r="BD36" s="84"/>
      <c r="BE36" s="1282"/>
      <c r="BF36" s="1282"/>
      <c r="BG36" s="1282"/>
      <c r="BH36" s="1565"/>
      <c r="BI36" s="84"/>
    </row>
    <row r="37" spans="1:61" s="85" customFormat="1" ht="20.100000000000001" customHeight="1">
      <c r="A37" s="75"/>
      <c r="B37" s="76" t="s">
        <v>24</v>
      </c>
      <c r="C37" s="76" t="s">
        <v>307</v>
      </c>
      <c r="D37" s="78"/>
      <c r="E37" s="66" t="s">
        <v>943</v>
      </c>
      <c r="H37" s="1759"/>
      <c r="I37" s="772"/>
      <c r="J37" s="1026"/>
      <c r="K37" s="112"/>
      <c r="L37" s="112"/>
      <c r="M37" s="841"/>
      <c r="N37" s="841"/>
      <c r="O37" s="304"/>
      <c r="P37" s="1248"/>
      <c r="Q37" s="1248"/>
      <c r="R37" s="1248"/>
      <c r="S37" s="1248"/>
      <c r="T37" s="1249"/>
      <c r="U37" s="1250"/>
      <c r="V37" s="1251"/>
      <c r="W37" s="1251"/>
      <c r="X37" s="1251"/>
      <c r="Y37" s="1252"/>
      <c r="Z37" s="1253">
        <f t="shared" ref="Z37:AC48" si="44">P37*$U37</f>
        <v>0</v>
      </c>
      <c r="AA37" s="1254">
        <f t="shared" si="44"/>
        <v>0</v>
      </c>
      <c r="AB37" s="1254">
        <f t="shared" si="44"/>
        <v>0</v>
      </c>
      <c r="AC37" s="1254">
        <f t="shared" si="44"/>
        <v>0</v>
      </c>
      <c r="AD37" s="1255">
        <f t="shared" ref="AD37" si="45">SUM(Z37:AC37)</f>
        <v>0</v>
      </c>
      <c r="AE37" s="1253">
        <f t="shared" ref="AE37:AI48" si="46">P37*$V37</f>
        <v>0</v>
      </c>
      <c r="AF37" s="1254">
        <f t="shared" si="46"/>
        <v>0</v>
      </c>
      <c r="AG37" s="1254">
        <f t="shared" si="46"/>
        <v>0</v>
      </c>
      <c r="AH37" s="1254">
        <f t="shared" si="46"/>
        <v>0</v>
      </c>
      <c r="AI37" s="1255">
        <f t="shared" si="46"/>
        <v>0</v>
      </c>
      <c r="AJ37" s="1254"/>
      <c r="AK37" s="1254"/>
      <c r="AL37" s="1254"/>
      <c r="AM37" s="1254"/>
      <c r="AN37" s="1256"/>
      <c r="AO37" s="1253">
        <f t="shared" ref="AO37:AR48" si="47">P37*$X37</f>
        <v>0</v>
      </c>
      <c r="AP37" s="1254">
        <f t="shared" si="47"/>
        <v>0</v>
      </c>
      <c r="AQ37" s="1254">
        <f t="shared" si="47"/>
        <v>0</v>
      </c>
      <c r="AR37" s="1254">
        <f t="shared" si="47"/>
        <v>0</v>
      </c>
      <c r="AS37" s="1257">
        <f>SUM(AO37:AR37)</f>
        <v>0</v>
      </c>
      <c r="AT37" s="1253">
        <f t="shared" ref="AT37:AW48" si="48">P37*$Y37</f>
        <v>0</v>
      </c>
      <c r="AU37" s="1254">
        <f t="shared" si="48"/>
        <v>0</v>
      </c>
      <c r="AV37" s="1254">
        <f t="shared" si="48"/>
        <v>0</v>
      </c>
      <c r="AW37" s="1254">
        <f t="shared" si="48"/>
        <v>0</v>
      </c>
      <c r="AX37" s="1257">
        <f>SUM(AT37:AW37)</f>
        <v>0</v>
      </c>
      <c r="AY37" s="1258"/>
      <c r="AZ37" s="1259"/>
      <c r="BA37" s="1259"/>
      <c r="BB37" s="1259"/>
      <c r="BC37" s="1260"/>
      <c r="BD37" s="84"/>
      <c r="BE37" s="1282"/>
      <c r="BF37" s="1282"/>
      <c r="BG37" s="1282"/>
      <c r="BH37" s="1565"/>
      <c r="BI37" s="84"/>
    </row>
    <row r="38" spans="1:61" s="85" customFormat="1" ht="20.100000000000001" customHeight="1">
      <c r="A38" s="75"/>
      <c r="B38" s="76" t="s">
        <v>24</v>
      </c>
      <c r="C38" s="76" t="s">
        <v>307</v>
      </c>
      <c r="D38" s="78"/>
      <c r="F38" t="s">
        <v>934</v>
      </c>
      <c r="H38" s="1755" t="s">
        <v>1095</v>
      </c>
      <c r="I38" s="773">
        <v>2.5</v>
      </c>
      <c r="J38" s="1026">
        <v>2.5000000000000001E-3</v>
      </c>
      <c r="K38" s="2241">
        <v>0</v>
      </c>
      <c r="L38" s="2244">
        <v>1430</v>
      </c>
      <c r="M38" s="2244">
        <v>1430</v>
      </c>
      <c r="N38" s="2244">
        <v>1430</v>
      </c>
      <c r="O38" s="1262">
        <f>SUM(K38:N38)</f>
        <v>4290</v>
      </c>
      <c r="P38" s="2258">
        <f t="shared" ref="P38:P48" si="49">K38*$I38/1000</f>
        <v>0</v>
      </c>
      <c r="Q38" s="2258">
        <f t="shared" ref="Q38:Q48" si="50">L38*$I38/1000</f>
        <v>3.5750000000000002</v>
      </c>
      <c r="R38" s="2258">
        <f t="shared" ref="R38:R48" si="51">M38*$I38/1000</f>
        <v>3.5750000000000002</v>
      </c>
      <c r="S38" s="2258">
        <f t="shared" ref="S38:S48" si="52">N38*$I38/1000</f>
        <v>3.5750000000000002</v>
      </c>
      <c r="T38" s="1263">
        <f t="shared" si="17"/>
        <v>10.725000000000001</v>
      </c>
      <c r="U38" s="1250">
        <f>IFERROR(INDEX([8]Code!I$8:I$33,MATCH('[8]$MRD-Annex'!$BG39,[8]Code!$G$8:$G$33,0)),"")</f>
        <v>0.76827006604510995</v>
      </c>
      <c r="V38" s="1251">
        <f>IFERROR(INDEX([8]Code!J$8:J$33,MATCH('[8]$MRD-Annex'!$BG39,[8]Code!$G$8:$G$33,0)),"")</f>
        <v>0.12645069473218948</v>
      </c>
      <c r="W38" s="1251">
        <f>IFERROR(INDEX([8]Code!K$8:K$33,MATCH('[8]$MRD-Annex'!$BG39,[8]Code!$G$8:$G$33,0)),"")</f>
        <v>0.10527923922270058</v>
      </c>
      <c r="X38" s="1251">
        <f>IFERROR(INDEX([8]Code!L$8:L$33,MATCH('[8]$MRD-Annex'!$BG39,[8]Code!$G$8:$G$33,0)),"")</f>
        <v>0</v>
      </c>
      <c r="Y38" s="1252">
        <f>IFERROR(INDEX([8]Code!M$8:M$33,MATCH('[8]$MRD-Annex'!$BG39,[8]Code!$G$8:$G$33,0)),"")</f>
        <v>0</v>
      </c>
      <c r="Z38" s="1253">
        <f t="shared" si="44"/>
        <v>0</v>
      </c>
      <c r="AA38" s="1254">
        <f t="shared" si="44"/>
        <v>2.7465654861112681</v>
      </c>
      <c r="AB38" s="1254">
        <f t="shared" si="44"/>
        <v>2.7465654861112681</v>
      </c>
      <c r="AC38" s="1254">
        <f t="shared" si="44"/>
        <v>2.7465654861112681</v>
      </c>
      <c r="AD38" s="1255">
        <f t="shared" ref="AD38:AD48" si="53">SUM(Z38:AC38)</f>
        <v>8.2396964583338033</v>
      </c>
      <c r="AE38" s="1253">
        <f t="shared" si="46"/>
        <v>0</v>
      </c>
      <c r="AF38" s="1254">
        <f t="shared" si="46"/>
        <v>0.45206123366757739</v>
      </c>
      <c r="AG38" s="1254">
        <f t="shared" si="46"/>
        <v>0.45206123366757739</v>
      </c>
      <c r="AH38" s="1254">
        <f t="shared" si="46"/>
        <v>0.45206123366757739</v>
      </c>
      <c r="AI38" s="1255">
        <f t="shared" si="46"/>
        <v>1.3561837010027322</v>
      </c>
      <c r="AJ38" s="1254">
        <f t="shared" ref="AJ38:AM48" si="54">P38*$W38</f>
        <v>0</v>
      </c>
      <c r="AK38" s="1254">
        <f t="shared" si="54"/>
        <v>0.37637328022115457</v>
      </c>
      <c r="AL38" s="1254">
        <f t="shared" si="54"/>
        <v>0.37637328022115457</v>
      </c>
      <c r="AM38" s="1254">
        <f t="shared" si="54"/>
        <v>0.37637328022115457</v>
      </c>
      <c r="AN38" s="1256">
        <f t="shared" ref="AN38:AN48" si="55">SUM(AJ38:AM38)</f>
        <v>1.1291198406634637</v>
      </c>
      <c r="AO38" s="1253">
        <f t="shared" si="47"/>
        <v>0</v>
      </c>
      <c r="AP38" s="1254">
        <f t="shared" si="47"/>
        <v>0</v>
      </c>
      <c r="AQ38" s="1254">
        <f t="shared" si="47"/>
        <v>0</v>
      </c>
      <c r="AR38" s="1254">
        <f t="shared" si="47"/>
        <v>0</v>
      </c>
      <c r="AS38" s="1257">
        <f t="shared" ref="AS38:AS48" si="56">SUM(AO38:AR38)</f>
        <v>0</v>
      </c>
      <c r="AT38" s="1253">
        <f t="shared" si="48"/>
        <v>0</v>
      </c>
      <c r="AU38" s="1254">
        <f t="shared" si="48"/>
        <v>0</v>
      </c>
      <c r="AV38" s="1254">
        <f t="shared" si="48"/>
        <v>0</v>
      </c>
      <c r="AW38" s="1254">
        <f t="shared" si="48"/>
        <v>0</v>
      </c>
      <c r="AX38" s="1257">
        <f t="shared" ref="AX38:AX48" si="57">SUM(AT38:AW38)</f>
        <v>0</v>
      </c>
      <c r="AY38" s="1258">
        <f t="shared" ref="AY38:AY48" si="58">SUM($T38*U38)</f>
        <v>8.239696458333805</v>
      </c>
      <c r="AZ38" s="1264">
        <f t="shared" ref="AZ38:BC48" si="59">SUM($T38*V38)</f>
        <v>1.3561837010027322</v>
      </c>
      <c r="BA38" s="1264">
        <f t="shared" si="59"/>
        <v>1.1291198406634639</v>
      </c>
      <c r="BB38" s="1264">
        <f t="shared" si="59"/>
        <v>0</v>
      </c>
      <c r="BC38" s="1263">
        <f t="shared" si="59"/>
        <v>0</v>
      </c>
      <c r="BD38" s="84"/>
      <c r="BE38" s="568" t="s">
        <v>366</v>
      </c>
      <c r="BF38" s="568" t="s">
        <v>366</v>
      </c>
      <c r="BG38" s="591" t="str">
        <f>IFERROR(INDEX('Annex 2_Code'!$J$110:$J$127,MATCH('Annex 5_MRD'!BE38,'Annex 2_Code'!$G$110:$G$127,0)),"")</f>
        <v>MRD</v>
      </c>
      <c r="BH38" s="1565" t="str">
        <f t="shared" si="18"/>
        <v>MRD</v>
      </c>
      <c r="BI38" s="84"/>
    </row>
    <row r="39" spans="1:61" s="85" customFormat="1" ht="20.100000000000001" customHeight="1">
      <c r="A39" s="75"/>
      <c r="B39" s="76" t="s">
        <v>24</v>
      </c>
      <c r="C39" s="76" t="s">
        <v>307</v>
      </c>
      <c r="D39" s="78"/>
      <c r="F39" s="66" t="s">
        <v>935</v>
      </c>
      <c r="H39" s="1755" t="s">
        <v>1095</v>
      </c>
      <c r="I39" s="10">
        <v>21</v>
      </c>
      <c r="J39" s="1026">
        <v>2.1000000000000001E-2</v>
      </c>
      <c r="K39" s="2241"/>
      <c r="L39" s="2244">
        <v>120.12</v>
      </c>
      <c r="M39" s="2244">
        <v>120.12</v>
      </c>
      <c r="N39" s="2244">
        <v>120.12</v>
      </c>
      <c r="O39" s="1262">
        <f>SUM(K39:N39)</f>
        <v>360.36</v>
      </c>
      <c r="P39" s="2258">
        <f t="shared" si="49"/>
        <v>0</v>
      </c>
      <c r="Q39" s="2258">
        <f t="shared" si="50"/>
        <v>2.5225200000000001</v>
      </c>
      <c r="R39" s="2258">
        <f t="shared" si="51"/>
        <v>2.5225200000000001</v>
      </c>
      <c r="S39" s="2258">
        <f t="shared" si="52"/>
        <v>2.5225200000000001</v>
      </c>
      <c r="T39" s="1263">
        <f t="shared" si="17"/>
        <v>7.5675600000000003</v>
      </c>
      <c r="U39" s="1250">
        <f>IFERROR(INDEX([8]Code!I$8:I$33,MATCH('[8]$MRD-Annex'!$BG40,[8]Code!$G$8:$G$33,0)),"")</f>
        <v>0.76827006604510995</v>
      </c>
      <c r="V39" s="1251">
        <f>IFERROR(INDEX([8]Code!J$8:J$33,MATCH('[8]$MRD-Annex'!$BG40,[8]Code!$G$8:$G$33,0)),"")</f>
        <v>0.12645069473218948</v>
      </c>
      <c r="W39" s="1251">
        <f>IFERROR(INDEX([8]Code!K$8:K$33,MATCH('[8]$MRD-Annex'!$BG40,[8]Code!$G$8:$G$33,0)),"")</f>
        <v>0.10527923922270058</v>
      </c>
      <c r="X39" s="1251">
        <f>IFERROR(INDEX([8]Code!L$8:L$33,MATCH('[8]$MRD-Annex'!$BG40,[8]Code!$G$8:$G$33,0)),"")</f>
        <v>0</v>
      </c>
      <c r="Y39" s="1252">
        <f>IFERROR(INDEX([8]Code!M$8:M$33,MATCH('[8]$MRD-Annex'!$BG40,[8]Code!$G$8:$G$33,0)),"")</f>
        <v>0</v>
      </c>
      <c r="Z39" s="1253">
        <f t="shared" si="44"/>
        <v>0</v>
      </c>
      <c r="AA39" s="1254">
        <f t="shared" si="44"/>
        <v>1.9379766070001108</v>
      </c>
      <c r="AB39" s="1254">
        <f t="shared" si="44"/>
        <v>1.9379766070001108</v>
      </c>
      <c r="AC39" s="1254">
        <f t="shared" si="44"/>
        <v>1.9379766070001108</v>
      </c>
      <c r="AD39" s="1255">
        <f t="shared" si="53"/>
        <v>5.8139298210003325</v>
      </c>
      <c r="AE39" s="1253">
        <f t="shared" si="46"/>
        <v>0</v>
      </c>
      <c r="AF39" s="1254">
        <f t="shared" si="46"/>
        <v>0.31897440647584263</v>
      </c>
      <c r="AG39" s="1254">
        <f t="shared" si="46"/>
        <v>0.31897440647584263</v>
      </c>
      <c r="AH39" s="1254">
        <f t="shared" si="46"/>
        <v>0.31897440647584263</v>
      </c>
      <c r="AI39" s="1255">
        <f t="shared" si="46"/>
        <v>0.95692321942752789</v>
      </c>
      <c r="AJ39" s="1254">
        <f t="shared" si="54"/>
        <v>0</v>
      </c>
      <c r="AK39" s="1254">
        <f t="shared" si="54"/>
        <v>0.26556898652404665</v>
      </c>
      <c r="AL39" s="1254">
        <f t="shared" si="54"/>
        <v>0.26556898652404665</v>
      </c>
      <c r="AM39" s="1254">
        <f t="shared" si="54"/>
        <v>0.26556898652404665</v>
      </c>
      <c r="AN39" s="1256">
        <f t="shared" si="55"/>
        <v>0.79670695957213988</v>
      </c>
      <c r="AO39" s="1253">
        <f t="shared" si="47"/>
        <v>0</v>
      </c>
      <c r="AP39" s="1254">
        <f t="shared" si="47"/>
        <v>0</v>
      </c>
      <c r="AQ39" s="1254">
        <f t="shared" si="47"/>
        <v>0</v>
      </c>
      <c r="AR39" s="1254">
        <f t="shared" si="47"/>
        <v>0</v>
      </c>
      <c r="AS39" s="1257">
        <f t="shared" si="56"/>
        <v>0</v>
      </c>
      <c r="AT39" s="1253">
        <f t="shared" si="48"/>
        <v>0</v>
      </c>
      <c r="AU39" s="1254">
        <f t="shared" si="48"/>
        <v>0</v>
      </c>
      <c r="AV39" s="1254">
        <f t="shared" si="48"/>
        <v>0</v>
      </c>
      <c r="AW39" s="1254">
        <f t="shared" si="48"/>
        <v>0</v>
      </c>
      <c r="AX39" s="1257">
        <f t="shared" si="57"/>
        <v>0</v>
      </c>
      <c r="AY39" s="1258">
        <f t="shared" si="58"/>
        <v>5.8139298210003325</v>
      </c>
      <c r="AZ39" s="1264">
        <f t="shared" si="59"/>
        <v>0.95692321942752789</v>
      </c>
      <c r="BA39" s="1264">
        <f t="shared" si="59"/>
        <v>0.79670695957213999</v>
      </c>
      <c r="BB39" s="1264">
        <f t="shared" si="59"/>
        <v>0</v>
      </c>
      <c r="BC39" s="1263">
        <f t="shared" si="59"/>
        <v>0</v>
      </c>
      <c r="BD39" s="84"/>
      <c r="BE39" s="568" t="s">
        <v>366</v>
      </c>
      <c r="BF39" s="568" t="s">
        <v>366</v>
      </c>
      <c r="BG39" s="591" t="str">
        <f>IFERROR(INDEX('Annex 2_Code'!$J$110:$J$127,MATCH('Annex 5_MRD'!BE39,'Annex 2_Code'!$G$110:$G$127,0)),"")</f>
        <v>MRD</v>
      </c>
      <c r="BH39" s="1565" t="str">
        <f t="shared" si="18"/>
        <v>MRD</v>
      </c>
      <c r="BI39" s="84"/>
    </row>
    <row r="40" spans="1:61" s="85" customFormat="1" ht="20.100000000000001" customHeight="1">
      <c r="A40" s="75"/>
      <c r="B40" s="76" t="s">
        <v>24</v>
      </c>
      <c r="C40" s="76" t="s">
        <v>307</v>
      </c>
      <c r="D40" s="78"/>
      <c r="F40" t="s">
        <v>936</v>
      </c>
      <c r="H40" s="1755" t="s">
        <v>1095</v>
      </c>
      <c r="I40" s="10">
        <v>21</v>
      </c>
      <c r="J40" s="1026">
        <v>2.1000000000000001E-2</v>
      </c>
      <c r="K40" s="2241"/>
      <c r="L40" s="2244">
        <v>274.56000000000006</v>
      </c>
      <c r="M40" s="2244">
        <v>274.56000000000006</v>
      </c>
      <c r="N40" s="2244">
        <v>274.56000000000006</v>
      </c>
      <c r="O40" s="1262">
        <f t="shared" ref="O40:O46" si="60">SUM(K40:N40)</f>
        <v>823.68000000000018</v>
      </c>
      <c r="P40" s="2258">
        <f t="shared" si="49"/>
        <v>0</v>
      </c>
      <c r="Q40" s="2258">
        <f t="shared" si="50"/>
        <v>5.7657600000000011</v>
      </c>
      <c r="R40" s="2258">
        <f t="shared" si="51"/>
        <v>5.7657600000000011</v>
      </c>
      <c r="S40" s="2258">
        <f t="shared" si="52"/>
        <v>5.7657600000000011</v>
      </c>
      <c r="T40" s="1263">
        <f t="shared" si="17"/>
        <v>17.297280000000004</v>
      </c>
      <c r="U40" s="1250">
        <f>IFERROR(INDEX([8]Code!I$8:I$33,MATCH('[8]$MRD-Annex'!$BG41,[8]Code!$G$8:$G$33,0)),"")</f>
        <v>0.76827006604510995</v>
      </c>
      <c r="V40" s="1251">
        <f>IFERROR(INDEX([8]Code!J$8:J$33,MATCH('[8]$MRD-Annex'!$BG41,[8]Code!$G$8:$G$33,0)),"")</f>
        <v>0.12645069473218948</v>
      </c>
      <c r="W40" s="1251">
        <f>IFERROR(INDEX([8]Code!K$8:K$33,MATCH('[8]$MRD-Annex'!$BG41,[8]Code!$G$8:$G$33,0)),"")</f>
        <v>0.10527923922270058</v>
      </c>
      <c r="X40" s="1251">
        <f>IFERROR(INDEX([8]Code!L$8:L$33,MATCH('[8]$MRD-Annex'!$BG41,[8]Code!$G$8:$G$33,0)),"")</f>
        <v>0</v>
      </c>
      <c r="Y40" s="1252">
        <f>IFERROR(INDEX([8]Code!M$8:M$33,MATCH('[8]$MRD-Annex'!$BG41,[8]Code!$G$8:$G$33,0)),"")</f>
        <v>0</v>
      </c>
      <c r="Z40" s="1253">
        <f t="shared" si="44"/>
        <v>0</v>
      </c>
      <c r="AA40" s="1254">
        <f t="shared" si="44"/>
        <v>4.4296608160002542</v>
      </c>
      <c r="AB40" s="1254">
        <f t="shared" si="44"/>
        <v>4.4296608160002542</v>
      </c>
      <c r="AC40" s="1254">
        <f t="shared" si="44"/>
        <v>4.4296608160002542</v>
      </c>
      <c r="AD40" s="1255">
        <f t="shared" si="53"/>
        <v>13.288982448000763</v>
      </c>
      <c r="AE40" s="1253">
        <f t="shared" si="46"/>
        <v>0</v>
      </c>
      <c r="AF40" s="1254">
        <f t="shared" si="46"/>
        <v>0.72908435765906898</v>
      </c>
      <c r="AG40" s="1254">
        <f t="shared" si="46"/>
        <v>0.72908435765906898</v>
      </c>
      <c r="AH40" s="1254">
        <f t="shared" si="46"/>
        <v>0.72908435765906898</v>
      </c>
      <c r="AI40" s="1255">
        <f t="shared" si="46"/>
        <v>2.1872530729772071</v>
      </c>
      <c r="AJ40" s="1254">
        <f t="shared" si="54"/>
        <v>0</v>
      </c>
      <c r="AK40" s="1254">
        <f t="shared" si="54"/>
        <v>0.60701482634067816</v>
      </c>
      <c r="AL40" s="1254">
        <f t="shared" si="54"/>
        <v>0.60701482634067816</v>
      </c>
      <c r="AM40" s="1254">
        <f t="shared" si="54"/>
        <v>0.60701482634067816</v>
      </c>
      <c r="AN40" s="1256">
        <f t="shared" si="55"/>
        <v>1.8210444790220346</v>
      </c>
      <c r="AO40" s="1253">
        <f t="shared" si="47"/>
        <v>0</v>
      </c>
      <c r="AP40" s="1254">
        <f t="shared" si="47"/>
        <v>0</v>
      </c>
      <c r="AQ40" s="1254">
        <f t="shared" si="47"/>
        <v>0</v>
      </c>
      <c r="AR40" s="1254">
        <f t="shared" si="47"/>
        <v>0</v>
      </c>
      <c r="AS40" s="1257">
        <f t="shared" si="56"/>
        <v>0</v>
      </c>
      <c r="AT40" s="1253">
        <f t="shared" si="48"/>
        <v>0</v>
      </c>
      <c r="AU40" s="1254">
        <f t="shared" si="48"/>
        <v>0</v>
      </c>
      <c r="AV40" s="1254">
        <f t="shared" si="48"/>
        <v>0</v>
      </c>
      <c r="AW40" s="1254">
        <f t="shared" si="48"/>
        <v>0</v>
      </c>
      <c r="AX40" s="1257">
        <f t="shared" si="57"/>
        <v>0</v>
      </c>
      <c r="AY40" s="1258">
        <f t="shared" si="58"/>
        <v>13.288982448000763</v>
      </c>
      <c r="AZ40" s="1264">
        <f t="shared" si="59"/>
        <v>2.1872530729772071</v>
      </c>
      <c r="BA40" s="1264">
        <f t="shared" si="59"/>
        <v>1.8210444790220346</v>
      </c>
      <c r="BB40" s="1264">
        <f t="shared" si="59"/>
        <v>0</v>
      </c>
      <c r="BC40" s="1263">
        <f t="shared" si="59"/>
        <v>0</v>
      </c>
      <c r="BD40" s="84"/>
      <c r="BE40" s="568" t="s">
        <v>366</v>
      </c>
      <c r="BF40" s="568" t="s">
        <v>366</v>
      </c>
      <c r="BG40" s="591" t="str">
        <f>IFERROR(INDEX('Annex 2_Code'!$J$110:$J$127,MATCH('Annex 5_MRD'!BE40,'Annex 2_Code'!$G$110:$G$127,0)),"")</f>
        <v>MRD</v>
      </c>
      <c r="BH40" s="1565" t="str">
        <f t="shared" si="18"/>
        <v>MRD</v>
      </c>
      <c r="BI40" s="84"/>
    </row>
    <row r="41" spans="1:61" s="85" customFormat="1" ht="20.100000000000001" customHeight="1">
      <c r="A41" s="75"/>
      <c r="B41" s="76" t="s">
        <v>24</v>
      </c>
      <c r="C41" s="76" t="s">
        <v>307</v>
      </c>
      <c r="D41" s="78"/>
      <c r="F41" t="s">
        <v>311</v>
      </c>
      <c r="H41" s="1755" t="s">
        <v>1095</v>
      </c>
      <c r="I41" s="773">
        <v>2.5</v>
      </c>
      <c r="J41" s="1026">
        <v>2.5000000000000001E-3</v>
      </c>
      <c r="K41" s="2241"/>
      <c r="L41" s="2244">
        <v>128.70000000000002</v>
      </c>
      <c r="M41" s="2244">
        <v>128.70000000000002</v>
      </c>
      <c r="N41" s="2244">
        <v>128.70000000000002</v>
      </c>
      <c r="O41" s="1262">
        <f t="shared" si="60"/>
        <v>386.1</v>
      </c>
      <c r="P41" s="2258">
        <f t="shared" si="49"/>
        <v>0</v>
      </c>
      <c r="Q41" s="2258">
        <f t="shared" si="50"/>
        <v>0.32175000000000004</v>
      </c>
      <c r="R41" s="2258">
        <f t="shared" si="51"/>
        <v>0.32175000000000004</v>
      </c>
      <c r="S41" s="2258">
        <f t="shared" si="52"/>
        <v>0.32175000000000004</v>
      </c>
      <c r="T41" s="1263">
        <f t="shared" si="17"/>
        <v>0.96525000000000016</v>
      </c>
      <c r="U41" s="1250">
        <f>IFERROR(INDEX([8]Code!I$8:I$33,MATCH('[8]$MRD-Annex'!$BG42,[8]Code!$G$8:$G$33,0)),"")</f>
        <v>0.76827006604510995</v>
      </c>
      <c r="V41" s="1251">
        <f>IFERROR(INDEX([8]Code!J$8:J$33,MATCH('[8]$MRD-Annex'!$BG42,[8]Code!$G$8:$G$33,0)),"")</f>
        <v>0.12645069473218948</v>
      </c>
      <c r="W41" s="1251">
        <f>IFERROR(INDEX([8]Code!K$8:K$33,MATCH('[8]$MRD-Annex'!$BG42,[8]Code!$G$8:$G$33,0)),"")</f>
        <v>0.10527923922270058</v>
      </c>
      <c r="X41" s="1251">
        <f>IFERROR(INDEX([8]Code!L$8:L$33,MATCH('[8]$MRD-Annex'!$BG42,[8]Code!$G$8:$G$33,0)),"")</f>
        <v>0</v>
      </c>
      <c r="Y41" s="1252">
        <f>IFERROR(INDEX([8]Code!M$8:M$33,MATCH('[8]$MRD-Annex'!$BG42,[8]Code!$G$8:$G$33,0)),"")</f>
        <v>0</v>
      </c>
      <c r="Z41" s="1253">
        <f t="shared" si="44"/>
        <v>0</v>
      </c>
      <c r="AA41" s="1254">
        <f t="shared" si="44"/>
        <v>0.24719089375001416</v>
      </c>
      <c r="AB41" s="1254">
        <f t="shared" si="44"/>
        <v>0.24719089375001416</v>
      </c>
      <c r="AC41" s="1254">
        <f t="shared" si="44"/>
        <v>0.24719089375001416</v>
      </c>
      <c r="AD41" s="1255">
        <f t="shared" si="53"/>
        <v>0.7415726812500425</v>
      </c>
      <c r="AE41" s="1253">
        <f t="shared" si="46"/>
        <v>0</v>
      </c>
      <c r="AF41" s="1254">
        <f t="shared" si="46"/>
        <v>4.0685511030081972E-2</v>
      </c>
      <c r="AG41" s="1254">
        <f t="shared" si="46"/>
        <v>4.0685511030081972E-2</v>
      </c>
      <c r="AH41" s="1254">
        <f t="shared" si="46"/>
        <v>4.0685511030081972E-2</v>
      </c>
      <c r="AI41" s="1255">
        <f t="shared" si="46"/>
        <v>0.12205653309024592</v>
      </c>
      <c r="AJ41" s="1254">
        <f t="shared" si="54"/>
        <v>0</v>
      </c>
      <c r="AK41" s="1254">
        <f t="shared" si="54"/>
        <v>3.3873595219903914E-2</v>
      </c>
      <c r="AL41" s="1254">
        <f t="shared" si="54"/>
        <v>3.3873595219903914E-2</v>
      </c>
      <c r="AM41" s="1254">
        <f t="shared" si="54"/>
        <v>3.3873595219903914E-2</v>
      </c>
      <c r="AN41" s="1256">
        <f t="shared" si="55"/>
        <v>0.10162078565971175</v>
      </c>
      <c r="AO41" s="1253">
        <f t="shared" si="47"/>
        <v>0</v>
      </c>
      <c r="AP41" s="1254">
        <f t="shared" si="47"/>
        <v>0</v>
      </c>
      <c r="AQ41" s="1254">
        <f t="shared" si="47"/>
        <v>0</v>
      </c>
      <c r="AR41" s="1254">
        <f t="shared" si="47"/>
        <v>0</v>
      </c>
      <c r="AS41" s="1257">
        <f t="shared" si="56"/>
        <v>0</v>
      </c>
      <c r="AT41" s="1253">
        <f t="shared" si="48"/>
        <v>0</v>
      </c>
      <c r="AU41" s="1254">
        <f t="shared" si="48"/>
        <v>0</v>
      </c>
      <c r="AV41" s="1254">
        <f t="shared" si="48"/>
        <v>0</v>
      </c>
      <c r="AW41" s="1254">
        <f t="shared" si="48"/>
        <v>0</v>
      </c>
      <c r="AX41" s="1257">
        <f t="shared" si="57"/>
        <v>0</v>
      </c>
      <c r="AY41" s="1258">
        <f t="shared" si="58"/>
        <v>0.7415726812500425</v>
      </c>
      <c r="AZ41" s="1264">
        <f t="shared" si="59"/>
        <v>0.12205653309024592</v>
      </c>
      <c r="BA41" s="1264">
        <f t="shared" si="59"/>
        <v>0.10162078565971175</v>
      </c>
      <c r="BB41" s="1264">
        <f t="shared" si="59"/>
        <v>0</v>
      </c>
      <c r="BC41" s="1263">
        <f t="shared" si="59"/>
        <v>0</v>
      </c>
      <c r="BD41" s="84"/>
      <c r="BE41" s="568" t="s">
        <v>366</v>
      </c>
      <c r="BF41" s="568" t="s">
        <v>366</v>
      </c>
      <c r="BG41" s="591" t="str">
        <f>IFERROR(INDEX('Annex 2_Code'!$J$110:$J$127,MATCH('Annex 5_MRD'!BE41,'Annex 2_Code'!$G$110:$G$127,0)),"")</f>
        <v>MRD</v>
      </c>
      <c r="BH41" s="1565" t="str">
        <f t="shared" si="18"/>
        <v>MRD</v>
      </c>
      <c r="BI41" s="84"/>
    </row>
    <row r="42" spans="1:61" s="85" customFormat="1" ht="20.100000000000001" customHeight="1">
      <c r="A42" s="75"/>
      <c r="B42" s="76" t="s">
        <v>24</v>
      </c>
      <c r="C42" s="76" t="s">
        <v>307</v>
      </c>
      <c r="D42" s="78"/>
      <c r="F42" s="66" t="s">
        <v>312</v>
      </c>
      <c r="H42" s="1755" t="s">
        <v>1095</v>
      </c>
      <c r="I42" s="773">
        <v>1</v>
      </c>
      <c r="J42" s="1026">
        <v>1E-3</v>
      </c>
      <c r="K42" s="2241"/>
      <c r="L42" s="2244">
        <v>15015</v>
      </c>
      <c r="M42" s="2244">
        <v>15015</v>
      </c>
      <c r="N42" s="2244">
        <v>15015</v>
      </c>
      <c r="O42" s="1262">
        <f t="shared" si="60"/>
        <v>45045</v>
      </c>
      <c r="P42" s="2258">
        <f t="shared" si="49"/>
        <v>0</v>
      </c>
      <c r="Q42" s="2258">
        <f t="shared" si="50"/>
        <v>15.015000000000001</v>
      </c>
      <c r="R42" s="2258">
        <f t="shared" si="51"/>
        <v>15.015000000000001</v>
      </c>
      <c r="S42" s="2258">
        <f t="shared" si="52"/>
        <v>15.015000000000001</v>
      </c>
      <c r="T42" s="1263">
        <f t="shared" si="17"/>
        <v>45.045000000000002</v>
      </c>
      <c r="U42" s="1250">
        <f>IFERROR(INDEX([8]Code!I$8:I$33,MATCH('[8]$MRD-Annex'!$BG43,[8]Code!$G$8:$G$33,0)),"")</f>
        <v>0.76827006604510995</v>
      </c>
      <c r="V42" s="1251">
        <f>IFERROR(INDEX([8]Code!J$8:J$33,MATCH('[8]$MRD-Annex'!$BG43,[8]Code!$G$8:$G$33,0)),"")</f>
        <v>0.12645069473218948</v>
      </c>
      <c r="W42" s="1251">
        <f>IFERROR(INDEX([8]Code!K$8:K$33,MATCH('[8]$MRD-Annex'!$BG43,[8]Code!$G$8:$G$33,0)),"")</f>
        <v>0.10527923922270058</v>
      </c>
      <c r="X42" s="1251">
        <f>IFERROR(INDEX([8]Code!L$8:L$33,MATCH('[8]$MRD-Annex'!$BG43,[8]Code!$G$8:$G$33,0)),"")</f>
        <v>0</v>
      </c>
      <c r="Y42" s="1252">
        <f>IFERROR(INDEX([8]Code!M$8:M$33,MATCH('[8]$MRD-Annex'!$BG43,[8]Code!$G$8:$G$33,0)),"")</f>
        <v>0</v>
      </c>
      <c r="Z42" s="1253">
        <f t="shared" si="44"/>
        <v>0</v>
      </c>
      <c r="AA42" s="1254">
        <f t="shared" si="44"/>
        <v>11.535575041667327</v>
      </c>
      <c r="AB42" s="1254">
        <f t="shared" si="44"/>
        <v>11.535575041667327</v>
      </c>
      <c r="AC42" s="1254">
        <f t="shared" si="44"/>
        <v>11.535575041667327</v>
      </c>
      <c r="AD42" s="1255">
        <f t="shared" si="53"/>
        <v>34.606725125001979</v>
      </c>
      <c r="AE42" s="1253">
        <f t="shared" si="46"/>
        <v>0</v>
      </c>
      <c r="AF42" s="1254">
        <f t="shared" si="46"/>
        <v>1.8986571814038251</v>
      </c>
      <c r="AG42" s="1254">
        <f t="shared" si="46"/>
        <v>1.8986571814038251</v>
      </c>
      <c r="AH42" s="1254">
        <f t="shared" si="46"/>
        <v>1.8986571814038251</v>
      </c>
      <c r="AI42" s="1255">
        <f t="shared" si="46"/>
        <v>5.6959715442114751</v>
      </c>
      <c r="AJ42" s="1254">
        <f t="shared" si="54"/>
        <v>0</v>
      </c>
      <c r="AK42" s="1254">
        <f t="shared" si="54"/>
        <v>1.5807677769288493</v>
      </c>
      <c r="AL42" s="1254">
        <f t="shared" si="54"/>
        <v>1.5807677769288493</v>
      </c>
      <c r="AM42" s="1254">
        <f t="shared" si="54"/>
        <v>1.5807677769288493</v>
      </c>
      <c r="AN42" s="1256">
        <f t="shared" si="55"/>
        <v>4.7423033307865481</v>
      </c>
      <c r="AO42" s="1253">
        <f t="shared" si="47"/>
        <v>0</v>
      </c>
      <c r="AP42" s="1254">
        <f t="shared" si="47"/>
        <v>0</v>
      </c>
      <c r="AQ42" s="1254">
        <f t="shared" si="47"/>
        <v>0</v>
      </c>
      <c r="AR42" s="1254">
        <f t="shared" si="47"/>
        <v>0</v>
      </c>
      <c r="AS42" s="1257">
        <f t="shared" si="56"/>
        <v>0</v>
      </c>
      <c r="AT42" s="1253">
        <f t="shared" si="48"/>
        <v>0</v>
      </c>
      <c r="AU42" s="1254">
        <f t="shared" si="48"/>
        <v>0</v>
      </c>
      <c r="AV42" s="1254">
        <f t="shared" si="48"/>
        <v>0</v>
      </c>
      <c r="AW42" s="1254">
        <f t="shared" si="48"/>
        <v>0</v>
      </c>
      <c r="AX42" s="1257">
        <f t="shared" si="57"/>
        <v>0</v>
      </c>
      <c r="AY42" s="1258">
        <f t="shared" si="58"/>
        <v>34.606725125001979</v>
      </c>
      <c r="AZ42" s="1264">
        <f t="shared" si="59"/>
        <v>5.6959715442114751</v>
      </c>
      <c r="BA42" s="1264">
        <f t="shared" si="59"/>
        <v>4.7423033307865481</v>
      </c>
      <c r="BB42" s="1264">
        <f t="shared" si="59"/>
        <v>0</v>
      </c>
      <c r="BC42" s="1263">
        <f t="shared" si="59"/>
        <v>0</v>
      </c>
      <c r="BD42" s="84"/>
      <c r="BE42" s="568" t="s">
        <v>366</v>
      </c>
      <c r="BF42" s="568" t="s">
        <v>366</v>
      </c>
      <c r="BG42" s="591" t="str">
        <f>IFERROR(INDEX('Annex 2_Code'!$J$110:$J$127,MATCH('Annex 5_MRD'!BE42,'Annex 2_Code'!$G$110:$G$127,0)),"")</f>
        <v>MRD</v>
      </c>
      <c r="BH42" s="1565" t="str">
        <f t="shared" si="18"/>
        <v>MRD</v>
      </c>
      <c r="BI42" s="84"/>
    </row>
    <row r="43" spans="1:61" s="85" customFormat="1" ht="20.100000000000001" customHeight="1">
      <c r="A43" s="75"/>
      <c r="B43" s="76" t="s">
        <v>24</v>
      </c>
      <c r="C43" s="76" t="s">
        <v>307</v>
      </c>
      <c r="D43" s="78"/>
      <c r="F43" s="66" t="s">
        <v>937</v>
      </c>
      <c r="H43" s="1755" t="s">
        <v>1095</v>
      </c>
      <c r="I43" s="167">
        <v>18</v>
      </c>
      <c r="J43" s="1026">
        <v>1.7999999999999999E-2</v>
      </c>
      <c r="K43" s="2242">
        <v>0</v>
      </c>
      <c r="L43" s="2244">
        <v>4890.6000000000004</v>
      </c>
      <c r="M43" s="2244">
        <v>4890.6000000000004</v>
      </c>
      <c r="N43" s="2244">
        <v>4890.6000000000004</v>
      </c>
      <c r="O43" s="1262">
        <f t="shared" si="60"/>
        <v>14671.800000000001</v>
      </c>
      <c r="P43" s="2258">
        <f t="shared" si="49"/>
        <v>0</v>
      </c>
      <c r="Q43" s="2258">
        <f t="shared" si="50"/>
        <v>88.030799999999999</v>
      </c>
      <c r="R43" s="2258">
        <f t="shared" si="51"/>
        <v>88.030799999999999</v>
      </c>
      <c r="S43" s="2258">
        <f t="shared" si="52"/>
        <v>88.030799999999999</v>
      </c>
      <c r="T43" s="1263">
        <f t="shared" si="17"/>
        <v>264.0924</v>
      </c>
      <c r="U43" s="1250">
        <f>IFERROR(INDEX([8]Code!I$8:I$33,MATCH('[8]$MRD-Annex'!$BG44,[8]Code!$G$8:$G$33,0)),"")</f>
        <v>0.76827006604510995</v>
      </c>
      <c r="V43" s="1251">
        <f>IFERROR(INDEX([8]Code!J$8:J$33,MATCH('[8]$MRD-Annex'!$BG44,[8]Code!$G$8:$G$33,0)),"")</f>
        <v>0.12645069473218948</v>
      </c>
      <c r="W43" s="1251">
        <f>IFERROR(INDEX([8]Code!K$8:K$33,MATCH('[8]$MRD-Annex'!$BG44,[8]Code!$G$8:$G$33,0)),"")</f>
        <v>0.10527923922270058</v>
      </c>
      <c r="X43" s="1251">
        <f>IFERROR(INDEX([8]Code!L$8:L$33,MATCH('[8]$MRD-Annex'!$BG44,[8]Code!$G$8:$G$33,0)),"")</f>
        <v>0</v>
      </c>
      <c r="Y43" s="1252">
        <f>IFERROR(INDEX([8]Code!M$8:M$33,MATCH('[8]$MRD-Annex'!$BG44,[8]Code!$G$8:$G$33,0)),"")</f>
        <v>0</v>
      </c>
      <c r="Z43" s="1253">
        <f t="shared" si="44"/>
        <v>0</v>
      </c>
      <c r="AA43" s="1254">
        <f t="shared" si="44"/>
        <v>67.631428530003859</v>
      </c>
      <c r="AB43" s="1254">
        <f t="shared" si="44"/>
        <v>67.631428530003859</v>
      </c>
      <c r="AC43" s="1254">
        <f t="shared" si="44"/>
        <v>67.631428530003859</v>
      </c>
      <c r="AD43" s="1255">
        <f t="shared" si="53"/>
        <v>202.89428559001158</v>
      </c>
      <c r="AE43" s="1253">
        <f t="shared" si="46"/>
        <v>0</v>
      </c>
      <c r="AF43" s="1254">
        <f t="shared" si="46"/>
        <v>11.131555817830426</v>
      </c>
      <c r="AG43" s="1254">
        <f t="shared" si="46"/>
        <v>11.131555817830426</v>
      </c>
      <c r="AH43" s="1254">
        <f t="shared" si="46"/>
        <v>11.131555817830426</v>
      </c>
      <c r="AI43" s="1255">
        <f t="shared" si="46"/>
        <v>33.394667453491273</v>
      </c>
      <c r="AJ43" s="1254">
        <f t="shared" si="54"/>
        <v>0</v>
      </c>
      <c r="AK43" s="1254">
        <f t="shared" si="54"/>
        <v>9.2678156521657105</v>
      </c>
      <c r="AL43" s="1254">
        <f t="shared" si="54"/>
        <v>9.2678156521657105</v>
      </c>
      <c r="AM43" s="1254">
        <f t="shared" si="54"/>
        <v>9.2678156521657105</v>
      </c>
      <c r="AN43" s="1256">
        <f t="shared" si="55"/>
        <v>27.803446956497133</v>
      </c>
      <c r="AO43" s="1253">
        <f t="shared" si="47"/>
        <v>0</v>
      </c>
      <c r="AP43" s="1254">
        <f t="shared" si="47"/>
        <v>0</v>
      </c>
      <c r="AQ43" s="1254">
        <f t="shared" si="47"/>
        <v>0</v>
      </c>
      <c r="AR43" s="1254">
        <f t="shared" si="47"/>
        <v>0</v>
      </c>
      <c r="AS43" s="1257">
        <f t="shared" si="56"/>
        <v>0</v>
      </c>
      <c r="AT43" s="1253">
        <f t="shared" si="48"/>
        <v>0</v>
      </c>
      <c r="AU43" s="1254">
        <f t="shared" si="48"/>
        <v>0</v>
      </c>
      <c r="AV43" s="1254">
        <f t="shared" si="48"/>
        <v>0</v>
      </c>
      <c r="AW43" s="1254">
        <f t="shared" si="48"/>
        <v>0</v>
      </c>
      <c r="AX43" s="1257">
        <f t="shared" si="57"/>
        <v>0</v>
      </c>
      <c r="AY43" s="1258">
        <f t="shared" si="58"/>
        <v>202.89428559001161</v>
      </c>
      <c r="AZ43" s="1264">
        <f t="shared" si="59"/>
        <v>33.394667453491273</v>
      </c>
      <c r="BA43" s="1264">
        <f t="shared" si="59"/>
        <v>27.80344695649713</v>
      </c>
      <c r="BB43" s="1264">
        <f t="shared" si="59"/>
        <v>0</v>
      </c>
      <c r="BC43" s="1263">
        <f t="shared" si="59"/>
        <v>0</v>
      </c>
      <c r="BD43" s="84"/>
      <c r="BE43" s="568" t="s">
        <v>366</v>
      </c>
      <c r="BF43" s="568" t="s">
        <v>366</v>
      </c>
      <c r="BG43" s="591" t="str">
        <f>IFERROR(INDEX('Annex 2_Code'!$J$110:$J$127,MATCH('Annex 5_MRD'!BE43,'Annex 2_Code'!$G$110:$G$127,0)),"")</f>
        <v>MRD</v>
      </c>
      <c r="BH43" s="1565" t="str">
        <f t="shared" si="18"/>
        <v>MRD</v>
      </c>
      <c r="BI43" s="84"/>
    </row>
    <row r="44" spans="1:61" s="85" customFormat="1" ht="20.100000000000001" customHeight="1">
      <c r="A44" s="75"/>
      <c r="B44" s="76" t="s">
        <v>24</v>
      </c>
      <c r="C44" s="76" t="s">
        <v>307</v>
      </c>
      <c r="D44" s="78"/>
      <c r="F44" s="66" t="s">
        <v>938</v>
      </c>
      <c r="H44" s="1755" t="s">
        <v>1095</v>
      </c>
      <c r="I44" s="167">
        <v>4</v>
      </c>
      <c r="J44" s="1026">
        <v>4.0000000000000001E-3</v>
      </c>
      <c r="K44" s="2242">
        <v>0</v>
      </c>
      <c r="L44" s="2244">
        <v>8151</v>
      </c>
      <c r="M44" s="2244">
        <v>8151</v>
      </c>
      <c r="N44" s="2244">
        <v>8151</v>
      </c>
      <c r="O44" s="1262">
        <f t="shared" si="60"/>
        <v>24453</v>
      </c>
      <c r="P44" s="2258">
        <f t="shared" si="49"/>
        <v>0</v>
      </c>
      <c r="Q44" s="2258">
        <f t="shared" si="50"/>
        <v>32.603999999999999</v>
      </c>
      <c r="R44" s="2258">
        <f t="shared" si="51"/>
        <v>32.603999999999999</v>
      </c>
      <c r="S44" s="2258">
        <f t="shared" si="52"/>
        <v>32.603999999999999</v>
      </c>
      <c r="T44" s="1263">
        <f t="shared" si="17"/>
        <v>97.811999999999998</v>
      </c>
      <c r="U44" s="1250">
        <f>IFERROR(INDEX([8]Code!I$8:I$33,MATCH('[8]$MRD-Annex'!$BG45,[8]Code!$G$8:$G$33,0)),"")</f>
        <v>0.76827006604510995</v>
      </c>
      <c r="V44" s="1251">
        <f>IFERROR(INDEX([8]Code!J$8:J$33,MATCH('[8]$MRD-Annex'!$BG45,[8]Code!$G$8:$G$33,0)),"")</f>
        <v>0.12645069473218948</v>
      </c>
      <c r="W44" s="1251">
        <f>IFERROR(INDEX([8]Code!K$8:K$33,MATCH('[8]$MRD-Annex'!$BG45,[8]Code!$G$8:$G$33,0)),"")</f>
        <v>0.10527923922270058</v>
      </c>
      <c r="X44" s="1251">
        <f>IFERROR(INDEX([8]Code!L$8:L$33,MATCH('[8]$MRD-Annex'!$BG45,[8]Code!$G$8:$G$33,0)),"")</f>
        <v>0</v>
      </c>
      <c r="Y44" s="1252">
        <f>IFERROR(INDEX([8]Code!M$8:M$33,MATCH('[8]$MRD-Annex'!$BG45,[8]Code!$G$8:$G$33,0)),"")</f>
        <v>0</v>
      </c>
      <c r="Z44" s="1253">
        <f t="shared" si="44"/>
        <v>0</v>
      </c>
      <c r="AA44" s="1254">
        <f t="shared" si="44"/>
        <v>25.048677233334764</v>
      </c>
      <c r="AB44" s="1254">
        <f t="shared" si="44"/>
        <v>25.048677233334764</v>
      </c>
      <c r="AC44" s="1254">
        <f t="shared" si="44"/>
        <v>25.048677233334764</v>
      </c>
      <c r="AD44" s="1255">
        <f t="shared" si="53"/>
        <v>75.146031700004301</v>
      </c>
      <c r="AE44" s="1253">
        <f t="shared" si="46"/>
        <v>0</v>
      </c>
      <c r="AF44" s="1254">
        <f t="shared" si="46"/>
        <v>4.1227984510483058</v>
      </c>
      <c r="AG44" s="1254">
        <f t="shared" si="46"/>
        <v>4.1227984510483058</v>
      </c>
      <c r="AH44" s="1254">
        <f t="shared" si="46"/>
        <v>4.1227984510483058</v>
      </c>
      <c r="AI44" s="1255">
        <f t="shared" si="46"/>
        <v>12.368395353144917</v>
      </c>
      <c r="AJ44" s="1254">
        <f t="shared" si="54"/>
        <v>0</v>
      </c>
      <c r="AK44" s="1254">
        <f t="shared" si="54"/>
        <v>3.4325243156169294</v>
      </c>
      <c r="AL44" s="1254">
        <f t="shared" si="54"/>
        <v>3.4325243156169294</v>
      </c>
      <c r="AM44" s="1254">
        <f t="shared" si="54"/>
        <v>3.4325243156169294</v>
      </c>
      <c r="AN44" s="1256">
        <f t="shared" si="55"/>
        <v>10.297572946850789</v>
      </c>
      <c r="AO44" s="1253">
        <f t="shared" si="47"/>
        <v>0</v>
      </c>
      <c r="AP44" s="1254">
        <f t="shared" si="47"/>
        <v>0</v>
      </c>
      <c r="AQ44" s="1254">
        <f t="shared" si="47"/>
        <v>0</v>
      </c>
      <c r="AR44" s="1254">
        <f t="shared" si="47"/>
        <v>0</v>
      </c>
      <c r="AS44" s="1257">
        <f t="shared" si="56"/>
        <v>0</v>
      </c>
      <c r="AT44" s="1253">
        <f t="shared" si="48"/>
        <v>0</v>
      </c>
      <c r="AU44" s="1254">
        <f t="shared" si="48"/>
        <v>0</v>
      </c>
      <c r="AV44" s="1254">
        <f t="shared" si="48"/>
        <v>0</v>
      </c>
      <c r="AW44" s="1254">
        <f t="shared" si="48"/>
        <v>0</v>
      </c>
      <c r="AX44" s="1257">
        <f t="shared" si="57"/>
        <v>0</v>
      </c>
      <c r="AY44" s="1258">
        <f t="shared" si="58"/>
        <v>75.146031700004286</v>
      </c>
      <c r="AZ44" s="1264">
        <f t="shared" si="59"/>
        <v>12.368395353144917</v>
      </c>
      <c r="BA44" s="1264">
        <f t="shared" si="59"/>
        <v>10.297572946850789</v>
      </c>
      <c r="BB44" s="1264">
        <f t="shared" si="59"/>
        <v>0</v>
      </c>
      <c r="BC44" s="1263">
        <f t="shared" si="59"/>
        <v>0</v>
      </c>
      <c r="BD44" s="84"/>
      <c r="BE44" s="568" t="s">
        <v>366</v>
      </c>
      <c r="BF44" s="568" t="s">
        <v>366</v>
      </c>
      <c r="BG44" s="591" t="str">
        <f>IFERROR(INDEX('Annex 2_Code'!$J$110:$J$127,MATCH('Annex 5_MRD'!BE44,'Annex 2_Code'!$G$110:$G$127,0)),"")</f>
        <v>MRD</v>
      </c>
      <c r="BH44" s="1565" t="str">
        <f t="shared" si="18"/>
        <v>MRD</v>
      </c>
      <c r="BI44" s="84"/>
    </row>
    <row r="45" spans="1:61" s="85" customFormat="1" ht="20.100000000000001" customHeight="1">
      <c r="A45" s="75"/>
      <c r="B45" s="76" t="s">
        <v>24</v>
      </c>
      <c r="C45" s="76" t="s">
        <v>307</v>
      </c>
      <c r="D45" s="78"/>
      <c r="F45" s="66" t="s">
        <v>939</v>
      </c>
      <c r="H45" s="1755" t="s">
        <v>1095</v>
      </c>
      <c r="I45" s="167">
        <v>3.5</v>
      </c>
      <c r="J45" s="1026">
        <v>3.5000000000000001E-3</v>
      </c>
      <c r="K45" s="2242">
        <v>0</v>
      </c>
      <c r="L45" s="2244">
        <v>5033.6000000000013</v>
      </c>
      <c r="M45" s="2244">
        <v>5033.6000000000013</v>
      </c>
      <c r="N45" s="2244">
        <v>5033.6000000000013</v>
      </c>
      <c r="O45" s="1262">
        <f t="shared" si="60"/>
        <v>15100.800000000003</v>
      </c>
      <c r="P45" s="2258">
        <f t="shared" si="49"/>
        <v>0</v>
      </c>
      <c r="Q45" s="2258">
        <f t="shared" si="50"/>
        <v>17.617600000000007</v>
      </c>
      <c r="R45" s="2258">
        <f t="shared" si="51"/>
        <v>17.617600000000007</v>
      </c>
      <c r="S45" s="2258">
        <f t="shared" si="52"/>
        <v>17.617600000000007</v>
      </c>
      <c r="T45" s="1263">
        <f t="shared" si="17"/>
        <v>52.852800000000016</v>
      </c>
      <c r="U45" s="1250">
        <f>IFERROR(INDEX([8]Code!I$8:I$33,MATCH('[8]$MRD-Annex'!$BG46,[8]Code!$G$8:$G$33,0)),"")</f>
        <v>0.76827006604510995</v>
      </c>
      <c r="V45" s="1251">
        <f>IFERROR(INDEX([8]Code!J$8:J$33,MATCH('[8]$MRD-Annex'!$BG46,[8]Code!$G$8:$G$33,0)),"")</f>
        <v>0.12645069473218948</v>
      </c>
      <c r="W45" s="1251">
        <f>IFERROR(INDEX([8]Code!K$8:K$33,MATCH('[8]$MRD-Annex'!$BG46,[8]Code!$G$8:$G$33,0)),"")</f>
        <v>0.10527923922270058</v>
      </c>
      <c r="X45" s="1251">
        <f>IFERROR(INDEX([8]Code!L$8:L$33,MATCH('[8]$MRD-Annex'!$BG46,[8]Code!$G$8:$G$33,0)),"")</f>
        <v>0</v>
      </c>
      <c r="Y45" s="1252">
        <f>IFERROR(INDEX([8]Code!M$8:M$33,MATCH('[8]$MRD-Annex'!$BG46,[8]Code!$G$8:$G$33,0)),"")</f>
        <v>0</v>
      </c>
      <c r="Z45" s="1253">
        <f t="shared" si="44"/>
        <v>0</v>
      </c>
      <c r="AA45" s="1254">
        <f t="shared" si="44"/>
        <v>13.535074715556334</v>
      </c>
      <c r="AB45" s="1254">
        <f t="shared" si="44"/>
        <v>13.535074715556334</v>
      </c>
      <c r="AC45" s="1254">
        <f t="shared" si="44"/>
        <v>13.535074715556334</v>
      </c>
      <c r="AD45" s="1255">
        <f t="shared" si="53"/>
        <v>40.605224146669002</v>
      </c>
      <c r="AE45" s="1253">
        <f t="shared" si="46"/>
        <v>0</v>
      </c>
      <c r="AF45" s="1254">
        <f t="shared" si="46"/>
        <v>2.227757759513822</v>
      </c>
      <c r="AG45" s="1254">
        <f t="shared" si="46"/>
        <v>2.227757759513822</v>
      </c>
      <c r="AH45" s="1254">
        <f t="shared" si="46"/>
        <v>2.227757759513822</v>
      </c>
      <c r="AI45" s="1255">
        <f t="shared" si="46"/>
        <v>6.6832732785414661</v>
      </c>
      <c r="AJ45" s="1254">
        <f t="shared" si="54"/>
        <v>0</v>
      </c>
      <c r="AK45" s="1254">
        <f t="shared" si="54"/>
        <v>1.8547675249298503</v>
      </c>
      <c r="AL45" s="1254">
        <f t="shared" si="54"/>
        <v>1.8547675249298503</v>
      </c>
      <c r="AM45" s="1254">
        <f t="shared" si="54"/>
        <v>1.8547675249298503</v>
      </c>
      <c r="AN45" s="1256">
        <f t="shared" si="55"/>
        <v>5.5643025747895507</v>
      </c>
      <c r="AO45" s="1253">
        <f t="shared" si="47"/>
        <v>0</v>
      </c>
      <c r="AP45" s="1254">
        <f t="shared" si="47"/>
        <v>0</v>
      </c>
      <c r="AQ45" s="1254">
        <f t="shared" si="47"/>
        <v>0</v>
      </c>
      <c r="AR45" s="1254">
        <f t="shared" si="47"/>
        <v>0</v>
      </c>
      <c r="AS45" s="1257">
        <f t="shared" si="56"/>
        <v>0</v>
      </c>
      <c r="AT45" s="1253">
        <f t="shared" si="48"/>
        <v>0</v>
      </c>
      <c r="AU45" s="1254">
        <f t="shared" si="48"/>
        <v>0</v>
      </c>
      <c r="AV45" s="1254">
        <f t="shared" si="48"/>
        <v>0</v>
      </c>
      <c r="AW45" s="1254">
        <f t="shared" si="48"/>
        <v>0</v>
      </c>
      <c r="AX45" s="1257">
        <f t="shared" si="57"/>
        <v>0</v>
      </c>
      <c r="AY45" s="1258">
        <f t="shared" si="58"/>
        <v>40.605224146669002</v>
      </c>
      <c r="AZ45" s="1264">
        <f t="shared" si="59"/>
        <v>6.6832732785414661</v>
      </c>
      <c r="BA45" s="1264">
        <f t="shared" si="59"/>
        <v>5.5643025747895507</v>
      </c>
      <c r="BB45" s="1264">
        <f t="shared" si="59"/>
        <v>0</v>
      </c>
      <c r="BC45" s="1263">
        <f t="shared" si="59"/>
        <v>0</v>
      </c>
      <c r="BD45" s="84"/>
      <c r="BE45" s="568" t="s">
        <v>366</v>
      </c>
      <c r="BF45" s="568" t="s">
        <v>366</v>
      </c>
      <c r="BG45" s="591" t="str">
        <f>IFERROR(INDEX('Annex 2_Code'!$J$110:$J$127,MATCH('Annex 5_MRD'!BE45,'Annex 2_Code'!$G$110:$G$127,0)),"")</f>
        <v>MRD</v>
      </c>
      <c r="BH45" s="1565" t="str">
        <f t="shared" si="18"/>
        <v>MRD</v>
      </c>
      <c r="BI45" s="84"/>
    </row>
    <row r="46" spans="1:61" s="85" customFormat="1" ht="20.100000000000001" customHeight="1">
      <c r="A46" s="75"/>
      <c r="B46" s="76" t="s">
        <v>24</v>
      </c>
      <c r="C46" s="76" t="s">
        <v>307</v>
      </c>
      <c r="D46" s="78"/>
      <c r="F46" s="66" t="s">
        <v>940</v>
      </c>
      <c r="H46" s="1755" t="s">
        <v>1095</v>
      </c>
      <c r="I46" s="167">
        <v>1.45</v>
      </c>
      <c r="J46" s="1026">
        <v>1.4499999999999999E-3</v>
      </c>
      <c r="K46" s="2242">
        <v>0</v>
      </c>
      <c r="L46" s="2244">
        <v>14014</v>
      </c>
      <c r="M46" s="2244">
        <v>14014</v>
      </c>
      <c r="N46" s="2244">
        <v>14014</v>
      </c>
      <c r="O46" s="1262">
        <f t="shared" si="60"/>
        <v>42042</v>
      </c>
      <c r="P46" s="2258">
        <f t="shared" si="49"/>
        <v>0</v>
      </c>
      <c r="Q46" s="2258">
        <f t="shared" si="50"/>
        <v>20.3203</v>
      </c>
      <c r="R46" s="2258">
        <f t="shared" si="51"/>
        <v>20.3203</v>
      </c>
      <c r="S46" s="2258">
        <f t="shared" si="52"/>
        <v>20.3203</v>
      </c>
      <c r="T46" s="1263">
        <f t="shared" si="17"/>
        <v>60.960899999999995</v>
      </c>
      <c r="U46" s="1250">
        <f>IFERROR(INDEX([8]Code!I$8:I$33,MATCH('[8]$MRD-Annex'!$BG47,[8]Code!$G$8:$G$33,0)),"")</f>
        <v>0.76827006604510995</v>
      </c>
      <c r="V46" s="1251">
        <f>IFERROR(INDEX([8]Code!J$8:J$33,MATCH('[8]$MRD-Annex'!$BG47,[8]Code!$G$8:$G$33,0)),"")</f>
        <v>0.12645069473218948</v>
      </c>
      <c r="W46" s="1251">
        <f>IFERROR(INDEX([8]Code!K$8:K$33,MATCH('[8]$MRD-Annex'!$BG47,[8]Code!$G$8:$G$33,0)),"")</f>
        <v>0.10527923922270058</v>
      </c>
      <c r="X46" s="1251">
        <f>IFERROR(INDEX([8]Code!L$8:L$33,MATCH('[8]$MRD-Annex'!$BG47,[8]Code!$G$8:$G$33,0)),"")</f>
        <v>0</v>
      </c>
      <c r="Y46" s="1252">
        <f>IFERROR(INDEX([8]Code!M$8:M$33,MATCH('[8]$MRD-Annex'!$BG47,[8]Code!$G$8:$G$33,0)),"")</f>
        <v>0</v>
      </c>
      <c r="Z46" s="1253">
        <f t="shared" si="44"/>
        <v>0</v>
      </c>
      <c r="AA46" s="1254">
        <f t="shared" si="44"/>
        <v>15.611478223056448</v>
      </c>
      <c r="AB46" s="1254">
        <f t="shared" si="44"/>
        <v>15.611478223056448</v>
      </c>
      <c r="AC46" s="1254">
        <f t="shared" si="44"/>
        <v>15.611478223056448</v>
      </c>
      <c r="AD46" s="1255">
        <f t="shared" si="53"/>
        <v>46.83443466916934</v>
      </c>
      <c r="AE46" s="1253">
        <f t="shared" si="46"/>
        <v>0</v>
      </c>
      <c r="AF46" s="1254">
        <f t="shared" si="46"/>
        <v>2.5695160521665099</v>
      </c>
      <c r="AG46" s="1254">
        <f t="shared" si="46"/>
        <v>2.5695160521665099</v>
      </c>
      <c r="AH46" s="1254">
        <f t="shared" si="46"/>
        <v>2.5695160521665099</v>
      </c>
      <c r="AI46" s="1255">
        <f t="shared" si="46"/>
        <v>7.7085481564995293</v>
      </c>
      <c r="AJ46" s="1254">
        <f t="shared" si="54"/>
        <v>0</v>
      </c>
      <c r="AK46" s="1254">
        <f t="shared" si="54"/>
        <v>2.1393057247770426</v>
      </c>
      <c r="AL46" s="1254">
        <f t="shared" si="54"/>
        <v>2.1393057247770426</v>
      </c>
      <c r="AM46" s="1254">
        <f t="shared" si="54"/>
        <v>2.1393057247770426</v>
      </c>
      <c r="AN46" s="1256">
        <f t="shared" si="55"/>
        <v>6.4179171743311283</v>
      </c>
      <c r="AO46" s="1253">
        <f t="shared" si="47"/>
        <v>0</v>
      </c>
      <c r="AP46" s="1254">
        <f t="shared" si="47"/>
        <v>0</v>
      </c>
      <c r="AQ46" s="1254">
        <f t="shared" si="47"/>
        <v>0</v>
      </c>
      <c r="AR46" s="1254">
        <f t="shared" si="47"/>
        <v>0</v>
      </c>
      <c r="AS46" s="1257">
        <f t="shared" si="56"/>
        <v>0</v>
      </c>
      <c r="AT46" s="1253">
        <f t="shared" si="48"/>
        <v>0</v>
      </c>
      <c r="AU46" s="1254">
        <f t="shared" si="48"/>
        <v>0</v>
      </c>
      <c r="AV46" s="1254">
        <f t="shared" si="48"/>
        <v>0</v>
      </c>
      <c r="AW46" s="1254">
        <f t="shared" si="48"/>
        <v>0</v>
      </c>
      <c r="AX46" s="1257">
        <f t="shared" si="57"/>
        <v>0</v>
      </c>
      <c r="AY46" s="1258">
        <f t="shared" si="58"/>
        <v>46.83443466916934</v>
      </c>
      <c r="AZ46" s="1264">
        <f t="shared" si="59"/>
        <v>7.7085481564995293</v>
      </c>
      <c r="BA46" s="1264">
        <f t="shared" si="59"/>
        <v>6.4179171743311274</v>
      </c>
      <c r="BB46" s="1264">
        <f t="shared" si="59"/>
        <v>0</v>
      </c>
      <c r="BC46" s="1263">
        <f t="shared" si="59"/>
        <v>0</v>
      </c>
      <c r="BD46" s="84"/>
      <c r="BE46" s="568" t="s">
        <v>366</v>
      </c>
      <c r="BF46" s="568" t="s">
        <v>366</v>
      </c>
      <c r="BG46" s="591" t="str">
        <f>IFERROR(INDEX('Annex 2_Code'!$J$110:$J$127,MATCH('Annex 5_MRD'!BE46,'Annex 2_Code'!$G$110:$G$127,0)),"")</f>
        <v>MRD</v>
      </c>
      <c r="BH46" s="1565" t="str">
        <f t="shared" si="18"/>
        <v>MRD</v>
      </c>
      <c r="BI46" s="84"/>
    </row>
    <row r="47" spans="1:61" s="85" customFormat="1" ht="20.100000000000001" customHeight="1">
      <c r="A47" s="75"/>
      <c r="B47" s="76" t="s">
        <v>24</v>
      </c>
      <c r="C47" s="76" t="s">
        <v>307</v>
      </c>
      <c r="D47" s="78"/>
      <c r="F47" s="66" t="s">
        <v>308</v>
      </c>
      <c r="H47" s="1743" t="s">
        <v>309</v>
      </c>
      <c r="I47" s="774">
        <v>37180.000000000007</v>
      </c>
      <c r="J47" s="1026">
        <v>37.180000000000007</v>
      </c>
      <c r="K47" s="2242">
        <v>0</v>
      </c>
      <c r="L47" s="2243">
        <v>0.15</v>
      </c>
      <c r="M47" s="2243">
        <v>0.15</v>
      </c>
      <c r="N47" s="2243">
        <v>0.25</v>
      </c>
      <c r="O47" s="764">
        <f>SUM(K47:N47)</f>
        <v>0.55000000000000004</v>
      </c>
      <c r="P47" s="2258">
        <f t="shared" si="49"/>
        <v>0</v>
      </c>
      <c r="Q47" s="2258">
        <f t="shared" si="50"/>
        <v>5.5770000000000008</v>
      </c>
      <c r="R47" s="2258">
        <f t="shared" si="51"/>
        <v>5.5770000000000008</v>
      </c>
      <c r="S47" s="2258">
        <f t="shared" si="52"/>
        <v>9.2950000000000017</v>
      </c>
      <c r="T47" s="1263">
        <f t="shared" si="17"/>
        <v>20.449000000000005</v>
      </c>
      <c r="U47" s="1250">
        <f>IFERROR(INDEX([8]Code!I$8:I$33,MATCH('[8]$MRD-Annex'!$BG48,[8]Code!$G$8:$G$33,0)),"")</f>
        <v>0.76827006604510995</v>
      </c>
      <c r="V47" s="1251">
        <f>IFERROR(INDEX([8]Code!J$8:J$33,MATCH('[8]$MRD-Annex'!$BG48,[8]Code!$G$8:$G$33,0)),"")</f>
        <v>0.12645069473218948</v>
      </c>
      <c r="W47" s="1251">
        <f>IFERROR(INDEX([8]Code!K$8:K$33,MATCH('[8]$MRD-Annex'!$BG48,[8]Code!$G$8:$G$33,0)),"")</f>
        <v>0.10527923922270058</v>
      </c>
      <c r="X47" s="1251">
        <f>IFERROR(INDEX([8]Code!L$8:L$33,MATCH('[8]$MRD-Annex'!$BG48,[8]Code!$G$8:$G$33,0)),"")</f>
        <v>0</v>
      </c>
      <c r="Y47" s="1252">
        <f>IFERROR(INDEX([8]Code!M$8:M$33,MATCH('[8]$MRD-Annex'!$BG48,[8]Code!$G$8:$G$33,0)),"")</f>
        <v>0</v>
      </c>
      <c r="Z47" s="1253">
        <f t="shared" si="44"/>
        <v>0</v>
      </c>
      <c r="AA47" s="1254">
        <f t="shared" si="44"/>
        <v>4.284642158333579</v>
      </c>
      <c r="AB47" s="1254">
        <f t="shared" si="44"/>
        <v>4.284642158333579</v>
      </c>
      <c r="AC47" s="1254">
        <f t="shared" si="44"/>
        <v>7.141070263889298</v>
      </c>
      <c r="AD47" s="1255">
        <f t="shared" si="53"/>
        <v>15.710354580556455</v>
      </c>
      <c r="AE47" s="1253">
        <f t="shared" si="46"/>
        <v>0</v>
      </c>
      <c r="AF47" s="1254">
        <f t="shared" si="46"/>
        <v>0.70521552452142078</v>
      </c>
      <c r="AG47" s="1254">
        <f t="shared" si="46"/>
        <v>0.70521552452142078</v>
      </c>
      <c r="AH47" s="1254">
        <f t="shared" si="46"/>
        <v>1.1753592075357013</v>
      </c>
      <c r="AI47" s="1255">
        <f t="shared" si="46"/>
        <v>2.5857902565785431</v>
      </c>
      <c r="AJ47" s="1254">
        <f t="shared" si="54"/>
        <v>0</v>
      </c>
      <c r="AK47" s="1254">
        <f t="shared" si="54"/>
        <v>0.5871423171450012</v>
      </c>
      <c r="AL47" s="1254">
        <f t="shared" si="54"/>
        <v>0.5871423171450012</v>
      </c>
      <c r="AM47" s="1254">
        <f t="shared" si="54"/>
        <v>0.97857052857500204</v>
      </c>
      <c r="AN47" s="1256">
        <f t="shared" si="55"/>
        <v>2.1528551628650043</v>
      </c>
      <c r="AO47" s="1253">
        <f t="shared" si="47"/>
        <v>0</v>
      </c>
      <c r="AP47" s="1254">
        <f t="shared" si="47"/>
        <v>0</v>
      </c>
      <c r="AQ47" s="1254">
        <f t="shared" si="47"/>
        <v>0</v>
      </c>
      <c r="AR47" s="1254">
        <f t="shared" si="47"/>
        <v>0</v>
      </c>
      <c r="AS47" s="1257">
        <f t="shared" si="56"/>
        <v>0</v>
      </c>
      <c r="AT47" s="1253">
        <f t="shared" si="48"/>
        <v>0</v>
      </c>
      <c r="AU47" s="1254">
        <f t="shared" si="48"/>
        <v>0</v>
      </c>
      <c r="AV47" s="1254">
        <f t="shared" si="48"/>
        <v>0</v>
      </c>
      <c r="AW47" s="1254">
        <f t="shared" si="48"/>
        <v>0</v>
      </c>
      <c r="AX47" s="1257">
        <f t="shared" si="57"/>
        <v>0</v>
      </c>
      <c r="AY47" s="1258">
        <f t="shared" si="58"/>
        <v>15.710354580556457</v>
      </c>
      <c r="AZ47" s="1264">
        <f t="shared" si="59"/>
        <v>2.5857902565785431</v>
      </c>
      <c r="BA47" s="1264">
        <f t="shared" si="59"/>
        <v>2.1528551628650048</v>
      </c>
      <c r="BB47" s="1264">
        <f t="shared" si="59"/>
        <v>0</v>
      </c>
      <c r="BC47" s="1263">
        <f t="shared" si="59"/>
        <v>0</v>
      </c>
      <c r="BD47" s="84"/>
      <c r="BE47" s="568" t="s">
        <v>366</v>
      </c>
      <c r="BF47" s="568" t="s">
        <v>366</v>
      </c>
      <c r="BG47" s="591" t="str">
        <f>IFERROR(INDEX('Annex 2_Code'!$J$110:$J$127,MATCH('Annex 5_MRD'!BE47,'Annex 2_Code'!$G$110:$G$127,0)),"")</f>
        <v>MRD</v>
      </c>
      <c r="BH47" s="1565" t="str">
        <f t="shared" si="18"/>
        <v>MRD</v>
      </c>
      <c r="BI47" s="84"/>
    </row>
    <row r="48" spans="1:61" s="85" customFormat="1" ht="20.100000000000001" customHeight="1">
      <c r="A48" s="75"/>
      <c r="B48" s="76" t="s">
        <v>24</v>
      </c>
      <c r="C48" s="76" t="s">
        <v>307</v>
      </c>
      <c r="D48" s="78"/>
      <c r="F48" s="66" t="s">
        <v>310</v>
      </c>
      <c r="H48" s="1743" t="s">
        <v>309</v>
      </c>
      <c r="I48" s="774">
        <v>171600</v>
      </c>
      <c r="J48" s="1026">
        <v>171.6</v>
      </c>
      <c r="K48" s="2242">
        <v>0</v>
      </c>
      <c r="L48" s="2243">
        <v>0.15</v>
      </c>
      <c r="M48" s="2243">
        <v>0.15</v>
      </c>
      <c r="N48" s="2243">
        <v>0.25</v>
      </c>
      <c r="O48" s="764">
        <f t="shared" ref="O48" si="61">SUM(K48:N48)</f>
        <v>0.55000000000000004</v>
      </c>
      <c r="P48" s="2258">
        <f t="shared" si="49"/>
        <v>0</v>
      </c>
      <c r="Q48" s="2258">
        <f t="shared" si="50"/>
        <v>25.74</v>
      </c>
      <c r="R48" s="2258">
        <f t="shared" si="51"/>
        <v>25.74</v>
      </c>
      <c r="S48" s="2258">
        <f t="shared" si="52"/>
        <v>42.9</v>
      </c>
      <c r="T48" s="1263">
        <f t="shared" si="17"/>
        <v>94.38</v>
      </c>
      <c r="U48" s="1250">
        <f>IFERROR(INDEX([8]Code!I$8:I$33,MATCH('[8]$MRD-Annex'!$BG49,[8]Code!$G$8:$G$33,0)),"")</f>
        <v>0.76827006604510995</v>
      </c>
      <c r="V48" s="1251">
        <f>IFERROR(INDEX([8]Code!J$8:J$33,MATCH('[8]$MRD-Annex'!$BG49,[8]Code!$G$8:$G$33,0)),"")</f>
        <v>0.12645069473218948</v>
      </c>
      <c r="W48" s="1251">
        <f>IFERROR(INDEX([8]Code!K$8:K$33,MATCH('[8]$MRD-Annex'!$BG49,[8]Code!$G$8:$G$33,0)),"")</f>
        <v>0.10527923922270058</v>
      </c>
      <c r="X48" s="1251">
        <f>IFERROR(INDEX([8]Code!L$8:L$33,MATCH('[8]$MRD-Annex'!$BG49,[8]Code!$G$8:$G$33,0)),"")</f>
        <v>0</v>
      </c>
      <c r="Y48" s="1252">
        <f>IFERROR(INDEX([8]Code!M$8:M$33,MATCH('[8]$MRD-Annex'!$BG49,[8]Code!$G$8:$G$33,0)),"")</f>
        <v>0</v>
      </c>
      <c r="Z48" s="1253">
        <f t="shared" si="44"/>
        <v>0</v>
      </c>
      <c r="AA48" s="1254">
        <f t="shared" si="44"/>
        <v>19.775271500001129</v>
      </c>
      <c r="AB48" s="1254">
        <f t="shared" si="44"/>
        <v>19.775271500001129</v>
      </c>
      <c r="AC48" s="1254">
        <f t="shared" si="44"/>
        <v>32.958785833335213</v>
      </c>
      <c r="AD48" s="1255">
        <f t="shared" si="53"/>
        <v>72.509328833337463</v>
      </c>
      <c r="AE48" s="1253">
        <f t="shared" si="46"/>
        <v>0</v>
      </c>
      <c r="AF48" s="1254">
        <f t="shared" si="46"/>
        <v>3.2548408824065569</v>
      </c>
      <c r="AG48" s="1254">
        <f t="shared" si="46"/>
        <v>3.2548408824065569</v>
      </c>
      <c r="AH48" s="1254">
        <f t="shared" si="46"/>
        <v>5.424734804010928</v>
      </c>
      <c r="AI48" s="1255">
        <f t="shared" si="46"/>
        <v>11.934416568824043</v>
      </c>
      <c r="AJ48" s="1254">
        <f t="shared" si="54"/>
        <v>0</v>
      </c>
      <c r="AK48" s="1254">
        <f t="shared" si="54"/>
        <v>2.7098876175923126</v>
      </c>
      <c r="AL48" s="1254">
        <f t="shared" si="54"/>
        <v>2.7098876175923126</v>
      </c>
      <c r="AM48" s="1254">
        <f t="shared" si="54"/>
        <v>4.5164793626538549</v>
      </c>
      <c r="AN48" s="1256">
        <f t="shared" si="55"/>
        <v>9.9362545978384809</v>
      </c>
      <c r="AO48" s="1253">
        <f t="shared" si="47"/>
        <v>0</v>
      </c>
      <c r="AP48" s="1254">
        <f t="shared" si="47"/>
        <v>0</v>
      </c>
      <c r="AQ48" s="1254">
        <f t="shared" si="47"/>
        <v>0</v>
      </c>
      <c r="AR48" s="1254">
        <f t="shared" si="47"/>
        <v>0</v>
      </c>
      <c r="AS48" s="1257">
        <f t="shared" si="56"/>
        <v>0</v>
      </c>
      <c r="AT48" s="1253">
        <f t="shared" si="48"/>
        <v>0</v>
      </c>
      <c r="AU48" s="1254">
        <f t="shared" si="48"/>
        <v>0</v>
      </c>
      <c r="AV48" s="1254">
        <f t="shared" si="48"/>
        <v>0</v>
      </c>
      <c r="AW48" s="1254">
        <f t="shared" si="48"/>
        <v>0</v>
      </c>
      <c r="AX48" s="1257">
        <f t="shared" si="57"/>
        <v>0</v>
      </c>
      <c r="AY48" s="1258">
        <f t="shared" si="58"/>
        <v>72.509328833337477</v>
      </c>
      <c r="AZ48" s="1264">
        <f t="shared" si="59"/>
        <v>11.934416568824043</v>
      </c>
      <c r="BA48" s="1264">
        <f t="shared" si="59"/>
        <v>9.9362545978384791</v>
      </c>
      <c r="BB48" s="1264">
        <f t="shared" si="59"/>
        <v>0</v>
      </c>
      <c r="BC48" s="1263">
        <f t="shared" si="59"/>
        <v>0</v>
      </c>
      <c r="BD48" s="84"/>
      <c r="BE48" s="568" t="s">
        <v>366</v>
      </c>
      <c r="BF48" s="568" t="s">
        <v>366</v>
      </c>
      <c r="BG48" s="591" t="str">
        <f>IFERROR(INDEX('Annex 2_Code'!$J$110:$J$127,MATCH('Annex 5_MRD'!BE48,'Annex 2_Code'!$G$110:$G$127,0)),"")</f>
        <v>MRD</v>
      </c>
      <c r="BH48" s="1565" t="str">
        <f t="shared" si="18"/>
        <v>MRD</v>
      </c>
      <c r="BI48" s="84"/>
    </row>
    <row r="49" spans="1:61" s="85" customFormat="1" ht="20.100000000000001" customHeight="1">
      <c r="A49" s="75"/>
      <c r="B49" s="1267"/>
      <c r="C49" s="1568"/>
      <c r="D49" s="382"/>
      <c r="E49" s="383" t="s">
        <v>41</v>
      </c>
      <c r="F49" s="384"/>
      <c r="G49" s="385"/>
      <c r="H49" s="1749"/>
      <c r="I49" s="776"/>
      <c r="J49" s="1641">
        <v>0</v>
      </c>
      <c r="K49" s="791"/>
      <c r="L49" s="386"/>
      <c r="M49" s="839"/>
      <c r="N49" s="840"/>
      <c r="O49" s="388"/>
      <c r="P49" s="1268">
        <f t="shared" ref="P49:Q49" si="62">SUM(P38:P48)</f>
        <v>0</v>
      </c>
      <c r="Q49" s="1268">
        <f t="shared" si="62"/>
        <v>217.08973000000003</v>
      </c>
      <c r="R49" s="1268">
        <f>SUM(R38:R48)</f>
        <v>217.08973000000003</v>
      </c>
      <c r="S49" s="1268">
        <f>SUM(S38:S48)</f>
        <v>237.96773000000005</v>
      </c>
      <c r="T49" s="1269">
        <f>SUM(T38:T48)</f>
        <v>672.14719000000002</v>
      </c>
      <c r="U49" s="1270" t="str">
        <f>IFERROR(INDEX([8]Code!I$8:I$33,MATCH('[8]$MRD-Annex'!$BG50,[8]Code!$G$8:$G$33,0)),"")</f>
        <v/>
      </c>
      <c r="V49" s="1271" t="str">
        <f>IFERROR(INDEX([8]Code!J$8:J$33,MATCH('[8]$MRD-Annex'!$BG50,[8]Code!$G$8:$G$33,0)),"")</f>
        <v/>
      </c>
      <c r="W49" s="1271" t="str">
        <f>IFERROR(INDEX([8]Code!K$8:K$33,MATCH('[8]$MRD-Annex'!$BG50,[8]Code!$G$8:$G$33,0)),"")</f>
        <v/>
      </c>
      <c r="X49" s="1271" t="str">
        <f>IFERROR(INDEX([8]Code!L$8:L$33,MATCH('[8]$MRD-Annex'!$BG50,[8]Code!$G$8:$G$33,0)),"")</f>
        <v/>
      </c>
      <c r="Y49" s="1272" t="str">
        <f>IFERROR(INDEX([8]Code!M$8:M$33,MATCH('[8]$MRD-Annex'!$BG50,[8]Code!$G$8:$G$33,0)),"")</f>
        <v/>
      </c>
      <c r="Z49" s="1274">
        <f>SUM(Z48,Z47,Z46,Z45,Z44,Z43,Z38,Z42,Z41,Z40,Z39)</f>
        <v>0</v>
      </c>
      <c r="AA49" s="1268">
        <f>SUM(AA48,AA47,AA46,AA45,AA44,AA43,AA38,AA42,AA41,AA40,AA39)</f>
        <v>166.78354120481509</v>
      </c>
      <c r="AB49" s="1268">
        <f>SUM(AB48,AB47,AB46,AB45,AB44,AB43,AB38,AB42,AB41,AB40,AB39)</f>
        <v>166.78354120481509</v>
      </c>
      <c r="AC49" s="1268">
        <f>SUM(AC48,AC47,AC46,AC45,AC44,AC43,AC38,AC42,AC41,AC40,AC39)</f>
        <v>182.82348364370489</v>
      </c>
      <c r="AD49" s="1275">
        <f t="shared" ref="AD49" si="63">SUM(AD48,AD47,AD46,AD45,AD44,AD43,AD38,AD42,AD41,AD40,AD39)</f>
        <v>516.39056605333508</v>
      </c>
      <c r="AE49" s="1274">
        <f>SUM(AE48,AE47,AE46,AE45,AE44,AE43,AE42,AE41,AE40,AE39,AE38)</f>
        <v>0</v>
      </c>
      <c r="AF49" s="1268">
        <f t="shared" ref="AF49:AI49" si="64">SUM(AF48,AF47,AF46,AF45,AF44,AF43,AF42,AF41,AF40,AF39,AF38)</f>
        <v>27.451147177723435</v>
      </c>
      <c r="AG49" s="1268">
        <f t="shared" si="64"/>
        <v>27.451147177723435</v>
      </c>
      <c r="AH49" s="1268">
        <f t="shared" si="64"/>
        <v>30.091184782342086</v>
      </c>
      <c r="AI49" s="1275">
        <f t="shared" si="64"/>
        <v>84.993479137788952</v>
      </c>
      <c r="AJ49" s="1274">
        <f>SUM(AJ48,AJ47,AJ46,AJ45,AJ44,AJ43,AJ42,AJ41,AJ40,AJ39,AJ38)</f>
        <v>0</v>
      </c>
      <c r="AK49" s="1268">
        <f>SUM(AK48,AK47,AK46,AK45,AK44,AK43,AK42,AK41,AK40,AK39,AK38)</f>
        <v>22.855041617461481</v>
      </c>
      <c r="AL49" s="1268">
        <f t="shared" ref="AL49:AN49" si="65">SUM(AL48,AL47,AL46,AL45,AL44,AL43,AL42,AL41,AL40,AL39,AL38)</f>
        <v>22.855041617461481</v>
      </c>
      <c r="AM49" s="1268">
        <f t="shared" si="65"/>
        <v>25.053061573953023</v>
      </c>
      <c r="AN49" s="1275">
        <f t="shared" si="65"/>
        <v>70.763144808875978</v>
      </c>
      <c r="AO49" s="1274"/>
      <c r="AP49" s="1268"/>
      <c r="AQ49" s="1268"/>
      <c r="AR49" s="1268"/>
      <c r="AS49" s="1276"/>
      <c r="AT49" s="1277"/>
      <c r="AU49" s="1273"/>
      <c r="AV49" s="1273"/>
      <c r="AW49" s="1273"/>
      <c r="AX49" s="1276"/>
      <c r="AY49" s="1278">
        <f>SUM(AY48,AY47,AY46,AY45,AY44,AY43,AY38,AY42,AY41,AY40,AY39)</f>
        <v>516.39056605333508</v>
      </c>
      <c r="AZ49" s="1279">
        <f>SUM(AZ48,AZ47,AZ46,AZ45,AZ44,AZ43,AZ38,AZ42,AZ41,AZ40,AZ39)</f>
        <v>84.993479137788952</v>
      </c>
      <c r="BA49" s="1279">
        <f>SUM(BA48,BA47,BA46,BA45,BA44,BA43,BA38,BA42,BA41,BA40,BA39)</f>
        <v>70.76314480887595</v>
      </c>
      <c r="BB49" s="1279">
        <f t="shared" ref="BB49:BC49" si="66">SUM(BB48,BB47,BB46,BB45,BB44,BB43,BB38,BB42,BB41,BB40,BB39)</f>
        <v>0</v>
      </c>
      <c r="BC49" s="1269">
        <f t="shared" si="66"/>
        <v>0</v>
      </c>
      <c r="BD49" s="84"/>
      <c r="BE49" s="1282"/>
      <c r="BF49" s="1282"/>
      <c r="BG49" s="1282"/>
      <c r="BH49" s="1565"/>
      <c r="BI49" s="84"/>
    </row>
    <row r="50" spans="1:61" s="85" customFormat="1" ht="20.100000000000001" customHeight="1">
      <c r="A50" s="75"/>
      <c r="B50" s="76" t="s">
        <v>24</v>
      </c>
      <c r="C50" s="76" t="s">
        <v>307</v>
      </c>
      <c r="D50" s="78"/>
      <c r="E50" s="66" t="s">
        <v>944</v>
      </c>
      <c r="H50" s="1760"/>
      <c r="I50" s="772"/>
      <c r="J50" s="1026">
        <v>0</v>
      </c>
      <c r="K50" s="112"/>
      <c r="L50" s="112"/>
      <c r="M50" s="380"/>
      <c r="N50" s="380"/>
      <c r="O50" s="790"/>
      <c r="P50" s="305"/>
      <c r="Q50" s="305"/>
      <c r="R50" s="305"/>
      <c r="S50" s="305"/>
      <c r="T50" s="150"/>
      <c r="U50" s="811"/>
      <c r="V50" s="286"/>
      <c r="W50" s="286"/>
      <c r="X50" s="286"/>
      <c r="Y50" s="81"/>
      <c r="Z50" s="288"/>
      <c r="AA50" s="287"/>
      <c r="AB50" s="287"/>
      <c r="AC50" s="287"/>
      <c r="AD50" s="289"/>
      <c r="AE50" s="288"/>
      <c r="AF50" s="287"/>
      <c r="AG50" s="287"/>
      <c r="AH50" s="287"/>
      <c r="AI50" s="289"/>
      <c r="AJ50" s="287"/>
      <c r="AK50" s="287"/>
      <c r="AL50" s="287"/>
      <c r="AM50" s="287"/>
      <c r="AN50" s="837"/>
      <c r="AO50" s="288"/>
      <c r="AP50" s="287"/>
      <c r="AQ50" s="287"/>
      <c r="AR50" s="287"/>
      <c r="AS50" s="83"/>
      <c r="AT50" s="86"/>
      <c r="AU50" s="82"/>
      <c r="AV50" s="82"/>
      <c r="AW50" s="82"/>
      <c r="AX50" s="83"/>
      <c r="AY50" s="88"/>
      <c r="AZ50" s="169"/>
      <c r="BA50" s="169"/>
      <c r="BB50" s="169"/>
      <c r="BC50" s="381"/>
      <c r="BD50" s="84"/>
      <c r="BE50" s="1282"/>
      <c r="BF50" s="1282"/>
      <c r="BG50" s="1282"/>
      <c r="BH50" s="1565"/>
      <c r="BI50" s="84"/>
    </row>
    <row r="51" spans="1:61" s="95" customFormat="1" ht="20.100000000000001" customHeight="1">
      <c r="A51" s="75"/>
      <c r="B51" s="76" t="s">
        <v>24</v>
      </c>
      <c r="C51" s="76" t="s">
        <v>307</v>
      </c>
      <c r="D51" s="78"/>
      <c r="E51" s="85"/>
      <c r="F51" t="s">
        <v>934</v>
      </c>
      <c r="G51" s="85"/>
      <c r="H51" s="1755" t="s">
        <v>1095</v>
      </c>
      <c r="I51" s="773">
        <v>2.5</v>
      </c>
      <c r="J51" s="1026">
        <v>2.5000000000000001E-3</v>
      </c>
      <c r="K51" s="2245">
        <v>0</v>
      </c>
      <c r="L51" s="2245">
        <v>2010</v>
      </c>
      <c r="M51" s="2245">
        <v>2010</v>
      </c>
      <c r="N51" s="2245">
        <v>2010</v>
      </c>
      <c r="O51" s="1262">
        <f>SUM(K51:N51)</f>
        <v>6030</v>
      </c>
      <c r="P51" s="2258">
        <f t="shared" ref="P51:P61" si="67">K51*$I51/1000</f>
        <v>0</v>
      </c>
      <c r="Q51" s="2258">
        <f t="shared" ref="Q51:Q61" si="68">L51*$I51/1000</f>
        <v>5.0250000000000004</v>
      </c>
      <c r="R51" s="2258">
        <f t="shared" ref="R51:R61" si="69">M51*$I51/1000</f>
        <v>5.0250000000000004</v>
      </c>
      <c r="S51" s="2258">
        <f t="shared" ref="S51:S61" si="70">N51*$I51/1000</f>
        <v>5.0250000000000004</v>
      </c>
      <c r="T51" s="1263">
        <f t="shared" ref="T51:T61" si="71">SUM(P51:S51)</f>
        <v>15.075000000000001</v>
      </c>
      <c r="U51" s="1250">
        <f>IFERROR(INDEX([8]Code!I$8:I$33,MATCH('[8]$MRD-Annex'!$BG52,[8]Code!$G$8:$G$33,0)),"")</f>
        <v>0.76827006604510995</v>
      </c>
      <c r="V51" s="1251">
        <f>IFERROR(INDEX([8]Code!J$8:J$33,MATCH('[8]$MRD-Annex'!$BG52,[8]Code!$G$8:$G$33,0)),"")</f>
        <v>0.12645069473218948</v>
      </c>
      <c r="W51" s="1251">
        <f>IFERROR(INDEX([8]Code!K$8:K$33,MATCH('[8]$MRD-Annex'!$BG52,[8]Code!$G$8:$G$33,0)),"")</f>
        <v>0.10527923922270058</v>
      </c>
      <c r="X51" s="1251">
        <f>IFERROR(INDEX([8]Code!L$8:L$33,MATCH('[8]$MRD-Annex'!$BG52,[8]Code!$G$8:$G$33,0)),"")</f>
        <v>0</v>
      </c>
      <c r="Y51" s="1252">
        <f>IFERROR(INDEX([8]Code!M$8:M$33,MATCH('[8]$MRD-Annex'!$BG52,[8]Code!$G$8:$G$33,0)),"")</f>
        <v>0</v>
      </c>
      <c r="Z51" s="1253">
        <f t="shared" ref="Z51:AC61" si="72">P51*$U51</f>
        <v>0</v>
      </c>
      <c r="AA51" s="1254">
        <f t="shared" si="72"/>
        <v>3.8605570818766779</v>
      </c>
      <c r="AB51" s="1254">
        <f t="shared" si="72"/>
        <v>3.8605570818766779</v>
      </c>
      <c r="AC51" s="1254">
        <f t="shared" si="72"/>
        <v>3.8605570818766779</v>
      </c>
      <c r="AD51" s="1255">
        <f>SUM(Z51:AC51)</f>
        <v>11.581671245630034</v>
      </c>
      <c r="AE51" s="1253">
        <f t="shared" ref="AE51:AI61" si="73">P51*$V51</f>
        <v>0</v>
      </c>
      <c r="AF51" s="1254">
        <f t="shared" si="73"/>
        <v>0.63541474102925222</v>
      </c>
      <c r="AG51" s="1254">
        <f t="shared" si="73"/>
        <v>0.63541474102925222</v>
      </c>
      <c r="AH51" s="1254">
        <f t="shared" si="73"/>
        <v>0.63541474102925222</v>
      </c>
      <c r="AI51" s="1255">
        <f t="shared" si="73"/>
        <v>1.9062442230877565</v>
      </c>
      <c r="AJ51" s="1254">
        <f t="shared" ref="AJ51:AM61" si="74">P51*$W51</f>
        <v>0</v>
      </c>
      <c r="AK51" s="1254">
        <f t="shared" si="74"/>
        <v>0.52902817709407046</v>
      </c>
      <c r="AL51" s="1254">
        <f t="shared" si="74"/>
        <v>0.52902817709407046</v>
      </c>
      <c r="AM51" s="1254">
        <f t="shared" si="74"/>
        <v>0.52902817709407046</v>
      </c>
      <c r="AN51" s="1256">
        <f>SUM(AJ51:AM51)</f>
        <v>1.5870845312822115</v>
      </c>
      <c r="AO51" s="1253">
        <f t="shared" ref="AO51:AR61" si="75">P51*$X51</f>
        <v>0</v>
      </c>
      <c r="AP51" s="1254">
        <f t="shared" si="75"/>
        <v>0</v>
      </c>
      <c r="AQ51" s="1254">
        <f t="shared" si="75"/>
        <v>0</v>
      </c>
      <c r="AR51" s="1254">
        <f t="shared" si="75"/>
        <v>0</v>
      </c>
      <c r="AS51" s="1257">
        <f>SUM(AO51:AR51)</f>
        <v>0</v>
      </c>
      <c r="AT51" s="1253">
        <f t="shared" ref="AT51:AW61" si="76">P51*$Y51</f>
        <v>0</v>
      </c>
      <c r="AU51" s="1254">
        <f t="shared" si="76"/>
        <v>0</v>
      </c>
      <c r="AV51" s="1254">
        <f t="shared" si="76"/>
        <v>0</v>
      </c>
      <c r="AW51" s="1254">
        <f t="shared" si="76"/>
        <v>0</v>
      </c>
      <c r="AX51" s="1257">
        <f>SUM(AT51:AW51)</f>
        <v>0</v>
      </c>
      <c r="AY51" s="1258">
        <f t="shared" ref="AY51:AY61" si="77">SUM($T51*U51)</f>
        <v>11.581671245630034</v>
      </c>
      <c r="AZ51" s="1264">
        <f t="shared" ref="AZ51:BC61" si="78">SUM($T51*V51)</f>
        <v>1.9062442230877565</v>
      </c>
      <c r="BA51" s="1264">
        <f t="shared" si="78"/>
        <v>1.5870845312822113</v>
      </c>
      <c r="BB51" s="1264">
        <f t="shared" si="78"/>
        <v>0</v>
      </c>
      <c r="BC51" s="1263">
        <f t="shared" si="78"/>
        <v>0</v>
      </c>
      <c r="BD51" s="82"/>
      <c r="BE51" s="568" t="s">
        <v>366</v>
      </c>
      <c r="BF51" s="568" t="s">
        <v>366</v>
      </c>
      <c r="BG51" s="591" t="str">
        <f>IFERROR(INDEX('Annex 2_Code'!$J$110:$J$127,MATCH('Annex 5_MRD'!BE51,'Annex 2_Code'!$G$110:$G$127,0)),"")</f>
        <v>MRD</v>
      </c>
      <c r="BH51" s="1565" t="str">
        <f t="shared" si="18"/>
        <v>MRD</v>
      </c>
      <c r="BI51" s="82"/>
    </row>
    <row r="52" spans="1:61" s="95" customFormat="1" ht="14.25">
      <c r="A52" s="75"/>
      <c r="B52" s="76" t="s">
        <v>24</v>
      </c>
      <c r="C52" s="76" t="s">
        <v>307</v>
      </c>
      <c r="D52" s="78"/>
      <c r="E52" s="85"/>
      <c r="F52" s="66" t="s">
        <v>935</v>
      </c>
      <c r="G52" s="85"/>
      <c r="H52" s="1755" t="s">
        <v>1095</v>
      </c>
      <c r="I52" s="10">
        <v>21</v>
      </c>
      <c r="J52" s="1026">
        <v>2.1000000000000001E-2</v>
      </c>
      <c r="K52" s="2245">
        <v>0</v>
      </c>
      <c r="L52" s="2245">
        <v>168.84000000000003</v>
      </c>
      <c r="M52" s="2245">
        <v>168.84000000000003</v>
      </c>
      <c r="N52" s="2245">
        <v>168.84000000000003</v>
      </c>
      <c r="O52" s="1262">
        <f t="shared" ref="O52:O61" si="79">SUM(K52:N52)</f>
        <v>506.5200000000001</v>
      </c>
      <c r="P52" s="2258">
        <f t="shared" si="67"/>
        <v>0</v>
      </c>
      <c r="Q52" s="2258">
        <f t="shared" si="68"/>
        <v>3.5456400000000006</v>
      </c>
      <c r="R52" s="2258">
        <f t="shared" si="69"/>
        <v>3.5456400000000006</v>
      </c>
      <c r="S52" s="2258">
        <f t="shared" si="70"/>
        <v>3.5456400000000006</v>
      </c>
      <c r="T52" s="1263">
        <f t="shared" si="71"/>
        <v>10.636920000000002</v>
      </c>
      <c r="U52" s="1250">
        <f>IFERROR(INDEX([8]Code!I$8:I$33,MATCH('[8]$MRD-Annex'!$BG53,[8]Code!$G$8:$G$33,0)),"")</f>
        <v>0.76827006604510995</v>
      </c>
      <c r="V52" s="1251">
        <f>IFERROR(INDEX([8]Code!J$8:J$33,MATCH('[8]$MRD-Annex'!$BG53,[8]Code!$G$8:$G$33,0)),"")</f>
        <v>0.12645069473218948</v>
      </c>
      <c r="W52" s="1251">
        <f>IFERROR(INDEX([8]Code!K$8:K$33,MATCH('[8]$MRD-Annex'!$BG53,[8]Code!$G$8:$G$33,0)),"")</f>
        <v>0.10527923922270058</v>
      </c>
      <c r="X52" s="1251">
        <f>IFERROR(INDEX([8]Code!L$8:L$33,MATCH('[8]$MRD-Annex'!$BG53,[8]Code!$G$8:$G$33,0)),"")</f>
        <v>0</v>
      </c>
      <c r="Y52" s="1252">
        <f>IFERROR(INDEX([8]Code!M$8:M$33,MATCH('[8]$MRD-Annex'!$BG53,[8]Code!$G$8:$G$33,0)),"")</f>
        <v>0</v>
      </c>
      <c r="Z52" s="1253">
        <f t="shared" si="72"/>
        <v>0</v>
      </c>
      <c r="AA52" s="1254">
        <f t="shared" si="72"/>
        <v>2.7240090769721839</v>
      </c>
      <c r="AB52" s="1254">
        <f t="shared" si="72"/>
        <v>2.7240090769721839</v>
      </c>
      <c r="AC52" s="1254">
        <f t="shared" si="72"/>
        <v>2.7240090769721839</v>
      </c>
      <c r="AD52" s="1255">
        <f t="shared" ref="AD52:AD61" si="80">SUM(Z52:AC52)</f>
        <v>8.1720272309165516</v>
      </c>
      <c r="AE52" s="1253">
        <f t="shared" si="73"/>
        <v>0</v>
      </c>
      <c r="AF52" s="1254">
        <f t="shared" si="73"/>
        <v>0.44834864127024038</v>
      </c>
      <c r="AG52" s="1254">
        <f t="shared" si="73"/>
        <v>0.44834864127024038</v>
      </c>
      <c r="AH52" s="1254">
        <f t="shared" si="73"/>
        <v>0.44834864127024038</v>
      </c>
      <c r="AI52" s="1255">
        <f t="shared" si="73"/>
        <v>1.3450459238107211</v>
      </c>
      <c r="AJ52" s="1254">
        <f t="shared" si="74"/>
        <v>0</v>
      </c>
      <c r="AK52" s="1254">
        <f t="shared" si="74"/>
        <v>0.37328228175757611</v>
      </c>
      <c r="AL52" s="1254">
        <f t="shared" si="74"/>
        <v>0.37328228175757611</v>
      </c>
      <c r="AM52" s="1254">
        <f t="shared" si="74"/>
        <v>0.37328228175757611</v>
      </c>
      <c r="AN52" s="1256">
        <f t="shared" ref="AN52:AN61" si="81">SUM(AJ52:AM52)</f>
        <v>1.1198468452727284</v>
      </c>
      <c r="AO52" s="1253">
        <f t="shared" si="75"/>
        <v>0</v>
      </c>
      <c r="AP52" s="1254">
        <f t="shared" si="75"/>
        <v>0</v>
      </c>
      <c r="AQ52" s="1254">
        <f t="shared" si="75"/>
        <v>0</v>
      </c>
      <c r="AR52" s="1254">
        <f t="shared" si="75"/>
        <v>0</v>
      </c>
      <c r="AS52" s="1257">
        <f t="shared" ref="AS52:AS61" si="82">SUM(AO52:AR52)</f>
        <v>0</v>
      </c>
      <c r="AT52" s="1253">
        <f t="shared" si="76"/>
        <v>0</v>
      </c>
      <c r="AU52" s="1254">
        <f t="shared" si="76"/>
        <v>0</v>
      </c>
      <c r="AV52" s="1254">
        <f t="shared" si="76"/>
        <v>0</v>
      </c>
      <c r="AW52" s="1254">
        <f t="shared" si="76"/>
        <v>0</v>
      </c>
      <c r="AX52" s="1257">
        <f t="shared" ref="AX52:AX61" si="83">SUM(AT52:AW52)</f>
        <v>0</v>
      </c>
      <c r="AY52" s="1258">
        <f t="shared" si="77"/>
        <v>8.1720272309165516</v>
      </c>
      <c r="AZ52" s="1264">
        <f t="shared" si="78"/>
        <v>1.3450459238107211</v>
      </c>
      <c r="BA52" s="1264">
        <f t="shared" si="78"/>
        <v>1.1198468452727284</v>
      </c>
      <c r="BB52" s="1264">
        <f t="shared" si="78"/>
        <v>0</v>
      </c>
      <c r="BC52" s="1263">
        <f t="shared" si="78"/>
        <v>0</v>
      </c>
      <c r="BD52" s="82"/>
      <c r="BE52" s="568" t="s">
        <v>366</v>
      </c>
      <c r="BF52" s="568" t="s">
        <v>366</v>
      </c>
      <c r="BG52" s="591" t="str">
        <f>IFERROR(INDEX('Annex 2_Code'!$J$110:$J$127,MATCH('Annex 5_MRD'!BE52,'Annex 2_Code'!$G$110:$G$127,0)),"")</f>
        <v>MRD</v>
      </c>
      <c r="BH52" s="1565" t="str">
        <f t="shared" si="18"/>
        <v>MRD</v>
      </c>
      <c r="BI52" s="82"/>
    </row>
    <row r="53" spans="1:61" s="95" customFormat="1" ht="15">
      <c r="A53" s="75"/>
      <c r="B53" s="76" t="s">
        <v>24</v>
      </c>
      <c r="C53" s="76" t="s">
        <v>307</v>
      </c>
      <c r="D53" s="78"/>
      <c r="E53" s="85"/>
      <c r="F53" t="s">
        <v>936</v>
      </c>
      <c r="G53" s="85"/>
      <c r="H53" s="1755" t="s">
        <v>1095</v>
      </c>
      <c r="I53" s="10">
        <v>21</v>
      </c>
      <c r="J53" s="1026">
        <v>2.1000000000000001E-2</v>
      </c>
      <c r="K53" s="2245">
        <v>0</v>
      </c>
      <c r="L53" s="2245">
        <v>385.92000000000007</v>
      </c>
      <c r="M53" s="2245">
        <v>385.92000000000007</v>
      </c>
      <c r="N53" s="2245">
        <v>385.92000000000007</v>
      </c>
      <c r="O53" s="1262">
        <f t="shared" si="79"/>
        <v>1157.7600000000002</v>
      </c>
      <c r="P53" s="2258">
        <f t="shared" si="67"/>
        <v>0</v>
      </c>
      <c r="Q53" s="2258">
        <f t="shared" si="68"/>
        <v>8.1043200000000013</v>
      </c>
      <c r="R53" s="2258">
        <f t="shared" si="69"/>
        <v>8.1043200000000013</v>
      </c>
      <c r="S53" s="2258">
        <f t="shared" si="70"/>
        <v>8.1043200000000013</v>
      </c>
      <c r="T53" s="1263">
        <f t="shared" si="71"/>
        <v>24.312960000000004</v>
      </c>
      <c r="U53" s="1250">
        <f>IFERROR(INDEX([8]Code!I$8:I$33,MATCH('[8]$MRD-Annex'!$BG54,[8]Code!$G$8:$G$33,0)),"")</f>
        <v>0.76827006604510995</v>
      </c>
      <c r="V53" s="1251">
        <f>IFERROR(INDEX([8]Code!J$8:J$33,MATCH('[8]$MRD-Annex'!$BG54,[8]Code!$G$8:$G$33,0)),"")</f>
        <v>0.12645069473218948</v>
      </c>
      <c r="W53" s="1251">
        <f>IFERROR(INDEX([8]Code!K$8:K$33,MATCH('[8]$MRD-Annex'!$BG54,[8]Code!$G$8:$G$33,0)),"")</f>
        <v>0.10527923922270058</v>
      </c>
      <c r="X53" s="1251">
        <f>IFERROR(INDEX([8]Code!L$8:L$33,MATCH('[8]$MRD-Annex'!$BG54,[8]Code!$G$8:$G$33,0)),"")</f>
        <v>0</v>
      </c>
      <c r="Y53" s="1252">
        <f>IFERROR(INDEX([8]Code!M$8:M$33,MATCH('[8]$MRD-Annex'!$BG54,[8]Code!$G$8:$G$33,0)),"")</f>
        <v>0</v>
      </c>
      <c r="Z53" s="1253">
        <f t="shared" si="72"/>
        <v>0</v>
      </c>
      <c r="AA53" s="1254">
        <f t="shared" si="72"/>
        <v>6.2263064616507062</v>
      </c>
      <c r="AB53" s="1254">
        <f t="shared" si="72"/>
        <v>6.2263064616507062</v>
      </c>
      <c r="AC53" s="1254">
        <f t="shared" si="72"/>
        <v>6.2263064616507062</v>
      </c>
      <c r="AD53" s="1255">
        <f t="shared" si="80"/>
        <v>18.678919384952117</v>
      </c>
      <c r="AE53" s="1253">
        <f t="shared" si="73"/>
        <v>0</v>
      </c>
      <c r="AF53" s="1254">
        <f t="shared" si="73"/>
        <v>1.0247968943319781</v>
      </c>
      <c r="AG53" s="1254">
        <f t="shared" si="73"/>
        <v>1.0247968943319781</v>
      </c>
      <c r="AH53" s="1254">
        <f t="shared" si="73"/>
        <v>1.0247968943319781</v>
      </c>
      <c r="AI53" s="1255">
        <f t="shared" si="73"/>
        <v>3.0743906829959338</v>
      </c>
      <c r="AJ53" s="1254">
        <f t="shared" si="74"/>
        <v>0</v>
      </c>
      <c r="AK53" s="1254">
        <f t="shared" si="74"/>
        <v>0.85321664401731689</v>
      </c>
      <c r="AL53" s="1254">
        <f t="shared" si="74"/>
        <v>0.85321664401731689</v>
      </c>
      <c r="AM53" s="1254">
        <f t="shared" si="74"/>
        <v>0.85321664401731689</v>
      </c>
      <c r="AN53" s="1256">
        <f t="shared" si="81"/>
        <v>2.5596499320519506</v>
      </c>
      <c r="AO53" s="1253">
        <f t="shared" si="75"/>
        <v>0</v>
      </c>
      <c r="AP53" s="1254">
        <f t="shared" si="75"/>
        <v>0</v>
      </c>
      <c r="AQ53" s="1254">
        <f t="shared" si="75"/>
        <v>0</v>
      </c>
      <c r="AR53" s="1254">
        <f t="shared" si="75"/>
        <v>0</v>
      </c>
      <c r="AS53" s="1257">
        <f t="shared" si="82"/>
        <v>0</v>
      </c>
      <c r="AT53" s="1253">
        <f t="shared" si="76"/>
        <v>0</v>
      </c>
      <c r="AU53" s="1254">
        <f t="shared" si="76"/>
        <v>0</v>
      </c>
      <c r="AV53" s="1254">
        <f t="shared" si="76"/>
        <v>0</v>
      </c>
      <c r="AW53" s="1254">
        <f t="shared" si="76"/>
        <v>0</v>
      </c>
      <c r="AX53" s="1257">
        <f t="shared" si="83"/>
        <v>0</v>
      </c>
      <c r="AY53" s="1258">
        <f t="shared" si="77"/>
        <v>18.67891938495212</v>
      </c>
      <c r="AZ53" s="1264">
        <f t="shared" si="78"/>
        <v>3.0743906829959338</v>
      </c>
      <c r="BA53" s="1264">
        <f t="shared" si="78"/>
        <v>2.5596499320519506</v>
      </c>
      <c r="BB53" s="1264">
        <f t="shared" si="78"/>
        <v>0</v>
      </c>
      <c r="BC53" s="1263">
        <f t="shared" si="78"/>
        <v>0</v>
      </c>
      <c r="BD53" s="82"/>
      <c r="BE53" s="568" t="s">
        <v>366</v>
      </c>
      <c r="BF53" s="568" t="s">
        <v>366</v>
      </c>
      <c r="BG53" s="591" t="str">
        <f>IFERROR(INDEX('Annex 2_Code'!$J$110:$J$127,MATCH('Annex 5_MRD'!BE53,'Annex 2_Code'!$G$110:$G$127,0)),"")</f>
        <v>MRD</v>
      </c>
      <c r="BH53" s="1565" t="str">
        <f t="shared" si="18"/>
        <v>MRD</v>
      </c>
      <c r="BI53" s="82"/>
    </row>
    <row r="54" spans="1:61" s="95" customFormat="1" ht="14.25">
      <c r="A54" s="75"/>
      <c r="B54" s="76" t="s">
        <v>24</v>
      </c>
      <c r="C54" s="76" t="s">
        <v>307</v>
      </c>
      <c r="D54" s="78"/>
      <c r="E54" s="85"/>
      <c r="F54" t="s">
        <v>311</v>
      </c>
      <c r="G54" s="85"/>
      <c r="H54" s="1755" t="s">
        <v>1095</v>
      </c>
      <c r="I54" s="773">
        <v>2.5</v>
      </c>
      <c r="J54" s="1026">
        <v>2.5000000000000001E-3</v>
      </c>
      <c r="K54" s="2245">
        <v>0</v>
      </c>
      <c r="L54" s="2245">
        <v>180.9</v>
      </c>
      <c r="M54" s="2245">
        <v>180.9</v>
      </c>
      <c r="N54" s="2245">
        <v>180.9</v>
      </c>
      <c r="O54" s="1262">
        <f t="shared" si="79"/>
        <v>542.70000000000005</v>
      </c>
      <c r="P54" s="2258">
        <f t="shared" si="67"/>
        <v>0</v>
      </c>
      <c r="Q54" s="2258">
        <f t="shared" si="68"/>
        <v>0.45224999999999999</v>
      </c>
      <c r="R54" s="2258">
        <f t="shared" si="69"/>
        <v>0.45224999999999999</v>
      </c>
      <c r="S54" s="2258">
        <f t="shared" si="70"/>
        <v>0.45224999999999999</v>
      </c>
      <c r="T54" s="1263">
        <f t="shared" si="71"/>
        <v>1.3567499999999999</v>
      </c>
      <c r="U54" s="1250">
        <f>IFERROR(INDEX([8]Code!I$8:I$33,MATCH('[8]$MRD-Annex'!$BG55,[8]Code!$G$8:$G$33,0)),"")</f>
        <v>0.76827006604510995</v>
      </c>
      <c r="V54" s="1251">
        <f>IFERROR(INDEX([8]Code!J$8:J$33,MATCH('[8]$MRD-Annex'!$BG55,[8]Code!$G$8:$G$33,0)),"")</f>
        <v>0.12645069473218948</v>
      </c>
      <c r="W54" s="1251">
        <f>IFERROR(INDEX([8]Code!K$8:K$33,MATCH('[8]$MRD-Annex'!$BG55,[8]Code!$G$8:$G$33,0)),"")</f>
        <v>0.10527923922270058</v>
      </c>
      <c r="X54" s="1251">
        <f>IFERROR(INDEX([8]Code!L$8:L$33,MATCH('[8]$MRD-Annex'!$BG55,[8]Code!$G$8:$G$33,0)),"")</f>
        <v>0</v>
      </c>
      <c r="Y54" s="1252">
        <f>IFERROR(INDEX([8]Code!M$8:M$33,MATCH('[8]$MRD-Annex'!$BG55,[8]Code!$G$8:$G$33,0)),"")</f>
        <v>0</v>
      </c>
      <c r="Z54" s="1253">
        <f t="shared" si="72"/>
        <v>0</v>
      </c>
      <c r="AA54" s="1254">
        <f t="shared" si="72"/>
        <v>0.34745013736890096</v>
      </c>
      <c r="AB54" s="1254">
        <f t="shared" si="72"/>
        <v>0.34745013736890096</v>
      </c>
      <c r="AC54" s="1254">
        <f t="shared" si="72"/>
        <v>0.34745013736890096</v>
      </c>
      <c r="AD54" s="1255">
        <f t="shared" si="80"/>
        <v>1.0423504121067029</v>
      </c>
      <c r="AE54" s="1253">
        <f t="shared" si="73"/>
        <v>0</v>
      </c>
      <c r="AF54" s="1254">
        <f t="shared" si="73"/>
        <v>5.7187326692632691E-2</v>
      </c>
      <c r="AG54" s="1254">
        <f t="shared" si="73"/>
        <v>5.7187326692632691E-2</v>
      </c>
      <c r="AH54" s="1254">
        <f t="shared" si="73"/>
        <v>5.7187326692632691E-2</v>
      </c>
      <c r="AI54" s="1255">
        <f t="shared" si="73"/>
        <v>0.17156198007789805</v>
      </c>
      <c r="AJ54" s="1254">
        <f t="shared" si="74"/>
        <v>0</v>
      </c>
      <c r="AK54" s="1254">
        <f t="shared" si="74"/>
        <v>4.7612535938466337E-2</v>
      </c>
      <c r="AL54" s="1254">
        <f t="shared" si="74"/>
        <v>4.7612535938466337E-2</v>
      </c>
      <c r="AM54" s="1254">
        <f t="shared" si="74"/>
        <v>4.7612535938466337E-2</v>
      </c>
      <c r="AN54" s="1256">
        <f t="shared" si="81"/>
        <v>0.142837607815399</v>
      </c>
      <c r="AO54" s="1253">
        <f t="shared" si="75"/>
        <v>0</v>
      </c>
      <c r="AP54" s="1254">
        <f t="shared" si="75"/>
        <v>0</v>
      </c>
      <c r="AQ54" s="1254">
        <f t="shared" si="75"/>
        <v>0</v>
      </c>
      <c r="AR54" s="1254">
        <f t="shared" si="75"/>
        <v>0</v>
      </c>
      <c r="AS54" s="1257">
        <f t="shared" si="82"/>
        <v>0</v>
      </c>
      <c r="AT54" s="1253">
        <f t="shared" si="76"/>
        <v>0</v>
      </c>
      <c r="AU54" s="1254">
        <f t="shared" si="76"/>
        <v>0</v>
      </c>
      <c r="AV54" s="1254">
        <f t="shared" si="76"/>
        <v>0</v>
      </c>
      <c r="AW54" s="1254">
        <f t="shared" si="76"/>
        <v>0</v>
      </c>
      <c r="AX54" s="1257">
        <f t="shared" si="83"/>
        <v>0</v>
      </c>
      <c r="AY54" s="1258">
        <f t="shared" si="77"/>
        <v>1.0423504121067029</v>
      </c>
      <c r="AZ54" s="1264">
        <f t="shared" si="78"/>
        <v>0.17156198007789805</v>
      </c>
      <c r="BA54" s="1264">
        <f t="shared" si="78"/>
        <v>0.142837607815399</v>
      </c>
      <c r="BB54" s="1264">
        <f t="shared" si="78"/>
        <v>0</v>
      </c>
      <c r="BC54" s="1263">
        <f t="shared" si="78"/>
        <v>0</v>
      </c>
      <c r="BD54" s="82"/>
      <c r="BE54" s="568" t="s">
        <v>366</v>
      </c>
      <c r="BF54" s="568" t="s">
        <v>366</v>
      </c>
      <c r="BG54" s="591" t="str">
        <f>IFERROR(INDEX('Annex 2_Code'!$J$110:$J$127,MATCH('Annex 5_MRD'!BE54,'Annex 2_Code'!$G$110:$G$127,0)),"")</f>
        <v>MRD</v>
      </c>
      <c r="BH54" s="1565" t="str">
        <f t="shared" si="18"/>
        <v>MRD</v>
      </c>
      <c r="BI54" s="82"/>
    </row>
    <row r="55" spans="1:61" s="95" customFormat="1" ht="14.25">
      <c r="A55" s="75"/>
      <c r="B55" s="76" t="s">
        <v>24</v>
      </c>
      <c r="C55" s="76" t="s">
        <v>307</v>
      </c>
      <c r="D55" s="78"/>
      <c r="E55" s="85"/>
      <c r="F55" s="66" t="s">
        <v>312</v>
      </c>
      <c r="G55" s="85"/>
      <c r="H55" s="1755" t="s">
        <v>1095</v>
      </c>
      <c r="I55" s="773">
        <v>1</v>
      </c>
      <c r="J55" s="1026">
        <v>1E-3</v>
      </c>
      <c r="K55" s="2245">
        <v>0</v>
      </c>
      <c r="L55" s="2245">
        <v>21105</v>
      </c>
      <c r="M55" s="2245">
        <v>21105</v>
      </c>
      <c r="N55" s="2245">
        <v>21105</v>
      </c>
      <c r="O55" s="1262">
        <f t="shared" si="79"/>
        <v>63315</v>
      </c>
      <c r="P55" s="2258">
        <f t="shared" si="67"/>
        <v>0</v>
      </c>
      <c r="Q55" s="2258">
        <f t="shared" si="68"/>
        <v>21.105</v>
      </c>
      <c r="R55" s="2258">
        <f t="shared" si="69"/>
        <v>21.105</v>
      </c>
      <c r="S55" s="2258">
        <f t="shared" si="70"/>
        <v>21.105</v>
      </c>
      <c r="T55" s="1263">
        <f t="shared" si="71"/>
        <v>63.314999999999998</v>
      </c>
      <c r="U55" s="1250">
        <f>IFERROR(INDEX([8]Code!I$8:I$33,MATCH('[8]$MRD-Annex'!$BG56,[8]Code!$G$8:$G$33,0)),"")</f>
        <v>0.76827006604510995</v>
      </c>
      <c r="V55" s="1251">
        <f>IFERROR(INDEX([8]Code!J$8:J$33,MATCH('[8]$MRD-Annex'!$BG56,[8]Code!$G$8:$G$33,0)),"")</f>
        <v>0.12645069473218948</v>
      </c>
      <c r="W55" s="1251">
        <f>IFERROR(INDEX([8]Code!K$8:K$33,MATCH('[8]$MRD-Annex'!$BG56,[8]Code!$G$8:$G$33,0)),"")</f>
        <v>0.10527923922270058</v>
      </c>
      <c r="X55" s="1251">
        <f>IFERROR(INDEX([8]Code!L$8:L$33,MATCH('[8]$MRD-Annex'!$BG56,[8]Code!$G$8:$G$33,0)),"")</f>
        <v>0</v>
      </c>
      <c r="Y55" s="1252">
        <f>IFERROR(INDEX([8]Code!M$8:M$33,MATCH('[8]$MRD-Annex'!$BG56,[8]Code!$G$8:$G$33,0)),"")</f>
        <v>0</v>
      </c>
      <c r="Z55" s="1253">
        <f t="shared" si="72"/>
        <v>0</v>
      </c>
      <c r="AA55" s="1254">
        <f t="shared" si="72"/>
        <v>16.214339743882046</v>
      </c>
      <c r="AB55" s="1254">
        <f t="shared" si="72"/>
        <v>16.214339743882046</v>
      </c>
      <c r="AC55" s="1254">
        <f t="shared" si="72"/>
        <v>16.214339743882046</v>
      </c>
      <c r="AD55" s="1255">
        <f t="shared" si="80"/>
        <v>48.643019231646136</v>
      </c>
      <c r="AE55" s="1253">
        <f t="shared" si="73"/>
        <v>0</v>
      </c>
      <c r="AF55" s="1254">
        <f t="shared" si="73"/>
        <v>2.6687419123228588</v>
      </c>
      <c r="AG55" s="1254">
        <f t="shared" si="73"/>
        <v>2.6687419123228588</v>
      </c>
      <c r="AH55" s="1254">
        <f t="shared" si="73"/>
        <v>2.6687419123228588</v>
      </c>
      <c r="AI55" s="1255">
        <f t="shared" si="73"/>
        <v>8.0062257369685756</v>
      </c>
      <c r="AJ55" s="1254">
        <f t="shared" si="74"/>
        <v>0</v>
      </c>
      <c r="AK55" s="1254">
        <f t="shared" si="74"/>
        <v>2.2219183437950956</v>
      </c>
      <c r="AL55" s="1254">
        <f t="shared" si="74"/>
        <v>2.2219183437950956</v>
      </c>
      <c r="AM55" s="1254">
        <f t="shared" si="74"/>
        <v>2.2219183437950956</v>
      </c>
      <c r="AN55" s="1256">
        <f t="shared" si="81"/>
        <v>6.6657550313852862</v>
      </c>
      <c r="AO55" s="1253">
        <f t="shared" si="75"/>
        <v>0</v>
      </c>
      <c r="AP55" s="1254">
        <f t="shared" si="75"/>
        <v>0</v>
      </c>
      <c r="AQ55" s="1254">
        <f t="shared" si="75"/>
        <v>0</v>
      </c>
      <c r="AR55" s="1254">
        <f t="shared" si="75"/>
        <v>0</v>
      </c>
      <c r="AS55" s="1257">
        <f t="shared" si="82"/>
        <v>0</v>
      </c>
      <c r="AT55" s="1253">
        <f t="shared" si="76"/>
        <v>0</v>
      </c>
      <c r="AU55" s="1254">
        <f t="shared" si="76"/>
        <v>0</v>
      </c>
      <c r="AV55" s="1254">
        <f t="shared" si="76"/>
        <v>0</v>
      </c>
      <c r="AW55" s="1254">
        <f t="shared" si="76"/>
        <v>0</v>
      </c>
      <c r="AX55" s="1257">
        <f t="shared" si="83"/>
        <v>0</v>
      </c>
      <c r="AY55" s="1258">
        <f t="shared" si="77"/>
        <v>48.643019231646136</v>
      </c>
      <c r="AZ55" s="1264">
        <f t="shared" si="78"/>
        <v>8.0062257369685756</v>
      </c>
      <c r="BA55" s="1264">
        <f t="shared" si="78"/>
        <v>6.6657550313852871</v>
      </c>
      <c r="BB55" s="1264">
        <f t="shared" si="78"/>
        <v>0</v>
      </c>
      <c r="BC55" s="1263">
        <f t="shared" si="78"/>
        <v>0</v>
      </c>
      <c r="BD55" s="82"/>
      <c r="BE55" s="568" t="s">
        <v>366</v>
      </c>
      <c r="BF55" s="568" t="s">
        <v>366</v>
      </c>
      <c r="BG55" s="591" t="str">
        <f>IFERROR(INDEX('Annex 2_Code'!$J$110:$J$127,MATCH('Annex 5_MRD'!BE55,'Annex 2_Code'!$G$110:$G$127,0)),"")</f>
        <v>MRD</v>
      </c>
      <c r="BH55" s="1565" t="str">
        <f t="shared" si="18"/>
        <v>MRD</v>
      </c>
      <c r="BI55" s="82"/>
    </row>
    <row r="56" spans="1:61" s="95" customFormat="1" ht="14.25">
      <c r="A56" s="75"/>
      <c r="B56" s="76" t="s">
        <v>24</v>
      </c>
      <c r="C56" s="76" t="s">
        <v>307</v>
      </c>
      <c r="D56" s="78"/>
      <c r="E56" s="85"/>
      <c r="F56" s="66" t="s">
        <v>937</v>
      </c>
      <c r="G56" s="85"/>
      <c r="H56" s="1755" t="s">
        <v>1095</v>
      </c>
      <c r="I56" s="773">
        <v>18</v>
      </c>
      <c r="J56" s="1026">
        <v>1.7999999999999999E-2</v>
      </c>
      <c r="K56" s="2245">
        <v>0</v>
      </c>
      <c r="L56" s="2245">
        <v>6874.2000000000007</v>
      </c>
      <c r="M56" s="2245">
        <v>6874.2000000000007</v>
      </c>
      <c r="N56" s="2245">
        <v>6874.2000000000007</v>
      </c>
      <c r="O56" s="1262">
        <f t="shared" si="79"/>
        <v>20622.600000000002</v>
      </c>
      <c r="P56" s="2258">
        <f t="shared" si="67"/>
        <v>0</v>
      </c>
      <c r="Q56" s="2258">
        <f t="shared" si="68"/>
        <v>123.73560000000001</v>
      </c>
      <c r="R56" s="2258">
        <f t="shared" si="69"/>
        <v>123.73560000000001</v>
      </c>
      <c r="S56" s="2258">
        <f t="shared" si="70"/>
        <v>123.73560000000001</v>
      </c>
      <c r="T56" s="1263">
        <f t="shared" si="71"/>
        <v>371.20680000000004</v>
      </c>
      <c r="U56" s="1250">
        <f>IFERROR(INDEX([8]Code!I$8:I$33,MATCH('[8]$MRD-Annex'!$BG57,[8]Code!$G$8:$G$33,0)),"")</f>
        <v>0.76827006604510995</v>
      </c>
      <c r="V56" s="1251">
        <f>IFERROR(INDEX([8]Code!J$8:J$33,MATCH('[8]$MRD-Annex'!$BG57,[8]Code!$G$8:$G$33,0)),"")</f>
        <v>0.12645069473218948</v>
      </c>
      <c r="W56" s="1251">
        <f>IFERROR(INDEX([8]Code!K$8:K$33,MATCH('[8]$MRD-Annex'!$BG57,[8]Code!$G$8:$G$33,0)),"")</f>
        <v>0.10527923922270058</v>
      </c>
      <c r="X56" s="1251">
        <f>IFERROR(INDEX([8]Code!L$8:L$33,MATCH('[8]$MRD-Annex'!$BG57,[8]Code!$G$8:$G$33,0)),"")</f>
        <v>0</v>
      </c>
      <c r="Y56" s="1252">
        <f>IFERROR(INDEX([8]Code!M$8:M$33,MATCH('[8]$MRD-Annex'!$BG57,[8]Code!$G$8:$G$33,0)),"")</f>
        <v>0</v>
      </c>
      <c r="Z56" s="1253">
        <f t="shared" si="72"/>
        <v>0</v>
      </c>
      <c r="AA56" s="1254">
        <f t="shared" si="72"/>
        <v>95.062357584131306</v>
      </c>
      <c r="AB56" s="1254">
        <f t="shared" si="72"/>
        <v>95.062357584131306</v>
      </c>
      <c r="AC56" s="1254">
        <f t="shared" si="72"/>
        <v>95.062357584131306</v>
      </c>
      <c r="AD56" s="1255">
        <f t="shared" si="80"/>
        <v>285.18707275239393</v>
      </c>
      <c r="AE56" s="1253">
        <f t="shared" si="73"/>
        <v>0</v>
      </c>
      <c r="AF56" s="1254">
        <f t="shared" si="73"/>
        <v>15.646452583104304</v>
      </c>
      <c r="AG56" s="1254">
        <f t="shared" si="73"/>
        <v>15.646452583104304</v>
      </c>
      <c r="AH56" s="1254">
        <f t="shared" si="73"/>
        <v>15.646452583104304</v>
      </c>
      <c r="AI56" s="1255">
        <f t="shared" si="73"/>
        <v>46.939357749312919</v>
      </c>
      <c r="AJ56" s="1254">
        <f t="shared" si="74"/>
        <v>0</v>
      </c>
      <c r="AK56" s="1254">
        <f t="shared" si="74"/>
        <v>13.02678983276439</v>
      </c>
      <c r="AL56" s="1254">
        <f t="shared" si="74"/>
        <v>13.02678983276439</v>
      </c>
      <c r="AM56" s="1254">
        <f t="shared" si="74"/>
        <v>13.02678983276439</v>
      </c>
      <c r="AN56" s="1256">
        <f t="shared" si="81"/>
        <v>39.080369498293166</v>
      </c>
      <c r="AO56" s="1253">
        <f t="shared" si="75"/>
        <v>0</v>
      </c>
      <c r="AP56" s="1254">
        <f t="shared" si="75"/>
        <v>0</v>
      </c>
      <c r="AQ56" s="1254">
        <f t="shared" si="75"/>
        <v>0</v>
      </c>
      <c r="AR56" s="1254">
        <f t="shared" si="75"/>
        <v>0</v>
      </c>
      <c r="AS56" s="1257">
        <f t="shared" si="82"/>
        <v>0</v>
      </c>
      <c r="AT56" s="1253">
        <f t="shared" si="76"/>
        <v>0</v>
      </c>
      <c r="AU56" s="1254">
        <f t="shared" si="76"/>
        <v>0</v>
      </c>
      <c r="AV56" s="1254">
        <f t="shared" si="76"/>
        <v>0</v>
      </c>
      <c r="AW56" s="1254">
        <f t="shared" si="76"/>
        <v>0</v>
      </c>
      <c r="AX56" s="1257">
        <f t="shared" si="83"/>
        <v>0</v>
      </c>
      <c r="AY56" s="1258">
        <f t="shared" si="77"/>
        <v>285.18707275239393</v>
      </c>
      <c r="AZ56" s="1264">
        <f t="shared" si="78"/>
        <v>46.939357749312919</v>
      </c>
      <c r="BA56" s="1264">
        <f t="shared" si="78"/>
        <v>39.080369498293173</v>
      </c>
      <c r="BB56" s="1264">
        <f t="shared" si="78"/>
        <v>0</v>
      </c>
      <c r="BC56" s="1263">
        <f t="shared" si="78"/>
        <v>0</v>
      </c>
      <c r="BD56" s="82"/>
      <c r="BE56" s="568" t="s">
        <v>366</v>
      </c>
      <c r="BF56" s="568" t="s">
        <v>366</v>
      </c>
      <c r="BG56" s="591" t="str">
        <f>IFERROR(INDEX('Annex 2_Code'!$J$110:$J$127,MATCH('Annex 5_MRD'!BE56,'Annex 2_Code'!$G$110:$G$127,0)),"")</f>
        <v>MRD</v>
      </c>
      <c r="BH56" s="1565" t="str">
        <f t="shared" si="18"/>
        <v>MRD</v>
      </c>
      <c r="BI56" s="82"/>
    </row>
    <row r="57" spans="1:61" s="95" customFormat="1" ht="14.25">
      <c r="A57" s="75"/>
      <c r="B57" s="76" t="s">
        <v>24</v>
      </c>
      <c r="C57" s="76" t="s">
        <v>307</v>
      </c>
      <c r="D57" s="78"/>
      <c r="E57" s="85"/>
      <c r="F57" s="66" t="s">
        <v>938</v>
      </c>
      <c r="G57" s="85"/>
      <c r="H57" s="1755" t="s">
        <v>1095</v>
      </c>
      <c r="I57" s="773">
        <v>4</v>
      </c>
      <c r="J57" s="1026">
        <v>4.0000000000000001E-3</v>
      </c>
      <c r="K57" s="2245">
        <v>0</v>
      </c>
      <c r="L57" s="2245">
        <v>11457</v>
      </c>
      <c r="M57" s="2245">
        <v>11457</v>
      </c>
      <c r="N57" s="2245">
        <v>11457</v>
      </c>
      <c r="O57" s="1262">
        <f t="shared" si="79"/>
        <v>34371</v>
      </c>
      <c r="P57" s="2258">
        <f t="shared" si="67"/>
        <v>0</v>
      </c>
      <c r="Q57" s="2258">
        <f t="shared" si="68"/>
        <v>45.828000000000003</v>
      </c>
      <c r="R57" s="2258">
        <f t="shared" si="69"/>
        <v>45.828000000000003</v>
      </c>
      <c r="S57" s="2258">
        <f t="shared" si="70"/>
        <v>45.828000000000003</v>
      </c>
      <c r="T57" s="1263">
        <f t="shared" si="71"/>
        <v>137.48400000000001</v>
      </c>
      <c r="U57" s="1250">
        <f>IFERROR(INDEX([8]Code!I$8:I$33,MATCH('[8]$MRD-Annex'!$BG58,[8]Code!$G$8:$G$33,0)),"")</f>
        <v>0.76827006604510995</v>
      </c>
      <c r="V57" s="1251">
        <f>IFERROR(INDEX([8]Code!J$8:J$33,MATCH('[8]$MRD-Annex'!$BG58,[8]Code!$G$8:$G$33,0)),"")</f>
        <v>0.12645069473218948</v>
      </c>
      <c r="W57" s="1251">
        <f>IFERROR(INDEX([8]Code!K$8:K$33,MATCH('[8]$MRD-Annex'!$BG58,[8]Code!$G$8:$G$33,0)),"")</f>
        <v>0.10527923922270058</v>
      </c>
      <c r="X57" s="1251">
        <f>IFERROR(INDEX([8]Code!L$8:L$33,MATCH('[8]$MRD-Annex'!$BG58,[8]Code!$G$8:$G$33,0)),"")</f>
        <v>0</v>
      </c>
      <c r="Y57" s="1252">
        <f>IFERROR(INDEX([8]Code!M$8:M$33,MATCH('[8]$MRD-Annex'!$BG58,[8]Code!$G$8:$G$33,0)),"")</f>
        <v>0</v>
      </c>
      <c r="Z57" s="1253">
        <f t="shared" si="72"/>
        <v>0</v>
      </c>
      <c r="AA57" s="1254">
        <f t="shared" si="72"/>
        <v>35.208280586715304</v>
      </c>
      <c r="AB57" s="1254">
        <f t="shared" si="72"/>
        <v>35.208280586715304</v>
      </c>
      <c r="AC57" s="1254">
        <f t="shared" si="72"/>
        <v>35.208280586715304</v>
      </c>
      <c r="AD57" s="1255">
        <f t="shared" si="80"/>
        <v>105.62484176014591</v>
      </c>
      <c r="AE57" s="1253">
        <f t="shared" si="73"/>
        <v>0</v>
      </c>
      <c r="AF57" s="1254">
        <f t="shared" si="73"/>
        <v>5.7949824381867794</v>
      </c>
      <c r="AG57" s="1254">
        <f t="shared" si="73"/>
        <v>5.7949824381867794</v>
      </c>
      <c r="AH57" s="1254">
        <f t="shared" si="73"/>
        <v>5.7949824381867794</v>
      </c>
      <c r="AI57" s="1255">
        <f t="shared" si="73"/>
        <v>17.384947314560339</v>
      </c>
      <c r="AJ57" s="1254">
        <f t="shared" si="74"/>
        <v>0</v>
      </c>
      <c r="AK57" s="1254">
        <f t="shared" si="74"/>
        <v>4.8247369750979221</v>
      </c>
      <c r="AL57" s="1254">
        <f t="shared" si="74"/>
        <v>4.8247369750979221</v>
      </c>
      <c r="AM57" s="1254">
        <f t="shared" si="74"/>
        <v>4.8247369750979221</v>
      </c>
      <c r="AN57" s="1256">
        <f t="shared" si="81"/>
        <v>14.474210925293766</v>
      </c>
      <c r="AO57" s="1253">
        <f t="shared" si="75"/>
        <v>0</v>
      </c>
      <c r="AP57" s="1254">
        <f t="shared" si="75"/>
        <v>0</v>
      </c>
      <c r="AQ57" s="1254">
        <f t="shared" si="75"/>
        <v>0</v>
      </c>
      <c r="AR57" s="1254">
        <f t="shared" si="75"/>
        <v>0</v>
      </c>
      <c r="AS57" s="1257">
        <f t="shared" si="82"/>
        <v>0</v>
      </c>
      <c r="AT57" s="1253">
        <f t="shared" si="76"/>
        <v>0</v>
      </c>
      <c r="AU57" s="1254">
        <f t="shared" si="76"/>
        <v>0</v>
      </c>
      <c r="AV57" s="1254">
        <f t="shared" si="76"/>
        <v>0</v>
      </c>
      <c r="AW57" s="1254">
        <f t="shared" si="76"/>
        <v>0</v>
      </c>
      <c r="AX57" s="1257">
        <f t="shared" si="83"/>
        <v>0</v>
      </c>
      <c r="AY57" s="1258">
        <f t="shared" si="77"/>
        <v>105.6248417601459</v>
      </c>
      <c r="AZ57" s="1264">
        <f t="shared" si="78"/>
        <v>17.384947314560339</v>
      </c>
      <c r="BA57" s="1264">
        <f t="shared" si="78"/>
        <v>14.474210925293766</v>
      </c>
      <c r="BB57" s="1264">
        <f t="shared" si="78"/>
        <v>0</v>
      </c>
      <c r="BC57" s="1263">
        <f t="shared" si="78"/>
        <v>0</v>
      </c>
      <c r="BD57" s="82"/>
      <c r="BE57" s="568" t="s">
        <v>366</v>
      </c>
      <c r="BF57" s="568" t="s">
        <v>366</v>
      </c>
      <c r="BG57" s="591" t="str">
        <f>IFERROR(INDEX('Annex 2_Code'!$J$110:$J$127,MATCH('Annex 5_MRD'!BE57,'Annex 2_Code'!$G$110:$G$127,0)),"")</f>
        <v>MRD</v>
      </c>
      <c r="BH57" s="1565" t="str">
        <f t="shared" si="18"/>
        <v>MRD</v>
      </c>
      <c r="BI57" s="82"/>
    </row>
    <row r="58" spans="1:61" s="95" customFormat="1" ht="14.25">
      <c r="A58" s="75"/>
      <c r="B58" s="76" t="s">
        <v>24</v>
      </c>
      <c r="C58" s="76" t="s">
        <v>307</v>
      </c>
      <c r="D58" s="78"/>
      <c r="E58" s="85"/>
      <c r="F58" s="66" t="s">
        <v>939</v>
      </c>
      <c r="G58" s="85"/>
      <c r="H58" s="1755" t="s">
        <v>1095</v>
      </c>
      <c r="I58" s="773">
        <v>3.5</v>
      </c>
      <c r="J58" s="1026">
        <v>3.5000000000000001E-3</v>
      </c>
      <c r="K58" s="2245">
        <v>0</v>
      </c>
      <c r="L58" s="2245">
        <v>7075.2000000000016</v>
      </c>
      <c r="M58" s="2245">
        <v>7075.2000000000016</v>
      </c>
      <c r="N58" s="2245">
        <v>7075.2000000000016</v>
      </c>
      <c r="O58" s="1262">
        <f t="shared" si="79"/>
        <v>21225.600000000006</v>
      </c>
      <c r="P58" s="2258">
        <f t="shared" si="67"/>
        <v>0</v>
      </c>
      <c r="Q58" s="2258">
        <f t="shared" si="68"/>
        <v>24.763200000000005</v>
      </c>
      <c r="R58" s="2258">
        <f t="shared" si="69"/>
        <v>24.763200000000005</v>
      </c>
      <c r="S58" s="2258">
        <f t="shared" si="70"/>
        <v>24.763200000000005</v>
      </c>
      <c r="T58" s="1263">
        <f t="shared" si="71"/>
        <v>74.289600000000007</v>
      </c>
      <c r="U58" s="1250">
        <f>IFERROR(INDEX([8]Code!I$8:I$33,MATCH('[8]$MRD-Annex'!$BG59,[8]Code!$G$8:$G$33,0)),"")</f>
        <v>0.76827006604510995</v>
      </c>
      <c r="V58" s="1251">
        <f>IFERROR(INDEX([8]Code!J$8:J$33,MATCH('[8]$MRD-Annex'!$BG59,[8]Code!$G$8:$G$33,0)),"")</f>
        <v>0.12645069473218948</v>
      </c>
      <c r="W58" s="1251">
        <f>IFERROR(INDEX([8]Code!K$8:K$33,MATCH('[8]$MRD-Annex'!$BG59,[8]Code!$G$8:$G$33,0)),"")</f>
        <v>0.10527923922270058</v>
      </c>
      <c r="X58" s="1251">
        <f>IFERROR(INDEX([8]Code!L$8:L$33,MATCH('[8]$MRD-Annex'!$BG59,[8]Code!$G$8:$G$33,0)),"")</f>
        <v>0</v>
      </c>
      <c r="Y58" s="1252">
        <f>IFERROR(INDEX([8]Code!M$8:M$33,MATCH('[8]$MRD-Annex'!$BG59,[8]Code!$G$8:$G$33,0)),"")</f>
        <v>0</v>
      </c>
      <c r="Z58" s="1253">
        <f t="shared" si="72"/>
        <v>0</v>
      </c>
      <c r="AA58" s="1254">
        <f t="shared" si="72"/>
        <v>19.024825299488271</v>
      </c>
      <c r="AB58" s="1254">
        <f t="shared" si="72"/>
        <v>19.024825299488271</v>
      </c>
      <c r="AC58" s="1254">
        <f t="shared" si="72"/>
        <v>19.024825299488271</v>
      </c>
      <c r="AD58" s="1255">
        <f t="shared" si="80"/>
        <v>57.074475898464812</v>
      </c>
      <c r="AE58" s="1253">
        <f t="shared" si="73"/>
        <v>0</v>
      </c>
      <c r="AF58" s="1254">
        <f t="shared" si="73"/>
        <v>3.1313238437921549</v>
      </c>
      <c r="AG58" s="1254">
        <f t="shared" si="73"/>
        <v>3.1313238437921549</v>
      </c>
      <c r="AH58" s="1254">
        <f t="shared" si="73"/>
        <v>3.1313238437921549</v>
      </c>
      <c r="AI58" s="1255">
        <f t="shared" si="73"/>
        <v>9.3939715313764651</v>
      </c>
      <c r="AJ58" s="1254">
        <f t="shared" si="74"/>
        <v>0</v>
      </c>
      <c r="AK58" s="1254">
        <f t="shared" si="74"/>
        <v>2.6070508567195794</v>
      </c>
      <c r="AL58" s="1254">
        <f t="shared" si="74"/>
        <v>2.6070508567195794</v>
      </c>
      <c r="AM58" s="1254">
        <f t="shared" si="74"/>
        <v>2.6070508567195794</v>
      </c>
      <c r="AN58" s="1256">
        <f t="shared" si="81"/>
        <v>7.8211525701587377</v>
      </c>
      <c r="AO58" s="1253">
        <f t="shared" si="75"/>
        <v>0</v>
      </c>
      <c r="AP58" s="1254">
        <f t="shared" si="75"/>
        <v>0</v>
      </c>
      <c r="AQ58" s="1254">
        <f t="shared" si="75"/>
        <v>0</v>
      </c>
      <c r="AR58" s="1254">
        <f t="shared" si="75"/>
        <v>0</v>
      </c>
      <c r="AS58" s="1257">
        <f t="shared" si="82"/>
        <v>0</v>
      </c>
      <c r="AT58" s="1253">
        <f t="shared" si="76"/>
        <v>0</v>
      </c>
      <c r="AU58" s="1254">
        <f t="shared" si="76"/>
        <v>0</v>
      </c>
      <c r="AV58" s="1254">
        <f t="shared" si="76"/>
        <v>0</v>
      </c>
      <c r="AW58" s="1254">
        <f t="shared" si="76"/>
        <v>0</v>
      </c>
      <c r="AX58" s="1257">
        <f t="shared" si="83"/>
        <v>0</v>
      </c>
      <c r="AY58" s="1258">
        <f t="shared" si="77"/>
        <v>57.074475898464804</v>
      </c>
      <c r="AZ58" s="1264">
        <f t="shared" si="78"/>
        <v>9.3939715313764651</v>
      </c>
      <c r="BA58" s="1264">
        <f t="shared" si="78"/>
        <v>7.8211525701587377</v>
      </c>
      <c r="BB58" s="1264">
        <f t="shared" si="78"/>
        <v>0</v>
      </c>
      <c r="BC58" s="1263">
        <f t="shared" si="78"/>
        <v>0</v>
      </c>
      <c r="BD58" s="82"/>
      <c r="BE58" s="568" t="s">
        <v>366</v>
      </c>
      <c r="BF58" s="568" t="s">
        <v>366</v>
      </c>
      <c r="BG58" s="591" t="str">
        <f>IFERROR(INDEX('Annex 2_Code'!$J$110:$J$127,MATCH('Annex 5_MRD'!BE58,'Annex 2_Code'!$G$110:$G$127,0)),"")</f>
        <v>MRD</v>
      </c>
      <c r="BH58" s="1565" t="str">
        <f t="shared" si="18"/>
        <v>MRD</v>
      </c>
      <c r="BI58" s="82"/>
    </row>
    <row r="59" spans="1:61" s="95" customFormat="1" ht="14.25">
      <c r="A59" s="75"/>
      <c r="B59" s="76" t="s">
        <v>24</v>
      </c>
      <c r="C59" s="76" t="s">
        <v>307</v>
      </c>
      <c r="D59" s="78"/>
      <c r="E59" s="85"/>
      <c r="F59" s="66" t="s">
        <v>940</v>
      </c>
      <c r="G59" s="85"/>
      <c r="H59" s="1755" t="s">
        <v>1095</v>
      </c>
      <c r="I59" s="773">
        <v>1.45</v>
      </c>
      <c r="J59" s="1026">
        <v>1.4499999999999999E-3</v>
      </c>
      <c r="K59" s="2245">
        <v>0</v>
      </c>
      <c r="L59" s="2245">
        <v>19698</v>
      </c>
      <c r="M59" s="2245">
        <v>19698</v>
      </c>
      <c r="N59" s="2245">
        <v>19698</v>
      </c>
      <c r="O59" s="1262">
        <f t="shared" si="79"/>
        <v>59094</v>
      </c>
      <c r="P59" s="2258">
        <f t="shared" si="67"/>
        <v>0</v>
      </c>
      <c r="Q59" s="2258">
        <f t="shared" si="68"/>
        <v>28.562099999999997</v>
      </c>
      <c r="R59" s="2258">
        <f t="shared" si="69"/>
        <v>28.562099999999997</v>
      </c>
      <c r="S59" s="2258">
        <f t="shared" si="70"/>
        <v>28.562099999999997</v>
      </c>
      <c r="T59" s="1263">
        <f t="shared" si="71"/>
        <v>85.686299999999989</v>
      </c>
      <c r="U59" s="1250">
        <f>IFERROR(INDEX([8]Code!I$8:I$33,MATCH('[8]$MRD-Annex'!$BG60,[8]Code!$G$8:$G$33,0)),"")</f>
        <v>0.76827006604510995</v>
      </c>
      <c r="V59" s="1251">
        <f>IFERROR(INDEX([8]Code!J$8:J$33,MATCH('[8]$MRD-Annex'!$BG60,[8]Code!$G$8:$G$33,0)),"")</f>
        <v>0.12645069473218948</v>
      </c>
      <c r="W59" s="1251">
        <f>IFERROR(INDEX([8]Code!K$8:K$33,MATCH('[8]$MRD-Annex'!$BG60,[8]Code!$G$8:$G$33,0)),"")</f>
        <v>0.10527923922270058</v>
      </c>
      <c r="X59" s="1251">
        <f>IFERROR(INDEX([8]Code!L$8:L$33,MATCH('[8]$MRD-Annex'!$BG60,[8]Code!$G$8:$G$33,0)),"")</f>
        <v>0</v>
      </c>
      <c r="Y59" s="1252">
        <f>IFERROR(INDEX([8]Code!M$8:M$33,MATCH('[8]$MRD-Annex'!$BG60,[8]Code!$G$8:$G$33,0)),"")</f>
        <v>0</v>
      </c>
      <c r="Z59" s="1253">
        <f t="shared" si="72"/>
        <v>0</v>
      </c>
      <c r="AA59" s="1254">
        <f t="shared" si="72"/>
        <v>21.943406453387034</v>
      </c>
      <c r="AB59" s="1254">
        <f t="shared" si="72"/>
        <v>21.943406453387034</v>
      </c>
      <c r="AC59" s="1254">
        <f t="shared" si="72"/>
        <v>21.943406453387034</v>
      </c>
      <c r="AD59" s="1255">
        <f t="shared" si="80"/>
        <v>65.830219360161095</v>
      </c>
      <c r="AE59" s="1253">
        <f t="shared" si="73"/>
        <v>0</v>
      </c>
      <c r="AF59" s="1254">
        <f t="shared" si="73"/>
        <v>3.6116973880102687</v>
      </c>
      <c r="AG59" s="1254">
        <f t="shared" si="73"/>
        <v>3.6116973880102687</v>
      </c>
      <c r="AH59" s="1254">
        <f t="shared" si="73"/>
        <v>3.6116973880102687</v>
      </c>
      <c r="AI59" s="1255">
        <f t="shared" si="73"/>
        <v>10.835092164030806</v>
      </c>
      <c r="AJ59" s="1254">
        <f t="shared" si="74"/>
        <v>0</v>
      </c>
      <c r="AK59" s="1254">
        <f t="shared" si="74"/>
        <v>3.0069961586026959</v>
      </c>
      <c r="AL59" s="1254">
        <f t="shared" si="74"/>
        <v>3.0069961586026959</v>
      </c>
      <c r="AM59" s="1254">
        <f t="shared" si="74"/>
        <v>3.0069961586026959</v>
      </c>
      <c r="AN59" s="1256">
        <f t="shared" si="81"/>
        <v>9.0209884758080872</v>
      </c>
      <c r="AO59" s="1253">
        <f t="shared" si="75"/>
        <v>0</v>
      </c>
      <c r="AP59" s="1254">
        <f t="shared" si="75"/>
        <v>0</v>
      </c>
      <c r="AQ59" s="1254">
        <f t="shared" si="75"/>
        <v>0</v>
      </c>
      <c r="AR59" s="1254">
        <f t="shared" si="75"/>
        <v>0</v>
      </c>
      <c r="AS59" s="1257">
        <f t="shared" si="82"/>
        <v>0</v>
      </c>
      <c r="AT59" s="1253">
        <f t="shared" si="76"/>
        <v>0</v>
      </c>
      <c r="AU59" s="1254">
        <f t="shared" si="76"/>
        <v>0</v>
      </c>
      <c r="AV59" s="1254">
        <f t="shared" si="76"/>
        <v>0</v>
      </c>
      <c r="AW59" s="1254">
        <f t="shared" si="76"/>
        <v>0</v>
      </c>
      <c r="AX59" s="1257">
        <f t="shared" si="83"/>
        <v>0</v>
      </c>
      <c r="AY59" s="1258">
        <f t="shared" si="77"/>
        <v>65.830219360161095</v>
      </c>
      <c r="AZ59" s="1264">
        <f t="shared" si="78"/>
        <v>10.835092164030806</v>
      </c>
      <c r="BA59" s="1264">
        <f t="shared" si="78"/>
        <v>9.0209884758080872</v>
      </c>
      <c r="BB59" s="1264">
        <f t="shared" si="78"/>
        <v>0</v>
      </c>
      <c r="BC59" s="1263">
        <f t="shared" si="78"/>
        <v>0</v>
      </c>
      <c r="BD59" s="82"/>
      <c r="BE59" s="568" t="s">
        <v>366</v>
      </c>
      <c r="BF59" s="568" t="s">
        <v>366</v>
      </c>
      <c r="BG59" s="591" t="str">
        <f>IFERROR(INDEX('Annex 2_Code'!$J$110:$J$127,MATCH('Annex 5_MRD'!BE59,'Annex 2_Code'!$G$110:$G$127,0)),"")</f>
        <v>MRD</v>
      </c>
      <c r="BH59" s="1565" t="str">
        <f t="shared" si="18"/>
        <v>MRD</v>
      </c>
      <c r="BI59" s="82"/>
    </row>
    <row r="60" spans="1:61" s="95" customFormat="1">
      <c r="A60" s="75"/>
      <c r="B60" s="76" t="s">
        <v>24</v>
      </c>
      <c r="C60" s="76" t="s">
        <v>307</v>
      </c>
      <c r="D60" s="78"/>
      <c r="E60" s="85"/>
      <c r="F60" s="66" t="s">
        <v>308</v>
      </c>
      <c r="G60" s="85"/>
      <c r="H60" s="1756" t="s">
        <v>309</v>
      </c>
      <c r="I60" s="1570">
        <v>52260.000000000007</v>
      </c>
      <c r="J60" s="1026">
        <v>52.260000000000005</v>
      </c>
      <c r="K60" s="2246">
        <v>0</v>
      </c>
      <c r="L60" s="2246">
        <v>0.15</v>
      </c>
      <c r="M60" s="2246">
        <v>0.15</v>
      </c>
      <c r="N60" s="2246">
        <v>0.25</v>
      </c>
      <c r="O60" s="1262">
        <f>SUM(K60:N60)</f>
        <v>0.55000000000000004</v>
      </c>
      <c r="P60" s="2258">
        <f t="shared" si="67"/>
        <v>0</v>
      </c>
      <c r="Q60" s="2258">
        <f t="shared" si="68"/>
        <v>7.8390000000000013</v>
      </c>
      <c r="R60" s="2258">
        <f t="shared" si="69"/>
        <v>7.8390000000000013</v>
      </c>
      <c r="S60" s="2258">
        <f t="shared" si="70"/>
        <v>13.065000000000001</v>
      </c>
      <c r="T60" s="1263">
        <f t="shared" si="71"/>
        <v>28.743000000000002</v>
      </c>
      <c r="U60" s="1250">
        <f>IFERROR(INDEX([8]Code!I$8:I$33,MATCH('[8]$MRD-Annex'!$BG61,[8]Code!$G$8:$G$33,0)),"")</f>
        <v>0.76827006604510995</v>
      </c>
      <c r="V60" s="1251">
        <f>IFERROR(INDEX([8]Code!J$8:J$33,MATCH('[8]$MRD-Annex'!$BG61,[8]Code!$G$8:$G$33,0)),"")</f>
        <v>0.12645069473218948</v>
      </c>
      <c r="W60" s="1251">
        <f>IFERROR(INDEX([8]Code!K$8:K$33,MATCH('[8]$MRD-Annex'!$BG61,[8]Code!$G$8:$G$33,0)),"")</f>
        <v>0.10527923922270058</v>
      </c>
      <c r="X60" s="1251">
        <f>IFERROR(INDEX([8]Code!L$8:L$33,MATCH('[8]$MRD-Annex'!$BG61,[8]Code!$G$8:$G$33,0)),"")</f>
        <v>0</v>
      </c>
      <c r="Y60" s="1252">
        <f>IFERROR(INDEX([8]Code!M$8:M$33,MATCH('[8]$MRD-Annex'!$BG61,[8]Code!$G$8:$G$33,0)),"")</f>
        <v>0</v>
      </c>
      <c r="Z60" s="1253">
        <f t="shared" si="72"/>
        <v>0</v>
      </c>
      <c r="AA60" s="1254">
        <f t="shared" si="72"/>
        <v>6.0224690477276175</v>
      </c>
      <c r="AB60" s="1254">
        <f t="shared" si="72"/>
        <v>6.0224690477276175</v>
      </c>
      <c r="AC60" s="1254">
        <f t="shared" si="72"/>
        <v>10.037448412879362</v>
      </c>
      <c r="AD60" s="1255">
        <f t="shared" si="80"/>
        <v>22.082386508334597</v>
      </c>
      <c r="AE60" s="1253">
        <f t="shared" si="73"/>
        <v>0</v>
      </c>
      <c r="AF60" s="1254">
        <f t="shared" si="73"/>
        <v>0.99124699600563349</v>
      </c>
      <c r="AG60" s="1254">
        <f t="shared" si="73"/>
        <v>0.99124699600563349</v>
      </c>
      <c r="AH60" s="1254">
        <f t="shared" si="73"/>
        <v>1.6520783266760557</v>
      </c>
      <c r="AI60" s="1255">
        <f t="shared" si="73"/>
        <v>3.6345723186873222</v>
      </c>
      <c r="AJ60" s="1254">
        <f t="shared" si="74"/>
        <v>0</v>
      </c>
      <c r="AK60" s="1254">
        <f t="shared" si="74"/>
        <v>0.82528395626675</v>
      </c>
      <c r="AL60" s="1254">
        <f t="shared" si="74"/>
        <v>0.82528395626675</v>
      </c>
      <c r="AM60" s="1254">
        <f t="shared" si="74"/>
        <v>1.3754732604445832</v>
      </c>
      <c r="AN60" s="1256">
        <f t="shared" si="81"/>
        <v>3.0260411729780832</v>
      </c>
      <c r="AO60" s="1253">
        <f t="shared" si="75"/>
        <v>0</v>
      </c>
      <c r="AP60" s="1254">
        <f t="shared" si="75"/>
        <v>0</v>
      </c>
      <c r="AQ60" s="1254">
        <f t="shared" si="75"/>
        <v>0</v>
      </c>
      <c r="AR60" s="1254">
        <f t="shared" si="75"/>
        <v>0</v>
      </c>
      <c r="AS60" s="1257">
        <f t="shared" si="82"/>
        <v>0</v>
      </c>
      <c r="AT60" s="1253">
        <f t="shared" si="76"/>
        <v>0</v>
      </c>
      <c r="AU60" s="1254">
        <f t="shared" si="76"/>
        <v>0</v>
      </c>
      <c r="AV60" s="1254">
        <f t="shared" si="76"/>
        <v>0</v>
      </c>
      <c r="AW60" s="1254">
        <f t="shared" si="76"/>
        <v>0</v>
      </c>
      <c r="AX60" s="1257">
        <f t="shared" si="83"/>
        <v>0</v>
      </c>
      <c r="AY60" s="1258">
        <f t="shared" si="77"/>
        <v>22.082386508334597</v>
      </c>
      <c r="AZ60" s="1264">
        <f t="shared" si="78"/>
        <v>3.6345723186873222</v>
      </c>
      <c r="BA60" s="1264">
        <f t="shared" si="78"/>
        <v>3.0260411729780827</v>
      </c>
      <c r="BB60" s="1264">
        <f t="shared" si="78"/>
        <v>0</v>
      </c>
      <c r="BC60" s="1263">
        <f t="shared" si="78"/>
        <v>0</v>
      </c>
      <c r="BD60" s="82"/>
      <c r="BE60" s="568" t="s">
        <v>366</v>
      </c>
      <c r="BF60" s="568" t="s">
        <v>366</v>
      </c>
      <c r="BG60" s="591" t="str">
        <f>IFERROR(INDEX('Annex 2_Code'!$J$110:$J$127,MATCH('Annex 5_MRD'!BE60,'Annex 2_Code'!$G$110:$G$127,0)),"")</f>
        <v>MRD</v>
      </c>
      <c r="BH60" s="1565" t="str">
        <f t="shared" si="18"/>
        <v>MRD</v>
      </c>
      <c r="BI60" s="82"/>
    </row>
    <row r="61" spans="1:61" s="95" customFormat="1">
      <c r="A61" s="75"/>
      <c r="B61" s="76" t="s">
        <v>24</v>
      </c>
      <c r="C61" s="76" t="s">
        <v>307</v>
      </c>
      <c r="D61" s="78"/>
      <c r="E61" s="85"/>
      <c r="F61" s="66" t="s">
        <v>310</v>
      </c>
      <c r="G61" s="85"/>
      <c r="H61" s="1756" t="s">
        <v>309</v>
      </c>
      <c r="I61" s="1570">
        <v>241200.00000000003</v>
      </c>
      <c r="J61" s="1026">
        <v>241.20000000000002</v>
      </c>
      <c r="K61" s="2246">
        <v>0</v>
      </c>
      <c r="L61" s="2246">
        <v>0.15</v>
      </c>
      <c r="M61" s="2246">
        <v>0.15</v>
      </c>
      <c r="N61" s="2246">
        <v>0.25</v>
      </c>
      <c r="O61" s="1262">
        <f t="shared" si="79"/>
        <v>0.55000000000000004</v>
      </c>
      <c r="P61" s="2258">
        <f t="shared" si="67"/>
        <v>0</v>
      </c>
      <c r="Q61" s="2258">
        <f t="shared" si="68"/>
        <v>36.18</v>
      </c>
      <c r="R61" s="2258">
        <f t="shared" si="69"/>
        <v>36.18</v>
      </c>
      <c r="S61" s="2258">
        <f t="shared" si="70"/>
        <v>60.300000000000004</v>
      </c>
      <c r="T61" s="1263">
        <f t="shared" si="71"/>
        <v>132.66</v>
      </c>
      <c r="U61" s="1250">
        <f>IFERROR(INDEX([8]Code!I$8:I$33,MATCH('[8]$MRD-Annex'!$BG62,[8]Code!$G$8:$G$33,0)),"")</f>
        <v>0.76827006604510995</v>
      </c>
      <c r="V61" s="1251">
        <f>IFERROR(INDEX([8]Code!J$8:J$33,MATCH('[8]$MRD-Annex'!$BG62,[8]Code!$G$8:$G$33,0)),"")</f>
        <v>0.12645069473218948</v>
      </c>
      <c r="W61" s="1251">
        <f>IFERROR(INDEX([8]Code!K$8:K$33,MATCH('[8]$MRD-Annex'!$BG62,[8]Code!$G$8:$G$33,0)),"")</f>
        <v>0.10527923922270058</v>
      </c>
      <c r="X61" s="1251">
        <f>IFERROR(INDEX([8]Code!L$8:L$33,MATCH('[8]$MRD-Annex'!$BG62,[8]Code!$G$8:$G$33,0)),"")</f>
        <v>0</v>
      </c>
      <c r="Y61" s="1252">
        <f>IFERROR(INDEX([8]Code!M$8:M$33,MATCH('[8]$MRD-Annex'!$BG62,[8]Code!$G$8:$G$33,0)),"")</f>
        <v>0</v>
      </c>
      <c r="Z61" s="1253">
        <f t="shared" si="72"/>
        <v>0</v>
      </c>
      <c r="AA61" s="1254">
        <f t="shared" si="72"/>
        <v>27.796010989512077</v>
      </c>
      <c r="AB61" s="1254">
        <f t="shared" si="72"/>
        <v>27.796010989512077</v>
      </c>
      <c r="AC61" s="1254">
        <f t="shared" si="72"/>
        <v>46.326684982520135</v>
      </c>
      <c r="AD61" s="1255">
        <f t="shared" si="80"/>
        <v>101.91870696154429</v>
      </c>
      <c r="AE61" s="1253">
        <f t="shared" si="73"/>
        <v>0</v>
      </c>
      <c r="AF61" s="1254">
        <f t="shared" si="73"/>
        <v>4.5749861354106152</v>
      </c>
      <c r="AG61" s="1254">
        <f t="shared" si="73"/>
        <v>4.5749861354106152</v>
      </c>
      <c r="AH61" s="1254">
        <f t="shared" si="73"/>
        <v>7.6249768923510262</v>
      </c>
      <c r="AI61" s="1255">
        <f t="shared" si="73"/>
        <v>16.774949163172256</v>
      </c>
      <c r="AJ61" s="1254">
        <f t="shared" si="74"/>
        <v>0</v>
      </c>
      <c r="AK61" s="1254">
        <f t="shared" si="74"/>
        <v>3.8090028750773071</v>
      </c>
      <c r="AL61" s="1254">
        <f t="shared" si="74"/>
        <v>3.8090028750773071</v>
      </c>
      <c r="AM61" s="1254">
        <f t="shared" si="74"/>
        <v>6.3483381251288451</v>
      </c>
      <c r="AN61" s="1256">
        <f t="shared" si="81"/>
        <v>13.96634387528346</v>
      </c>
      <c r="AO61" s="1253">
        <f t="shared" si="75"/>
        <v>0</v>
      </c>
      <c r="AP61" s="1254">
        <f t="shared" si="75"/>
        <v>0</v>
      </c>
      <c r="AQ61" s="1254">
        <f t="shared" si="75"/>
        <v>0</v>
      </c>
      <c r="AR61" s="1254">
        <f t="shared" si="75"/>
        <v>0</v>
      </c>
      <c r="AS61" s="1257">
        <f t="shared" si="82"/>
        <v>0</v>
      </c>
      <c r="AT61" s="1253">
        <f t="shared" si="76"/>
        <v>0</v>
      </c>
      <c r="AU61" s="1254">
        <f t="shared" si="76"/>
        <v>0</v>
      </c>
      <c r="AV61" s="1254">
        <f t="shared" si="76"/>
        <v>0</v>
      </c>
      <c r="AW61" s="1254">
        <f t="shared" si="76"/>
        <v>0</v>
      </c>
      <c r="AX61" s="1257">
        <f t="shared" si="83"/>
        <v>0</v>
      </c>
      <c r="AY61" s="1258">
        <f t="shared" si="77"/>
        <v>101.91870696154429</v>
      </c>
      <c r="AZ61" s="1264">
        <f t="shared" si="78"/>
        <v>16.774949163172256</v>
      </c>
      <c r="BA61" s="1264">
        <f t="shared" si="78"/>
        <v>13.966343875283458</v>
      </c>
      <c r="BB61" s="1264">
        <f t="shared" si="78"/>
        <v>0</v>
      </c>
      <c r="BC61" s="1263">
        <f t="shared" si="78"/>
        <v>0</v>
      </c>
      <c r="BD61" s="82"/>
      <c r="BE61" s="568" t="s">
        <v>366</v>
      </c>
      <c r="BF61" s="568" t="s">
        <v>366</v>
      </c>
      <c r="BG61" s="591" t="str">
        <f>IFERROR(INDEX('Annex 2_Code'!$J$110:$J$127,MATCH('Annex 5_MRD'!BE61,'Annex 2_Code'!$G$110:$G$127,0)),"")</f>
        <v>MRD</v>
      </c>
      <c r="BH61" s="1565" t="str">
        <f t="shared" si="18"/>
        <v>MRD</v>
      </c>
      <c r="BI61" s="82"/>
    </row>
    <row r="62" spans="1:61" s="95" customFormat="1">
      <c r="A62" s="75"/>
      <c r="B62" s="1267"/>
      <c r="C62" s="1568"/>
      <c r="D62" s="382"/>
      <c r="E62" s="383" t="s">
        <v>41</v>
      </c>
      <c r="F62" s="384"/>
      <c r="G62" s="385"/>
      <c r="H62" s="1283"/>
      <c r="I62" s="1571"/>
      <c r="J62" s="1641"/>
      <c r="K62" s="1284"/>
      <c r="L62" s="1284"/>
      <c r="M62" s="1285"/>
      <c r="N62" s="1286"/>
      <c r="O62" s="1269"/>
      <c r="P62" s="1268">
        <f t="shared" ref="P62" si="84">SUM(P51:P61)</f>
        <v>0</v>
      </c>
      <c r="Q62" s="1268">
        <f>SUM(Q51:Q61)</f>
        <v>305.14011000000005</v>
      </c>
      <c r="R62" s="1268">
        <f>SUM(R51:R61)</f>
        <v>305.14011000000005</v>
      </c>
      <c r="S62" s="1268">
        <f>SUM(S51:S61)</f>
        <v>334.48611000000005</v>
      </c>
      <c r="T62" s="1269">
        <f>SUM(T51:T61)</f>
        <v>944.76633000000004</v>
      </c>
      <c r="U62" s="1270" t="str">
        <f>IFERROR(INDEX([8]Code!I$8:I$33,MATCH('[8]$MRD-Annex'!$BG63,[8]Code!$G$8:$G$33,0)),"")</f>
        <v/>
      </c>
      <c r="V62" s="1271" t="str">
        <f>IFERROR(INDEX([8]Code!J$8:J$33,MATCH('[8]$MRD-Annex'!$BG63,[8]Code!$G$8:$G$33,0)),"")</f>
        <v/>
      </c>
      <c r="W62" s="1271" t="str">
        <f>IFERROR(INDEX([8]Code!K$8:K$33,MATCH('[8]$MRD-Annex'!$BG63,[8]Code!$G$8:$G$33,0)),"")</f>
        <v/>
      </c>
      <c r="X62" s="1271" t="str">
        <f>IFERROR(INDEX([8]Code!L$8:L$33,MATCH('[8]$MRD-Annex'!$BG63,[8]Code!$G$8:$G$33,0)),"")</f>
        <v/>
      </c>
      <c r="Y62" s="1272" t="str">
        <f>IFERROR(INDEX([8]Code!M$8:M$33,MATCH('[8]$MRD-Annex'!$BG63,[8]Code!$G$8:$G$33,0)),"")</f>
        <v/>
      </c>
      <c r="Z62" s="1274">
        <f>SUM(Z61,Z60,Z59,Z58,Z57,Z56,Z51,Z55,Z54,Z53,Z52)</f>
        <v>0</v>
      </c>
      <c r="AA62" s="1268">
        <f>SUM(AA61,AA60,AA59,AA58,AA57,AA56,AA51,AA55,AA54,AA53,AA52)</f>
        <v>234.43001246271211</v>
      </c>
      <c r="AB62" s="1268">
        <f t="shared" ref="AB62:AD62" si="85">SUM(AB61,AB60,AB59,AB58,AB57,AB56,AB51,AB55,AB54,AB53,AB52)</f>
        <v>234.43001246271211</v>
      </c>
      <c r="AC62" s="1268">
        <f t="shared" si="85"/>
        <v>256.97566582087188</v>
      </c>
      <c r="AD62" s="1275">
        <f t="shared" si="85"/>
        <v>725.835690746296</v>
      </c>
      <c r="AE62" s="1268">
        <f>SUM(AE61,AE60,AE59,AE58,AE57,AE56,AE55,AE54,AE53,AE52,AE51)</f>
        <v>0</v>
      </c>
      <c r="AF62" s="1268">
        <f t="shared" ref="AF62:AI62" si="86">SUM(AF61,AF60,AF59,AF58,AF57,AF56,AF55,AF54,AF53,AF52,AF51)</f>
        <v>38.58517890015672</v>
      </c>
      <c r="AG62" s="1268">
        <f t="shared" si="86"/>
        <v>38.58517890015672</v>
      </c>
      <c r="AH62" s="1268">
        <f t="shared" si="86"/>
        <v>42.296000987767556</v>
      </c>
      <c r="AI62" s="1268">
        <f t="shared" si="86"/>
        <v>119.46635878808098</v>
      </c>
      <c r="AJ62" s="1274">
        <f>SUM(AJ61,AJ60,AJ59,AJ58,AJ57,AJ56,AJ55,AJ54,AJ53,AJ52,AJ51)</f>
        <v>0</v>
      </c>
      <c r="AK62" s="1268">
        <f t="shared" ref="AK62:AN62" si="87">SUM(AK61,AK60,AK59,AK58,AK57,AK56,AK55,AK54,AK53,AK52,AK51)</f>
        <v>32.124918637131167</v>
      </c>
      <c r="AL62" s="1268">
        <f t="shared" si="87"/>
        <v>32.124918637131167</v>
      </c>
      <c r="AM62" s="1268">
        <f t="shared" si="87"/>
        <v>35.214443191360537</v>
      </c>
      <c r="AN62" s="1275">
        <f t="shared" si="87"/>
        <v>99.464280465622878</v>
      </c>
      <c r="AO62" s="1274"/>
      <c r="AP62" s="1268"/>
      <c r="AQ62" s="1268"/>
      <c r="AR62" s="1268"/>
      <c r="AS62" s="1276"/>
      <c r="AT62" s="1277"/>
      <c r="AU62" s="1273"/>
      <c r="AV62" s="1273"/>
      <c r="AW62" s="1273"/>
      <c r="AX62" s="1276"/>
      <c r="AY62" s="1278">
        <f>SUM(AY61,AY60,AY59,AY58,AY57,AY56,AY51,AY55,AY54,AY53,AY52)</f>
        <v>725.835690746296</v>
      </c>
      <c r="AZ62" s="1279">
        <f>SUM(AZ61,AZ60,AZ59,AZ58,AZ57,AZ56,AZ51,AZ55,AZ54,AZ53,AZ52)</f>
        <v>119.46635878808098</v>
      </c>
      <c r="BA62" s="1279">
        <f>SUM(BA61,BA60,BA59,BA58,BA57,BA56,BA51,BA55,BA54,BA53,BA52)</f>
        <v>99.464280465622892</v>
      </c>
      <c r="BB62" s="1279">
        <f t="shared" ref="BB62:BC62" si="88">SUM(BB61,BB60,BB59,BB58,BB57,BB56,BB51,BB55,BB54,BB53,BB52)</f>
        <v>0</v>
      </c>
      <c r="BC62" s="1279">
        <f t="shared" si="88"/>
        <v>0</v>
      </c>
      <c r="BD62" s="82"/>
      <c r="BE62" s="1282"/>
      <c r="BF62" s="1282"/>
      <c r="BG62" s="1282"/>
      <c r="BH62" s="1565"/>
      <c r="BI62" s="82"/>
    </row>
    <row r="63" spans="1:61" s="95" customFormat="1">
      <c r="A63" s="1287"/>
      <c r="B63" s="76" t="s">
        <v>24</v>
      </c>
      <c r="C63" s="76" t="s">
        <v>307</v>
      </c>
      <c r="D63" s="1288"/>
      <c r="E63" s="66" t="s">
        <v>945</v>
      </c>
      <c r="F63" s="1290"/>
      <c r="G63" s="1291"/>
      <c r="H63" s="1757"/>
      <c r="I63" s="1572"/>
      <c r="J63" s="1026"/>
      <c r="K63" s="1573"/>
      <c r="L63" s="1292"/>
      <c r="M63" s="1293"/>
      <c r="N63" s="1294"/>
      <c r="O63" s="1295"/>
      <c r="P63" s="1296"/>
      <c r="Q63" s="1297"/>
      <c r="R63" s="1297"/>
      <c r="S63" s="1297"/>
      <c r="T63" s="1298"/>
      <c r="U63" s="1299"/>
      <c r="V63" s="1300"/>
      <c r="W63" s="1300"/>
      <c r="X63" s="1300"/>
      <c r="Y63" s="1301"/>
      <c r="Z63" s="1303"/>
      <c r="AA63" s="1297"/>
      <c r="AB63" s="1297"/>
      <c r="AC63" s="1297"/>
      <c r="AD63" s="1304"/>
      <c r="AE63" s="1303"/>
      <c r="AF63" s="1297"/>
      <c r="AG63" s="1297"/>
      <c r="AH63" s="1297"/>
      <c r="AI63" s="1304"/>
      <c r="AJ63" s="1297"/>
      <c r="AK63" s="1297"/>
      <c r="AL63" s="1297"/>
      <c r="AM63" s="1297"/>
      <c r="AN63" s="1297"/>
      <c r="AO63" s="1303"/>
      <c r="AP63" s="1297"/>
      <c r="AQ63" s="1297"/>
      <c r="AR63" s="1297"/>
      <c r="AS63" s="1305"/>
      <c r="AT63" s="1306"/>
      <c r="AU63" s="1302"/>
      <c r="AV63" s="1302"/>
      <c r="AW63" s="1302"/>
      <c r="AX63" s="1305"/>
      <c r="AY63" s="1307"/>
      <c r="AZ63" s="1308"/>
      <c r="BA63" s="1308"/>
      <c r="BB63" s="1308"/>
      <c r="BC63" s="1298"/>
      <c r="BD63" s="82"/>
      <c r="BE63" s="1282"/>
      <c r="BF63" s="1282"/>
      <c r="BG63" s="1282"/>
      <c r="BH63" s="1565"/>
      <c r="BI63" s="82"/>
    </row>
    <row r="64" spans="1:61" s="95" customFormat="1" ht="15">
      <c r="A64" s="1287"/>
      <c r="B64" s="76" t="s">
        <v>24</v>
      </c>
      <c r="C64" s="76" t="s">
        <v>307</v>
      </c>
      <c r="D64" s="1288"/>
      <c r="E64" s="1289"/>
      <c r="F64" t="s">
        <v>934</v>
      </c>
      <c r="G64" s="1291"/>
      <c r="H64" s="1755" t="s">
        <v>1095</v>
      </c>
      <c r="I64" s="167">
        <v>2.5</v>
      </c>
      <c r="J64" s="1026">
        <v>2.5000000000000001E-3</v>
      </c>
      <c r="K64" s="2247">
        <v>0</v>
      </c>
      <c r="L64" s="2251">
        <v>0</v>
      </c>
      <c r="M64" s="2251">
        <v>4098.9999999999991</v>
      </c>
      <c r="N64" s="2251">
        <v>4098.9999999999991</v>
      </c>
      <c r="O64" s="1280">
        <f t="shared" ref="O64:O74" si="89">SUM(K64:N64)</f>
        <v>8197.9999999999982</v>
      </c>
      <c r="P64" s="2258">
        <f t="shared" ref="P64:P74" si="90">K64*$I64/1000</f>
        <v>0</v>
      </c>
      <c r="Q64" s="2258">
        <f t="shared" ref="Q64:Q74" si="91">L64*$I64/1000</f>
        <v>0</v>
      </c>
      <c r="R64" s="2258">
        <f t="shared" ref="R64:R74" si="92">M64*$I64/1000</f>
        <v>10.247499999999999</v>
      </c>
      <c r="S64" s="2258">
        <f t="shared" ref="S64:S74" si="93">N64*$I64/1000</f>
        <v>10.247499999999999</v>
      </c>
      <c r="T64" s="1281">
        <f t="shared" ref="T64:T74" si="94">SUM(P64:S64)</f>
        <v>20.494999999999997</v>
      </c>
      <c r="U64" s="1250">
        <f>IFERROR(INDEX([8]Code!I$8:I$33,MATCH('[8]$MRD-Annex'!$BG66,[8]Code!$G$8:$G$33,0)),"")</f>
        <v>0.76827006604510995</v>
      </c>
      <c r="V64" s="1251">
        <f>IFERROR(INDEX([8]Code!J$8:J$33,MATCH('[8]$MRD-Annex'!$BG66,[8]Code!$G$8:$G$33,0)),"")</f>
        <v>0.12645069473218948</v>
      </c>
      <c r="W64" s="1251">
        <f>IFERROR(INDEX([8]Code!K$8:K$33,MATCH('[8]$MRD-Annex'!$BG66,[8]Code!$G$8:$G$33,0)),"")</f>
        <v>0.10527923922270058</v>
      </c>
      <c r="X64" s="1251">
        <f>IFERROR(INDEX([8]Code!L$8:L$33,MATCH('[8]$MRD-Annex'!$BG66,[8]Code!$G$8:$G$33,0)),"")</f>
        <v>0</v>
      </c>
      <c r="Y64" s="1252">
        <f>IFERROR(INDEX([8]Code!M$8:M$33,MATCH('[8]$MRD-Annex'!$BG66,[8]Code!$G$8:$G$33,0)),"")</f>
        <v>0</v>
      </c>
      <c r="Z64" s="1253">
        <f t="shared" ref="Z64:AC74" si="95">P64*$U64</f>
        <v>0</v>
      </c>
      <c r="AA64" s="1254">
        <f t="shared" si="95"/>
        <v>0</v>
      </c>
      <c r="AB64" s="1254">
        <f t="shared" si="95"/>
        <v>7.8728475017972634</v>
      </c>
      <c r="AC64" s="1254">
        <f t="shared" si="95"/>
        <v>7.8728475017972634</v>
      </c>
      <c r="AD64" s="1255">
        <f t="shared" ref="AD64:AD74" si="96">SUM(Z64:AC64)</f>
        <v>15.745695003594527</v>
      </c>
      <c r="AE64" s="1253">
        <f t="shared" ref="AE64:AI74" si="97">P64*$V64</f>
        <v>0</v>
      </c>
      <c r="AF64" s="1254">
        <f t="shared" si="97"/>
        <v>0</v>
      </c>
      <c r="AG64" s="1254">
        <f t="shared" si="97"/>
        <v>1.2958034942681116</v>
      </c>
      <c r="AH64" s="1254">
        <f t="shared" si="97"/>
        <v>1.2958034942681116</v>
      </c>
      <c r="AI64" s="1255">
        <f t="shared" si="97"/>
        <v>2.5916069885362232</v>
      </c>
      <c r="AJ64" s="1254">
        <f t="shared" ref="AJ64:AM74" si="98">P64*$W64</f>
        <v>0</v>
      </c>
      <c r="AK64" s="1254">
        <f t="shared" si="98"/>
        <v>0</v>
      </c>
      <c r="AL64" s="1254">
        <f t="shared" si="98"/>
        <v>1.0788490039346241</v>
      </c>
      <c r="AM64" s="1254">
        <f t="shared" si="98"/>
        <v>1.0788490039346241</v>
      </c>
      <c r="AN64" s="1256">
        <f t="shared" ref="AN64:AN74" si="99">SUM(AJ64:AM64)</f>
        <v>2.1576980078692483</v>
      </c>
      <c r="AO64" s="1253">
        <f t="shared" ref="AO64:AR74" si="100">P64*$X64</f>
        <v>0</v>
      </c>
      <c r="AP64" s="1254">
        <f t="shared" si="100"/>
        <v>0</v>
      </c>
      <c r="AQ64" s="1254">
        <f t="shared" si="100"/>
        <v>0</v>
      </c>
      <c r="AR64" s="1254">
        <f t="shared" si="100"/>
        <v>0</v>
      </c>
      <c r="AS64" s="1257">
        <f t="shared" ref="AS64:AS74" si="101">SUM(AO64:AR64)</f>
        <v>0</v>
      </c>
      <c r="AT64" s="1253">
        <f t="shared" ref="AT64:AW74" si="102">P64*$Y64</f>
        <v>0</v>
      </c>
      <c r="AU64" s="1254">
        <f t="shared" si="102"/>
        <v>0</v>
      </c>
      <c r="AV64" s="1254">
        <f t="shared" si="102"/>
        <v>0</v>
      </c>
      <c r="AW64" s="1254">
        <f t="shared" si="102"/>
        <v>0</v>
      </c>
      <c r="AX64" s="1257">
        <f t="shared" ref="AX64:AX74" si="103">SUM(AT64:AW64)</f>
        <v>0</v>
      </c>
      <c r="AY64" s="1258">
        <f t="shared" ref="AY64:AY74" si="104">SUM($T64*U64)</f>
        <v>15.745695003594527</v>
      </c>
      <c r="AZ64" s="1264">
        <f t="shared" ref="AZ64:BC74" si="105">SUM($T64*V64)</f>
        <v>2.5916069885362232</v>
      </c>
      <c r="BA64" s="1264">
        <f t="shared" si="105"/>
        <v>2.1576980078692483</v>
      </c>
      <c r="BB64" s="1264">
        <f t="shared" si="105"/>
        <v>0</v>
      </c>
      <c r="BC64" s="1263">
        <f t="shared" si="105"/>
        <v>0</v>
      </c>
      <c r="BD64" s="82"/>
      <c r="BE64" s="568" t="s">
        <v>366</v>
      </c>
      <c r="BF64" s="568" t="s">
        <v>366</v>
      </c>
      <c r="BG64" s="591" t="str">
        <f>IFERROR(INDEX('Annex 2_Code'!$J$110:$J$127,MATCH('Annex 5_MRD'!BE64,'Annex 2_Code'!$G$110:$G$127,0)),"")</f>
        <v>MRD</v>
      </c>
      <c r="BH64" s="1565" t="str">
        <f t="shared" si="18"/>
        <v>MRD</v>
      </c>
      <c r="BI64" s="82"/>
    </row>
    <row r="65" spans="1:61" s="95" customFormat="1" ht="14.25">
      <c r="A65" s="1287"/>
      <c r="B65" s="76" t="s">
        <v>24</v>
      </c>
      <c r="C65" s="76" t="s">
        <v>307</v>
      </c>
      <c r="D65" s="1288"/>
      <c r="E65" s="1289"/>
      <c r="F65" s="66" t="s">
        <v>935</v>
      </c>
      <c r="G65" s="1291"/>
      <c r="H65" s="1755" t="s">
        <v>1095</v>
      </c>
      <c r="I65">
        <v>21</v>
      </c>
      <c r="J65" s="1026">
        <v>2.1000000000000001E-2</v>
      </c>
      <c r="K65" s="2247">
        <v>0</v>
      </c>
      <c r="L65" s="2251">
        <v>0</v>
      </c>
      <c r="M65" s="2251">
        <v>344.31599999999997</v>
      </c>
      <c r="N65" s="2251">
        <v>344.31599999999997</v>
      </c>
      <c r="O65" s="1280">
        <f t="shared" si="89"/>
        <v>688.63199999999995</v>
      </c>
      <c r="P65" s="2258">
        <f t="shared" si="90"/>
        <v>0</v>
      </c>
      <c r="Q65" s="2258">
        <f t="shared" si="91"/>
        <v>0</v>
      </c>
      <c r="R65" s="2258">
        <f t="shared" si="92"/>
        <v>7.2306359999999996</v>
      </c>
      <c r="S65" s="2258">
        <f t="shared" si="93"/>
        <v>7.2306359999999996</v>
      </c>
      <c r="T65" s="1281">
        <f t="shared" si="94"/>
        <v>14.461271999999999</v>
      </c>
      <c r="U65" s="1250">
        <f>IFERROR(INDEX([8]Code!I$8:I$33,MATCH('[8]$MRD-Annex'!$BG67,[8]Code!$G$8:$G$33,0)),"")</f>
        <v>0.76827006604510995</v>
      </c>
      <c r="V65" s="1251">
        <f>IFERROR(INDEX([8]Code!J$8:J$33,MATCH('[8]$MRD-Annex'!$BG67,[8]Code!$G$8:$G$33,0)),"")</f>
        <v>0.12645069473218948</v>
      </c>
      <c r="W65" s="1251">
        <f>IFERROR(INDEX([8]Code!K$8:K$33,MATCH('[8]$MRD-Annex'!$BG67,[8]Code!$G$8:$G$33,0)),"")</f>
        <v>0.10527923922270058</v>
      </c>
      <c r="X65" s="1251">
        <f>IFERROR(INDEX([8]Code!L$8:L$33,MATCH('[8]$MRD-Annex'!$BG67,[8]Code!$G$8:$G$33,0)),"")</f>
        <v>0</v>
      </c>
      <c r="Y65" s="1252">
        <f>IFERROR(INDEX([8]Code!M$8:M$33,MATCH('[8]$MRD-Annex'!$BG67,[8]Code!$G$8:$G$33,0)),"")</f>
        <v>0</v>
      </c>
      <c r="Z65" s="1253">
        <f t="shared" si="95"/>
        <v>0</v>
      </c>
      <c r="AA65" s="1254">
        <f t="shared" si="95"/>
        <v>0</v>
      </c>
      <c r="AB65" s="1254">
        <f t="shared" si="95"/>
        <v>5.5550811972681489</v>
      </c>
      <c r="AC65" s="1254">
        <f t="shared" si="95"/>
        <v>5.5550811972681489</v>
      </c>
      <c r="AD65" s="1255">
        <f t="shared" si="96"/>
        <v>11.110162394536298</v>
      </c>
      <c r="AE65" s="1253">
        <f t="shared" si="97"/>
        <v>0</v>
      </c>
      <c r="AF65" s="1254">
        <f t="shared" si="97"/>
        <v>0</v>
      </c>
      <c r="AG65" s="1254">
        <f t="shared" si="97"/>
        <v>0.91431894555557958</v>
      </c>
      <c r="AH65" s="1254">
        <f t="shared" si="97"/>
        <v>0.91431894555557958</v>
      </c>
      <c r="AI65" s="1255">
        <f t="shared" si="97"/>
        <v>1.8286378911111592</v>
      </c>
      <c r="AJ65" s="1254">
        <f t="shared" si="98"/>
        <v>0</v>
      </c>
      <c r="AK65" s="1254">
        <f t="shared" si="98"/>
        <v>0</v>
      </c>
      <c r="AL65" s="1254">
        <f t="shared" si="98"/>
        <v>0.76123585717627074</v>
      </c>
      <c r="AM65" s="1254">
        <f t="shared" si="98"/>
        <v>0.76123585717627074</v>
      </c>
      <c r="AN65" s="1256">
        <f t="shared" si="99"/>
        <v>1.5224717143525415</v>
      </c>
      <c r="AO65" s="1253">
        <f t="shared" si="100"/>
        <v>0</v>
      </c>
      <c r="AP65" s="1254">
        <f t="shared" si="100"/>
        <v>0</v>
      </c>
      <c r="AQ65" s="1254">
        <f t="shared" si="100"/>
        <v>0</v>
      </c>
      <c r="AR65" s="1254">
        <f t="shared" si="100"/>
        <v>0</v>
      </c>
      <c r="AS65" s="1257">
        <f t="shared" si="101"/>
        <v>0</v>
      </c>
      <c r="AT65" s="1253">
        <f t="shared" si="102"/>
        <v>0</v>
      </c>
      <c r="AU65" s="1254">
        <f t="shared" si="102"/>
        <v>0</v>
      </c>
      <c r="AV65" s="1254">
        <f t="shared" si="102"/>
        <v>0</v>
      </c>
      <c r="AW65" s="1254">
        <f t="shared" si="102"/>
        <v>0</v>
      </c>
      <c r="AX65" s="1257">
        <f t="shared" si="103"/>
        <v>0</v>
      </c>
      <c r="AY65" s="1258">
        <f t="shared" si="104"/>
        <v>11.110162394536298</v>
      </c>
      <c r="AZ65" s="1264">
        <f t="shared" si="105"/>
        <v>1.8286378911111592</v>
      </c>
      <c r="BA65" s="1264">
        <f t="shared" si="105"/>
        <v>1.5224717143525415</v>
      </c>
      <c r="BB65" s="1264">
        <f t="shared" si="105"/>
        <v>0</v>
      </c>
      <c r="BC65" s="1263">
        <f t="shared" si="105"/>
        <v>0</v>
      </c>
      <c r="BD65" s="82"/>
      <c r="BE65" s="568" t="s">
        <v>366</v>
      </c>
      <c r="BF65" s="568" t="s">
        <v>366</v>
      </c>
      <c r="BG65" s="591" t="str">
        <f>IFERROR(INDEX('Annex 2_Code'!$J$110:$J$127,MATCH('Annex 5_MRD'!BE65,'Annex 2_Code'!$G$110:$G$127,0)),"")</f>
        <v>MRD</v>
      </c>
      <c r="BH65" s="1565" t="str">
        <f t="shared" si="18"/>
        <v>MRD</v>
      </c>
      <c r="BI65" s="82"/>
    </row>
    <row r="66" spans="1:61" s="95" customFormat="1" ht="15">
      <c r="A66" s="1287"/>
      <c r="B66" s="76" t="s">
        <v>24</v>
      </c>
      <c r="C66" s="76" t="s">
        <v>307</v>
      </c>
      <c r="D66" s="1288"/>
      <c r="E66" s="1289"/>
      <c r="F66" t="s">
        <v>936</v>
      </c>
      <c r="G66" s="1291"/>
      <c r="H66" s="1755" t="s">
        <v>1095</v>
      </c>
      <c r="I66">
        <v>21</v>
      </c>
      <c r="J66" s="1026">
        <v>2.1000000000000001E-2</v>
      </c>
      <c r="K66" s="2247">
        <v>0</v>
      </c>
      <c r="L66" s="2251">
        <v>0</v>
      </c>
      <c r="M66" s="2251">
        <v>787.00799999999992</v>
      </c>
      <c r="N66" s="2251">
        <v>787.00799999999992</v>
      </c>
      <c r="O66" s="1280">
        <f t="shared" si="89"/>
        <v>1574.0159999999998</v>
      </c>
      <c r="P66" s="2258">
        <f t="shared" si="90"/>
        <v>0</v>
      </c>
      <c r="Q66" s="2258">
        <f t="shared" si="91"/>
        <v>0</v>
      </c>
      <c r="R66" s="2258">
        <f t="shared" si="92"/>
        <v>16.527167999999996</v>
      </c>
      <c r="S66" s="2258">
        <f t="shared" si="93"/>
        <v>16.527167999999996</v>
      </c>
      <c r="T66" s="1281">
        <f t="shared" si="94"/>
        <v>33.054335999999992</v>
      </c>
      <c r="U66" s="1250">
        <f>IFERROR(INDEX([8]Code!I$8:I$33,MATCH('[8]$MRD-Annex'!$BG68,[8]Code!$G$8:$G$33,0)),"")</f>
        <v>0.76827006604510995</v>
      </c>
      <c r="V66" s="1251">
        <f>IFERROR(INDEX([8]Code!J$8:J$33,MATCH('[8]$MRD-Annex'!$BG68,[8]Code!$G$8:$G$33,0)),"")</f>
        <v>0.12645069473218948</v>
      </c>
      <c r="W66" s="1251">
        <f>IFERROR(INDEX([8]Code!K$8:K$33,MATCH('[8]$MRD-Annex'!$BG68,[8]Code!$G$8:$G$33,0)),"")</f>
        <v>0.10527923922270058</v>
      </c>
      <c r="X66" s="1251">
        <f>IFERROR(INDEX([8]Code!L$8:L$33,MATCH('[8]$MRD-Annex'!$BG68,[8]Code!$G$8:$G$33,0)),"")</f>
        <v>0</v>
      </c>
      <c r="Y66" s="1252">
        <f>IFERROR(INDEX([8]Code!M$8:M$33,MATCH('[8]$MRD-Annex'!$BG68,[8]Code!$G$8:$G$33,0)),"")</f>
        <v>0</v>
      </c>
      <c r="Z66" s="1253">
        <f t="shared" si="95"/>
        <v>0</v>
      </c>
      <c r="AA66" s="1254">
        <f t="shared" si="95"/>
        <v>0</v>
      </c>
      <c r="AB66" s="1254">
        <f t="shared" si="95"/>
        <v>12.697328450898624</v>
      </c>
      <c r="AC66" s="1254">
        <f t="shared" si="95"/>
        <v>12.697328450898624</v>
      </c>
      <c r="AD66" s="1255">
        <f t="shared" si="96"/>
        <v>25.394656901797248</v>
      </c>
      <c r="AE66" s="1253">
        <f t="shared" si="97"/>
        <v>0</v>
      </c>
      <c r="AF66" s="1254">
        <f t="shared" si="97"/>
        <v>0</v>
      </c>
      <c r="AG66" s="1254">
        <f t="shared" si="97"/>
        <v>2.0898718755556098</v>
      </c>
      <c r="AH66" s="1254">
        <f t="shared" si="97"/>
        <v>2.0898718755556098</v>
      </c>
      <c r="AI66" s="1255">
        <f t="shared" si="97"/>
        <v>4.1797437511112197</v>
      </c>
      <c r="AJ66" s="1254">
        <f t="shared" si="98"/>
        <v>0</v>
      </c>
      <c r="AK66" s="1254">
        <f t="shared" si="98"/>
        <v>0</v>
      </c>
      <c r="AL66" s="1254">
        <f t="shared" si="98"/>
        <v>1.7399676735457614</v>
      </c>
      <c r="AM66" s="1254">
        <f t="shared" si="98"/>
        <v>1.7399676735457614</v>
      </c>
      <c r="AN66" s="1256">
        <f t="shared" si="99"/>
        <v>3.4799353470915229</v>
      </c>
      <c r="AO66" s="1253">
        <f t="shared" si="100"/>
        <v>0</v>
      </c>
      <c r="AP66" s="1254">
        <f t="shared" si="100"/>
        <v>0</v>
      </c>
      <c r="AQ66" s="1254">
        <f t="shared" si="100"/>
        <v>0</v>
      </c>
      <c r="AR66" s="1254">
        <f t="shared" si="100"/>
        <v>0</v>
      </c>
      <c r="AS66" s="1257">
        <f t="shared" si="101"/>
        <v>0</v>
      </c>
      <c r="AT66" s="1253">
        <f t="shared" si="102"/>
        <v>0</v>
      </c>
      <c r="AU66" s="1254">
        <f t="shared" si="102"/>
        <v>0</v>
      </c>
      <c r="AV66" s="1254">
        <f t="shared" si="102"/>
        <v>0</v>
      </c>
      <c r="AW66" s="1254">
        <f t="shared" si="102"/>
        <v>0</v>
      </c>
      <c r="AX66" s="1257">
        <f t="shared" si="103"/>
        <v>0</v>
      </c>
      <c r="AY66" s="1258">
        <f t="shared" si="104"/>
        <v>25.394656901797248</v>
      </c>
      <c r="AZ66" s="1264">
        <f t="shared" si="105"/>
        <v>4.1797437511112197</v>
      </c>
      <c r="BA66" s="1264">
        <f t="shared" si="105"/>
        <v>3.4799353470915229</v>
      </c>
      <c r="BB66" s="1264">
        <f t="shared" si="105"/>
        <v>0</v>
      </c>
      <c r="BC66" s="1263">
        <f t="shared" si="105"/>
        <v>0</v>
      </c>
      <c r="BD66" s="82"/>
      <c r="BE66" s="568" t="s">
        <v>366</v>
      </c>
      <c r="BF66" s="568" t="s">
        <v>366</v>
      </c>
      <c r="BG66" s="591" t="str">
        <f>IFERROR(INDEX('Annex 2_Code'!$J$110:$J$127,MATCH('Annex 5_MRD'!BE66,'Annex 2_Code'!$G$110:$G$127,0)),"")</f>
        <v>MRD</v>
      </c>
      <c r="BH66" s="1565" t="str">
        <f t="shared" si="18"/>
        <v>MRD</v>
      </c>
      <c r="BI66" s="82"/>
    </row>
    <row r="67" spans="1:61" s="95" customFormat="1" ht="14.25">
      <c r="A67" s="1287"/>
      <c r="B67" s="76" t="s">
        <v>24</v>
      </c>
      <c r="C67" s="76" t="s">
        <v>307</v>
      </c>
      <c r="D67" s="1288"/>
      <c r="E67" s="1289"/>
      <c r="F67" t="s">
        <v>311</v>
      </c>
      <c r="G67" s="1291"/>
      <c r="H67" s="1755" t="s">
        <v>1095</v>
      </c>
      <c r="I67" s="167">
        <v>2.5</v>
      </c>
      <c r="J67" s="1026">
        <v>2.5000000000000001E-3</v>
      </c>
      <c r="K67" s="2247">
        <v>0</v>
      </c>
      <c r="L67" s="2251">
        <v>0</v>
      </c>
      <c r="M67" s="2251">
        <v>368.90999999999991</v>
      </c>
      <c r="N67" s="2251">
        <v>368.90999999999991</v>
      </c>
      <c r="O67" s="1280">
        <f t="shared" si="89"/>
        <v>737.81999999999982</v>
      </c>
      <c r="P67" s="2258">
        <f t="shared" si="90"/>
        <v>0</v>
      </c>
      <c r="Q67" s="2258">
        <f t="shared" si="91"/>
        <v>0</v>
      </c>
      <c r="R67" s="2258">
        <f t="shared" si="92"/>
        <v>0.92227499999999973</v>
      </c>
      <c r="S67" s="2258">
        <f t="shared" si="93"/>
        <v>0.92227499999999973</v>
      </c>
      <c r="T67" s="1281">
        <f t="shared" si="94"/>
        <v>1.8445499999999995</v>
      </c>
      <c r="U67" s="1250">
        <f>IFERROR(INDEX([8]Code!I$8:I$33,MATCH('[8]$MRD-Annex'!$BG69,[8]Code!$G$8:$G$33,0)),"")</f>
        <v>0.76827006604510995</v>
      </c>
      <c r="V67" s="1251">
        <f>IFERROR(INDEX([8]Code!J$8:J$33,MATCH('[8]$MRD-Annex'!$BG69,[8]Code!$G$8:$G$33,0)),"")</f>
        <v>0.12645069473218948</v>
      </c>
      <c r="W67" s="1251">
        <f>IFERROR(INDEX([8]Code!K$8:K$33,MATCH('[8]$MRD-Annex'!$BG69,[8]Code!$G$8:$G$33,0)),"")</f>
        <v>0.10527923922270058</v>
      </c>
      <c r="X67" s="1251">
        <f>IFERROR(INDEX([8]Code!L$8:L$33,MATCH('[8]$MRD-Annex'!$BG69,[8]Code!$G$8:$G$33,0)),"")</f>
        <v>0</v>
      </c>
      <c r="Y67" s="1252">
        <f>IFERROR(INDEX([8]Code!M$8:M$33,MATCH('[8]$MRD-Annex'!$BG69,[8]Code!$G$8:$G$33,0)),"")</f>
        <v>0</v>
      </c>
      <c r="Z67" s="1253">
        <f t="shared" si="95"/>
        <v>0</v>
      </c>
      <c r="AA67" s="1254">
        <f t="shared" si="95"/>
        <v>0</v>
      </c>
      <c r="AB67" s="1254">
        <f t="shared" si="95"/>
        <v>0.70855627516175357</v>
      </c>
      <c r="AC67" s="1254">
        <f t="shared" si="95"/>
        <v>0.70855627516175357</v>
      </c>
      <c r="AD67" s="1255">
        <f t="shared" si="96"/>
        <v>1.4171125503235071</v>
      </c>
      <c r="AE67" s="1253">
        <f t="shared" si="97"/>
        <v>0</v>
      </c>
      <c r="AF67" s="1254">
        <f t="shared" si="97"/>
        <v>0</v>
      </c>
      <c r="AG67" s="1254">
        <f t="shared" si="97"/>
        <v>0.11662231448413002</v>
      </c>
      <c r="AH67" s="1254">
        <f t="shared" si="97"/>
        <v>0.11662231448413002</v>
      </c>
      <c r="AI67" s="1255">
        <f t="shared" si="97"/>
        <v>0.23324462896826004</v>
      </c>
      <c r="AJ67" s="1254">
        <f t="shared" si="98"/>
        <v>0</v>
      </c>
      <c r="AK67" s="1254">
        <f t="shared" si="98"/>
        <v>0</v>
      </c>
      <c r="AL67" s="1254">
        <f t="shared" si="98"/>
        <v>9.7096410354116147E-2</v>
      </c>
      <c r="AM67" s="1254">
        <f t="shared" si="98"/>
        <v>9.7096410354116147E-2</v>
      </c>
      <c r="AN67" s="1256">
        <f t="shared" si="99"/>
        <v>0.19419282070823229</v>
      </c>
      <c r="AO67" s="1253">
        <f t="shared" si="100"/>
        <v>0</v>
      </c>
      <c r="AP67" s="1254">
        <f t="shared" si="100"/>
        <v>0</v>
      </c>
      <c r="AQ67" s="1254">
        <f t="shared" si="100"/>
        <v>0</v>
      </c>
      <c r="AR67" s="1254">
        <f t="shared" si="100"/>
        <v>0</v>
      </c>
      <c r="AS67" s="1257">
        <f t="shared" si="101"/>
        <v>0</v>
      </c>
      <c r="AT67" s="1253">
        <f t="shared" si="102"/>
        <v>0</v>
      </c>
      <c r="AU67" s="1254">
        <f t="shared" si="102"/>
        <v>0</v>
      </c>
      <c r="AV67" s="1254">
        <f t="shared" si="102"/>
        <v>0</v>
      </c>
      <c r="AW67" s="1254">
        <f t="shared" si="102"/>
        <v>0</v>
      </c>
      <c r="AX67" s="1257">
        <f t="shared" si="103"/>
        <v>0</v>
      </c>
      <c r="AY67" s="1258">
        <f t="shared" si="104"/>
        <v>1.4171125503235071</v>
      </c>
      <c r="AZ67" s="1264">
        <f t="shared" si="105"/>
        <v>0.23324462896826004</v>
      </c>
      <c r="BA67" s="1264">
        <f t="shared" si="105"/>
        <v>0.19419282070823229</v>
      </c>
      <c r="BB67" s="1264">
        <f t="shared" si="105"/>
        <v>0</v>
      </c>
      <c r="BC67" s="1263">
        <f t="shared" si="105"/>
        <v>0</v>
      </c>
      <c r="BD67" s="82"/>
      <c r="BE67" s="568" t="s">
        <v>366</v>
      </c>
      <c r="BF67" s="568" t="s">
        <v>366</v>
      </c>
      <c r="BG67" s="591" t="str">
        <f>IFERROR(INDEX('Annex 2_Code'!$J$110:$J$127,MATCH('Annex 5_MRD'!BE67,'Annex 2_Code'!$G$110:$G$127,0)),"")</f>
        <v>MRD</v>
      </c>
      <c r="BH67" s="1565" t="str">
        <f t="shared" si="18"/>
        <v>MRD</v>
      </c>
      <c r="BI67" s="82"/>
    </row>
    <row r="68" spans="1:61" s="95" customFormat="1" ht="14.25">
      <c r="A68" s="1287"/>
      <c r="B68" s="76" t="s">
        <v>24</v>
      </c>
      <c r="C68" s="76" t="s">
        <v>307</v>
      </c>
      <c r="D68" s="1288"/>
      <c r="E68" s="1289"/>
      <c r="F68" s="66" t="s">
        <v>312</v>
      </c>
      <c r="G68" s="1291"/>
      <c r="H68" s="1755" t="s">
        <v>1095</v>
      </c>
      <c r="I68" s="167">
        <v>1</v>
      </c>
      <c r="J68" s="1026">
        <v>1E-3</v>
      </c>
      <c r="K68" s="2247">
        <v>0</v>
      </c>
      <c r="L68" s="2251">
        <v>0</v>
      </c>
      <c r="M68" s="2251">
        <v>43039.499999999993</v>
      </c>
      <c r="N68" s="2251">
        <v>43039.499999999993</v>
      </c>
      <c r="O68" s="1280">
        <f t="shared" si="89"/>
        <v>86078.999999999985</v>
      </c>
      <c r="P68" s="2258">
        <f t="shared" si="90"/>
        <v>0</v>
      </c>
      <c r="Q68" s="2258">
        <f t="shared" si="91"/>
        <v>0</v>
      </c>
      <c r="R68" s="2258">
        <f t="shared" si="92"/>
        <v>43.03949999999999</v>
      </c>
      <c r="S68" s="2258">
        <f t="shared" si="93"/>
        <v>43.03949999999999</v>
      </c>
      <c r="T68" s="1281">
        <f t="shared" si="94"/>
        <v>86.078999999999979</v>
      </c>
      <c r="U68" s="1250">
        <f>IFERROR(INDEX([8]Code!I$8:I$33,MATCH('[8]$MRD-Annex'!$BG70,[8]Code!$G$8:$G$33,0)),"")</f>
        <v>0.76827006604510995</v>
      </c>
      <c r="V68" s="1251">
        <f>IFERROR(INDEX([8]Code!J$8:J$33,MATCH('[8]$MRD-Annex'!$BG70,[8]Code!$G$8:$G$33,0)),"")</f>
        <v>0.12645069473218948</v>
      </c>
      <c r="W68" s="1251">
        <f>IFERROR(INDEX([8]Code!K$8:K$33,MATCH('[8]$MRD-Annex'!$BG70,[8]Code!$G$8:$G$33,0)),"")</f>
        <v>0.10527923922270058</v>
      </c>
      <c r="X68" s="1251">
        <f>IFERROR(INDEX([8]Code!L$8:L$33,MATCH('[8]$MRD-Annex'!$BG70,[8]Code!$G$8:$G$33,0)),"")</f>
        <v>0</v>
      </c>
      <c r="Y68" s="1252">
        <f>IFERROR(INDEX([8]Code!M$8:M$33,MATCH('[8]$MRD-Annex'!$BG70,[8]Code!$G$8:$G$33,0)),"")</f>
        <v>0</v>
      </c>
      <c r="Z68" s="1253">
        <f t="shared" si="95"/>
        <v>0</v>
      </c>
      <c r="AA68" s="1254">
        <f t="shared" si="95"/>
        <v>0</v>
      </c>
      <c r="AB68" s="1254">
        <f t="shared" si="95"/>
        <v>33.065959507548499</v>
      </c>
      <c r="AC68" s="1254">
        <f t="shared" si="95"/>
        <v>33.065959507548499</v>
      </c>
      <c r="AD68" s="1255">
        <f t="shared" si="96"/>
        <v>66.131919015096997</v>
      </c>
      <c r="AE68" s="1253">
        <f t="shared" si="97"/>
        <v>0</v>
      </c>
      <c r="AF68" s="1254">
        <f t="shared" si="97"/>
        <v>0</v>
      </c>
      <c r="AG68" s="1254">
        <f t="shared" si="97"/>
        <v>5.4423746759260681</v>
      </c>
      <c r="AH68" s="1254">
        <f t="shared" si="97"/>
        <v>5.4423746759260681</v>
      </c>
      <c r="AI68" s="1255">
        <f t="shared" si="97"/>
        <v>10.884749351852136</v>
      </c>
      <c r="AJ68" s="1254">
        <f t="shared" si="98"/>
        <v>0</v>
      </c>
      <c r="AK68" s="1254">
        <f t="shared" si="98"/>
        <v>0</v>
      </c>
      <c r="AL68" s="1254">
        <f t="shared" si="98"/>
        <v>4.5311658165254203</v>
      </c>
      <c r="AM68" s="1254">
        <f t="shared" si="98"/>
        <v>4.5311658165254203</v>
      </c>
      <c r="AN68" s="1256">
        <f t="shared" si="99"/>
        <v>9.0623316330508406</v>
      </c>
      <c r="AO68" s="1253">
        <f t="shared" si="100"/>
        <v>0</v>
      </c>
      <c r="AP68" s="1254">
        <f t="shared" si="100"/>
        <v>0</v>
      </c>
      <c r="AQ68" s="1254">
        <f t="shared" si="100"/>
        <v>0</v>
      </c>
      <c r="AR68" s="1254">
        <f t="shared" si="100"/>
        <v>0</v>
      </c>
      <c r="AS68" s="1257">
        <f t="shared" si="101"/>
        <v>0</v>
      </c>
      <c r="AT68" s="1253">
        <f t="shared" si="102"/>
        <v>0</v>
      </c>
      <c r="AU68" s="1254">
        <f t="shared" si="102"/>
        <v>0</v>
      </c>
      <c r="AV68" s="1254">
        <f t="shared" si="102"/>
        <v>0</v>
      </c>
      <c r="AW68" s="1254">
        <f t="shared" si="102"/>
        <v>0</v>
      </c>
      <c r="AX68" s="1257">
        <f t="shared" si="103"/>
        <v>0</v>
      </c>
      <c r="AY68" s="1258">
        <f t="shared" si="104"/>
        <v>66.131919015096997</v>
      </c>
      <c r="AZ68" s="1264">
        <f t="shared" si="105"/>
        <v>10.884749351852136</v>
      </c>
      <c r="BA68" s="1264">
        <f t="shared" si="105"/>
        <v>9.0623316330508406</v>
      </c>
      <c r="BB68" s="1264">
        <f t="shared" si="105"/>
        <v>0</v>
      </c>
      <c r="BC68" s="1263">
        <f t="shared" si="105"/>
        <v>0</v>
      </c>
      <c r="BD68" s="82"/>
      <c r="BE68" s="568" t="s">
        <v>366</v>
      </c>
      <c r="BF68" s="568" t="s">
        <v>366</v>
      </c>
      <c r="BG68" s="591" t="str">
        <f>IFERROR(INDEX('Annex 2_Code'!$J$110:$J$127,MATCH('Annex 5_MRD'!BE68,'Annex 2_Code'!$G$110:$G$127,0)),"")</f>
        <v>MRD</v>
      </c>
      <c r="BH68" s="1565" t="str">
        <f t="shared" si="18"/>
        <v>MRD</v>
      </c>
      <c r="BI68" s="82"/>
    </row>
    <row r="69" spans="1:61" s="95" customFormat="1" ht="14.25">
      <c r="A69" s="1287"/>
      <c r="B69" s="76" t="s">
        <v>24</v>
      </c>
      <c r="C69" s="76" t="s">
        <v>307</v>
      </c>
      <c r="D69" s="1288"/>
      <c r="E69" s="1289"/>
      <c r="F69" s="66" t="s">
        <v>937</v>
      </c>
      <c r="G69" s="66" t="s">
        <v>942</v>
      </c>
      <c r="H69" s="1755" t="s">
        <v>1095</v>
      </c>
      <c r="I69" s="167">
        <v>18</v>
      </c>
      <c r="J69" s="1026">
        <v>1.7999999999999999E-2</v>
      </c>
      <c r="K69" s="2247">
        <v>0</v>
      </c>
      <c r="L69" s="2251">
        <v>0</v>
      </c>
      <c r="M69" s="2251">
        <v>14018.579999999996</v>
      </c>
      <c r="N69" s="2251">
        <v>14018.579999999996</v>
      </c>
      <c r="O69" s="1280">
        <f t="shared" si="89"/>
        <v>28037.159999999993</v>
      </c>
      <c r="P69" s="2258">
        <f t="shared" si="90"/>
        <v>0</v>
      </c>
      <c r="Q69" s="2258">
        <f t="shared" si="91"/>
        <v>0</v>
      </c>
      <c r="R69" s="2258">
        <f t="shared" si="92"/>
        <v>252.33443999999994</v>
      </c>
      <c r="S69" s="2258">
        <f t="shared" si="93"/>
        <v>252.33443999999994</v>
      </c>
      <c r="T69" s="1281">
        <f t="shared" si="94"/>
        <v>504.66887999999989</v>
      </c>
      <c r="U69" s="1250">
        <f>IFERROR(INDEX([8]Code!I$8:I$33,MATCH('[8]$MRD-Annex'!$BG71,[8]Code!$G$8:$G$33,0)),"")</f>
        <v>0.76827006604510995</v>
      </c>
      <c r="V69" s="1251">
        <f>IFERROR(INDEX([8]Code!J$8:J$33,MATCH('[8]$MRD-Annex'!$BG71,[8]Code!$G$8:$G$33,0)),"")</f>
        <v>0.12645069473218948</v>
      </c>
      <c r="W69" s="1251">
        <f>IFERROR(INDEX([8]Code!K$8:K$33,MATCH('[8]$MRD-Annex'!$BG71,[8]Code!$G$8:$G$33,0)),"")</f>
        <v>0.10527923922270058</v>
      </c>
      <c r="X69" s="1251">
        <f>IFERROR(INDEX([8]Code!L$8:L$33,MATCH('[8]$MRD-Annex'!$BG71,[8]Code!$G$8:$G$33,0)),"")</f>
        <v>0</v>
      </c>
      <c r="Y69" s="1252">
        <f>IFERROR(INDEX([8]Code!M$8:M$33,MATCH('[8]$MRD-Annex'!$BG71,[8]Code!$G$8:$G$33,0)),"")</f>
        <v>0</v>
      </c>
      <c r="Z69" s="1253">
        <f t="shared" si="95"/>
        <v>0</v>
      </c>
      <c r="AA69" s="1254">
        <f t="shared" si="95"/>
        <v>0</v>
      </c>
      <c r="AB69" s="1254">
        <f t="shared" si="95"/>
        <v>193.8609968842558</v>
      </c>
      <c r="AC69" s="1254">
        <f t="shared" si="95"/>
        <v>193.8609968842558</v>
      </c>
      <c r="AD69" s="1255">
        <f t="shared" si="96"/>
        <v>387.7219937685116</v>
      </c>
      <c r="AE69" s="1253">
        <f t="shared" si="97"/>
        <v>0</v>
      </c>
      <c r="AF69" s="1254">
        <f t="shared" si="97"/>
        <v>0</v>
      </c>
      <c r="AG69" s="1254">
        <f t="shared" si="97"/>
        <v>31.907865242857977</v>
      </c>
      <c r="AH69" s="1254">
        <f t="shared" si="97"/>
        <v>31.907865242857977</v>
      </c>
      <c r="AI69" s="1255">
        <f t="shared" si="97"/>
        <v>63.815730485715953</v>
      </c>
      <c r="AJ69" s="1254">
        <f t="shared" si="98"/>
        <v>0</v>
      </c>
      <c r="AK69" s="1254">
        <f t="shared" si="98"/>
        <v>0</v>
      </c>
      <c r="AL69" s="1254">
        <f t="shared" si="98"/>
        <v>26.56557787288618</v>
      </c>
      <c r="AM69" s="1254">
        <f t="shared" si="98"/>
        <v>26.56557787288618</v>
      </c>
      <c r="AN69" s="1256">
        <f t="shared" si="99"/>
        <v>53.131155745772361</v>
      </c>
      <c r="AO69" s="1253">
        <f t="shared" si="100"/>
        <v>0</v>
      </c>
      <c r="AP69" s="1254">
        <f t="shared" si="100"/>
        <v>0</v>
      </c>
      <c r="AQ69" s="1254">
        <f t="shared" si="100"/>
        <v>0</v>
      </c>
      <c r="AR69" s="1254">
        <f t="shared" si="100"/>
        <v>0</v>
      </c>
      <c r="AS69" s="1257">
        <f t="shared" si="101"/>
        <v>0</v>
      </c>
      <c r="AT69" s="1253">
        <f t="shared" si="102"/>
        <v>0</v>
      </c>
      <c r="AU69" s="1254">
        <f t="shared" si="102"/>
        <v>0</v>
      </c>
      <c r="AV69" s="1254">
        <f t="shared" si="102"/>
        <v>0</v>
      </c>
      <c r="AW69" s="1254">
        <f t="shared" si="102"/>
        <v>0</v>
      </c>
      <c r="AX69" s="1257">
        <f t="shared" si="103"/>
        <v>0</v>
      </c>
      <c r="AY69" s="1258">
        <f t="shared" si="104"/>
        <v>387.7219937685116</v>
      </c>
      <c r="AZ69" s="1264">
        <f t="shared" si="105"/>
        <v>63.815730485715953</v>
      </c>
      <c r="BA69" s="1264">
        <f t="shared" si="105"/>
        <v>53.131155745772361</v>
      </c>
      <c r="BB69" s="1264">
        <f t="shared" si="105"/>
        <v>0</v>
      </c>
      <c r="BC69" s="1263">
        <f t="shared" si="105"/>
        <v>0</v>
      </c>
      <c r="BD69" s="82"/>
      <c r="BE69" s="568" t="s">
        <v>366</v>
      </c>
      <c r="BF69" s="568" t="s">
        <v>366</v>
      </c>
      <c r="BG69" s="591" t="str">
        <f>IFERROR(INDEX('Annex 2_Code'!$J$110:$J$127,MATCH('Annex 5_MRD'!BE69,'Annex 2_Code'!$G$110:$G$127,0)),"")</f>
        <v>MRD</v>
      </c>
      <c r="BH69" s="1565" t="str">
        <f t="shared" si="18"/>
        <v>MRD</v>
      </c>
      <c r="BI69" s="82"/>
    </row>
    <row r="70" spans="1:61" s="95" customFormat="1" ht="14.25">
      <c r="A70" s="1287"/>
      <c r="B70" s="76" t="s">
        <v>24</v>
      </c>
      <c r="C70" s="76" t="s">
        <v>307</v>
      </c>
      <c r="D70" s="1288"/>
      <c r="E70" s="1289"/>
      <c r="F70" s="66" t="s">
        <v>938</v>
      </c>
      <c r="G70" s="66" t="s">
        <v>942</v>
      </c>
      <c r="H70" s="1755" t="s">
        <v>1095</v>
      </c>
      <c r="I70" s="167">
        <v>4</v>
      </c>
      <c r="J70" s="1026">
        <v>4.0000000000000001E-3</v>
      </c>
      <c r="K70" s="2247">
        <v>0</v>
      </c>
      <c r="L70" s="2251">
        <v>0</v>
      </c>
      <c r="M70" s="2251">
        <v>23364.3</v>
      </c>
      <c r="N70" s="2251">
        <v>23364.3</v>
      </c>
      <c r="O70" s="1280">
        <f t="shared" si="89"/>
        <v>46728.6</v>
      </c>
      <c r="P70" s="2258">
        <f t="shared" si="90"/>
        <v>0</v>
      </c>
      <c r="Q70" s="2258">
        <f t="shared" si="91"/>
        <v>0</v>
      </c>
      <c r="R70" s="2258">
        <f t="shared" si="92"/>
        <v>93.4572</v>
      </c>
      <c r="S70" s="2258">
        <f t="shared" si="93"/>
        <v>93.4572</v>
      </c>
      <c r="T70" s="1281">
        <f t="shared" si="94"/>
        <v>186.9144</v>
      </c>
      <c r="U70" s="1250">
        <f>IFERROR(INDEX([8]Code!I$8:I$33,MATCH('[8]$MRD-Annex'!$BG72,[8]Code!$G$8:$G$33,0)),"")</f>
        <v>0.76827006604510995</v>
      </c>
      <c r="V70" s="1251">
        <f>IFERROR(INDEX([8]Code!J$8:J$33,MATCH('[8]$MRD-Annex'!$BG72,[8]Code!$G$8:$G$33,0)),"")</f>
        <v>0.12645069473218948</v>
      </c>
      <c r="W70" s="1251">
        <f>IFERROR(INDEX([8]Code!K$8:K$33,MATCH('[8]$MRD-Annex'!$BG72,[8]Code!$G$8:$G$33,0)),"")</f>
        <v>0.10527923922270058</v>
      </c>
      <c r="X70" s="1251">
        <f>IFERROR(INDEX([8]Code!L$8:L$33,MATCH('[8]$MRD-Annex'!$BG72,[8]Code!$G$8:$G$33,0)),"")</f>
        <v>0</v>
      </c>
      <c r="Y70" s="1252">
        <f>IFERROR(INDEX([8]Code!M$8:M$33,MATCH('[8]$MRD-Annex'!$BG72,[8]Code!$G$8:$G$33,0)),"")</f>
        <v>0</v>
      </c>
      <c r="Z70" s="1253">
        <f t="shared" si="95"/>
        <v>0</v>
      </c>
      <c r="AA70" s="1254">
        <f t="shared" si="95"/>
        <v>0</v>
      </c>
      <c r="AB70" s="1254">
        <f t="shared" si="95"/>
        <v>71.800369216391047</v>
      </c>
      <c r="AC70" s="1254">
        <f t="shared" si="95"/>
        <v>71.800369216391047</v>
      </c>
      <c r="AD70" s="1255">
        <f t="shared" si="96"/>
        <v>143.60073843278209</v>
      </c>
      <c r="AE70" s="1253">
        <f t="shared" si="97"/>
        <v>0</v>
      </c>
      <c r="AF70" s="1254">
        <f t="shared" si="97"/>
        <v>0</v>
      </c>
      <c r="AG70" s="1254">
        <f t="shared" si="97"/>
        <v>11.817727867725178</v>
      </c>
      <c r="AH70" s="1254">
        <f t="shared" si="97"/>
        <v>11.817727867725178</v>
      </c>
      <c r="AI70" s="1255">
        <f t="shared" si="97"/>
        <v>23.635455735450357</v>
      </c>
      <c r="AJ70" s="1254">
        <f t="shared" si="98"/>
        <v>0</v>
      </c>
      <c r="AK70" s="1254">
        <f t="shared" si="98"/>
        <v>0</v>
      </c>
      <c r="AL70" s="1254">
        <f t="shared" si="98"/>
        <v>9.8391029158837728</v>
      </c>
      <c r="AM70" s="1254">
        <f t="shared" si="98"/>
        <v>9.8391029158837728</v>
      </c>
      <c r="AN70" s="1256">
        <f t="shared" si="99"/>
        <v>19.678205831767546</v>
      </c>
      <c r="AO70" s="1253">
        <f t="shared" si="100"/>
        <v>0</v>
      </c>
      <c r="AP70" s="1254">
        <f t="shared" si="100"/>
        <v>0</v>
      </c>
      <c r="AQ70" s="1254">
        <f t="shared" si="100"/>
        <v>0</v>
      </c>
      <c r="AR70" s="1254">
        <f t="shared" si="100"/>
        <v>0</v>
      </c>
      <c r="AS70" s="1257">
        <f t="shared" si="101"/>
        <v>0</v>
      </c>
      <c r="AT70" s="1253">
        <f t="shared" si="102"/>
        <v>0</v>
      </c>
      <c r="AU70" s="1254">
        <f t="shared" si="102"/>
        <v>0</v>
      </c>
      <c r="AV70" s="1254">
        <f t="shared" si="102"/>
        <v>0</v>
      </c>
      <c r="AW70" s="1254">
        <f t="shared" si="102"/>
        <v>0</v>
      </c>
      <c r="AX70" s="1257">
        <f t="shared" si="103"/>
        <v>0</v>
      </c>
      <c r="AY70" s="1258">
        <f t="shared" si="104"/>
        <v>143.60073843278209</v>
      </c>
      <c r="AZ70" s="1264">
        <f t="shared" si="105"/>
        <v>23.635455735450357</v>
      </c>
      <c r="BA70" s="1264">
        <f t="shared" si="105"/>
        <v>19.678205831767546</v>
      </c>
      <c r="BB70" s="1264">
        <f t="shared" si="105"/>
        <v>0</v>
      </c>
      <c r="BC70" s="1263">
        <f t="shared" si="105"/>
        <v>0</v>
      </c>
      <c r="BD70" s="82"/>
      <c r="BE70" s="568" t="s">
        <v>366</v>
      </c>
      <c r="BF70" s="568" t="s">
        <v>366</v>
      </c>
      <c r="BG70" s="591" t="str">
        <f>IFERROR(INDEX('Annex 2_Code'!$J$110:$J$127,MATCH('Annex 5_MRD'!BE70,'Annex 2_Code'!$G$110:$G$127,0)),"")</f>
        <v>MRD</v>
      </c>
      <c r="BH70" s="1565" t="str">
        <f t="shared" si="18"/>
        <v>MRD</v>
      </c>
      <c r="BI70" s="82"/>
    </row>
    <row r="71" spans="1:61" s="95" customFormat="1" ht="14.25">
      <c r="A71" s="1287"/>
      <c r="B71" s="76" t="s">
        <v>24</v>
      </c>
      <c r="C71" s="76" t="s">
        <v>307</v>
      </c>
      <c r="D71" s="1288"/>
      <c r="E71" s="1289"/>
      <c r="F71" s="66" t="s">
        <v>939</v>
      </c>
      <c r="G71" s="1291"/>
      <c r="H71" s="1755" t="s">
        <v>1095</v>
      </c>
      <c r="I71" s="167">
        <v>3.5</v>
      </c>
      <c r="J71" s="1026">
        <v>3.5000000000000001E-3</v>
      </c>
      <c r="K71" s="2247">
        <v>0</v>
      </c>
      <c r="L71" s="2251">
        <v>0</v>
      </c>
      <c r="M71" s="2251">
        <v>14428.48</v>
      </c>
      <c r="N71" s="2251">
        <v>14428.48</v>
      </c>
      <c r="O71" s="1280">
        <f t="shared" si="89"/>
        <v>28856.959999999999</v>
      </c>
      <c r="P71" s="2258">
        <f t="shared" si="90"/>
        <v>0</v>
      </c>
      <c r="Q71" s="2258">
        <f t="shared" si="91"/>
        <v>0</v>
      </c>
      <c r="R71" s="2258">
        <f t="shared" si="92"/>
        <v>50.499679999999998</v>
      </c>
      <c r="S71" s="2258">
        <f t="shared" si="93"/>
        <v>50.499679999999998</v>
      </c>
      <c r="T71" s="1281">
        <f t="shared" si="94"/>
        <v>100.99936</v>
      </c>
      <c r="U71" s="1250">
        <f>IFERROR(INDEX([8]Code!I$8:I$33,MATCH('[8]$MRD-Annex'!$BG73,[8]Code!$G$8:$G$33,0)),"")</f>
        <v>0.76827006604510995</v>
      </c>
      <c r="V71" s="1251">
        <f>IFERROR(INDEX([8]Code!J$8:J$33,MATCH('[8]$MRD-Annex'!$BG73,[8]Code!$G$8:$G$33,0)),"")</f>
        <v>0.12645069473218948</v>
      </c>
      <c r="W71" s="1251">
        <f>IFERROR(INDEX([8]Code!K$8:K$33,MATCH('[8]$MRD-Annex'!$BG73,[8]Code!$G$8:$G$33,0)),"")</f>
        <v>0.10527923922270058</v>
      </c>
      <c r="X71" s="1251">
        <f>IFERROR(INDEX([8]Code!L$8:L$33,MATCH('[8]$MRD-Annex'!$BG73,[8]Code!$G$8:$G$33,0)),"")</f>
        <v>0</v>
      </c>
      <c r="Y71" s="1252">
        <f>IFERROR(INDEX([8]Code!M$8:M$33,MATCH('[8]$MRD-Annex'!$BG73,[8]Code!$G$8:$G$33,0)),"")</f>
        <v>0</v>
      </c>
      <c r="Z71" s="1253">
        <f t="shared" si="95"/>
        <v>0</v>
      </c>
      <c r="AA71" s="1254">
        <f t="shared" si="95"/>
        <v>0</v>
      </c>
      <c r="AB71" s="1254">
        <f t="shared" si="95"/>
        <v>38.797392488856914</v>
      </c>
      <c r="AC71" s="1254">
        <f t="shared" si="95"/>
        <v>38.797392488856914</v>
      </c>
      <c r="AD71" s="1255">
        <f t="shared" si="96"/>
        <v>77.594784977713829</v>
      </c>
      <c r="AE71" s="1253">
        <f t="shared" si="97"/>
        <v>0</v>
      </c>
      <c r="AF71" s="1254">
        <f t="shared" si="97"/>
        <v>0</v>
      </c>
      <c r="AG71" s="1254">
        <f t="shared" si="97"/>
        <v>6.385719619753254</v>
      </c>
      <c r="AH71" s="1254">
        <f t="shared" si="97"/>
        <v>6.385719619753254</v>
      </c>
      <c r="AI71" s="1255">
        <f t="shared" si="97"/>
        <v>12.771439239506508</v>
      </c>
      <c r="AJ71" s="1254">
        <f t="shared" si="98"/>
        <v>0</v>
      </c>
      <c r="AK71" s="1254">
        <f t="shared" si="98"/>
        <v>0</v>
      </c>
      <c r="AL71" s="1254">
        <f t="shared" si="98"/>
        <v>5.3165678913898278</v>
      </c>
      <c r="AM71" s="1254">
        <f t="shared" si="98"/>
        <v>5.3165678913898278</v>
      </c>
      <c r="AN71" s="1256">
        <f t="shared" si="99"/>
        <v>10.633135782779656</v>
      </c>
      <c r="AO71" s="1253">
        <f t="shared" si="100"/>
        <v>0</v>
      </c>
      <c r="AP71" s="1254">
        <f t="shared" si="100"/>
        <v>0</v>
      </c>
      <c r="AQ71" s="1254">
        <f t="shared" si="100"/>
        <v>0</v>
      </c>
      <c r="AR71" s="1254">
        <f t="shared" si="100"/>
        <v>0</v>
      </c>
      <c r="AS71" s="1257">
        <f t="shared" si="101"/>
        <v>0</v>
      </c>
      <c r="AT71" s="1253">
        <f t="shared" si="102"/>
        <v>0</v>
      </c>
      <c r="AU71" s="1254">
        <f t="shared" si="102"/>
        <v>0</v>
      </c>
      <c r="AV71" s="1254">
        <f t="shared" si="102"/>
        <v>0</v>
      </c>
      <c r="AW71" s="1254">
        <f t="shared" si="102"/>
        <v>0</v>
      </c>
      <c r="AX71" s="1257">
        <f t="shared" si="103"/>
        <v>0</v>
      </c>
      <c r="AY71" s="1258">
        <f t="shared" si="104"/>
        <v>77.594784977713829</v>
      </c>
      <c r="AZ71" s="1264">
        <f t="shared" si="105"/>
        <v>12.771439239506508</v>
      </c>
      <c r="BA71" s="1264">
        <f t="shared" si="105"/>
        <v>10.633135782779656</v>
      </c>
      <c r="BB71" s="1264">
        <f t="shared" si="105"/>
        <v>0</v>
      </c>
      <c r="BC71" s="1263">
        <f t="shared" si="105"/>
        <v>0</v>
      </c>
      <c r="BD71" s="82"/>
      <c r="BE71" s="568" t="s">
        <v>366</v>
      </c>
      <c r="BF71" s="568" t="s">
        <v>366</v>
      </c>
      <c r="BG71" s="591" t="str">
        <f>IFERROR(INDEX('Annex 2_Code'!$J$110:$J$127,MATCH('Annex 5_MRD'!BE71,'Annex 2_Code'!$G$110:$G$127,0)),"")</f>
        <v>MRD</v>
      </c>
      <c r="BH71" s="1565" t="str">
        <f t="shared" si="18"/>
        <v>MRD</v>
      </c>
      <c r="BI71" s="82"/>
    </row>
    <row r="72" spans="1:61" s="95" customFormat="1" ht="14.25">
      <c r="A72" s="1287"/>
      <c r="B72" s="76" t="s">
        <v>24</v>
      </c>
      <c r="C72" s="76" t="s">
        <v>307</v>
      </c>
      <c r="D72" s="1288"/>
      <c r="E72" s="1289"/>
      <c r="F72" s="66" t="s">
        <v>940</v>
      </c>
      <c r="G72" s="1291"/>
      <c r="H72" s="1755" t="s">
        <v>1095</v>
      </c>
      <c r="I72" s="167">
        <v>1.45</v>
      </c>
      <c r="J72" s="1026">
        <v>1.4499999999999999E-3</v>
      </c>
      <c r="K72" s="2247">
        <v>0</v>
      </c>
      <c r="L72" s="2251">
        <v>0</v>
      </c>
      <c r="M72" s="2251">
        <v>40170.199999999997</v>
      </c>
      <c r="N72" s="2251">
        <v>40170.199999999997</v>
      </c>
      <c r="O72" s="1280">
        <f t="shared" si="89"/>
        <v>80340.399999999994</v>
      </c>
      <c r="P72" s="2258">
        <f t="shared" si="90"/>
        <v>0</v>
      </c>
      <c r="Q72" s="2258">
        <f t="shared" si="91"/>
        <v>0</v>
      </c>
      <c r="R72" s="2258">
        <f t="shared" si="92"/>
        <v>58.24678999999999</v>
      </c>
      <c r="S72" s="2258">
        <f t="shared" si="93"/>
        <v>58.24678999999999</v>
      </c>
      <c r="T72" s="1281">
        <f t="shared" si="94"/>
        <v>116.49357999999998</v>
      </c>
      <c r="U72" s="1250">
        <f>IFERROR(INDEX([8]Code!I$8:I$33,MATCH('[8]$MRD-Annex'!$BG74,[8]Code!$G$8:$G$33,0)),"")</f>
        <v>0.76827006604510995</v>
      </c>
      <c r="V72" s="1251">
        <f>IFERROR(INDEX([8]Code!J$8:J$33,MATCH('[8]$MRD-Annex'!$BG74,[8]Code!$G$8:$G$33,0)),"")</f>
        <v>0.12645069473218948</v>
      </c>
      <c r="W72" s="1251">
        <f>IFERROR(INDEX([8]Code!K$8:K$33,MATCH('[8]$MRD-Annex'!$BG74,[8]Code!$G$8:$G$33,0)),"")</f>
        <v>0.10527923922270058</v>
      </c>
      <c r="X72" s="1251">
        <f>IFERROR(INDEX([8]Code!L$8:L$33,MATCH('[8]$MRD-Annex'!$BG74,[8]Code!$G$8:$G$33,0)),"")</f>
        <v>0</v>
      </c>
      <c r="Y72" s="1252">
        <f>IFERROR(INDEX([8]Code!M$8:M$33,MATCH('[8]$MRD-Annex'!$BG74,[8]Code!$G$8:$G$33,0)),"")</f>
        <v>0</v>
      </c>
      <c r="Z72" s="1253">
        <f t="shared" si="95"/>
        <v>0</v>
      </c>
      <c r="AA72" s="1254">
        <f t="shared" si="95"/>
        <v>0</v>
      </c>
      <c r="AB72" s="1254">
        <f t="shared" si="95"/>
        <v>44.749265200215639</v>
      </c>
      <c r="AC72" s="1254">
        <f t="shared" si="95"/>
        <v>44.749265200215639</v>
      </c>
      <c r="AD72" s="1255">
        <f t="shared" si="96"/>
        <v>89.498530400431278</v>
      </c>
      <c r="AE72" s="1253">
        <f t="shared" si="97"/>
        <v>0</v>
      </c>
      <c r="AF72" s="1254">
        <f t="shared" si="97"/>
        <v>0</v>
      </c>
      <c r="AG72" s="1254">
        <f t="shared" si="97"/>
        <v>7.3653470614199454</v>
      </c>
      <c r="AH72" s="1254">
        <f t="shared" si="97"/>
        <v>7.3653470614199454</v>
      </c>
      <c r="AI72" s="1255">
        <f t="shared" si="97"/>
        <v>14.730694122839891</v>
      </c>
      <c r="AJ72" s="1254">
        <f t="shared" si="98"/>
        <v>0</v>
      </c>
      <c r="AK72" s="1254">
        <f t="shared" si="98"/>
        <v>0</v>
      </c>
      <c r="AL72" s="1254">
        <f t="shared" si="98"/>
        <v>6.1321777383644029</v>
      </c>
      <c r="AM72" s="1254">
        <f t="shared" si="98"/>
        <v>6.1321777383644029</v>
      </c>
      <c r="AN72" s="1256">
        <f t="shared" si="99"/>
        <v>12.264355476728806</v>
      </c>
      <c r="AO72" s="1253">
        <f t="shared" si="100"/>
        <v>0</v>
      </c>
      <c r="AP72" s="1254">
        <f t="shared" si="100"/>
        <v>0</v>
      </c>
      <c r="AQ72" s="1254">
        <f t="shared" si="100"/>
        <v>0</v>
      </c>
      <c r="AR72" s="1254">
        <f t="shared" si="100"/>
        <v>0</v>
      </c>
      <c r="AS72" s="1257">
        <f t="shared" si="101"/>
        <v>0</v>
      </c>
      <c r="AT72" s="1253">
        <f t="shared" si="102"/>
        <v>0</v>
      </c>
      <c r="AU72" s="1254">
        <f t="shared" si="102"/>
        <v>0</v>
      </c>
      <c r="AV72" s="1254">
        <f t="shared" si="102"/>
        <v>0</v>
      </c>
      <c r="AW72" s="1254">
        <f t="shared" si="102"/>
        <v>0</v>
      </c>
      <c r="AX72" s="1257">
        <f t="shared" si="103"/>
        <v>0</v>
      </c>
      <c r="AY72" s="1258">
        <f t="shared" si="104"/>
        <v>89.498530400431278</v>
      </c>
      <c r="AZ72" s="1264">
        <f t="shared" si="105"/>
        <v>14.730694122839891</v>
      </c>
      <c r="BA72" s="1264">
        <f t="shared" si="105"/>
        <v>12.264355476728806</v>
      </c>
      <c r="BB72" s="1264">
        <f t="shared" si="105"/>
        <v>0</v>
      </c>
      <c r="BC72" s="1263">
        <f t="shared" si="105"/>
        <v>0</v>
      </c>
      <c r="BD72" s="82"/>
      <c r="BE72" s="568" t="s">
        <v>366</v>
      </c>
      <c r="BF72" s="568" t="s">
        <v>366</v>
      </c>
      <c r="BG72" s="591" t="str">
        <f>IFERROR(INDEX('Annex 2_Code'!$J$110:$J$127,MATCH('Annex 5_MRD'!BE72,'Annex 2_Code'!$G$110:$G$127,0)),"")</f>
        <v>MRD</v>
      </c>
      <c r="BH72" s="1565" t="str">
        <f t="shared" si="18"/>
        <v>MRD</v>
      </c>
      <c r="BI72" s="82"/>
    </row>
    <row r="73" spans="1:61" s="95" customFormat="1">
      <c r="A73" s="1287"/>
      <c r="B73" s="76" t="s">
        <v>24</v>
      </c>
      <c r="C73" s="76" t="s">
        <v>307</v>
      </c>
      <c r="D73" s="1288"/>
      <c r="E73" s="1289"/>
      <c r="F73" s="66" t="s">
        <v>308</v>
      </c>
      <c r="G73" s="1291"/>
      <c r="H73" s="1743" t="s">
        <v>309</v>
      </c>
      <c r="I73" s="1574">
        <v>106573.99999999999</v>
      </c>
      <c r="J73" s="1026">
        <v>106.57399999999998</v>
      </c>
      <c r="K73" s="2247">
        <v>0</v>
      </c>
      <c r="L73" s="2248">
        <v>0</v>
      </c>
      <c r="M73" s="2252">
        <v>0.15</v>
      </c>
      <c r="N73" s="2252">
        <v>0.15</v>
      </c>
      <c r="O73" s="1280">
        <f t="shared" si="89"/>
        <v>0.3</v>
      </c>
      <c r="P73" s="2258">
        <f t="shared" si="90"/>
        <v>0</v>
      </c>
      <c r="Q73" s="2258">
        <f t="shared" si="91"/>
        <v>0</v>
      </c>
      <c r="R73" s="2258">
        <f t="shared" si="92"/>
        <v>15.986099999999997</v>
      </c>
      <c r="S73" s="2258">
        <f t="shared" si="93"/>
        <v>15.986099999999997</v>
      </c>
      <c r="T73" s="1281">
        <f t="shared" si="94"/>
        <v>31.972199999999994</v>
      </c>
      <c r="U73" s="1250">
        <f>IFERROR(INDEX([8]Code!I$8:I$33,MATCH('[8]$MRD-Annex'!$BG75,[8]Code!$G$8:$G$33,0)),"")</f>
        <v>0.76827006604510995</v>
      </c>
      <c r="V73" s="1251">
        <f>IFERROR(INDEX([8]Code!J$8:J$33,MATCH('[8]$MRD-Annex'!$BG75,[8]Code!$G$8:$G$33,0)),"")</f>
        <v>0.12645069473218948</v>
      </c>
      <c r="W73" s="1251">
        <f>IFERROR(INDEX([8]Code!K$8:K$33,MATCH('[8]$MRD-Annex'!$BG75,[8]Code!$G$8:$G$33,0)),"")</f>
        <v>0.10527923922270058</v>
      </c>
      <c r="X73" s="1251">
        <f>IFERROR(INDEX([8]Code!L$8:L$33,MATCH('[8]$MRD-Annex'!$BG75,[8]Code!$G$8:$G$33,0)),"")</f>
        <v>0</v>
      </c>
      <c r="Y73" s="1252">
        <f>IFERROR(INDEX([8]Code!M$8:M$33,MATCH('[8]$MRD-Annex'!$BG75,[8]Code!$G$8:$G$33,0)),"")</f>
        <v>0</v>
      </c>
      <c r="Z73" s="1253">
        <f t="shared" si="95"/>
        <v>0</v>
      </c>
      <c r="AA73" s="1254">
        <f t="shared" si="95"/>
        <v>0</v>
      </c>
      <c r="AB73" s="1254">
        <f t="shared" si="95"/>
        <v>12.28164210280373</v>
      </c>
      <c r="AC73" s="1254">
        <f t="shared" si="95"/>
        <v>12.28164210280373</v>
      </c>
      <c r="AD73" s="1255">
        <f t="shared" si="96"/>
        <v>24.563284205607459</v>
      </c>
      <c r="AE73" s="1253">
        <f t="shared" si="97"/>
        <v>0</v>
      </c>
      <c r="AF73" s="1254">
        <f t="shared" si="97"/>
        <v>0</v>
      </c>
      <c r="AG73" s="1254">
        <f t="shared" si="97"/>
        <v>2.021453451058254</v>
      </c>
      <c r="AH73" s="1254">
        <f t="shared" si="97"/>
        <v>2.021453451058254</v>
      </c>
      <c r="AI73" s="1255">
        <f t="shared" si="97"/>
        <v>4.042906902116508</v>
      </c>
      <c r="AJ73" s="1254">
        <f t="shared" si="98"/>
        <v>0</v>
      </c>
      <c r="AK73" s="1254">
        <f t="shared" si="98"/>
        <v>0</v>
      </c>
      <c r="AL73" s="1254">
        <f t="shared" si="98"/>
        <v>1.6830044461380134</v>
      </c>
      <c r="AM73" s="1254">
        <f t="shared" si="98"/>
        <v>1.6830044461380134</v>
      </c>
      <c r="AN73" s="1256">
        <f t="shared" si="99"/>
        <v>3.3660088922760267</v>
      </c>
      <c r="AO73" s="1253">
        <f t="shared" si="100"/>
        <v>0</v>
      </c>
      <c r="AP73" s="1254">
        <f t="shared" si="100"/>
        <v>0</v>
      </c>
      <c r="AQ73" s="1254">
        <f t="shared" si="100"/>
        <v>0</v>
      </c>
      <c r="AR73" s="1254">
        <f t="shared" si="100"/>
        <v>0</v>
      </c>
      <c r="AS73" s="1257">
        <f t="shared" si="101"/>
        <v>0</v>
      </c>
      <c r="AT73" s="1253">
        <f t="shared" si="102"/>
        <v>0</v>
      </c>
      <c r="AU73" s="1254">
        <f t="shared" si="102"/>
        <v>0</v>
      </c>
      <c r="AV73" s="1254">
        <f t="shared" si="102"/>
        <v>0</v>
      </c>
      <c r="AW73" s="1254">
        <f t="shared" si="102"/>
        <v>0</v>
      </c>
      <c r="AX73" s="1257">
        <f t="shared" si="103"/>
        <v>0</v>
      </c>
      <c r="AY73" s="1258">
        <f t="shared" si="104"/>
        <v>24.563284205607459</v>
      </c>
      <c r="AZ73" s="1264">
        <f t="shared" si="105"/>
        <v>4.042906902116508</v>
      </c>
      <c r="BA73" s="1264">
        <f t="shared" si="105"/>
        <v>3.3660088922760267</v>
      </c>
      <c r="BB73" s="1264">
        <f t="shared" si="105"/>
        <v>0</v>
      </c>
      <c r="BC73" s="1263">
        <f t="shared" si="105"/>
        <v>0</v>
      </c>
      <c r="BD73" s="82"/>
      <c r="BE73" s="568" t="s">
        <v>366</v>
      </c>
      <c r="BF73" s="568" t="s">
        <v>366</v>
      </c>
      <c r="BG73" s="591" t="str">
        <f>IFERROR(INDEX('Annex 2_Code'!$J$110:$J$127,MATCH('Annex 5_MRD'!BE73,'Annex 2_Code'!$G$110:$G$127,0)),"")</f>
        <v>MRD</v>
      </c>
      <c r="BH73" s="1565" t="str">
        <f t="shared" si="18"/>
        <v>MRD</v>
      </c>
      <c r="BI73" s="82"/>
    </row>
    <row r="74" spans="1:61" s="95" customFormat="1">
      <c r="A74" s="1287"/>
      <c r="B74" s="76" t="s">
        <v>24</v>
      </c>
      <c r="C74" s="76" t="s">
        <v>307</v>
      </c>
      <c r="D74" s="1288"/>
      <c r="E74" s="1289"/>
      <c r="F74" s="97" t="s">
        <v>946</v>
      </c>
      <c r="G74" s="1291"/>
      <c r="H74" s="1743" t="s">
        <v>309</v>
      </c>
      <c r="I74" s="1574">
        <v>491879.99999999994</v>
      </c>
      <c r="J74" s="1026">
        <v>491.87999999999994</v>
      </c>
      <c r="K74" s="2249"/>
      <c r="L74" s="2250">
        <v>0</v>
      </c>
      <c r="M74" s="2252">
        <v>0.15</v>
      </c>
      <c r="N74" s="2252">
        <v>0.15</v>
      </c>
      <c r="O74" s="1280">
        <f t="shared" si="89"/>
        <v>0.3</v>
      </c>
      <c r="P74" s="2258">
        <f t="shared" si="90"/>
        <v>0</v>
      </c>
      <c r="Q74" s="2258">
        <f t="shared" si="91"/>
        <v>0</v>
      </c>
      <c r="R74" s="2258">
        <f t="shared" si="92"/>
        <v>73.781999999999982</v>
      </c>
      <c r="S74" s="2258">
        <f t="shared" si="93"/>
        <v>73.781999999999982</v>
      </c>
      <c r="T74" s="1281">
        <f t="shared" si="94"/>
        <v>147.56399999999996</v>
      </c>
      <c r="U74" s="1250">
        <f>IFERROR(INDEX([8]Code!I$8:I$33,MATCH('[8]$MRD-Annex'!$BG76,[8]Code!$G$8:$G$33,0)),"")</f>
        <v>0.76827006604510995</v>
      </c>
      <c r="V74" s="1251">
        <f>IFERROR(INDEX([8]Code!J$8:J$33,MATCH('[8]$MRD-Annex'!$BG76,[8]Code!$G$8:$G$33,0)),"")</f>
        <v>0.12645069473218948</v>
      </c>
      <c r="W74" s="1251">
        <f>IFERROR(INDEX([8]Code!K$8:K$33,MATCH('[8]$MRD-Annex'!$BG76,[8]Code!$G$8:$G$33,0)),"")</f>
        <v>0.10527923922270058</v>
      </c>
      <c r="X74" s="1251">
        <f>IFERROR(INDEX([8]Code!L$8:L$33,MATCH('[8]$MRD-Annex'!$BG76,[8]Code!$G$8:$G$33,0)),"")</f>
        <v>0</v>
      </c>
      <c r="Y74" s="1252">
        <f>IFERROR(INDEX([8]Code!M$8:M$33,MATCH('[8]$MRD-Annex'!$BG76,[8]Code!$G$8:$G$33,0)),"")</f>
        <v>0</v>
      </c>
      <c r="Z74" s="1253">
        <f t="shared" si="95"/>
        <v>0</v>
      </c>
      <c r="AA74" s="1254">
        <f t="shared" si="95"/>
        <v>0</v>
      </c>
      <c r="AB74" s="1254">
        <f t="shared" si="95"/>
        <v>56.684502012940285</v>
      </c>
      <c r="AC74" s="1254">
        <f t="shared" si="95"/>
        <v>56.684502012940285</v>
      </c>
      <c r="AD74" s="1255">
        <f t="shared" si="96"/>
        <v>113.36900402588057</v>
      </c>
      <c r="AE74" s="1253">
        <f t="shared" si="97"/>
        <v>0</v>
      </c>
      <c r="AF74" s="1254">
        <f t="shared" si="97"/>
        <v>0</v>
      </c>
      <c r="AG74" s="1254">
        <f t="shared" si="97"/>
        <v>9.3297851587304024</v>
      </c>
      <c r="AH74" s="1254">
        <f t="shared" si="97"/>
        <v>9.3297851587304024</v>
      </c>
      <c r="AI74" s="1255">
        <f t="shared" si="97"/>
        <v>18.659570317460805</v>
      </c>
      <c r="AJ74" s="1254">
        <f t="shared" si="98"/>
        <v>0</v>
      </c>
      <c r="AK74" s="1254">
        <f t="shared" si="98"/>
        <v>0</v>
      </c>
      <c r="AL74" s="1254">
        <f t="shared" si="98"/>
        <v>7.7677128283292918</v>
      </c>
      <c r="AM74" s="1254">
        <f t="shared" si="98"/>
        <v>7.7677128283292918</v>
      </c>
      <c r="AN74" s="1256">
        <f t="shared" si="99"/>
        <v>15.535425656658584</v>
      </c>
      <c r="AO74" s="1253">
        <f t="shared" si="100"/>
        <v>0</v>
      </c>
      <c r="AP74" s="1254">
        <f t="shared" si="100"/>
        <v>0</v>
      </c>
      <c r="AQ74" s="1254">
        <f t="shared" si="100"/>
        <v>0</v>
      </c>
      <c r="AR74" s="1254">
        <f t="shared" si="100"/>
        <v>0</v>
      </c>
      <c r="AS74" s="1257">
        <f t="shared" si="101"/>
        <v>0</v>
      </c>
      <c r="AT74" s="1253">
        <f t="shared" si="102"/>
        <v>0</v>
      </c>
      <c r="AU74" s="1254">
        <f t="shared" si="102"/>
        <v>0</v>
      </c>
      <c r="AV74" s="1254">
        <f t="shared" si="102"/>
        <v>0</v>
      </c>
      <c r="AW74" s="1254">
        <f t="shared" si="102"/>
        <v>0</v>
      </c>
      <c r="AX74" s="1257">
        <f t="shared" si="103"/>
        <v>0</v>
      </c>
      <c r="AY74" s="1258">
        <f t="shared" si="104"/>
        <v>113.36900402588057</v>
      </c>
      <c r="AZ74" s="1264">
        <f t="shared" si="105"/>
        <v>18.659570317460805</v>
      </c>
      <c r="BA74" s="1264">
        <f t="shared" si="105"/>
        <v>15.535425656658584</v>
      </c>
      <c r="BB74" s="1264">
        <f t="shared" si="105"/>
        <v>0</v>
      </c>
      <c r="BC74" s="1263">
        <f t="shared" si="105"/>
        <v>0</v>
      </c>
      <c r="BD74" s="82"/>
      <c r="BE74" s="568" t="s">
        <v>366</v>
      </c>
      <c r="BF74" s="568" t="s">
        <v>366</v>
      </c>
      <c r="BG74" s="591" t="str">
        <f>IFERROR(INDEX('Annex 2_Code'!$J$110:$J$127,MATCH('Annex 5_MRD'!BE74,'Annex 2_Code'!$G$110:$G$127,0)),"")</f>
        <v>MRD</v>
      </c>
      <c r="BH74" s="1565" t="str">
        <f t="shared" si="18"/>
        <v>MRD</v>
      </c>
      <c r="BI74" s="82"/>
    </row>
    <row r="75" spans="1:61" s="95" customFormat="1">
      <c r="A75" s="75"/>
      <c r="B75" s="1267"/>
      <c r="C75" s="1568"/>
      <c r="D75" s="382"/>
      <c r="E75" s="383" t="s">
        <v>41</v>
      </c>
      <c r="F75" s="384"/>
      <c r="G75" s="385"/>
      <c r="H75" s="1749"/>
      <c r="I75" s="776"/>
      <c r="J75" s="1641"/>
      <c r="K75" s="791"/>
      <c r="L75" s="386"/>
      <c r="M75" s="839"/>
      <c r="N75" s="840"/>
      <c r="O75" s="388"/>
      <c r="P75" s="1268">
        <f>SUM(P63:P74)</f>
        <v>0</v>
      </c>
      <c r="Q75" s="1268">
        <f>SUM(Q63:Q74)</f>
        <v>0</v>
      </c>
      <c r="R75" s="1268">
        <f>SUM(R63:R74)</f>
        <v>622.27328899999998</v>
      </c>
      <c r="S75" s="1268">
        <f>SUM(S63:S74)</f>
        <v>622.27328899999998</v>
      </c>
      <c r="T75" s="1268">
        <f>SUM(T64:T74)</f>
        <v>1244.546578</v>
      </c>
      <c r="U75" s="1270" t="str">
        <f>IFERROR(INDEX([8]Code!I$8:I$33,MATCH('[8]$MRD-Annex'!$BG77,[8]Code!$G$8:$G$33,0)),"")</f>
        <v/>
      </c>
      <c r="V75" s="1271" t="str">
        <f>IFERROR(INDEX([8]Code!J$8:J$33,MATCH('[8]$MRD-Annex'!$BG77,[8]Code!$G$8:$G$33,0)),"")</f>
        <v/>
      </c>
      <c r="W75" s="1271" t="str">
        <f>IFERROR(INDEX([8]Code!K$8:K$33,MATCH('[8]$MRD-Annex'!$BG77,[8]Code!$G$8:$G$33,0)),"")</f>
        <v/>
      </c>
      <c r="X75" s="1271" t="str">
        <f>IFERROR(INDEX([8]Code!L$8:L$33,MATCH('[8]$MRD-Annex'!$BG77,[8]Code!$G$8:$G$33,0)),"")</f>
        <v/>
      </c>
      <c r="Y75" s="1272" t="str">
        <f>IFERROR(INDEX([8]Code!M$8:M$33,MATCH('[8]$MRD-Annex'!$BG77,[8]Code!$G$8:$G$33,0)),"")</f>
        <v/>
      </c>
      <c r="Z75" s="1274">
        <f t="shared" ref="Z75:AF75" si="106">SUM(Z74,Z73,Z72,Z71,Z70,Z69,Z68,Z67,Z66,Z65,Z64)</f>
        <v>0</v>
      </c>
      <c r="AA75" s="1268">
        <f t="shared" si="106"/>
        <v>0</v>
      </c>
      <c r="AB75" s="1268">
        <f t="shared" si="106"/>
        <v>478.07394083813762</v>
      </c>
      <c r="AC75" s="1268">
        <f t="shared" si="106"/>
        <v>478.07394083813762</v>
      </c>
      <c r="AD75" s="1275">
        <f t="shared" si="106"/>
        <v>956.14788167627523</v>
      </c>
      <c r="AE75" s="1274">
        <f t="shared" si="106"/>
        <v>0</v>
      </c>
      <c r="AF75" s="1268">
        <f t="shared" si="106"/>
        <v>0</v>
      </c>
      <c r="AG75" s="1268">
        <f>SUM(AG74,AG73,AG72,AG71,AG70,AG69,AG68,AG67,AG66,AG65,AG64)</f>
        <v>78.686889707334515</v>
      </c>
      <c r="AH75" s="1268">
        <f>SUM(AH74,AH73,AH72,AH71,AH70,AH69,AH68,AH67,AH66,AH65,AH64)</f>
        <v>78.686889707334515</v>
      </c>
      <c r="AI75" s="1275">
        <f>SUM(AI74,AI73,AI72,AI71,AI70,AI69,AI68,AI67,AI66,AI65,AI64)</f>
        <v>157.37377941466903</v>
      </c>
      <c r="AJ75" s="1274">
        <f>SUM(AJ74,AJ73,AJ72,AJ71,AJ70,AJ69,AJ68,AJ67,AJ66,AJ65,AJ64)</f>
        <v>0</v>
      </c>
      <c r="AK75" s="1268">
        <f t="shared" ref="AK75" si="107">SUM(AK74,AK73,AK72,AK71,AK70,AK69,AK68,AK67,AK66,AK65,AK64)</f>
        <v>0</v>
      </c>
      <c r="AL75" s="1268">
        <f>SUM(AL74,AL73,AL72,AL71,AL70,AL69,AL68,AL67,AL66,AL65,AL64)</f>
        <v>65.512458454527689</v>
      </c>
      <c r="AM75" s="1268">
        <f t="shared" ref="AM75:AN75" si="108">SUM(AM74,AM73,AM72,AM71,AM70,AM69,AM68,AM67,AM66,AM65,AM64)</f>
        <v>65.512458454527689</v>
      </c>
      <c r="AN75" s="1275">
        <f t="shared" si="108"/>
        <v>131.02491690905538</v>
      </c>
      <c r="AO75" s="1274"/>
      <c r="AP75" s="1268"/>
      <c r="AQ75" s="1268"/>
      <c r="AR75" s="1268"/>
      <c r="AS75" s="1276"/>
      <c r="AT75" s="1277"/>
      <c r="AU75" s="1273"/>
      <c r="AV75" s="1273"/>
      <c r="AW75" s="1273"/>
      <c r="AX75" s="1276"/>
      <c r="AY75" s="1278">
        <f>SUM(AY74,AY73,AY72,AY71,AY70,AY69,AY68,AY67,AY66,AY65,AY64)</f>
        <v>956.14788167627523</v>
      </c>
      <c r="AZ75" s="1279">
        <f>SUM(AZ74,AZ73,AZ72,AZ71,AZ70,AZ69,AZ68,AZ67,AZ66,AZ65,AZ64)</f>
        <v>157.37377941466903</v>
      </c>
      <c r="BA75" s="1279">
        <f>SUM(BA74,BA73,BA72,BA71,BA70,BA69,BA68,BA67,BA66,BA65,BA64)</f>
        <v>131.02491690905538</v>
      </c>
      <c r="BB75" s="1279">
        <f t="shared" ref="BB75:BC75" si="109">SUM(BB74,BB73,BB72,BB71,BB70,BB69,BB68,BB67,BB66,BB65,BB64)</f>
        <v>0</v>
      </c>
      <c r="BC75" s="1279">
        <f t="shared" si="109"/>
        <v>0</v>
      </c>
      <c r="BD75" s="82"/>
      <c r="BE75" s="1282"/>
      <c r="BF75" s="1282"/>
      <c r="BG75" s="1282"/>
      <c r="BH75" s="1565"/>
      <c r="BI75" s="82"/>
    </row>
    <row r="76" spans="1:61" s="95" customFormat="1">
      <c r="A76" s="1287"/>
      <c r="B76" s="76" t="s">
        <v>24</v>
      </c>
      <c r="C76" s="76" t="s">
        <v>307</v>
      </c>
      <c r="D76" s="1288"/>
      <c r="E76" s="66" t="s">
        <v>1037</v>
      </c>
      <c r="F76" s="1290"/>
      <c r="G76" s="1291"/>
      <c r="H76" s="1761"/>
      <c r="I76" s="1572"/>
      <c r="J76" s="1642"/>
      <c r="K76" s="1573"/>
      <c r="L76" s="1292"/>
      <c r="M76" s="1293"/>
      <c r="N76" s="1294"/>
      <c r="O76" s="1295"/>
      <c r="P76" s="1297"/>
      <c r="Q76" s="1297"/>
      <c r="R76" s="1297"/>
      <c r="S76" s="1297"/>
      <c r="T76" s="1298"/>
      <c r="U76" s="1299"/>
      <c r="V76" s="1300"/>
      <c r="W76" s="1300"/>
      <c r="X76" s="1300"/>
      <c r="Y76" s="1301"/>
      <c r="Z76" s="1303"/>
      <c r="AA76" s="1297"/>
      <c r="AB76" s="1297"/>
      <c r="AC76" s="1297"/>
      <c r="AD76" s="1304"/>
      <c r="AE76" s="1303"/>
      <c r="AF76" s="1297"/>
      <c r="AG76" s="1297"/>
      <c r="AH76" s="1297"/>
      <c r="AI76" s="1304"/>
      <c r="AJ76" s="1297"/>
      <c r="AK76" s="1297"/>
      <c r="AL76" s="1297"/>
      <c r="AM76" s="1297"/>
      <c r="AN76" s="1297"/>
      <c r="AO76" s="1303"/>
      <c r="AP76" s="1297"/>
      <c r="AQ76" s="1297"/>
      <c r="AR76" s="1297"/>
      <c r="AS76" s="1305"/>
      <c r="AT76" s="1306"/>
      <c r="AU76" s="1302"/>
      <c r="AV76" s="1302"/>
      <c r="AW76" s="1302"/>
      <c r="AX76" s="1305"/>
      <c r="AY76" s="1307"/>
      <c r="AZ76" s="1308"/>
      <c r="BA76" s="1308"/>
      <c r="BB76" s="1308"/>
      <c r="BC76" s="1298"/>
      <c r="BD76" s="82"/>
      <c r="BE76" s="1282"/>
      <c r="BF76" s="1282"/>
      <c r="BG76" s="1282"/>
      <c r="BH76" s="1565"/>
      <c r="BI76" s="82"/>
    </row>
    <row r="77" spans="1:61" s="95" customFormat="1" ht="15">
      <c r="A77" s="1287"/>
      <c r="B77" s="76" t="s">
        <v>24</v>
      </c>
      <c r="C77" s="76" t="s">
        <v>307</v>
      </c>
      <c r="D77" s="1288"/>
      <c r="E77" s="1289"/>
      <c r="F77" t="s">
        <v>934</v>
      </c>
      <c r="G77" s="1291"/>
      <c r="H77" s="1755" t="s">
        <v>1095</v>
      </c>
      <c r="I77" s="167">
        <v>2.5</v>
      </c>
      <c r="J77" s="1026">
        <v>2.5000000000000001E-3</v>
      </c>
      <c r="K77" s="2254">
        <v>0</v>
      </c>
      <c r="L77" s="2256">
        <v>0</v>
      </c>
      <c r="M77" s="2256">
        <v>0</v>
      </c>
      <c r="N77" s="2256">
        <v>2617.5</v>
      </c>
      <c r="O77" s="1280">
        <f t="shared" ref="O77:O87" si="110">SUM(K77:N77)</f>
        <v>2617.5</v>
      </c>
      <c r="P77" s="2258">
        <f t="shared" ref="P77:P87" si="111">K77*$I77/1000</f>
        <v>0</v>
      </c>
      <c r="Q77" s="2258">
        <f t="shared" ref="Q77:Q87" si="112">L77*$I77/1000</f>
        <v>0</v>
      </c>
      <c r="R77" s="2258">
        <f t="shared" ref="R77:R87" si="113">M77*$I77/1000</f>
        <v>0</v>
      </c>
      <c r="S77" s="2258">
        <f t="shared" ref="S77:S87" si="114">N77*$I77/1000</f>
        <v>6.5437500000000002</v>
      </c>
      <c r="T77" s="1281">
        <f>SUM(P77:S77)</f>
        <v>6.5437500000000002</v>
      </c>
      <c r="U77" s="1250">
        <f>IFERROR(INDEX([8]Code!I$8:I$33,MATCH('[8]$MRD-Annex'!$BG79,[8]Code!$G$8:$G$33,0)),"")</f>
        <v>0.76827006604510995</v>
      </c>
      <c r="V77" s="1251">
        <f>IFERROR(INDEX([8]Code!J$8:J$33,MATCH('[8]$MRD-Annex'!$BG79,[8]Code!$G$8:$G$33,0)),"")</f>
        <v>0.12645069473218948</v>
      </c>
      <c r="W77" s="1251">
        <f>IFERROR(INDEX([8]Code!K$8:K$33,MATCH('[8]$MRD-Annex'!$BG79,[8]Code!$G$8:$G$33,0)),"")</f>
        <v>0.10527923922270058</v>
      </c>
      <c r="X77" s="1251">
        <f>IFERROR(INDEX([8]Code!L$8:L$33,MATCH('[8]$MRD-Annex'!$BG79,[8]Code!$G$8:$G$33,0)),"")</f>
        <v>0</v>
      </c>
      <c r="Y77" s="1252">
        <f>IFERROR(INDEX([8]Code!M$8:M$33,MATCH('[8]$MRD-Annex'!$BG79,[8]Code!$G$8:$G$33,0)),"")</f>
        <v>0</v>
      </c>
      <c r="Z77" s="1253">
        <f t="shared" ref="Z77:AC87" si="115">P77*$U77</f>
        <v>0</v>
      </c>
      <c r="AA77" s="1254">
        <f t="shared" si="115"/>
        <v>0</v>
      </c>
      <c r="AB77" s="1254">
        <f t="shared" si="115"/>
        <v>0</v>
      </c>
      <c r="AC77" s="1254">
        <f t="shared" si="115"/>
        <v>5.0273672446826883</v>
      </c>
      <c r="AD77" s="1255">
        <f t="shared" ref="AD77:AD87" si="116">SUM(Z77:AC77)</f>
        <v>5.0273672446826883</v>
      </c>
      <c r="AE77" s="1253">
        <f t="shared" ref="AE77:AI87" si="117">P77*$V77</f>
        <v>0</v>
      </c>
      <c r="AF77" s="1254">
        <f t="shared" si="117"/>
        <v>0</v>
      </c>
      <c r="AG77" s="1254">
        <f t="shared" si="117"/>
        <v>0</v>
      </c>
      <c r="AH77" s="1254">
        <f t="shared" si="117"/>
        <v>0.82746173365376496</v>
      </c>
      <c r="AI77" s="1255">
        <f t="shared" si="117"/>
        <v>0.82746173365376496</v>
      </c>
      <c r="AJ77" s="1254">
        <f t="shared" ref="AJ77:AM87" si="118">P77*$W77</f>
        <v>0</v>
      </c>
      <c r="AK77" s="1254">
        <f t="shared" si="118"/>
        <v>0</v>
      </c>
      <c r="AL77" s="1254">
        <f t="shared" si="118"/>
        <v>0</v>
      </c>
      <c r="AM77" s="1254">
        <f t="shared" si="118"/>
        <v>0.68892102166354696</v>
      </c>
      <c r="AN77" s="1256">
        <f t="shared" ref="AN77:AN87" si="119">SUM(AJ77:AM77)</f>
        <v>0.68892102166354696</v>
      </c>
      <c r="AO77" s="1253">
        <f t="shared" ref="AO77:AR87" si="120">P77*$X77</f>
        <v>0</v>
      </c>
      <c r="AP77" s="1254">
        <f t="shared" si="120"/>
        <v>0</v>
      </c>
      <c r="AQ77" s="1254">
        <f t="shared" si="120"/>
        <v>0</v>
      </c>
      <c r="AR77" s="1254">
        <f t="shared" si="120"/>
        <v>0</v>
      </c>
      <c r="AS77" s="1257">
        <f t="shared" ref="AS77:AS87" si="121">SUM(AO77:AR77)</f>
        <v>0</v>
      </c>
      <c r="AT77" s="1253">
        <f t="shared" ref="AT77:AW87" si="122">P77*$Y77</f>
        <v>0</v>
      </c>
      <c r="AU77" s="1254">
        <f t="shared" si="122"/>
        <v>0</v>
      </c>
      <c r="AV77" s="1254">
        <f t="shared" si="122"/>
        <v>0</v>
      </c>
      <c r="AW77" s="1254">
        <f t="shared" si="122"/>
        <v>0</v>
      </c>
      <c r="AX77" s="1257">
        <f t="shared" ref="AX77:AX87" si="123">SUM(AT77:AW77)</f>
        <v>0</v>
      </c>
      <c r="AY77" s="1258">
        <f t="shared" ref="AY77:AY87" si="124">SUM($T77*U77)</f>
        <v>5.0273672446826883</v>
      </c>
      <c r="AZ77" s="1264">
        <f t="shared" ref="AZ77:BC87" si="125">SUM($T77*V77)</f>
        <v>0.82746173365376496</v>
      </c>
      <c r="BA77" s="1264">
        <f t="shared" si="125"/>
        <v>0.68892102166354696</v>
      </c>
      <c r="BB77" s="1264">
        <f t="shared" si="125"/>
        <v>0</v>
      </c>
      <c r="BC77" s="1263">
        <f t="shared" si="125"/>
        <v>0</v>
      </c>
      <c r="BD77" s="82"/>
      <c r="BE77" s="568" t="s">
        <v>366</v>
      </c>
      <c r="BF77" s="568" t="s">
        <v>366</v>
      </c>
      <c r="BG77" s="591" t="str">
        <f>IFERROR(INDEX('Annex 2_Code'!$J$110:$J$127,MATCH('Annex 5_MRD'!BE77,'Annex 2_Code'!$G$110:$G$127,0)),"")</f>
        <v>MRD</v>
      </c>
      <c r="BH77" s="1565" t="str">
        <f t="shared" ref="BH77:BH138" si="126">IF(ISNUMBER(FIND("-",BG77,1))=FALSE,LEFT(BG77,LEN(BG77)),LEFT(BG77,(FIND("-",BG77,1))-1))</f>
        <v>MRD</v>
      </c>
      <c r="BI77" s="82"/>
    </row>
    <row r="78" spans="1:61" s="95" customFormat="1" ht="14.25">
      <c r="A78" s="1287"/>
      <c r="B78" s="76" t="s">
        <v>24</v>
      </c>
      <c r="C78" s="76" t="s">
        <v>307</v>
      </c>
      <c r="D78" s="1288"/>
      <c r="E78" s="1289"/>
      <c r="F78" s="66" t="s">
        <v>935</v>
      </c>
      <c r="G78" s="1291"/>
      <c r="H78" s="1755" t="s">
        <v>1095</v>
      </c>
      <c r="I78" s="1">
        <v>21</v>
      </c>
      <c r="J78" s="1026">
        <v>2.1000000000000001E-2</v>
      </c>
      <c r="K78" s="2254">
        <v>0</v>
      </c>
      <c r="L78" s="2256">
        <v>0</v>
      </c>
      <c r="M78" s="2256">
        <v>0</v>
      </c>
      <c r="N78" s="2256">
        <v>219.87000000000003</v>
      </c>
      <c r="O78" s="1280">
        <f t="shared" si="110"/>
        <v>219.87000000000003</v>
      </c>
      <c r="P78" s="2258">
        <f t="shared" si="111"/>
        <v>0</v>
      </c>
      <c r="Q78" s="2258">
        <f t="shared" si="112"/>
        <v>0</v>
      </c>
      <c r="R78" s="2258">
        <f t="shared" si="113"/>
        <v>0</v>
      </c>
      <c r="S78" s="2258">
        <f t="shared" si="114"/>
        <v>4.6172700000000004</v>
      </c>
      <c r="T78" s="1281">
        <f t="shared" ref="T78:T87" si="127">SUM(P78:S78)</f>
        <v>4.6172700000000004</v>
      </c>
      <c r="U78" s="1250">
        <f>IFERROR(INDEX([8]Code!I$8:I$33,MATCH('[8]$MRD-Annex'!$BG80,[8]Code!$G$8:$G$33,0)),"")</f>
        <v>0.76827006604510995</v>
      </c>
      <c r="V78" s="1251">
        <f>IFERROR(INDEX([8]Code!J$8:J$33,MATCH('[8]$MRD-Annex'!$BG80,[8]Code!$G$8:$G$33,0)),"")</f>
        <v>0.12645069473218948</v>
      </c>
      <c r="W78" s="1251">
        <f>IFERROR(INDEX([8]Code!K$8:K$33,MATCH('[8]$MRD-Annex'!$BG80,[8]Code!$G$8:$G$33,0)),"")</f>
        <v>0.10527923922270058</v>
      </c>
      <c r="X78" s="1251">
        <f>IFERROR(INDEX([8]Code!L$8:L$33,MATCH('[8]$MRD-Annex'!$BG80,[8]Code!$G$8:$G$33,0)),"")</f>
        <v>0</v>
      </c>
      <c r="Y78" s="1252">
        <f>IFERROR(INDEX([8]Code!M$8:M$33,MATCH('[8]$MRD-Annex'!$BG80,[8]Code!$G$8:$G$33,0)),"")</f>
        <v>0</v>
      </c>
      <c r="Z78" s="1253">
        <f t="shared" si="115"/>
        <v>0</v>
      </c>
      <c r="AA78" s="1254">
        <f t="shared" si="115"/>
        <v>0</v>
      </c>
      <c r="AB78" s="1254">
        <f t="shared" si="115"/>
        <v>0</v>
      </c>
      <c r="AC78" s="1254">
        <f t="shared" si="115"/>
        <v>3.5473103278481051</v>
      </c>
      <c r="AD78" s="1255">
        <f t="shared" si="116"/>
        <v>3.5473103278481051</v>
      </c>
      <c r="AE78" s="1253">
        <f t="shared" si="117"/>
        <v>0</v>
      </c>
      <c r="AF78" s="1254">
        <f t="shared" si="117"/>
        <v>0</v>
      </c>
      <c r="AG78" s="1254">
        <f t="shared" si="117"/>
        <v>0</v>
      </c>
      <c r="AH78" s="1254">
        <f t="shared" si="117"/>
        <v>0.58385699926609658</v>
      </c>
      <c r="AI78" s="1255">
        <f t="shared" si="117"/>
        <v>0.58385699926609658</v>
      </c>
      <c r="AJ78" s="1254">
        <f t="shared" si="118"/>
        <v>0</v>
      </c>
      <c r="AK78" s="1254">
        <f t="shared" si="118"/>
        <v>0</v>
      </c>
      <c r="AL78" s="1254">
        <f t="shared" si="118"/>
        <v>0</v>
      </c>
      <c r="AM78" s="1254">
        <f t="shared" si="118"/>
        <v>0.48610267288579873</v>
      </c>
      <c r="AN78" s="1256">
        <f t="shared" si="119"/>
        <v>0.48610267288579873</v>
      </c>
      <c r="AO78" s="1253">
        <f t="shared" si="120"/>
        <v>0</v>
      </c>
      <c r="AP78" s="1254">
        <f t="shared" si="120"/>
        <v>0</v>
      </c>
      <c r="AQ78" s="1254">
        <f t="shared" si="120"/>
        <v>0</v>
      </c>
      <c r="AR78" s="1254">
        <f t="shared" si="120"/>
        <v>0</v>
      </c>
      <c r="AS78" s="1257">
        <f t="shared" si="121"/>
        <v>0</v>
      </c>
      <c r="AT78" s="1253">
        <f t="shared" si="122"/>
        <v>0</v>
      </c>
      <c r="AU78" s="1254">
        <f t="shared" si="122"/>
        <v>0</v>
      </c>
      <c r="AV78" s="1254">
        <f t="shared" si="122"/>
        <v>0</v>
      </c>
      <c r="AW78" s="1254">
        <f t="shared" si="122"/>
        <v>0</v>
      </c>
      <c r="AX78" s="1257">
        <f t="shared" si="123"/>
        <v>0</v>
      </c>
      <c r="AY78" s="1258">
        <f t="shared" si="124"/>
        <v>3.5473103278481051</v>
      </c>
      <c r="AZ78" s="1264">
        <f t="shared" si="125"/>
        <v>0.58385699926609658</v>
      </c>
      <c r="BA78" s="1264">
        <f t="shared" si="125"/>
        <v>0.48610267288579873</v>
      </c>
      <c r="BB78" s="1264">
        <f t="shared" si="125"/>
        <v>0</v>
      </c>
      <c r="BC78" s="1263">
        <f t="shared" si="125"/>
        <v>0</v>
      </c>
      <c r="BD78" s="82"/>
      <c r="BE78" s="568" t="s">
        <v>366</v>
      </c>
      <c r="BF78" s="568" t="s">
        <v>366</v>
      </c>
      <c r="BG78" s="591" t="str">
        <f>IFERROR(INDEX('Annex 2_Code'!$J$110:$J$127,MATCH('Annex 5_MRD'!BE78,'Annex 2_Code'!$G$110:$G$127,0)),"")</f>
        <v>MRD</v>
      </c>
      <c r="BH78" s="1565" t="str">
        <f t="shared" si="126"/>
        <v>MRD</v>
      </c>
      <c r="BI78" s="82"/>
    </row>
    <row r="79" spans="1:61" s="95" customFormat="1" ht="15">
      <c r="A79" s="1287"/>
      <c r="B79" s="76" t="s">
        <v>24</v>
      </c>
      <c r="C79" s="76" t="s">
        <v>307</v>
      </c>
      <c r="D79" s="1288"/>
      <c r="E79" s="1289"/>
      <c r="F79" t="s">
        <v>936</v>
      </c>
      <c r="G79" s="1291"/>
      <c r="H79" s="1755" t="s">
        <v>1095</v>
      </c>
      <c r="I79" s="1">
        <v>21</v>
      </c>
      <c r="J79" s="1026">
        <v>2.1000000000000001E-2</v>
      </c>
      <c r="K79" s="2254">
        <v>0</v>
      </c>
      <c r="L79" s="2256">
        <v>0</v>
      </c>
      <c r="M79" s="2256">
        <v>0</v>
      </c>
      <c r="N79" s="2256">
        <v>502.55999999999995</v>
      </c>
      <c r="O79" s="1280">
        <f t="shared" si="110"/>
        <v>502.55999999999995</v>
      </c>
      <c r="P79" s="2258">
        <f t="shared" si="111"/>
        <v>0</v>
      </c>
      <c r="Q79" s="2258">
        <f t="shared" si="112"/>
        <v>0</v>
      </c>
      <c r="R79" s="2258">
        <f t="shared" si="113"/>
        <v>0</v>
      </c>
      <c r="S79" s="2258">
        <f t="shared" si="114"/>
        <v>10.553759999999999</v>
      </c>
      <c r="T79" s="1281">
        <f t="shared" si="127"/>
        <v>10.553759999999999</v>
      </c>
      <c r="U79" s="1250">
        <f>IFERROR(INDEX([8]Code!I$8:I$33,MATCH('[8]$MRD-Annex'!$BG81,[8]Code!$G$8:$G$33,0)),"")</f>
        <v>0.76827006604510995</v>
      </c>
      <c r="V79" s="1251">
        <f>IFERROR(INDEX([8]Code!J$8:J$33,MATCH('[8]$MRD-Annex'!$BG81,[8]Code!$G$8:$G$33,0)),"")</f>
        <v>0.12645069473218948</v>
      </c>
      <c r="W79" s="1251">
        <f>IFERROR(INDEX([8]Code!K$8:K$33,MATCH('[8]$MRD-Annex'!$BG81,[8]Code!$G$8:$G$33,0)),"")</f>
        <v>0.10527923922270058</v>
      </c>
      <c r="X79" s="1251">
        <f>IFERROR(INDEX([8]Code!L$8:L$33,MATCH('[8]$MRD-Annex'!$BG81,[8]Code!$G$8:$G$33,0)),"")</f>
        <v>0</v>
      </c>
      <c r="Y79" s="1252">
        <f>IFERROR(INDEX([8]Code!M$8:M$33,MATCH('[8]$MRD-Annex'!$BG81,[8]Code!$G$8:$G$33,0)),"")</f>
        <v>0</v>
      </c>
      <c r="Z79" s="1253">
        <f t="shared" si="115"/>
        <v>0</v>
      </c>
      <c r="AA79" s="1254">
        <f t="shared" si="115"/>
        <v>0</v>
      </c>
      <c r="AB79" s="1254">
        <f t="shared" si="115"/>
        <v>0</v>
      </c>
      <c r="AC79" s="1254">
        <f t="shared" si="115"/>
        <v>8.1081378922242386</v>
      </c>
      <c r="AD79" s="1255">
        <f t="shared" si="116"/>
        <v>8.1081378922242386</v>
      </c>
      <c r="AE79" s="1253">
        <f t="shared" si="117"/>
        <v>0</v>
      </c>
      <c r="AF79" s="1254">
        <f t="shared" si="117"/>
        <v>0</v>
      </c>
      <c r="AG79" s="1254">
        <f t="shared" si="117"/>
        <v>0</v>
      </c>
      <c r="AH79" s="1254">
        <f t="shared" si="117"/>
        <v>1.3345302840367919</v>
      </c>
      <c r="AI79" s="1255">
        <f t="shared" si="117"/>
        <v>1.3345302840367919</v>
      </c>
      <c r="AJ79" s="1254">
        <f t="shared" si="118"/>
        <v>0</v>
      </c>
      <c r="AK79" s="1254">
        <f t="shared" si="118"/>
        <v>0</v>
      </c>
      <c r="AL79" s="1254">
        <f t="shared" si="118"/>
        <v>0</v>
      </c>
      <c r="AM79" s="1254">
        <f t="shared" si="118"/>
        <v>1.1110918237389682</v>
      </c>
      <c r="AN79" s="1256">
        <f t="shared" si="119"/>
        <v>1.1110918237389682</v>
      </c>
      <c r="AO79" s="1253">
        <f t="shared" si="120"/>
        <v>0</v>
      </c>
      <c r="AP79" s="1254">
        <f t="shared" si="120"/>
        <v>0</v>
      </c>
      <c r="AQ79" s="1254">
        <f t="shared" si="120"/>
        <v>0</v>
      </c>
      <c r="AR79" s="1254">
        <f t="shared" si="120"/>
        <v>0</v>
      </c>
      <c r="AS79" s="1257">
        <f t="shared" si="121"/>
        <v>0</v>
      </c>
      <c r="AT79" s="1253">
        <f t="shared" si="122"/>
        <v>0</v>
      </c>
      <c r="AU79" s="1254">
        <f t="shared" si="122"/>
        <v>0</v>
      </c>
      <c r="AV79" s="1254">
        <f t="shared" si="122"/>
        <v>0</v>
      </c>
      <c r="AW79" s="1254">
        <f t="shared" si="122"/>
        <v>0</v>
      </c>
      <c r="AX79" s="1257">
        <f t="shared" si="123"/>
        <v>0</v>
      </c>
      <c r="AY79" s="1258">
        <f t="shared" si="124"/>
        <v>8.1081378922242386</v>
      </c>
      <c r="AZ79" s="1264">
        <f t="shared" si="125"/>
        <v>1.3345302840367919</v>
      </c>
      <c r="BA79" s="1264">
        <f t="shared" si="125"/>
        <v>1.1110918237389682</v>
      </c>
      <c r="BB79" s="1264">
        <f t="shared" si="125"/>
        <v>0</v>
      </c>
      <c r="BC79" s="1263">
        <f t="shared" si="125"/>
        <v>0</v>
      </c>
      <c r="BD79" s="82"/>
      <c r="BE79" s="568" t="s">
        <v>366</v>
      </c>
      <c r="BF79" s="568" t="s">
        <v>366</v>
      </c>
      <c r="BG79" s="591" t="str">
        <f>IFERROR(INDEX('Annex 2_Code'!$J$110:$J$127,MATCH('Annex 5_MRD'!BE79,'Annex 2_Code'!$G$110:$G$127,0)),"")</f>
        <v>MRD</v>
      </c>
      <c r="BH79" s="1565" t="str">
        <f t="shared" si="126"/>
        <v>MRD</v>
      </c>
      <c r="BI79" s="82"/>
    </row>
    <row r="80" spans="1:61" s="95" customFormat="1" ht="21.75" customHeight="1">
      <c r="A80" s="1287"/>
      <c r="B80" s="76" t="s">
        <v>24</v>
      </c>
      <c r="C80" s="76" t="s">
        <v>307</v>
      </c>
      <c r="D80" s="1288"/>
      <c r="E80" s="1289"/>
      <c r="F80" t="s">
        <v>311</v>
      </c>
      <c r="G80" s="1291"/>
      <c r="H80" s="1755" t="s">
        <v>1095</v>
      </c>
      <c r="I80" s="167">
        <v>2.5</v>
      </c>
      <c r="J80" s="1026">
        <v>2.5000000000000001E-3</v>
      </c>
      <c r="K80" s="2254">
        <v>0</v>
      </c>
      <c r="L80" s="2256">
        <v>0</v>
      </c>
      <c r="M80" s="2256">
        <v>0</v>
      </c>
      <c r="N80" s="2256">
        <v>235.57499999999999</v>
      </c>
      <c r="O80" s="1280">
        <f t="shared" si="110"/>
        <v>235.57499999999999</v>
      </c>
      <c r="P80" s="2258">
        <f t="shared" si="111"/>
        <v>0</v>
      </c>
      <c r="Q80" s="2258">
        <f t="shared" si="112"/>
        <v>0</v>
      </c>
      <c r="R80" s="2258">
        <f t="shared" si="113"/>
        <v>0</v>
      </c>
      <c r="S80" s="2258">
        <f t="shared" si="114"/>
        <v>0.5889375</v>
      </c>
      <c r="T80" s="1281">
        <f t="shared" si="127"/>
        <v>0.5889375</v>
      </c>
      <c r="U80" s="1250">
        <f>IFERROR(INDEX([8]Code!I$8:I$33,MATCH('[8]$MRD-Annex'!$BG82,[8]Code!$G$8:$G$33,0)),"")</f>
        <v>0.76827006604510995</v>
      </c>
      <c r="V80" s="1251">
        <f>IFERROR(INDEX([8]Code!J$8:J$33,MATCH('[8]$MRD-Annex'!$BG82,[8]Code!$G$8:$G$33,0)),"")</f>
        <v>0.12645069473218948</v>
      </c>
      <c r="W80" s="1251">
        <f>IFERROR(INDEX([8]Code!K$8:K$33,MATCH('[8]$MRD-Annex'!$BG82,[8]Code!$G$8:$G$33,0)),"")</f>
        <v>0.10527923922270058</v>
      </c>
      <c r="X80" s="1251">
        <f>IFERROR(INDEX([8]Code!L$8:L$33,MATCH('[8]$MRD-Annex'!$BG82,[8]Code!$G$8:$G$33,0)),"")</f>
        <v>0</v>
      </c>
      <c r="Y80" s="1252">
        <f>IFERROR(INDEX([8]Code!M$8:M$33,MATCH('[8]$MRD-Annex'!$BG82,[8]Code!$G$8:$G$33,0)),"")</f>
        <v>0</v>
      </c>
      <c r="Z80" s="1253">
        <f t="shared" si="115"/>
        <v>0</v>
      </c>
      <c r="AA80" s="1254">
        <f t="shared" si="115"/>
        <v>0</v>
      </c>
      <c r="AB80" s="1254">
        <f t="shared" si="115"/>
        <v>0</v>
      </c>
      <c r="AC80" s="1254">
        <f t="shared" si="115"/>
        <v>0.45246305202144194</v>
      </c>
      <c r="AD80" s="1255">
        <f t="shared" si="116"/>
        <v>0.45246305202144194</v>
      </c>
      <c r="AE80" s="1253">
        <f t="shared" si="117"/>
        <v>0</v>
      </c>
      <c r="AF80" s="1254">
        <f t="shared" si="117"/>
        <v>0</v>
      </c>
      <c r="AG80" s="1254">
        <f t="shared" si="117"/>
        <v>0</v>
      </c>
      <c r="AH80" s="1254">
        <f t="shared" si="117"/>
        <v>7.4471556028838842E-2</v>
      </c>
      <c r="AI80" s="1255">
        <f t="shared" si="117"/>
        <v>7.4471556028838842E-2</v>
      </c>
      <c r="AJ80" s="1254">
        <f t="shared" si="118"/>
        <v>0</v>
      </c>
      <c r="AK80" s="1254">
        <f t="shared" si="118"/>
        <v>0</v>
      </c>
      <c r="AL80" s="1254">
        <f t="shared" si="118"/>
        <v>0</v>
      </c>
      <c r="AM80" s="1254">
        <f t="shared" si="118"/>
        <v>6.2002891949719224E-2</v>
      </c>
      <c r="AN80" s="1256">
        <f t="shared" si="119"/>
        <v>6.2002891949719224E-2</v>
      </c>
      <c r="AO80" s="1253">
        <f t="shared" si="120"/>
        <v>0</v>
      </c>
      <c r="AP80" s="1254">
        <f t="shared" si="120"/>
        <v>0</v>
      </c>
      <c r="AQ80" s="1254">
        <f t="shared" si="120"/>
        <v>0</v>
      </c>
      <c r="AR80" s="1254">
        <f t="shared" si="120"/>
        <v>0</v>
      </c>
      <c r="AS80" s="1257">
        <f t="shared" si="121"/>
        <v>0</v>
      </c>
      <c r="AT80" s="1253">
        <f t="shared" si="122"/>
        <v>0</v>
      </c>
      <c r="AU80" s="1254">
        <f t="shared" si="122"/>
        <v>0</v>
      </c>
      <c r="AV80" s="1254">
        <f t="shared" si="122"/>
        <v>0</v>
      </c>
      <c r="AW80" s="1254">
        <f t="shared" si="122"/>
        <v>0</v>
      </c>
      <c r="AX80" s="1257">
        <f t="shared" si="123"/>
        <v>0</v>
      </c>
      <c r="AY80" s="1258">
        <f t="shared" si="124"/>
        <v>0.45246305202144194</v>
      </c>
      <c r="AZ80" s="1264">
        <f t="shared" si="125"/>
        <v>7.4471556028838842E-2</v>
      </c>
      <c r="BA80" s="1264">
        <f t="shared" si="125"/>
        <v>6.2002891949719224E-2</v>
      </c>
      <c r="BB80" s="1264">
        <f t="shared" si="125"/>
        <v>0</v>
      </c>
      <c r="BC80" s="1263">
        <f t="shared" si="125"/>
        <v>0</v>
      </c>
      <c r="BD80" s="82"/>
      <c r="BE80" s="568" t="s">
        <v>366</v>
      </c>
      <c r="BF80" s="568" t="s">
        <v>366</v>
      </c>
      <c r="BG80" s="591" t="str">
        <f>IFERROR(INDEX('Annex 2_Code'!$J$110:$J$127,MATCH('Annex 5_MRD'!BE80,'Annex 2_Code'!$G$110:$G$127,0)),"")</f>
        <v>MRD</v>
      </c>
      <c r="BH80" s="1565" t="str">
        <f t="shared" si="126"/>
        <v>MRD</v>
      </c>
      <c r="BI80" s="82"/>
    </row>
    <row r="81" spans="1:61" s="123" customFormat="1" ht="24" customHeight="1">
      <c r="A81" s="1287"/>
      <c r="B81" s="76" t="s">
        <v>24</v>
      </c>
      <c r="C81" s="76" t="s">
        <v>307</v>
      </c>
      <c r="D81" s="1288"/>
      <c r="E81" s="1289"/>
      <c r="F81" s="66" t="s">
        <v>312</v>
      </c>
      <c r="G81" s="1291"/>
      <c r="H81" s="1755" t="s">
        <v>1095</v>
      </c>
      <c r="I81" s="167">
        <v>1</v>
      </c>
      <c r="J81" s="1026">
        <v>1E-3</v>
      </c>
      <c r="K81" s="2254">
        <v>0</v>
      </c>
      <c r="L81" s="2256">
        <v>0</v>
      </c>
      <c r="M81" s="2256">
        <v>0</v>
      </c>
      <c r="N81" s="2256">
        <v>27483.75</v>
      </c>
      <c r="O81" s="1280">
        <f t="shared" si="110"/>
        <v>27483.75</v>
      </c>
      <c r="P81" s="2258">
        <f t="shared" si="111"/>
        <v>0</v>
      </c>
      <c r="Q81" s="2258">
        <f t="shared" si="112"/>
        <v>0</v>
      </c>
      <c r="R81" s="2258">
        <f t="shared" si="113"/>
        <v>0</v>
      </c>
      <c r="S81" s="2258">
        <f t="shared" si="114"/>
        <v>27.483750000000001</v>
      </c>
      <c r="T81" s="1281">
        <f t="shared" si="127"/>
        <v>27.483750000000001</v>
      </c>
      <c r="U81" s="1250">
        <f>IFERROR(INDEX([8]Code!I$8:I$33,MATCH('[8]$MRD-Annex'!$BG83,[8]Code!$G$8:$G$33,0)),"")</f>
        <v>0.76827006604510995</v>
      </c>
      <c r="V81" s="1251">
        <f>IFERROR(INDEX([8]Code!J$8:J$33,MATCH('[8]$MRD-Annex'!$BG83,[8]Code!$G$8:$G$33,0)),"")</f>
        <v>0.12645069473218948</v>
      </c>
      <c r="W81" s="1251">
        <f>IFERROR(INDEX([8]Code!K$8:K$33,MATCH('[8]$MRD-Annex'!$BG83,[8]Code!$G$8:$G$33,0)),"")</f>
        <v>0.10527923922270058</v>
      </c>
      <c r="X81" s="1251">
        <f>IFERROR(INDEX([8]Code!L$8:L$33,MATCH('[8]$MRD-Annex'!$BG83,[8]Code!$G$8:$G$33,0)),"")</f>
        <v>0</v>
      </c>
      <c r="Y81" s="1252">
        <f>IFERROR(INDEX([8]Code!M$8:M$33,MATCH('[8]$MRD-Annex'!$BG83,[8]Code!$G$8:$G$33,0)),"")</f>
        <v>0</v>
      </c>
      <c r="Z81" s="1253">
        <f t="shared" si="115"/>
        <v>0</v>
      </c>
      <c r="AA81" s="1254">
        <f t="shared" si="115"/>
        <v>0</v>
      </c>
      <c r="AB81" s="1254">
        <f t="shared" si="115"/>
        <v>0</v>
      </c>
      <c r="AC81" s="1254">
        <f t="shared" si="115"/>
        <v>21.114942427667291</v>
      </c>
      <c r="AD81" s="1255">
        <f t="shared" si="116"/>
        <v>21.114942427667291</v>
      </c>
      <c r="AE81" s="1253">
        <f t="shared" si="117"/>
        <v>0</v>
      </c>
      <c r="AF81" s="1254">
        <f t="shared" si="117"/>
        <v>0</v>
      </c>
      <c r="AG81" s="1254">
        <f t="shared" si="117"/>
        <v>0</v>
      </c>
      <c r="AH81" s="1254">
        <f t="shared" si="117"/>
        <v>3.4753392813458128</v>
      </c>
      <c r="AI81" s="1255">
        <f t="shared" si="117"/>
        <v>3.4753392813458128</v>
      </c>
      <c r="AJ81" s="1254">
        <f t="shared" si="118"/>
        <v>0</v>
      </c>
      <c r="AK81" s="1254">
        <f t="shared" si="118"/>
        <v>0</v>
      </c>
      <c r="AL81" s="1254">
        <f t="shared" si="118"/>
        <v>0</v>
      </c>
      <c r="AM81" s="1254">
        <f t="shared" si="118"/>
        <v>2.8934682909868972</v>
      </c>
      <c r="AN81" s="1256">
        <f t="shared" si="119"/>
        <v>2.8934682909868972</v>
      </c>
      <c r="AO81" s="1253">
        <f t="shared" si="120"/>
        <v>0</v>
      </c>
      <c r="AP81" s="1254">
        <f t="shared" si="120"/>
        <v>0</v>
      </c>
      <c r="AQ81" s="1254">
        <f t="shared" si="120"/>
        <v>0</v>
      </c>
      <c r="AR81" s="1254">
        <f t="shared" si="120"/>
        <v>0</v>
      </c>
      <c r="AS81" s="1257">
        <f t="shared" si="121"/>
        <v>0</v>
      </c>
      <c r="AT81" s="1253">
        <f t="shared" si="122"/>
        <v>0</v>
      </c>
      <c r="AU81" s="1254">
        <f t="shared" si="122"/>
        <v>0</v>
      </c>
      <c r="AV81" s="1254">
        <f t="shared" si="122"/>
        <v>0</v>
      </c>
      <c r="AW81" s="1254">
        <f t="shared" si="122"/>
        <v>0</v>
      </c>
      <c r="AX81" s="1257">
        <f t="shared" si="123"/>
        <v>0</v>
      </c>
      <c r="AY81" s="1258">
        <f t="shared" si="124"/>
        <v>21.114942427667291</v>
      </c>
      <c r="AZ81" s="1264">
        <f t="shared" si="125"/>
        <v>3.4753392813458128</v>
      </c>
      <c r="BA81" s="1264">
        <f t="shared" si="125"/>
        <v>2.8934682909868972</v>
      </c>
      <c r="BB81" s="1264">
        <f t="shared" si="125"/>
        <v>0</v>
      </c>
      <c r="BC81" s="1263">
        <f t="shared" si="125"/>
        <v>0</v>
      </c>
      <c r="BD81" s="122"/>
      <c r="BE81" s="568" t="s">
        <v>366</v>
      </c>
      <c r="BF81" s="568" t="s">
        <v>366</v>
      </c>
      <c r="BG81" s="591" t="str">
        <f>IFERROR(INDEX('Annex 2_Code'!$J$110:$J$127,MATCH('Annex 5_MRD'!BE81,'Annex 2_Code'!$G$110:$G$127,0)),"")</f>
        <v>MRD</v>
      </c>
      <c r="BH81" s="1565" t="str">
        <f t="shared" si="126"/>
        <v>MRD</v>
      </c>
      <c r="BI81" s="122"/>
    </row>
    <row r="82" spans="1:61" s="126" customFormat="1" ht="24" customHeight="1">
      <c r="A82" s="1287"/>
      <c r="B82" s="76" t="s">
        <v>24</v>
      </c>
      <c r="C82" s="76" t="s">
        <v>307</v>
      </c>
      <c r="D82" s="1288"/>
      <c r="E82" s="1289"/>
      <c r="F82" s="66" t="s">
        <v>937</v>
      </c>
      <c r="G82" s="1291"/>
      <c r="H82" s="1755" t="s">
        <v>1095</v>
      </c>
      <c r="I82" s="167">
        <v>18</v>
      </c>
      <c r="J82" s="1026">
        <v>1.7999999999999999E-2</v>
      </c>
      <c r="K82" s="2254">
        <v>0</v>
      </c>
      <c r="L82" s="2256">
        <v>0</v>
      </c>
      <c r="M82" s="2256">
        <v>0</v>
      </c>
      <c r="N82" s="2256">
        <v>8951.85</v>
      </c>
      <c r="O82" s="1280">
        <f t="shared" si="110"/>
        <v>8951.85</v>
      </c>
      <c r="P82" s="2258">
        <f t="shared" si="111"/>
        <v>0</v>
      </c>
      <c r="Q82" s="2258">
        <f t="shared" si="112"/>
        <v>0</v>
      </c>
      <c r="R82" s="2258">
        <f t="shared" si="113"/>
        <v>0</v>
      </c>
      <c r="S82" s="2258">
        <f t="shared" si="114"/>
        <v>161.13330000000002</v>
      </c>
      <c r="T82" s="1281">
        <f t="shared" si="127"/>
        <v>161.13330000000002</v>
      </c>
      <c r="U82" s="1250">
        <f>IFERROR(INDEX([8]Code!I$8:I$33,MATCH('[8]$MRD-Annex'!$BG84,[8]Code!$G$8:$G$33,0)),"")</f>
        <v>0.76827006604510995</v>
      </c>
      <c r="V82" s="1251">
        <f>IFERROR(INDEX([8]Code!J$8:J$33,MATCH('[8]$MRD-Annex'!$BG84,[8]Code!$G$8:$G$33,0)),"")</f>
        <v>0.12645069473218948</v>
      </c>
      <c r="W82" s="1251">
        <f>IFERROR(INDEX([8]Code!K$8:K$33,MATCH('[8]$MRD-Annex'!$BG84,[8]Code!$G$8:$G$33,0)),"")</f>
        <v>0.10527923922270058</v>
      </c>
      <c r="X82" s="1251">
        <f>IFERROR(INDEX([8]Code!L$8:L$33,MATCH('[8]$MRD-Annex'!$BG84,[8]Code!$G$8:$G$33,0)),"")</f>
        <v>0</v>
      </c>
      <c r="Y82" s="1252">
        <f>IFERROR(INDEX([8]Code!M$8:M$33,MATCH('[8]$MRD-Annex'!$BG84,[8]Code!$G$8:$G$33,0)),"")</f>
        <v>0</v>
      </c>
      <c r="Z82" s="1253">
        <f t="shared" si="115"/>
        <v>0</v>
      </c>
      <c r="AA82" s="1254">
        <f t="shared" si="115"/>
        <v>0</v>
      </c>
      <c r="AB82" s="1254">
        <f t="shared" si="115"/>
        <v>0</v>
      </c>
      <c r="AC82" s="1254">
        <f t="shared" si="115"/>
        <v>123.79389103306653</v>
      </c>
      <c r="AD82" s="1255">
        <f t="shared" si="116"/>
        <v>123.79389103306653</v>
      </c>
      <c r="AE82" s="1253">
        <f t="shared" si="117"/>
        <v>0</v>
      </c>
      <c r="AF82" s="1254">
        <f t="shared" si="117"/>
        <v>0</v>
      </c>
      <c r="AG82" s="1254">
        <f t="shared" si="117"/>
        <v>0</v>
      </c>
      <c r="AH82" s="1254">
        <f t="shared" si="117"/>
        <v>20.375417729490309</v>
      </c>
      <c r="AI82" s="1255">
        <f t="shared" si="117"/>
        <v>20.375417729490309</v>
      </c>
      <c r="AJ82" s="1254">
        <f t="shared" si="118"/>
        <v>0</v>
      </c>
      <c r="AK82" s="1254">
        <f t="shared" si="118"/>
        <v>0</v>
      </c>
      <c r="AL82" s="1254">
        <f t="shared" si="118"/>
        <v>0</v>
      </c>
      <c r="AM82" s="1254">
        <f t="shared" si="118"/>
        <v>16.963991237443182</v>
      </c>
      <c r="AN82" s="1256">
        <f t="shared" si="119"/>
        <v>16.963991237443182</v>
      </c>
      <c r="AO82" s="1253">
        <f t="shared" si="120"/>
        <v>0</v>
      </c>
      <c r="AP82" s="1254">
        <f t="shared" si="120"/>
        <v>0</v>
      </c>
      <c r="AQ82" s="1254">
        <f t="shared" si="120"/>
        <v>0</v>
      </c>
      <c r="AR82" s="1254">
        <f t="shared" si="120"/>
        <v>0</v>
      </c>
      <c r="AS82" s="1257">
        <f t="shared" si="121"/>
        <v>0</v>
      </c>
      <c r="AT82" s="1253">
        <f t="shared" si="122"/>
        <v>0</v>
      </c>
      <c r="AU82" s="1254">
        <f t="shared" si="122"/>
        <v>0</v>
      </c>
      <c r="AV82" s="1254">
        <f t="shared" si="122"/>
        <v>0</v>
      </c>
      <c r="AW82" s="1254">
        <f t="shared" si="122"/>
        <v>0</v>
      </c>
      <c r="AX82" s="1257">
        <f t="shared" si="123"/>
        <v>0</v>
      </c>
      <c r="AY82" s="1258">
        <f t="shared" si="124"/>
        <v>123.79389103306653</v>
      </c>
      <c r="AZ82" s="1264">
        <f t="shared" si="125"/>
        <v>20.375417729490309</v>
      </c>
      <c r="BA82" s="1264">
        <f t="shared" si="125"/>
        <v>16.963991237443182</v>
      </c>
      <c r="BB82" s="1264">
        <f t="shared" si="125"/>
        <v>0</v>
      </c>
      <c r="BC82" s="1263">
        <f t="shared" si="125"/>
        <v>0</v>
      </c>
      <c r="BD82" s="118"/>
      <c r="BE82" s="568" t="s">
        <v>366</v>
      </c>
      <c r="BF82" s="568" t="s">
        <v>366</v>
      </c>
      <c r="BG82" s="591" t="str">
        <f>IFERROR(INDEX('Annex 2_Code'!$J$110:$J$127,MATCH('Annex 5_MRD'!BE82,'Annex 2_Code'!$G$110:$G$127,0)),"")</f>
        <v>MRD</v>
      </c>
      <c r="BH82" s="1565" t="str">
        <f t="shared" si="126"/>
        <v>MRD</v>
      </c>
      <c r="BI82" s="118"/>
    </row>
    <row r="83" spans="1:61" ht="14.25">
      <c r="A83" s="1287"/>
      <c r="B83" s="76" t="s">
        <v>24</v>
      </c>
      <c r="C83" s="76" t="s">
        <v>307</v>
      </c>
      <c r="D83" s="1288"/>
      <c r="E83" s="1289"/>
      <c r="F83" s="66" t="s">
        <v>938</v>
      </c>
      <c r="G83" s="1291"/>
      <c r="H83" s="1755" t="s">
        <v>1095</v>
      </c>
      <c r="I83" s="167">
        <v>4</v>
      </c>
      <c r="J83" s="1026">
        <v>4.0000000000000001E-3</v>
      </c>
      <c r="K83" s="2254">
        <v>0</v>
      </c>
      <c r="L83" s="2256">
        <v>0</v>
      </c>
      <c r="M83" s="2256">
        <v>0</v>
      </c>
      <c r="N83" s="2256">
        <v>14919.75</v>
      </c>
      <c r="O83" s="1280">
        <f t="shared" si="110"/>
        <v>14919.75</v>
      </c>
      <c r="P83" s="2258">
        <f t="shared" si="111"/>
        <v>0</v>
      </c>
      <c r="Q83" s="2258">
        <f t="shared" si="112"/>
        <v>0</v>
      </c>
      <c r="R83" s="2258">
        <f t="shared" si="113"/>
        <v>0</v>
      </c>
      <c r="S83" s="2258">
        <f t="shared" si="114"/>
        <v>59.679000000000002</v>
      </c>
      <c r="T83" s="1281">
        <f t="shared" si="127"/>
        <v>59.679000000000002</v>
      </c>
      <c r="U83" s="1250">
        <f>IFERROR(INDEX([8]Code!I$8:I$33,MATCH('[8]$MRD-Annex'!$BG85,[8]Code!$G$8:$G$33,0)),"")</f>
        <v>0.76827006604510995</v>
      </c>
      <c r="V83" s="1251">
        <f>IFERROR(INDEX([8]Code!J$8:J$33,MATCH('[8]$MRD-Annex'!$BG85,[8]Code!$G$8:$G$33,0)),"")</f>
        <v>0.12645069473218948</v>
      </c>
      <c r="W83" s="1251">
        <f>IFERROR(INDEX([8]Code!K$8:K$33,MATCH('[8]$MRD-Annex'!$BG85,[8]Code!$G$8:$G$33,0)),"")</f>
        <v>0.10527923922270058</v>
      </c>
      <c r="X83" s="1251">
        <f>IFERROR(INDEX([8]Code!L$8:L$33,MATCH('[8]$MRD-Annex'!$BG85,[8]Code!$G$8:$G$33,0)),"")</f>
        <v>0</v>
      </c>
      <c r="Y83" s="1252">
        <f>IFERROR(INDEX([8]Code!M$8:M$33,MATCH('[8]$MRD-Annex'!$BG85,[8]Code!$G$8:$G$33,0)),"")</f>
        <v>0</v>
      </c>
      <c r="Z83" s="1253">
        <f t="shared" si="115"/>
        <v>0</v>
      </c>
      <c r="AA83" s="1254">
        <f t="shared" si="115"/>
        <v>0</v>
      </c>
      <c r="AB83" s="1254">
        <f t="shared" si="115"/>
        <v>0</v>
      </c>
      <c r="AC83" s="1254">
        <f t="shared" si="115"/>
        <v>45.849589271506119</v>
      </c>
      <c r="AD83" s="1255">
        <f t="shared" si="116"/>
        <v>45.849589271506119</v>
      </c>
      <c r="AE83" s="1253">
        <f t="shared" si="117"/>
        <v>0</v>
      </c>
      <c r="AF83" s="1254">
        <f t="shared" si="117"/>
        <v>0</v>
      </c>
      <c r="AG83" s="1254">
        <f t="shared" si="117"/>
        <v>0</v>
      </c>
      <c r="AH83" s="1254">
        <f t="shared" si="117"/>
        <v>7.5464510109223362</v>
      </c>
      <c r="AI83" s="1255">
        <f t="shared" si="117"/>
        <v>7.5464510109223362</v>
      </c>
      <c r="AJ83" s="1254">
        <f t="shared" si="118"/>
        <v>0</v>
      </c>
      <c r="AK83" s="1254">
        <f t="shared" si="118"/>
        <v>0</v>
      </c>
      <c r="AL83" s="1254">
        <f t="shared" si="118"/>
        <v>0</v>
      </c>
      <c r="AM83" s="1254">
        <f t="shared" si="118"/>
        <v>6.2829597175715479</v>
      </c>
      <c r="AN83" s="1256">
        <f t="shared" si="119"/>
        <v>6.2829597175715479</v>
      </c>
      <c r="AO83" s="1253">
        <f t="shared" si="120"/>
        <v>0</v>
      </c>
      <c r="AP83" s="1254">
        <f t="shared" si="120"/>
        <v>0</v>
      </c>
      <c r="AQ83" s="1254">
        <f t="shared" si="120"/>
        <v>0</v>
      </c>
      <c r="AR83" s="1254">
        <f t="shared" si="120"/>
        <v>0</v>
      </c>
      <c r="AS83" s="1257">
        <f t="shared" si="121"/>
        <v>0</v>
      </c>
      <c r="AT83" s="1253">
        <f t="shared" si="122"/>
        <v>0</v>
      </c>
      <c r="AU83" s="1254">
        <f t="shared" si="122"/>
        <v>0</v>
      </c>
      <c r="AV83" s="1254">
        <f t="shared" si="122"/>
        <v>0</v>
      </c>
      <c r="AW83" s="1254">
        <f t="shared" si="122"/>
        <v>0</v>
      </c>
      <c r="AX83" s="1257">
        <f t="shared" si="123"/>
        <v>0</v>
      </c>
      <c r="AY83" s="1258">
        <f t="shared" si="124"/>
        <v>45.849589271506119</v>
      </c>
      <c r="AZ83" s="1264">
        <f t="shared" si="125"/>
        <v>7.5464510109223362</v>
      </c>
      <c r="BA83" s="1264">
        <f t="shared" si="125"/>
        <v>6.2829597175715479</v>
      </c>
      <c r="BB83" s="1264">
        <f t="shared" si="125"/>
        <v>0</v>
      </c>
      <c r="BC83" s="1263">
        <f t="shared" si="125"/>
        <v>0</v>
      </c>
      <c r="BD83" s="97"/>
      <c r="BE83" s="568" t="s">
        <v>366</v>
      </c>
      <c r="BF83" s="568" t="s">
        <v>366</v>
      </c>
      <c r="BG83" s="591" t="str">
        <f>IFERROR(INDEX('Annex 2_Code'!$J$110:$J$127,MATCH('Annex 5_MRD'!BE83,'Annex 2_Code'!$G$110:$G$127,0)),"")</f>
        <v>MRD</v>
      </c>
      <c r="BH83" s="1565" t="str">
        <f t="shared" si="126"/>
        <v>MRD</v>
      </c>
      <c r="BI83" s="97"/>
    </row>
    <row r="84" spans="1:61" ht="14.25">
      <c r="A84" s="1287"/>
      <c r="B84" s="76" t="s">
        <v>24</v>
      </c>
      <c r="C84" s="76" t="s">
        <v>307</v>
      </c>
      <c r="D84" s="1288"/>
      <c r="E84" s="1289"/>
      <c r="F84" s="66" t="s">
        <v>939</v>
      </c>
      <c r="G84" s="1291"/>
      <c r="H84" s="1755" t="s">
        <v>1095</v>
      </c>
      <c r="I84" s="167">
        <v>3.5</v>
      </c>
      <c r="J84" s="1026">
        <v>3.5000000000000001E-3</v>
      </c>
      <c r="K84" s="2254">
        <v>0</v>
      </c>
      <c r="L84" s="2256">
        <v>0</v>
      </c>
      <c r="M84" s="2256">
        <v>0</v>
      </c>
      <c r="N84" s="2256">
        <v>9213.6</v>
      </c>
      <c r="O84" s="1280">
        <f t="shared" si="110"/>
        <v>9213.6</v>
      </c>
      <c r="P84" s="2258">
        <f t="shared" si="111"/>
        <v>0</v>
      </c>
      <c r="Q84" s="2258">
        <f t="shared" si="112"/>
        <v>0</v>
      </c>
      <c r="R84" s="2258">
        <f t="shared" si="113"/>
        <v>0</v>
      </c>
      <c r="S84" s="2258">
        <f t="shared" si="114"/>
        <v>32.247600000000006</v>
      </c>
      <c r="T84" s="1281">
        <f t="shared" si="127"/>
        <v>32.247600000000006</v>
      </c>
      <c r="U84" s="1250">
        <f>IFERROR(INDEX([8]Code!I$8:I$33,MATCH('[8]$MRD-Annex'!$BG86,[8]Code!$G$8:$G$33,0)),"")</f>
        <v>0.76827006604510995</v>
      </c>
      <c r="V84" s="1251">
        <f>IFERROR(INDEX([8]Code!J$8:J$33,MATCH('[8]$MRD-Annex'!$BG86,[8]Code!$G$8:$G$33,0)),"")</f>
        <v>0.12645069473218948</v>
      </c>
      <c r="W84" s="1251">
        <f>IFERROR(INDEX([8]Code!K$8:K$33,MATCH('[8]$MRD-Annex'!$BG86,[8]Code!$G$8:$G$33,0)),"")</f>
        <v>0.10527923922270058</v>
      </c>
      <c r="X84" s="1251">
        <f>IFERROR(INDEX([8]Code!L$8:L$33,MATCH('[8]$MRD-Annex'!$BG86,[8]Code!$G$8:$G$33,0)),"")</f>
        <v>0</v>
      </c>
      <c r="Y84" s="1252">
        <f>IFERROR(INDEX([8]Code!M$8:M$33,MATCH('[8]$MRD-Annex'!$BG86,[8]Code!$G$8:$G$33,0)),"")</f>
        <v>0</v>
      </c>
      <c r="Z84" s="1253">
        <f t="shared" si="115"/>
        <v>0</v>
      </c>
      <c r="AA84" s="1254">
        <f t="shared" si="115"/>
        <v>0</v>
      </c>
      <c r="AB84" s="1254">
        <f t="shared" si="115"/>
        <v>0</v>
      </c>
      <c r="AC84" s="1254">
        <f t="shared" si="115"/>
        <v>24.77486578179629</v>
      </c>
      <c r="AD84" s="1255">
        <f t="shared" si="116"/>
        <v>24.77486578179629</v>
      </c>
      <c r="AE84" s="1253">
        <f t="shared" si="117"/>
        <v>0</v>
      </c>
      <c r="AF84" s="1254">
        <f t="shared" si="117"/>
        <v>0</v>
      </c>
      <c r="AG84" s="1254">
        <f t="shared" si="117"/>
        <v>0</v>
      </c>
      <c r="AH84" s="1254">
        <f t="shared" si="117"/>
        <v>4.077731423445754</v>
      </c>
      <c r="AI84" s="1255">
        <f t="shared" si="117"/>
        <v>4.077731423445754</v>
      </c>
      <c r="AJ84" s="1254">
        <f t="shared" si="118"/>
        <v>0</v>
      </c>
      <c r="AK84" s="1254">
        <f t="shared" si="118"/>
        <v>0</v>
      </c>
      <c r="AL84" s="1254">
        <f t="shared" si="118"/>
        <v>0</v>
      </c>
      <c r="AM84" s="1254">
        <f t="shared" si="118"/>
        <v>3.3950027947579597</v>
      </c>
      <c r="AN84" s="1256">
        <f t="shared" si="119"/>
        <v>3.3950027947579597</v>
      </c>
      <c r="AO84" s="1253">
        <f t="shared" si="120"/>
        <v>0</v>
      </c>
      <c r="AP84" s="1254">
        <f t="shared" si="120"/>
        <v>0</v>
      </c>
      <c r="AQ84" s="1254">
        <f t="shared" si="120"/>
        <v>0</v>
      </c>
      <c r="AR84" s="1254">
        <f t="shared" si="120"/>
        <v>0</v>
      </c>
      <c r="AS84" s="1257">
        <f t="shared" si="121"/>
        <v>0</v>
      </c>
      <c r="AT84" s="1253">
        <f t="shared" si="122"/>
        <v>0</v>
      </c>
      <c r="AU84" s="1254">
        <f t="shared" si="122"/>
        <v>0</v>
      </c>
      <c r="AV84" s="1254">
        <f t="shared" si="122"/>
        <v>0</v>
      </c>
      <c r="AW84" s="1254">
        <f t="shared" si="122"/>
        <v>0</v>
      </c>
      <c r="AX84" s="1257">
        <f t="shared" si="123"/>
        <v>0</v>
      </c>
      <c r="AY84" s="1258">
        <f t="shared" si="124"/>
        <v>24.77486578179629</v>
      </c>
      <c r="AZ84" s="1264">
        <f t="shared" si="125"/>
        <v>4.077731423445754</v>
      </c>
      <c r="BA84" s="1264">
        <f t="shared" si="125"/>
        <v>3.3950027947579597</v>
      </c>
      <c r="BB84" s="1264">
        <f t="shared" si="125"/>
        <v>0</v>
      </c>
      <c r="BC84" s="1263">
        <f t="shared" si="125"/>
        <v>0</v>
      </c>
      <c r="BD84" s="97"/>
      <c r="BE84" s="568" t="s">
        <v>366</v>
      </c>
      <c r="BF84" s="568" t="s">
        <v>366</v>
      </c>
      <c r="BG84" s="591" t="str">
        <f>IFERROR(INDEX('Annex 2_Code'!$J$110:$J$127,MATCH('Annex 5_MRD'!BE84,'Annex 2_Code'!$G$110:$G$127,0)),"")</f>
        <v>MRD</v>
      </c>
      <c r="BH84" s="1565" t="str">
        <f t="shared" si="126"/>
        <v>MRD</v>
      </c>
      <c r="BI84" s="97"/>
    </row>
    <row r="85" spans="1:61" ht="14.25">
      <c r="A85" s="1287"/>
      <c r="B85" s="76" t="s">
        <v>24</v>
      </c>
      <c r="C85" s="76" t="s">
        <v>307</v>
      </c>
      <c r="D85" s="1288"/>
      <c r="E85" s="1289"/>
      <c r="F85" s="66" t="s">
        <v>940</v>
      </c>
      <c r="G85" s="1291"/>
      <c r="H85" s="1755" t="s">
        <v>1095</v>
      </c>
      <c r="I85" s="167">
        <v>1.45</v>
      </c>
      <c r="J85" s="1026">
        <v>1.4499999999999999E-3</v>
      </c>
      <c r="K85" s="2254">
        <v>0</v>
      </c>
      <c r="L85" s="2256">
        <v>0</v>
      </c>
      <c r="M85" s="2256">
        <v>0</v>
      </c>
      <c r="N85" s="2256">
        <v>25651.5</v>
      </c>
      <c r="O85" s="1280">
        <f t="shared" si="110"/>
        <v>25651.5</v>
      </c>
      <c r="P85" s="2258">
        <f t="shared" si="111"/>
        <v>0</v>
      </c>
      <c r="Q85" s="2258">
        <f t="shared" si="112"/>
        <v>0</v>
      </c>
      <c r="R85" s="2258">
        <f t="shared" si="113"/>
        <v>0</v>
      </c>
      <c r="S85" s="2258">
        <f t="shared" si="114"/>
        <v>37.194674999999997</v>
      </c>
      <c r="T85" s="1281">
        <f t="shared" si="127"/>
        <v>37.194674999999997</v>
      </c>
      <c r="U85" s="1250">
        <f>IFERROR(INDEX([8]Code!I$8:I$33,MATCH('[8]$MRD-Annex'!$BG87,[8]Code!$G$8:$G$33,0)),"")</f>
        <v>0.76827006604510995</v>
      </c>
      <c r="V85" s="1251">
        <f>IFERROR(INDEX([8]Code!J$8:J$33,MATCH('[8]$MRD-Annex'!$BG87,[8]Code!$G$8:$G$33,0)),"")</f>
        <v>0.12645069473218948</v>
      </c>
      <c r="W85" s="1251">
        <f>IFERROR(INDEX([8]Code!K$8:K$33,MATCH('[8]$MRD-Annex'!$BG87,[8]Code!$G$8:$G$33,0)),"")</f>
        <v>0.10527923922270058</v>
      </c>
      <c r="X85" s="1251">
        <f>IFERROR(INDEX([8]Code!L$8:L$33,MATCH('[8]$MRD-Annex'!$BG87,[8]Code!$G$8:$G$33,0)),"")</f>
        <v>0</v>
      </c>
      <c r="Y85" s="1252">
        <f>IFERROR(INDEX([8]Code!M$8:M$33,MATCH('[8]$MRD-Annex'!$BG87,[8]Code!$G$8:$G$33,0)),"")</f>
        <v>0</v>
      </c>
      <c r="Z85" s="1253">
        <f t="shared" si="115"/>
        <v>0</v>
      </c>
      <c r="AA85" s="1254">
        <f t="shared" si="115"/>
        <v>0</v>
      </c>
      <c r="AB85" s="1254">
        <f t="shared" si="115"/>
        <v>0</v>
      </c>
      <c r="AC85" s="1254">
        <f t="shared" si="115"/>
        <v>28.575555418776396</v>
      </c>
      <c r="AD85" s="1255">
        <f t="shared" si="116"/>
        <v>28.575555418776396</v>
      </c>
      <c r="AE85" s="1253">
        <f t="shared" si="117"/>
        <v>0</v>
      </c>
      <c r="AF85" s="1254">
        <f t="shared" si="117"/>
        <v>0</v>
      </c>
      <c r="AG85" s="1254">
        <f t="shared" si="117"/>
        <v>0</v>
      </c>
      <c r="AH85" s="1254">
        <f t="shared" si="117"/>
        <v>4.7032924940879992</v>
      </c>
      <c r="AI85" s="1255">
        <f t="shared" si="117"/>
        <v>4.7032924940879992</v>
      </c>
      <c r="AJ85" s="1254">
        <f t="shared" si="118"/>
        <v>0</v>
      </c>
      <c r="AK85" s="1254">
        <f t="shared" si="118"/>
        <v>0</v>
      </c>
      <c r="AL85" s="1254">
        <f t="shared" si="118"/>
        <v>0</v>
      </c>
      <c r="AM85" s="1254">
        <f t="shared" si="118"/>
        <v>3.9158270871356002</v>
      </c>
      <c r="AN85" s="1256">
        <f t="shared" si="119"/>
        <v>3.9158270871356002</v>
      </c>
      <c r="AO85" s="1253">
        <f t="shared" si="120"/>
        <v>0</v>
      </c>
      <c r="AP85" s="1254">
        <f t="shared" si="120"/>
        <v>0</v>
      </c>
      <c r="AQ85" s="1254">
        <f t="shared" si="120"/>
        <v>0</v>
      </c>
      <c r="AR85" s="1254">
        <f t="shared" si="120"/>
        <v>0</v>
      </c>
      <c r="AS85" s="1257">
        <f t="shared" si="121"/>
        <v>0</v>
      </c>
      <c r="AT85" s="1253">
        <f t="shared" si="122"/>
        <v>0</v>
      </c>
      <c r="AU85" s="1254">
        <f t="shared" si="122"/>
        <v>0</v>
      </c>
      <c r="AV85" s="1254">
        <f t="shared" si="122"/>
        <v>0</v>
      </c>
      <c r="AW85" s="1254">
        <f t="shared" si="122"/>
        <v>0</v>
      </c>
      <c r="AX85" s="1257">
        <f t="shared" si="123"/>
        <v>0</v>
      </c>
      <c r="AY85" s="1258">
        <f t="shared" si="124"/>
        <v>28.575555418776396</v>
      </c>
      <c r="AZ85" s="1264">
        <f t="shared" si="125"/>
        <v>4.7032924940879992</v>
      </c>
      <c r="BA85" s="1264">
        <f t="shared" si="125"/>
        <v>3.9158270871356002</v>
      </c>
      <c r="BB85" s="1264">
        <f t="shared" si="125"/>
        <v>0</v>
      </c>
      <c r="BC85" s="1263">
        <f t="shared" si="125"/>
        <v>0</v>
      </c>
      <c r="BE85" s="568" t="s">
        <v>366</v>
      </c>
      <c r="BF85" s="568" t="s">
        <v>366</v>
      </c>
      <c r="BG85" s="591" t="str">
        <f>IFERROR(INDEX('Annex 2_Code'!$J$110:$J$127,MATCH('Annex 5_MRD'!BE85,'Annex 2_Code'!$G$110:$G$127,0)),"")</f>
        <v>MRD</v>
      </c>
      <c r="BH85" s="1565" t="str">
        <f t="shared" si="126"/>
        <v>MRD</v>
      </c>
    </row>
    <row r="86" spans="1:61" ht="12.75" customHeight="1">
      <c r="A86" s="1287"/>
      <c r="B86" s="76" t="s">
        <v>24</v>
      </c>
      <c r="C86" s="76" t="s">
        <v>307</v>
      </c>
      <c r="D86" s="1288"/>
      <c r="E86" s="1289"/>
      <c r="F86" s="66" t="s">
        <v>308</v>
      </c>
      <c r="G86" s="1291"/>
      <c r="H86" s="1743" t="s">
        <v>309</v>
      </c>
      <c r="I86" s="1575">
        <v>45370</v>
      </c>
      <c r="J86" s="1026">
        <v>45.37</v>
      </c>
      <c r="K86" s="2254">
        <v>0</v>
      </c>
      <c r="L86" s="2255">
        <v>0</v>
      </c>
      <c r="M86" s="2257">
        <v>0</v>
      </c>
      <c r="N86" s="2257">
        <v>0.15</v>
      </c>
      <c r="O86" s="1280">
        <f t="shared" si="110"/>
        <v>0.15</v>
      </c>
      <c r="P86" s="2258">
        <f t="shared" si="111"/>
        <v>0</v>
      </c>
      <c r="Q86" s="2258">
        <f t="shared" si="112"/>
        <v>0</v>
      </c>
      <c r="R86" s="2258">
        <f t="shared" si="113"/>
        <v>0</v>
      </c>
      <c r="S86" s="2258">
        <f t="shared" si="114"/>
        <v>6.8055000000000003</v>
      </c>
      <c r="T86" s="1281">
        <f t="shared" si="127"/>
        <v>6.8055000000000003</v>
      </c>
      <c r="U86" s="1250">
        <f>IFERROR(INDEX([8]Code!I$8:I$33,MATCH('[8]$MRD-Annex'!$BG88,[8]Code!$G$8:$G$33,0)),"")</f>
        <v>0.76827006604510995</v>
      </c>
      <c r="V86" s="1251">
        <f>IFERROR(INDEX([8]Code!J$8:J$33,MATCH('[8]$MRD-Annex'!$BG88,[8]Code!$G$8:$G$33,0)),"")</f>
        <v>0.12645069473218948</v>
      </c>
      <c r="W86" s="1251">
        <f>IFERROR(INDEX([8]Code!K$8:K$33,MATCH('[8]$MRD-Annex'!$BG88,[8]Code!$G$8:$G$33,0)),"")</f>
        <v>0.10527923922270058</v>
      </c>
      <c r="X86" s="1251">
        <f>IFERROR(INDEX([8]Code!L$8:L$33,MATCH('[8]$MRD-Annex'!$BG88,[8]Code!$G$8:$G$33,0)),"")</f>
        <v>0</v>
      </c>
      <c r="Y86" s="1252">
        <f>IFERROR(INDEX([8]Code!M$8:M$33,MATCH('[8]$MRD-Annex'!$BG88,[8]Code!$G$8:$G$33,0)),"")</f>
        <v>0</v>
      </c>
      <c r="Z86" s="1253">
        <f t="shared" si="115"/>
        <v>0</v>
      </c>
      <c r="AA86" s="1254">
        <f t="shared" si="115"/>
        <v>0</v>
      </c>
      <c r="AB86" s="1254">
        <f t="shared" si="115"/>
        <v>0</v>
      </c>
      <c r="AC86" s="1254">
        <f t="shared" si="115"/>
        <v>5.2284619344699959</v>
      </c>
      <c r="AD86" s="1255">
        <f t="shared" si="116"/>
        <v>5.2284619344699959</v>
      </c>
      <c r="AE86" s="1253">
        <f t="shared" si="117"/>
        <v>0</v>
      </c>
      <c r="AF86" s="1254">
        <f t="shared" si="117"/>
        <v>0</v>
      </c>
      <c r="AG86" s="1254">
        <f t="shared" si="117"/>
        <v>0</v>
      </c>
      <c r="AH86" s="1254">
        <f t="shared" si="117"/>
        <v>0.86056020299991554</v>
      </c>
      <c r="AI86" s="1255">
        <f t="shared" si="117"/>
        <v>0.86056020299991554</v>
      </c>
      <c r="AJ86" s="1254">
        <f t="shared" si="118"/>
        <v>0</v>
      </c>
      <c r="AK86" s="1254">
        <f t="shared" si="118"/>
        <v>0</v>
      </c>
      <c r="AL86" s="1254">
        <f t="shared" si="118"/>
        <v>0</v>
      </c>
      <c r="AM86" s="1254">
        <f t="shared" si="118"/>
        <v>0.71647786253008883</v>
      </c>
      <c r="AN86" s="1256">
        <f t="shared" si="119"/>
        <v>0.71647786253008883</v>
      </c>
      <c r="AO86" s="1253">
        <f t="shared" si="120"/>
        <v>0</v>
      </c>
      <c r="AP86" s="1254">
        <f t="shared" si="120"/>
        <v>0</v>
      </c>
      <c r="AQ86" s="1254">
        <f t="shared" si="120"/>
        <v>0</v>
      </c>
      <c r="AR86" s="1254">
        <f t="shared" si="120"/>
        <v>0</v>
      </c>
      <c r="AS86" s="1257">
        <f t="shared" si="121"/>
        <v>0</v>
      </c>
      <c r="AT86" s="1253">
        <f t="shared" si="122"/>
        <v>0</v>
      </c>
      <c r="AU86" s="1254">
        <f t="shared" si="122"/>
        <v>0</v>
      </c>
      <c r="AV86" s="1254">
        <f t="shared" si="122"/>
        <v>0</v>
      </c>
      <c r="AW86" s="1254">
        <f t="shared" si="122"/>
        <v>0</v>
      </c>
      <c r="AX86" s="1257">
        <f t="shared" si="123"/>
        <v>0</v>
      </c>
      <c r="AY86" s="1258">
        <f t="shared" si="124"/>
        <v>5.2284619344699959</v>
      </c>
      <c r="AZ86" s="1264">
        <f t="shared" si="125"/>
        <v>0.86056020299991554</v>
      </c>
      <c r="BA86" s="1264">
        <f t="shared" si="125"/>
        <v>0.71647786253008883</v>
      </c>
      <c r="BB86" s="1264">
        <f t="shared" si="125"/>
        <v>0</v>
      </c>
      <c r="BC86" s="1263">
        <f t="shared" si="125"/>
        <v>0</v>
      </c>
      <c r="BE86" s="568" t="s">
        <v>366</v>
      </c>
      <c r="BF86" s="568" t="s">
        <v>366</v>
      </c>
      <c r="BG86" s="591" t="str">
        <f>IFERROR(INDEX('Annex 2_Code'!$J$110:$J$127,MATCH('Annex 5_MRD'!BE86,'Annex 2_Code'!$G$110:$G$127,0)),"")</f>
        <v>MRD</v>
      </c>
      <c r="BH86" s="1565" t="str">
        <f t="shared" si="126"/>
        <v>MRD</v>
      </c>
    </row>
    <row r="87" spans="1:61">
      <c r="A87" s="1287"/>
      <c r="B87" s="76" t="s">
        <v>24</v>
      </c>
      <c r="C87" s="76" t="s">
        <v>307</v>
      </c>
      <c r="D87" s="1288"/>
      <c r="E87" s="1289"/>
      <c r="F87" s="97" t="s">
        <v>946</v>
      </c>
      <c r="G87" s="1291"/>
      <c r="H87" s="1743" t="s">
        <v>309</v>
      </c>
      <c r="I87" s="1575">
        <v>209400</v>
      </c>
      <c r="J87" s="1026">
        <v>209.4</v>
      </c>
      <c r="K87" s="2253"/>
      <c r="L87" s="2259">
        <v>0</v>
      </c>
      <c r="M87" s="2257">
        <v>0</v>
      </c>
      <c r="N87" s="2257">
        <v>0.15</v>
      </c>
      <c r="O87" s="1280">
        <f t="shared" si="110"/>
        <v>0.15</v>
      </c>
      <c r="P87" s="2258">
        <f t="shared" si="111"/>
        <v>0</v>
      </c>
      <c r="Q87" s="2258">
        <f t="shared" si="112"/>
        <v>0</v>
      </c>
      <c r="R87" s="2258">
        <f t="shared" si="113"/>
        <v>0</v>
      </c>
      <c r="S87" s="2258">
        <f t="shared" si="114"/>
        <v>31.41</v>
      </c>
      <c r="T87" s="1281">
        <f t="shared" si="127"/>
        <v>31.41</v>
      </c>
      <c r="U87" s="1250">
        <f>IFERROR(INDEX([8]Code!I$8:I$33,MATCH('[8]$MRD-Annex'!$BG89,[8]Code!$G$8:$G$33,0)),"")</f>
        <v>0.76827006604510995</v>
      </c>
      <c r="V87" s="1251">
        <f>IFERROR(INDEX([8]Code!J$8:J$33,MATCH('[8]$MRD-Annex'!$BG89,[8]Code!$G$8:$G$33,0)),"")</f>
        <v>0.12645069473218948</v>
      </c>
      <c r="W87" s="1251">
        <f>IFERROR(INDEX([8]Code!K$8:K$33,MATCH('[8]$MRD-Annex'!$BG89,[8]Code!$G$8:$G$33,0)),"")</f>
        <v>0.10527923922270058</v>
      </c>
      <c r="X87" s="1251">
        <f>IFERROR(INDEX([8]Code!L$8:L$33,MATCH('[8]$MRD-Annex'!$BG89,[8]Code!$G$8:$G$33,0)),"")</f>
        <v>0</v>
      </c>
      <c r="Y87" s="1252">
        <f>IFERROR(INDEX([8]Code!M$8:M$33,MATCH('[8]$MRD-Annex'!$BG89,[8]Code!$G$8:$G$33,0)),"")</f>
        <v>0</v>
      </c>
      <c r="Z87" s="1253">
        <f t="shared" si="115"/>
        <v>0</v>
      </c>
      <c r="AA87" s="1254">
        <f t="shared" si="115"/>
        <v>0</v>
      </c>
      <c r="AB87" s="1254">
        <f t="shared" si="115"/>
        <v>0</v>
      </c>
      <c r="AC87" s="1254">
        <f t="shared" si="115"/>
        <v>24.131362774476905</v>
      </c>
      <c r="AD87" s="1255">
        <f t="shared" si="116"/>
        <v>24.131362774476905</v>
      </c>
      <c r="AE87" s="1253">
        <f t="shared" si="117"/>
        <v>0</v>
      </c>
      <c r="AF87" s="1254">
        <f t="shared" si="117"/>
        <v>0</v>
      </c>
      <c r="AG87" s="1254">
        <f t="shared" si="117"/>
        <v>0</v>
      </c>
      <c r="AH87" s="1254">
        <f t="shared" si="117"/>
        <v>3.9718163215380717</v>
      </c>
      <c r="AI87" s="1255">
        <f t="shared" si="117"/>
        <v>3.9718163215380717</v>
      </c>
      <c r="AJ87" s="1254">
        <f t="shared" si="118"/>
        <v>0</v>
      </c>
      <c r="AK87" s="1254">
        <f t="shared" si="118"/>
        <v>0</v>
      </c>
      <c r="AL87" s="1254">
        <f t="shared" si="118"/>
        <v>0</v>
      </c>
      <c r="AM87" s="1254">
        <f t="shared" si="118"/>
        <v>3.3068209039850252</v>
      </c>
      <c r="AN87" s="1256">
        <f t="shared" si="119"/>
        <v>3.3068209039850252</v>
      </c>
      <c r="AO87" s="1253">
        <f t="shared" si="120"/>
        <v>0</v>
      </c>
      <c r="AP87" s="1254">
        <f t="shared" si="120"/>
        <v>0</v>
      </c>
      <c r="AQ87" s="1254">
        <f t="shared" si="120"/>
        <v>0</v>
      </c>
      <c r="AR87" s="1254">
        <f t="shared" si="120"/>
        <v>0</v>
      </c>
      <c r="AS87" s="1257">
        <f t="shared" si="121"/>
        <v>0</v>
      </c>
      <c r="AT87" s="1253">
        <f t="shared" si="122"/>
        <v>0</v>
      </c>
      <c r="AU87" s="1254">
        <f t="shared" si="122"/>
        <v>0</v>
      </c>
      <c r="AV87" s="1254">
        <f t="shared" si="122"/>
        <v>0</v>
      </c>
      <c r="AW87" s="1254">
        <f t="shared" si="122"/>
        <v>0</v>
      </c>
      <c r="AX87" s="1257">
        <f t="shared" si="123"/>
        <v>0</v>
      </c>
      <c r="AY87" s="1258">
        <f t="shared" si="124"/>
        <v>24.131362774476905</v>
      </c>
      <c r="AZ87" s="1264">
        <f t="shared" si="125"/>
        <v>3.9718163215380717</v>
      </c>
      <c r="BA87" s="1264">
        <f t="shared" si="125"/>
        <v>3.3068209039850252</v>
      </c>
      <c r="BB87" s="1264">
        <f t="shared" si="125"/>
        <v>0</v>
      </c>
      <c r="BC87" s="1263">
        <f t="shared" si="125"/>
        <v>0</v>
      </c>
      <c r="BE87" s="568" t="s">
        <v>366</v>
      </c>
      <c r="BF87" s="568" t="s">
        <v>366</v>
      </c>
      <c r="BG87" s="591" t="str">
        <f>IFERROR(INDEX('Annex 2_Code'!$J$110:$J$127,MATCH('Annex 5_MRD'!BE87,'Annex 2_Code'!$G$110:$G$127,0)),"")</f>
        <v>MRD</v>
      </c>
      <c r="BH87" s="1565" t="str">
        <f t="shared" si="126"/>
        <v>MRD</v>
      </c>
    </row>
    <row r="88" spans="1:61" ht="12.75" customHeight="1">
      <c r="A88" s="75"/>
      <c r="B88" s="1267"/>
      <c r="C88" s="1568"/>
      <c r="D88" s="382"/>
      <c r="E88" s="383" t="s">
        <v>41</v>
      </c>
      <c r="F88" s="384"/>
      <c r="G88" s="385"/>
      <c r="H88" s="1749"/>
      <c r="I88" s="776"/>
      <c r="J88" s="1641"/>
      <c r="K88" s="791"/>
      <c r="L88" s="386"/>
      <c r="M88" s="839"/>
      <c r="N88" s="840"/>
      <c r="O88" s="388"/>
      <c r="P88" s="1268">
        <f>SUM(P76:P87)</f>
        <v>0</v>
      </c>
      <c r="Q88" s="1268">
        <f>SUM(Q76:Q87)</f>
        <v>0</v>
      </c>
      <c r="R88" s="1268">
        <f>SUM(R76:R87)</f>
        <v>0</v>
      </c>
      <c r="S88" s="1268">
        <f>SUM(S76:S87)</f>
        <v>378.25754250000006</v>
      </c>
      <c r="T88" s="1268">
        <f>SUM(T76:T87)</f>
        <v>378.25754250000006</v>
      </c>
      <c r="U88" s="1270" t="str">
        <f>IFERROR(INDEX([8]Code!I$8:I$33,MATCH('[8]$MRD-Annex'!$BG90,[8]Code!$G$8:$G$33,0)),"")</f>
        <v/>
      </c>
      <c r="V88" s="1271" t="str">
        <f>IFERROR(INDEX([8]Code!J$8:J$33,MATCH('[8]$MRD-Annex'!$BG90,[8]Code!$G$8:$G$33,0)),"")</f>
        <v/>
      </c>
      <c r="W88" s="1271" t="str">
        <f>IFERROR(INDEX([8]Code!K$8:K$33,MATCH('[8]$MRD-Annex'!$BG90,[8]Code!$G$8:$G$33,0)),"")</f>
        <v/>
      </c>
      <c r="X88" s="1271" t="str">
        <f>IFERROR(INDEX([8]Code!L$8:L$33,MATCH('[8]$MRD-Annex'!$BG90,[8]Code!$G$8:$G$33,0)),"")</f>
        <v/>
      </c>
      <c r="Y88" s="1272" t="str">
        <f>IFERROR(INDEX([8]Code!M$8:M$33,MATCH('[8]$MRD-Annex'!$BG90,[8]Code!$G$8:$G$33,0)),"")</f>
        <v/>
      </c>
      <c r="Z88" s="1274">
        <f t="shared" ref="Z88:AF88" si="128">SUM(Z87,Z86,Z85,Z84,Z83,Z82,Z81,Z80,Z79,Z78,Z77)</f>
        <v>0</v>
      </c>
      <c r="AA88" s="1268">
        <f t="shared" si="128"/>
        <v>0</v>
      </c>
      <c r="AB88" s="1268">
        <f t="shared" si="128"/>
        <v>0</v>
      </c>
      <c r="AC88" s="1268">
        <f t="shared" si="128"/>
        <v>290.60394715853596</v>
      </c>
      <c r="AD88" s="1275">
        <f t="shared" si="128"/>
        <v>290.60394715853596</v>
      </c>
      <c r="AE88" s="1274">
        <f t="shared" si="128"/>
        <v>0</v>
      </c>
      <c r="AF88" s="1268">
        <f t="shared" si="128"/>
        <v>0</v>
      </c>
      <c r="AG88" s="1268">
        <f>SUM(AG87,AG86,AG85,AG84,AG83,AG82,AG81,AG80,AG79,AG78,AG77)</f>
        <v>0</v>
      </c>
      <c r="AH88" s="1268">
        <f t="shared" ref="AH88:AI88" si="129">SUM(AH87,AH86,AH85,AH84,AH83,AH82,AH81,AH80,AH79,AH78,AH77)</f>
        <v>47.830929036815689</v>
      </c>
      <c r="AI88" s="1275">
        <f t="shared" si="129"/>
        <v>47.830929036815689</v>
      </c>
      <c r="AJ88" s="1274">
        <f>SUM(AJ87,AJ86,AJ85,AJ84,AJ83,AJ82,AJ81,AJ80,AJ79,AJ78,AJ77)</f>
        <v>0</v>
      </c>
      <c r="AK88" s="1268">
        <f t="shared" ref="AK88" si="130">SUM(AK87,AK86,AK85,AK84,AK83,AK82,AK81,AK80,AK79,AK78,AK77)</f>
        <v>0</v>
      </c>
      <c r="AL88" s="1268">
        <f>SUM(AL87,AL86,AL85,AL84,AL83,AL82,AL81,AL80,AL79,AL78,AL77)</f>
        <v>0</v>
      </c>
      <c r="AM88" s="1268">
        <f t="shared" ref="AM88:AN88" si="131">SUM(AM87,AM86,AM85,AM84,AM83,AM82,AM81,AM80,AM79,AM78,AM77)</f>
        <v>39.82266630464833</v>
      </c>
      <c r="AN88" s="1275">
        <f t="shared" si="131"/>
        <v>39.82266630464833</v>
      </c>
      <c r="AO88" s="1274"/>
      <c r="AP88" s="1268"/>
      <c r="AQ88" s="1268"/>
      <c r="AR88" s="1268"/>
      <c r="AS88" s="1276"/>
      <c r="AT88" s="1277"/>
      <c r="AU88" s="1273"/>
      <c r="AV88" s="1273"/>
      <c r="AW88" s="1273"/>
      <c r="AX88" s="1276"/>
      <c r="AY88" s="1278">
        <f>SUM(AY77:AY87)</f>
        <v>290.60394715853596</v>
      </c>
      <c r="AZ88" s="1279">
        <f>SUM(AZ77:AZ87)</f>
        <v>47.830929036815689</v>
      </c>
      <c r="BA88" s="1279">
        <f>SUM(BA77:BA87)</f>
        <v>39.822666304648344</v>
      </c>
      <c r="BB88" s="1279">
        <f t="shared" ref="BB88:BC88" si="132">SUM(BB77:BB87)</f>
        <v>0</v>
      </c>
      <c r="BC88" s="1269">
        <f t="shared" si="132"/>
        <v>0</v>
      </c>
      <c r="BE88" s="1282"/>
      <c r="BF88" s="1282"/>
      <c r="BG88" s="1282"/>
      <c r="BH88" s="1565"/>
    </row>
    <row r="89" spans="1:61" s="137" customFormat="1">
      <c r="A89" s="1287"/>
      <c r="B89" s="76" t="s">
        <v>24</v>
      </c>
      <c r="C89" s="76" t="s">
        <v>307</v>
      </c>
      <c r="D89" s="1288"/>
      <c r="E89" s="66" t="s">
        <v>1038</v>
      </c>
      <c r="F89" s="1290"/>
      <c r="G89" s="1291"/>
      <c r="H89" s="1757"/>
      <c r="I89" s="1572"/>
      <c r="J89" s="1642"/>
      <c r="K89" s="1573"/>
      <c r="L89" s="1292"/>
      <c r="M89" s="1293"/>
      <c r="N89" s="1294"/>
      <c r="O89" s="1295"/>
      <c r="P89" s="1297"/>
      <c r="Q89" s="1297"/>
      <c r="R89" s="1297"/>
      <c r="S89" s="1297"/>
      <c r="T89" s="1298"/>
      <c r="U89" s="1299"/>
      <c r="V89" s="1300"/>
      <c r="W89" s="1300"/>
      <c r="X89" s="1300"/>
      <c r="Y89" s="1301"/>
      <c r="Z89" s="1303"/>
      <c r="AA89" s="1297"/>
      <c r="AB89" s="1297"/>
      <c r="AC89" s="1297"/>
      <c r="AD89" s="1304"/>
      <c r="AE89" s="1303"/>
      <c r="AF89" s="1297"/>
      <c r="AG89" s="1297"/>
      <c r="AH89" s="1297"/>
      <c r="AI89" s="1304"/>
      <c r="AJ89" s="1297"/>
      <c r="AK89" s="1297"/>
      <c r="AL89" s="1297"/>
      <c r="AM89" s="1297"/>
      <c r="AN89" s="1297"/>
      <c r="AO89" s="1303"/>
      <c r="AP89" s="1297"/>
      <c r="AQ89" s="1297"/>
      <c r="AR89" s="1297"/>
      <c r="AS89" s="1305"/>
      <c r="AT89" s="1306"/>
      <c r="AU89" s="1302"/>
      <c r="AV89" s="1302"/>
      <c r="AW89" s="1302"/>
      <c r="AX89" s="1305"/>
      <c r="AY89" s="1307"/>
      <c r="AZ89" s="1308"/>
      <c r="BA89" s="1308"/>
      <c r="BB89" s="1308"/>
      <c r="BC89" s="1298"/>
      <c r="BE89" s="1282"/>
      <c r="BF89" s="1282"/>
      <c r="BG89" s="1282"/>
      <c r="BH89" s="1565"/>
    </row>
    <row r="90" spans="1:61" s="137" customFormat="1" ht="15">
      <c r="A90" s="1287"/>
      <c r="B90" s="76" t="s">
        <v>24</v>
      </c>
      <c r="C90" s="76" t="s">
        <v>307</v>
      </c>
      <c r="D90" s="1288"/>
      <c r="E90" s="1289"/>
      <c r="F90" t="s">
        <v>934</v>
      </c>
      <c r="G90" s="1291"/>
      <c r="H90" s="1755" t="s">
        <v>1095</v>
      </c>
      <c r="I90" s="167">
        <v>2.5</v>
      </c>
      <c r="J90" s="1026">
        <v>2.5000000000000001E-3</v>
      </c>
      <c r="K90" s="788">
        <v>0</v>
      </c>
      <c r="L90" s="1261">
        <v>0</v>
      </c>
      <c r="M90" s="1261">
        <v>0</v>
      </c>
      <c r="N90" s="1261">
        <v>2002.5</v>
      </c>
      <c r="O90" s="1280">
        <f t="shared" ref="O90:O100" si="133">SUM(K90:N90)</f>
        <v>2002.5</v>
      </c>
      <c r="P90" s="2258">
        <f t="shared" ref="P90:P100" si="134">K90*$I90/1000</f>
        <v>0</v>
      </c>
      <c r="Q90" s="2258">
        <f t="shared" ref="Q90:Q100" si="135">L90*$I90/1000</f>
        <v>0</v>
      </c>
      <c r="R90" s="2258">
        <f t="shared" ref="R90:R100" si="136">M90*$I90/1000</f>
        <v>0</v>
      </c>
      <c r="S90" s="2258">
        <f t="shared" ref="S90:S100" si="137">N90*$I90/1000</f>
        <v>5.0062499999999996</v>
      </c>
      <c r="T90" s="1281">
        <f t="shared" ref="T90:T100" si="138">SUM(P90:S90)</f>
        <v>5.0062499999999996</v>
      </c>
      <c r="U90" s="1576">
        <f>IFERROR(INDEX([8]Code!I$8:I$33,MATCH('[8]$MRD-Annex'!$BG92,[8]Code!$G$8:$G$33,0)),"")</f>
        <v>0.76827006604510995</v>
      </c>
      <c r="V90" s="1577">
        <f>IFERROR(INDEX([8]Code!J$8:J$33,MATCH('[8]$MRD-Annex'!$BG92,[8]Code!$G$8:$G$33,0)),"")</f>
        <v>0.12645069473218948</v>
      </c>
      <c r="W90" s="1577">
        <f>IFERROR(INDEX([8]Code!K$8:K$33,MATCH('[8]$MRD-Annex'!$BG92,[8]Code!$G$8:$G$33,0)),"")</f>
        <v>0.10527923922270058</v>
      </c>
      <c r="X90" s="1251">
        <f>IFERROR(INDEX([8]Code!L$8:L$33,MATCH('[8]$MRD-Annex'!$BG92,[8]Code!$G$8:$G$33,0)),"")</f>
        <v>0</v>
      </c>
      <c r="Y90" s="1252">
        <f>IFERROR(INDEX([8]Code!M$8:M$33,MATCH('[8]$MRD-Annex'!$BG92,[8]Code!$G$8:$G$33,0)),"")</f>
        <v>0</v>
      </c>
      <c r="Z90" s="1253">
        <f t="shared" ref="Z90:AC100" si="139">P90*$U90</f>
        <v>0</v>
      </c>
      <c r="AA90" s="1254">
        <f t="shared" si="139"/>
        <v>0</v>
      </c>
      <c r="AB90" s="1254">
        <f t="shared" si="139"/>
        <v>0</v>
      </c>
      <c r="AC90" s="1254">
        <f t="shared" si="139"/>
        <v>3.8461520181383313</v>
      </c>
      <c r="AD90" s="1255">
        <f t="shared" ref="AD90:AD100" si="140">SUM(Z90:AC90)</f>
        <v>3.8461520181383313</v>
      </c>
      <c r="AE90" s="1253">
        <f t="shared" ref="AE90:AI100" si="141">P90*$V90</f>
        <v>0</v>
      </c>
      <c r="AF90" s="1254">
        <f t="shared" si="141"/>
        <v>0</v>
      </c>
      <c r="AG90" s="1254">
        <f t="shared" si="141"/>
        <v>0</v>
      </c>
      <c r="AH90" s="1254">
        <f t="shared" si="141"/>
        <v>0.63304379050302351</v>
      </c>
      <c r="AI90" s="1255">
        <f t="shared" si="141"/>
        <v>0.63304379050302351</v>
      </c>
      <c r="AJ90" s="1254">
        <f t="shared" ref="AJ90:AM100" si="142">P90*$W90</f>
        <v>0</v>
      </c>
      <c r="AK90" s="1254">
        <f t="shared" si="142"/>
        <v>0</v>
      </c>
      <c r="AL90" s="1254">
        <f t="shared" si="142"/>
        <v>0</v>
      </c>
      <c r="AM90" s="1254">
        <f t="shared" si="142"/>
        <v>0.52705419135864473</v>
      </c>
      <c r="AN90" s="1256">
        <f t="shared" ref="AN90:AN100" si="143">SUM(AJ90:AM90)</f>
        <v>0.52705419135864473</v>
      </c>
      <c r="AO90" s="1253">
        <f t="shared" ref="AO90:AR100" si="144">P90*$X90</f>
        <v>0</v>
      </c>
      <c r="AP90" s="1254">
        <f t="shared" si="144"/>
        <v>0</v>
      </c>
      <c r="AQ90" s="1254">
        <f t="shared" si="144"/>
        <v>0</v>
      </c>
      <c r="AR90" s="1254">
        <f t="shared" si="144"/>
        <v>0</v>
      </c>
      <c r="AS90" s="1257">
        <f t="shared" ref="AS90:AS100" si="145">SUM(AO90:AR90)</f>
        <v>0</v>
      </c>
      <c r="AT90" s="1253">
        <f t="shared" ref="AT90:AW100" si="146">P90*$Y90</f>
        <v>0</v>
      </c>
      <c r="AU90" s="1254">
        <f t="shared" si="146"/>
        <v>0</v>
      </c>
      <c r="AV90" s="1254">
        <f t="shared" si="146"/>
        <v>0</v>
      </c>
      <c r="AW90" s="1254">
        <f t="shared" si="146"/>
        <v>0</v>
      </c>
      <c r="AX90" s="1257">
        <f t="shared" ref="AX90:AX100" si="147">SUM(AT90:AW90)</f>
        <v>0</v>
      </c>
      <c r="AY90" s="1258">
        <f t="shared" ref="AY90:AY100" si="148">SUM($T90*U90)</f>
        <v>3.8461520181383313</v>
      </c>
      <c r="AZ90" s="1264">
        <f t="shared" ref="AZ90:BC100" si="149">SUM($T90*V90)</f>
        <v>0.63304379050302351</v>
      </c>
      <c r="BA90" s="1264">
        <f t="shared" si="149"/>
        <v>0.52705419135864473</v>
      </c>
      <c r="BB90" s="1264">
        <f t="shared" si="149"/>
        <v>0</v>
      </c>
      <c r="BC90" s="1263">
        <f t="shared" si="149"/>
        <v>0</v>
      </c>
      <c r="BE90" s="568" t="s">
        <v>366</v>
      </c>
      <c r="BF90" s="568" t="s">
        <v>366</v>
      </c>
      <c r="BG90" s="591" t="str">
        <f>IFERROR(INDEX('Annex 2_Code'!$J$110:$J$127,MATCH('Annex 5_MRD'!BE90,'Annex 2_Code'!$G$110:$G$127,0)),"")</f>
        <v>MRD</v>
      </c>
      <c r="BH90" s="1565" t="str">
        <f t="shared" si="126"/>
        <v>MRD</v>
      </c>
    </row>
    <row r="91" spans="1:61" ht="20.100000000000001" customHeight="1">
      <c r="A91" s="1287"/>
      <c r="B91" s="76" t="s">
        <v>24</v>
      </c>
      <c r="C91" s="76" t="s">
        <v>307</v>
      </c>
      <c r="D91" s="1288"/>
      <c r="E91" s="1289"/>
      <c r="F91" s="66" t="s">
        <v>935</v>
      </c>
      <c r="G91" s="1291"/>
      <c r="H91" s="1755" t="s">
        <v>1095</v>
      </c>
      <c r="I91" s="1">
        <v>21</v>
      </c>
      <c r="J91" s="1026">
        <v>2.1000000000000001E-2</v>
      </c>
      <c r="K91" s="788">
        <v>0</v>
      </c>
      <c r="L91" s="1261">
        <v>0</v>
      </c>
      <c r="M91" s="1261">
        <v>0</v>
      </c>
      <c r="N91" s="1261">
        <v>168.21</v>
      </c>
      <c r="O91" s="1280">
        <f t="shared" si="133"/>
        <v>168.21</v>
      </c>
      <c r="P91" s="2258">
        <f t="shared" si="134"/>
        <v>0</v>
      </c>
      <c r="Q91" s="2258">
        <f t="shared" si="135"/>
        <v>0</v>
      </c>
      <c r="R91" s="2258">
        <f t="shared" si="136"/>
        <v>0</v>
      </c>
      <c r="S91" s="2258">
        <f t="shared" si="137"/>
        <v>3.5324100000000005</v>
      </c>
      <c r="T91" s="1281">
        <f t="shared" si="138"/>
        <v>3.5324100000000005</v>
      </c>
      <c r="U91" s="1250">
        <f>IFERROR(INDEX([8]Code!I$8:I$33,MATCH('[8]$MRD-Annex'!$BG93,[8]Code!$G$8:$G$33,0)),"")</f>
        <v>0.76827006604510995</v>
      </c>
      <c r="V91" s="1251">
        <f>IFERROR(INDEX([8]Code!J$8:J$33,MATCH('[8]$MRD-Annex'!$BG93,[8]Code!$G$8:$G$33,0)),"")</f>
        <v>0.12645069473218948</v>
      </c>
      <c r="W91" s="1251">
        <f>IFERROR(INDEX([8]Code!K$8:K$33,MATCH('[8]$MRD-Annex'!$BG93,[8]Code!$G$8:$G$33,0)),"")</f>
        <v>0.10527923922270058</v>
      </c>
      <c r="X91" s="1251">
        <f>IFERROR(INDEX([8]Code!L$8:L$33,MATCH('[8]$MRD-Annex'!$BG93,[8]Code!$G$8:$G$33,0)),"")</f>
        <v>0</v>
      </c>
      <c r="Y91" s="1252">
        <f>IFERROR(INDEX([8]Code!M$8:M$33,MATCH('[8]$MRD-Annex'!$BG93,[8]Code!$G$8:$G$33,0)),"")</f>
        <v>0</v>
      </c>
      <c r="Z91" s="1253">
        <f t="shared" si="139"/>
        <v>0</v>
      </c>
      <c r="AA91" s="1254">
        <f t="shared" si="139"/>
        <v>0</v>
      </c>
      <c r="AB91" s="1254">
        <f t="shared" si="139"/>
        <v>0</v>
      </c>
      <c r="AC91" s="1254">
        <f t="shared" si="139"/>
        <v>2.7138448639984074</v>
      </c>
      <c r="AD91" s="1255">
        <f t="shared" si="140"/>
        <v>2.7138448639984074</v>
      </c>
      <c r="AE91" s="1253">
        <f t="shared" si="141"/>
        <v>0</v>
      </c>
      <c r="AF91" s="1254">
        <f t="shared" si="141"/>
        <v>0</v>
      </c>
      <c r="AG91" s="1254">
        <f t="shared" si="141"/>
        <v>0</v>
      </c>
      <c r="AH91" s="1254">
        <f t="shared" si="141"/>
        <v>0.44667569857893352</v>
      </c>
      <c r="AI91" s="1255">
        <f t="shared" si="141"/>
        <v>0.44667569857893352</v>
      </c>
      <c r="AJ91" s="1254">
        <f t="shared" si="142"/>
        <v>0</v>
      </c>
      <c r="AK91" s="1254">
        <f t="shared" si="142"/>
        <v>0</v>
      </c>
      <c r="AL91" s="1254">
        <f t="shared" si="142"/>
        <v>0</v>
      </c>
      <c r="AM91" s="1254">
        <f t="shared" si="142"/>
        <v>0.37188943742265979</v>
      </c>
      <c r="AN91" s="1256">
        <f t="shared" si="143"/>
        <v>0.37188943742265979</v>
      </c>
      <c r="AO91" s="1253">
        <f t="shared" si="144"/>
        <v>0</v>
      </c>
      <c r="AP91" s="1254">
        <f t="shared" si="144"/>
        <v>0</v>
      </c>
      <c r="AQ91" s="1254">
        <f t="shared" si="144"/>
        <v>0</v>
      </c>
      <c r="AR91" s="1254">
        <f t="shared" si="144"/>
        <v>0</v>
      </c>
      <c r="AS91" s="1257">
        <f t="shared" si="145"/>
        <v>0</v>
      </c>
      <c r="AT91" s="1253">
        <f t="shared" si="146"/>
        <v>0</v>
      </c>
      <c r="AU91" s="1254">
        <f t="shared" si="146"/>
        <v>0</v>
      </c>
      <c r="AV91" s="1254">
        <f t="shared" si="146"/>
        <v>0</v>
      </c>
      <c r="AW91" s="1254">
        <f t="shared" si="146"/>
        <v>0</v>
      </c>
      <c r="AX91" s="1257">
        <f t="shared" si="147"/>
        <v>0</v>
      </c>
      <c r="AY91" s="1258">
        <f t="shared" si="148"/>
        <v>2.7138448639984074</v>
      </c>
      <c r="AZ91" s="1264">
        <f t="shared" si="149"/>
        <v>0.44667569857893352</v>
      </c>
      <c r="BA91" s="1264">
        <f t="shared" si="149"/>
        <v>0.37188943742265979</v>
      </c>
      <c r="BB91" s="1264">
        <f t="shared" si="149"/>
        <v>0</v>
      </c>
      <c r="BC91" s="1263">
        <f t="shared" si="149"/>
        <v>0</v>
      </c>
      <c r="BE91" s="568" t="s">
        <v>366</v>
      </c>
      <c r="BF91" s="568" t="s">
        <v>366</v>
      </c>
      <c r="BG91" s="591" t="str">
        <f>IFERROR(INDEX('Annex 2_Code'!$J$110:$J$127,MATCH('Annex 5_MRD'!BE91,'Annex 2_Code'!$G$110:$G$127,0)),"")</f>
        <v>MRD</v>
      </c>
      <c r="BH91" s="1565" t="str">
        <f t="shared" si="126"/>
        <v>MRD</v>
      </c>
    </row>
    <row r="92" spans="1:61" s="64" customFormat="1" ht="20.100000000000001" customHeight="1">
      <c r="A92" s="1287"/>
      <c r="B92" s="76" t="s">
        <v>24</v>
      </c>
      <c r="C92" s="76" t="s">
        <v>307</v>
      </c>
      <c r="D92" s="1288"/>
      <c r="E92" s="1289"/>
      <c r="F92" t="s">
        <v>936</v>
      </c>
      <c r="G92" s="1291"/>
      <c r="H92" s="1755" t="s">
        <v>1095</v>
      </c>
      <c r="I92" s="1">
        <v>21</v>
      </c>
      <c r="J92" s="1026">
        <v>2.1000000000000001E-2</v>
      </c>
      <c r="K92" s="788">
        <v>0</v>
      </c>
      <c r="L92" s="1261">
        <v>0</v>
      </c>
      <c r="M92" s="1261">
        <v>0</v>
      </c>
      <c r="N92" s="1261">
        <v>384.47999999999996</v>
      </c>
      <c r="O92" s="1280">
        <f t="shared" si="133"/>
        <v>384.47999999999996</v>
      </c>
      <c r="P92" s="2258">
        <f t="shared" si="134"/>
        <v>0</v>
      </c>
      <c r="Q92" s="2258">
        <f t="shared" si="135"/>
        <v>0</v>
      </c>
      <c r="R92" s="2258">
        <f t="shared" si="136"/>
        <v>0</v>
      </c>
      <c r="S92" s="2258">
        <f t="shared" si="137"/>
        <v>8.0740799999999986</v>
      </c>
      <c r="T92" s="1281">
        <f t="shared" si="138"/>
        <v>8.0740799999999986</v>
      </c>
      <c r="U92" s="1250">
        <f>IFERROR(INDEX([8]Code!I$8:I$33,MATCH('[8]$MRD-Annex'!$BG94,[8]Code!$G$8:$G$33,0)),"")</f>
        <v>0.76827006604510995</v>
      </c>
      <c r="V92" s="1251">
        <f>IFERROR(INDEX([8]Code!J$8:J$33,MATCH('[8]$MRD-Annex'!$BG94,[8]Code!$G$8:$G$33,0)),"")</f>
        <v>0.12645069473218948</v>
      </c>
      <c r="W92" s="1251">
        <f>IFERROR(INDEX([8]Code!K$8:K$33,MATCH('[8]$MRD-Annex'!$BG94,[8]Code!$G$8:$G$33,0)),"")</f>
        <v>0.10527923922270058</v>
      </c>
      <c r="X92" s="1251">
        <f>IFERROR(INDEX([8]Code!L$8:L$33,MATCH('[8]$MRD-Annex'!$BG94,[8]Code!$G$8:$G$33,0)),"")</f>
        <v>0</v>
      </c>
      <c r="Y92" s="1252">
        <f>IFERROR(INDEX([8]Code!M$8:M$33,MATCH('[8]$MRD-Annex'!$BG94,[8]Code!$G$8:$G$33,0)),"")</f>
        <v>0</v>
      </c>
      <c r="Z92" s="1253">
        <f t="shared" si="139"/>
        <v>0</v>
      </c>
      <c r="AA92" s="1254">
        <f t="shared" si="139"/>
        <v>0</v>
      </c>
      <c r="AB92" s="1254">
        <f t="shared" si="139"/>
        <v>0</v>
      </c>
      <c r="AC92" s="1254">
        <f t="shared" si="139"/>
        <v>6.2030739748535</v>
      </c>
      <c r="AD92" s="1255">
        <f t="shared" si="140"/>
        <v>6.2030739748535</v>
      </c>
      <c r="AE92" s="1253">
        <f t="shared" si="141"/>
        <v>0</v>
      </c>
      <c r="AF92" s="1254">
        <f t="shared" si="141"/>
        <v>0</v>
      </c>
      <c r="AG92" s="1254">
        <f t="shared" si="141"/>
        <v>0</v>
      </c>
      <c r="AH92" s="1254">
        <f t="shared" si="141"/>
        <v>1.0209730253232763</v>
      </c>
      <c r="AI92" s="1255">
        <f t="shared" si="141"/>
        <v>1.0209730253232763</v>
      </c>
      <c r="AJ92" s="1254">
        <f t="shared" si="142"/>
        <v>0</v>
      </c>
      <c r="AK92" s="1254">
        <f t="shared" si="142"/>
        <v>0</v>
      </c>
      <c r="AL92" s="1254">
        <f t="shared" si="142"/>
        <v>0</v>
      </c>
      <c r="AM92" s="1254">
        <f t="shared" si="142"/>
        <v>0.85003299982322211</v>
      </c>
      <c r="AN92" s="1256">
        <f t="shared" si="143"/>
        <v>0.85003299982322211</v>
      </c>
      <c r="AO92" s="1253">
        <f t="shared" si="144"/>
        <v>0</v>
      </c>
      <c r="AP92" s="1254">
        <f t="shared" si="144"/>
        <v>0</v>
      </c>
      <c r="AQ92" s="1254">
        <f t="shared" si="144"/>
        <v>0</v>
      </c>
      <c r="AR92" s="1254">
        <f t="shared" si="144"/>
        <v>0</v>
      </c>
      <c r="AS92" s="1257">
        <f t="shared" si="145"/>
        <v>0</v>
      </c>
      <c r="AT92" s="1253">
        <f t="shared" si="146"/>
        <v>0</v>
      </c>
      <c r="AU92" s="1254">
        <f t="shared" si="146"/>
        <v>0</v>
      </c>
      <c r="AV92" s="1254">
        <f t="shared" si="146"/>
        <v>0</v>
      </c>
      <c r="AW92" s="1254">
        <f t="shared" si="146"/>
        <v>0</v>
      </c>
      <c r="AX92" s="1257">
        <f t="shared" si="147"/>
        <v>0</v>
      </c>
      <c r="AY92" s="1258">
        <f t="shared" si="148"/>
        <v>6.2030739748535</v>
      </c>
      <c r="AZ92" s="1264">
        <f t="shared" si="149"/>
        <v>1.0209730253232763</v>
      </c>
      <c r="BA92" s="1264">
        <f t="shared" si="149"/>
        <v>0.85003299982322211</v>
      </c>
      <c r="BB92" s="1264">
        <f t="shared" si="149"/>
        <v>0</v>
      </c>
      <c r="BC92" s="1263">
        <f t="shared" si="149"/>
        <v>0</v>
      </c>
      <c r="BE92" s="568" t="s">
        <v>366</v>
      </c>
      <c r="BF92" s="568" t="s">
        <v>366</v>
      </c>
      <c r="BG92" s="591" t="str">
        <f>IFERROR(INDEX('Annex 2_Code'!$J$110:$J$127,MATCH('Annex 5_MRD'!BE92,'Annex 2_Code'!$G$110:$G$127,0)),"")</f>
        <v>MRD</v>
      </c>
      <c r="BH92" s="1565" t="str">
        <f t="shared" si="126"/>
        <v>MRD</v>
      </c>
    </row>
    <row r="93" spans="1:61" ht="14.25">
      <c r="A93" s="1287"/>
      <c r="B93" s="76" t="s">
        <v>24</v>
      </c>
      <c r="C93" s="76" t="s">
        <v>307</v>
      </c>
      <c r="D93" s="1288"/>
      <c r="E93" s="1289"/>
      <c r="F93" t="s">
        <v>311</v>
      </c>
      <c r="G93" s="1291"/>
      <c r="H93" s="1755" t="s">
        <v>1095</v>
      </c>
      <c r="I93" s="167">
        <v>2.5</v>
      </c>
      <c r="J93" s="1026">
        <v>2.5000000000000001E-3</v>
      </c>
      <c r="K93" s="788">
        <v>0</v>
      </c>
      <c r="L93" s="1261">
        <v>0</v>
      </c>
      <c r="M93" s="1261">
        <v>0</v>
      </c>
      <c r="N93" s="1261">
        <v>180.22499999999999</v>
      </c>
      <c r="O93" s="1280">
        <f t="shared" si="133"/>
        <v>180.22499999999999</v>
      </c>
      <c r="P93" s="2258">
        <f t="shared" si="134"/>
        <v>0</v>
      </c>
      <c r="Q93" s="2258">
        <f t="shared" si="135"/>
        <v>0</v>
      </c>
      <c r="R93" s="2258">
        <f t="shared" si="136"/>
        <v>0</v>
      </c>
      <c r="S93" s="2258">
        <f t="shared" si="137"/>
        <v>0.45056249999999998</v>
      </c>
      <c r="T93" s="1281">
        <f t="shared" si="138"/>
        <v>0.45056249999999998</v>
      </c>
      <c r="U93" s="1250">
        <f>IFERROR(INDEX([8]Code!I$8:I$33,MATCH('[8]$MRD-Annex'!$BG95,[8]Code!$G$8:$G$33,0)),"")</f>
        <v>0.76827006604510995</v>
      </c>
      <c r="V93" s="1251">
        <f>IFERROR(INDEX([8]Code!J$8:J$33,MATCH('[8]$MRD-Annex'!$BG95,[8]Code!$G$8:$G$33,0)),"")</f>
        <v>0.12645069473218948</v>
      </c>
      <c r="W93" s="1251">
        <f>IFERROR(INDEX([8]Code!K$8:K$33,MATCH('[8]$MRD-Annex'!$BG95,[8]Code!$G$8:$G$33,0)),"")</f>
        <v>0.10527923922270058</v>
      </c>
      <c r="X93" s="1251">
        <f>IFERROR(INDEX([8]Code!L$8:L$33,MATCH('[8]$MRD-Annex'!$BG95,[8]Code!$G$8:$G$33,0)),"")</f>
        <v>0</v>
      </c>
      <c r="Y93" s="1252">
        <f>IFERROR(INDEX([8]Code!M$8:M$33,MATCH('[8]$MRD-Annex'!$BG95,[8]Code!$G$8:$G$33,0)),"")</f>
        <v>0</v>
      </c>
      <c r="Z93" s="1253">
        <f t="shared" si="139"/>
        <v>0</v>
      </c>
      <c r="AA93" s="1254">
        <f t="shared" si="139"/>
        <v>0</v>
      </c>
      <c r="AB93" s="1254">
        <f t="shared" si="139"/>
        <v>0</v>
      </c>
      <c r="AC93" s="1254">
        <f t="shared" si="139"/>
        <v>0.34615368163244981</v>
      </c>
      <c r="AD93" s="1255">
        <f t="shared" si="140"/>
        <v>0.34615368163244981</v>
      </c>
      <c r="AE93" s="1253">
        <f t="shared" si="141"/>
        <v>0</v>
      </c>
      <c r="AF93" s="1254">
        <f t="shared" si="141"/>
        <v>0</v>
      </c>
      <c r="AG93" s="1254">
        <f t="shared" si="141"/>
        <v>0</v>
      </c>
      <c r="AH93" s="1254">
        <f t="shared" si="141"/>
        <v>5.6973941145272121E-2</v>
      </c>
      <c r="AI93" s="1255">
        <f t="shared" si="141"/>
        <v>5.6973941145272121E-2</v>
      </c>
      <c r="AJ93" s="1254">
        <f t="shared" si="142"/>
        <v>0</v>
      </c>
      <c r="AK93" s="1254">
        <f t="shared" si="142"/>
        <v>0</v>
      </c>
      <c r="AL93" s="1254">
        <f t="shared" si="142"/>
        <v>0</v>
      </c>
      <c r="AM93" s="1254">
        <f t="shared" si="142"/>
        <v>4.743487722227803E-2</v>
      </c>
      <c r="AN93" s="1256">
        <f t="shared" si="143"/>
        <v>4.743487722227803E-2</v>
      </c>
      <c r="AO93" s="1253">
        <f t="shared" si="144"/>
        <v>0</v>
      </c>
      <c r="AP93" s="1254">
        <f t="shared" si="144"/>
        <v>0</v>
      </c>
      <c r="AQ93" s="1254">
        <f t="shared" si="144"/>
        <v>0</v>
      </c>
      <c r="AR93" s="1254">
        <f t="shared" si="144"/>
        <v>0</v>
      </c>
      <c r="AS93" s="1257">
        <f t="shared" si="145"/>
        <v>0</v>
      </c>
      <c r="AT93" s="1253">
        <f t="shared" si="146"/>
        <v>0</v>
      </c>
      <c r="AU93" s="1254">
        <f t="shared" si="146"/>
        <v>0</v>
      </c>
      <c r="AV93" s="1254">
        <f t="shared" si="146"/>
        <v>0</v>
      </c>
      <c r="AW93" s="1254">
        <f t="shared" si="146"/>
        <v>0</v>
      </c>
      <c r="AX93" s="1257">
        <f t="shared" si="147"/>
        <v>0</v>
      </c>
      <c r="AY93" s="1258">
        <f t="shared" si="148"/>
        <v>0.34615368163244981</v>
      </c>
      <c r="AZ93" s="1264">
        <f t="shared" si="149"/>
        <v>5.6973941145272121E-2</v>
      </c>
      <c r="BA93" s="1264">
        <f t="shared" si="149"/>
        <v>4.743487722227803E-2</v>
      </c>
      <c r="BB93" s="1264">
        <f t="shared" si="149"/>
        <v>0</v>
      </c>
      <c r="BC93" s="1263">
        <f t="shared" si="149"/>
        <v>0</v>
      </c>
      <c r="BE93" s="568" t="s">
        <v>366</v>
      </c>
      <c r="BF93" s="568" t="s">
        <v>366</v>
      </c>
      <c r="BG93" s="591" t="str">
        <f>IFERROR(INDEX('Annex 2_Code'!$J$110:$J$127,MATCH('Annex 5_MRD'!BE93,'Annex 2_Code'!$G$110:$G$127,0)),"")</f>
        <v>MRD</v>
      </c>
      <c r="BH93" s="1565" t="str">
        <f t="shared" si="126"/>
        <v>MRD</v>
      </c>
    </row>
    <row r="94" spans="1:61" ht="16.5" customHeight="1">
      <c r="A94" s="1287"/>
      <c r="B94" s="76" t="s">
        <v>24</v>
      </c>
      <c r="C94" s="76" t="s">
        <v>307</v>
      </c>
      <c r="D94" s="1288"/>
      <c r="E94" s="1289"/>
      <c r="F94" s="66" t="s">
        <v>312</v>
      </c>
      <c r="G94" s="1291"/>
      <c r="H94" s="1755" t="s">
        <v>1095</v>
      </c>
      <c r="I94" s="167">
        <v>1</v>
      </c>
      <c r="J94" s="1026">
        <v>1E-3</v>
      </c>
      <c r="K94" s="788">
        <v>0</v>
      </c>
      <c r="L94" s="1261">
        <v>0</v>
      </c>
      <c r="M94" s="1261">
        <v>0</v>
      </c>
      <c r="N94" s="1261">
        <v>21026.25</v>
      </c>
      <c r="O94" s="1280">
        <f t="shared" si="133"/>
        <v>21026.25</v>
      </c>
      <c r="P94" s="2258">
        <f t="shared" si="134"/>
        <v>0</v>
      </c>
      <c r="Q94" s="2258">
        <f t="shared" si="135"/>
        <v>0</v>
      </c>
      <c r="R94" s="2258">
        <f t="shared" si="136"/>
        <v>0</v>
      </c>
      <c r="S94" s="2258">
        <f t="shared" si="137"/>
        <v>21.026250000000001</v>
      </c>
      <c r="T94" s="1281">
        <f t="shared" si="138"/>
        <v>21.026250000000001</v>
      </c>
      <c r="U94" s="1250">
        <f>IFERROR(INDEX([8]Code!I$8:I$33,MATCH('[8]$MRD-Annex'!$BG96,[8]Code!$G$8:$G$33,0)),"")</f>
        <v>0.76827006604510995</v>
      </c>
      <c r="V94" s="1251">
        <f>IFERROR(INDEX([8]Code!J$8:J$33,MATCH('[8]$MRD-Annex'!$BG96,[8]Code!$G$8:$G$33,0)),"")</f>
        <v>0.12645069473218948</v>
      </c>
      <c r="W94" s="1251">
        <f>IFERROR(INDEX([8]Code!K$8:K$33,MATCH('[8]$MRD-Annex'!$BG96,[8]Code!$G$8:$G$33,0)),"")</f>
        <v>0.10527923922270058</v>
      </c>
      <c r="X94" s="1251">
        <f>IFERROR(INDEX([8]Code!L$8:L$33,MATCH('[8]$MRD-Annex'!$BG96,[8]Code!$G$8:$G$33,0)),"")</f>
        <v>0</v>
      </c>
      <c r="Y94" s="1252">
        <f>IFERROR(INDEX([8]Code!M$8:M$33,MATCH('[8]$MRD-Annex'!$BG96,[8]Code!$G$8:$G$33,0)),"")</f>
        <v>0</v>
      </c>
      <c r="Z94" s="1253">
        <f t="shared" si="139"/>
        <v>0</v>
      </c>
      <c r="AA94" s="1254">
        <f t="shared" si="139"/>
        <v>0</v>
      </c>
      <c r="AB94" s="1254">
        <f t="shared" si="139"/>
        <v>0</v>
      </c>
      <c r="AC94" s="1254">
        <f t="shared" si="139"/>
        <v>16.153838476180994</v>
      </c>
      <c r="AD94" s="1255">
        <f t="shared" si="140"/>
        <v>16.153838476180994</v>
      </c>
      <c r="AE94" s="1253">
        <f t="shared" si="141"/>
        <v>0</v>
      </c>
      <c r="AF94" s="1254">
        <f t="shared" si="141"/>
        <v>0</v>
      </c>
      <c r="AG94" s="1254">
        <f t="shared" si="141"/>
        <v>0</v>
      </c>
      <c r="AH94" s="1254">
        <f t="shared" si="141"/>
        <v>2.658783920112699</v>
      </c>
      <c r="AI94" s="1255">
        <f t="shared" si="141"/>
        <v>2.658783920112699</v>
      </c>
      <c r="AJ94" s="1254">
        <f t="shared" si="142"/>
        <v>0</v>
      </c>
      <c r="AK94" s="1254">
        <f t="shared" si="142"/>
        <v>0</v>
      </c>
      <c r="AL94" s="1254">
        <f t="shared" si="142"/>
        <v>0</v>
      </c>
      <c r="AM94" s="1254">
        <f t="shared" si="142"/>
        <v>2.2136276037063083</v>
      </c>
      <c r="AN94" s="1256">
        <f t="shared" si="143"/>
        <v>2.2136276037063083</v>
      </c>
      <c r="AO94" s="1253">
        <f t="shared" si="144"/>
        <v>0</v>
      </c>
      <c r="AP94" s="1254">
        <f t="shared" si="144"/>
        <v>0</v>
      </c>
      <c r="AQ94" s="1254">
        <f t="shared" si="144"/>
        <v>0</v>
      </c>
      <c r="AR94" s="1254">
        <f t="shared" si="144"/>
        <v>0</v>
      </c>
      <c r="AS94" s="1257">
        <f t="shared" si="145"/>
        <v>0</v>
      </c>
      <c r="AT94" s="1253">
        <f t="shared" si="146"/>
        <v>0</v>
      </c>
      <c r="AU94" s="1254">
        <f t="shared" si="146"/>
        <v>0</v>
      </c>
      <c r="AV94" s="1254">
        <f t="shared" si="146"/>
        <v>0</v>
      </c>
      <c r="AW94" s="1254">
        <f t="shared" si="146"/>
        <v>0</v>
      </c>
      <c r="AX94" s="1257">
        <f t="shared" si="147"/>
        <v>0</v>
      </c>
      <c r="AY94" s="1258">
        <f t="shared" si="148"/>
        <v>16.153838476180994</v>
      </c>
      <c r="AZ94" s="1264">
        <f t="shared" si="149"/>
        <v>2.658783920112699</v>
      </c>
      <c r="BA94" s="1264">
        <f t="shared" si="149"/>
        <v>2.2136276037063083</v>
      </c>
      <c r="BB94" s="1264">
        <f t="shared" si="149"/>
        <v>0</v>
      </c>
      <c r="BC94" s="1263">
        <f t="shared" si="149"/>
        <v>0</v>
      </c>
      <c r="BE94" s="568" t="s">
        <v>366</v>
      </c>
      <c r="BF94" s="568" t="s">
        <v>366</v>
      </c>
      <c r="BG94" s="591" t="str">
        <f>IFERROR(INDEX('Annex 2_Code'!$J$110:$J$127,MATCH('Annex 5_MRD'!BE94,'Annex 2_Code'!$G$110:$G$127,0)),"")</f>
        <v>MRD</v>
      </c>
      <c r="BH94" s="1565" t="str">
        <f t="shared" si="126"/>
        <v>MRD</v>
      </c>
    </row>
    <row r="95" spans="1:61" ht="16.5" customHeight="1">
      <c r="A95" s="1287"/>
      <c r="B95" s="76" t="s">
        <v>24</v>
      </c>
      <c r="C95" s="76" t="s">
        <v>307</v>
      </c>
      <c r="D95" s="1288"/>
      <c r="E95" s="1289"/>
      <c r="F95" s="66" t="s">
        <v>937</v>
      </c>
      <c r="G95" s="1291"/>
      <c r="H95" s="1755" t="s">
        <v>1095</v>
      </c>
      <c r="I95" s="167">
        <v>18</v>
      </c>
      <c r="J95" s="1026">
        <v>1.7999999999999999E-2</v>
      </c>
      <c r="K95" s="788">
        <v>0</v>
      </c>
      <c r="L95" s="1261">
        <v>0</v>
      </c>
      <c r="M95" s="1261">
        <v>0</v>
      </c>
      <c r="N95" s="1261">
        <v>6848.55</v>
      </c>
      <c r="O95" s="1280">
        <f t="shared" si="133"/>
        <v>6848.55</v>
      </c>
      <c r="P95" s="2258">
        <f t="shared" si="134"/>
        <v>0</v>
      </c>
      <c r="Q95" s="2258">
        <f t="shared" si="135"/>
        <v>0</v>
      </c>
      <c r="R95" s="2258">
        <f t="shared" si="136"/>
        <v>0</v>
      </c>
      <c r="S95" s="2258">
        <f t="shared" si="137"/>
        <v>123.27390000000001</v>
      </c>
      <c r="T95" s="1281">
        <f t="shared" si="138"/>
        <v>123.27390000000001</v>
      </c>
      <c r="U95" s="1250">
        <f>IFERROR(INDEX([8]Code!I$8:I$33,MATCH('[8]$MRD-Annex'!$BG97,[8]Code!$G$8:$G$33,0)),"")</f>
        <v>0.76827006604510995</v>
      </c>
      <c r="V95" s="1251">
        <f>IFERROR(INDEX([8]Code!J$8:J$33,MATCH('[8]$MRD-Annex'!$BG97,[8]Code!$G$8:$G$33,0)),"")</f>
        <v>0.12645069473218948</v>
      </c>
      <c r="W95" s="1251">
        <f>IFERROR(INDEX([8]Code!K$8:K$33,MATCH('[8]$MRD-Annex'!$BG97,[8]Code!$G$8:$G$33,0)),"")</f>
        <v>0.10527923922270058</v>
      </c>
      <c r="X95" s="1251">
        <f>IFERROR(INDEX([8]Code!L$8:L$33,MATCH('[8]$MRD-Annex'!$BG97,[8]Code!$G$8:$G$33,0)),"")</f>
        <v>0</v>
      </c>
      <c r="Y95" s="1252">
        <f>IFERROR(INDEX([8]Code!M$8:M$33,MATCH('[8]$MRD-Annex'!$BG97,[8]Code!$G$8:$G$33,0)),"")</f>
        <v>0</v>
      </c>
      <c r="Z95" s="1253">
        <f t="shared" si="139"/>
        <v>0</v>
      </c>
      <c r="AA95" s="1254">
        <f t="shared" si="139"/>
        <v>0</v>
      </c>
      <c r="AB95" s="1254">
        <f t="shared" si="139"/>
        <v>0</v>
      </c>
      <c r="AC95" s="1254">
        <f t="shared" si="139"/>
        <v>94.707647294638292</v>
      </c>
      <c r="AD95" s="1255">
        <f t="shared" si="140"/>
        <v>94.707647294638292</v>
      </c>
      <c r="AE95" s="1253">
        <f t="shared" si="141"/>
        <v>0</v>
      </c>
      <c r="AF95" s="1254">
        <f t="shared" si="141"/>
        <v>0</v>
      </c>
      <c r="AG95" s="1254">
        <f t="shared" si="141"/>
        <v>0</v>
      </c>
      <c r="AH95" s="1254">
        <f t="shared" si="141"/>
        <v>15.588070297346453</v>
      </c>
      <c r="AI95" s="1255">
        <f t="shared" si="141"/>
        <v>15.588070297346453</v>
      </c>
      <c r="AJ95" s="1254">
        <f t="shared" si="142"/>
        <v>0</v>
      </c>
      <c r="AK95" s="1254">
        <f t="shared" si="142"/>
        <v>0</v>
      </c>
      <c r="AL95" s="1254">
        <f t="shared" si="142"/>
        <v>0</v>
      </c>
      <c r="AM95" s="1254">
        <f t="shared" si="142"/>
        <v>12.97818240801527</v>
      </c>
      <c r="AN95" s="1256">
        <f t="shared" si="143"/>
        <v>12.97818240801527</v>
      </c>
      <c r="AO95" s="1253">
        <f t="shared" si="144"/>
        <v>0</v>
      </c>
      <c r="AP95" s="1254">
        <f t="shared" si="144"/>
        <v>0</v>
      </c>
      <c r="AQ95" s="1254">
        <f t="shared" si="144"/>
        <v>0</v>
      </c>
      <c r="AR95" s="1254">
        <f t="shared" si="144"/>
        <v>0</v>
      </c>
      <c r="AS95" s="1257">
        <f t="shared" si="145"/>
        <v>0</v>
      </c>
      <c r="AT95" s="1253">
        <f t="shared" si="146"/>
        <v>0</v>
      </c>
      <c r="AU95" s="1254">
        <f t="shared" si="146"/>
        <v>0</v>
      </c>
      <c r="AV95" s="1254">
        <f t="shared" si="146"/>
        <v>0</v>
      </c>
      <c r="AW95" s="1254">
        <f t="shared" si="146"/>
        <v>0</v>
      </c>
      <c r="AX95" s="1257">
        <f t="shared" si="147"/>
        <v>0</v>
      </c>
      <c r="AY95" s="1258">
        <f t="shared" si="148"/>
        <v>94.707647294638292</v>
      </c>
      <c r="AZ95" s="1264">
        <f t="shared" si="149"/>
        <v>15.588070297346453</v>
      </c>
      <c r="BA95" s="1264">
        <f t="shared" si="149"/>
        <v>12.97818240801527</v>
      </c>
      <c r="BB95" s="1264">
        <f t="shared" si="149"/>
        <v>0</v>
      </c>
      <c r="BC95" s="1263">
        <f t="shared" si="149"/>
        <v>0</v>
      </c>
      <c r="BE95" s="568" t="s">
        <v>366</v>
      </c>
      <c r="BF95" s="568" t="s">
        <v>366</v>
      </c>
      <c r="BG95" s="591" t="str">
        <f>IFERROR(INDEX('Annex 2_Code'!$J$110:$J$127,MATCH('Annex 5_MRD'!BE95,'Annex 2_Code'!$G$110:$G$127,0)),"")</f>
        <v>MRD</v>
      </c>
      <c r="BH95" s="1565" t="str">
        <f t="shared" si="126"/>
        <v>MRD</v>
      </c>
    </row>
    <row r="96" spans="1:61" ht="16.5" customHeight="1">
      <c r="A96" s="1287"/>
      <c r="B96" s="76" t="s">
        <v>24</v>
      </c>
      <c r="C96" s="76" t="s">
        <v>307</v>
      </c>
      <c r="D96" s="1288"/>
      <c r="E96" s="1289"/>
      <c r="F96" s="66" t="s">
        <v>938</v>
      </c>
      <c r="G96" s="1291"/>
      <c r="H96" s="1755" t="s">
        <v>1095</v>
      </c>
      <c r="I96" s="167">
        <v>4</v>
      </c>
      <c r="J96" s="1026">
        <v>4.0000000000000001E-3</v>
      </c>
      <c r="K96" s="788">
        <v>0</v>
      </c>
      <c r="L96" s="1261">
        <v>0</v>
      </c>
      <c r="M96" s="1261">
        <v>0</v>
      </c>
      <c r="N96" s="1261">
        <v>11414.25</v>
      </c>
      <c r="O96" s="1280">
        <f t="shared" si="133"/>
        <v>11414.25</v>
      </c>
      <c r="P96" s="2258">
        <f t="shared" si="134"/>
        <v>0</v>
      </c>
      <c r="Q96" s="2258">
        <f t="shared" si="135"/>
        <v>0</v>
      </c>
      <c r="R96" s="2258">
        <f t="shared" si="136"/>
        <v>0</v>
      </c>
      <c r="S96" s="2258">
        <f t="shared" si="137"/>
        <v>45.656999999999996</v>
      </c>
      <c r="T96" s="1281">
        <f t="shared" si="138"/>
        <v>45.656999999999996</v>
      </c>
      <c r="U96" s="1250">
        <f>IFERROR(INDEX([8]Code!I$8:I$33,MATCH('[8]$MRD-Annex'!$BG98,[8]Code!$G$8:$G$33,0)),"")</f>
        <v>0.76827006604510995</v>
      </c>
      <c r="V96" s="1251">
        <f>IFERROR(INDEX([8]Code!J$8:J$33,MATCH('[8]$MRD-Annex'!$BG98,[8]Code!$G$8:$G$33,0)),"")</f>
        <v>0.12645069473218948</v>
      </c>
      <c r="W96" s="1251">
        <f>IFERROR(INDEX([8]Code!K$8:K$33,MATCH('[8]$MRD-Annex'!$BG98,[8]Code!$G$8:$G$33,0)),"")</f>
        <v>0.10527923922270058</v>
      </c>
      <c r="X96" s="1251">
        <f>IFERROR(INDEX([8]Code!L$8:L$33,MATCH('[8]$MRD-Annex'!$BG98,[8]Code!$G$8:$G$33,0)),"")</f>
        <v>0</v>
      </c>
      <c r="Y96" s="1252">
        <f>IFERROR(INDEX([8]Code!M$8:M$33,MATCH('[8]$MRD-Annex'!$BG98,[8]Code!$G$8:$G$33,0)),"")</f>
        <v>0</v>
      </c>
      <c r="Z96" s="1253">
        <f t="shared" si="139"/>
        <v>0</v>
      </c>
      <c r="AA96" s="1254">
        <f t="shared" si="139"/>
        <v>0</v>
      </c>
      <c r="AB96" s="1254">
        <f t="shared" si="139"/>
        <v>0</v>
      </c>
      <c r="AC96" s="1254">
        <f t="shared" si="139"/>
        <v>35.076906405421582</v>
      </c>
      <c r="AD96" s="1255">
        <f t="shared" si="140"/>
        <v>35.076906405421582</v>
      </c>
      <c r="AE96" s="1253">
        <f t="shared" si="141"/>
        <v>0</v>
      </c>
      <c r="AF96" s="1254">
        <f t="shared" si="141"/>
        <v>0</v>
      </c>
      <c r="AG96" s="1254">
        <f t="shared" si="141"/>
        <v>0</v>
      </c>
      <c r="AH96" s="1254">
        <f t="shared" si="141"/>
        <v>5.7733593693875749</v>
      </c>
      <c r="AI96" s="1255">
        <f t="shared" si="141"/>
        <v>5.7733593693875749</v>
      </c>
      <c r="AJ96" s="1254">
        <f t="shared" si="142"/>
        <v>0</v>
      </c>
      <c r="AK96" s="1254">
        <f t="shared" si="142"/>
        <v>0</v>
      </c>
      <c r="AL96" s="1254">
        <f t="shared" si="142"/>
        <v>0</v>
      </c>
      <c r="AM96" s="1254">
        <f t="shared" si="142"/>
        <v>4.8067342251908398</v>
      </c>
      <c r="AN96" s="1256">
        <f t="shared" si="143"/>
        <v>4.8067342251908398</v>
      </c>
      <c r="AO96" s="1253">
        <f t="shared" si="144"/>
        <v>0</v>
      </c>
      <c r="AP96" s="1254">
        <f t="shared" si="144"/>
        <v>0</v>
      </c>
      <c r="AQ96" s="1254">
        <f t="shared" si="144"/>
        <v>0</v>
      </c>
      <c r="AR96" s="1254">
        <f t="shared" si="144"/>
        <v>0</v>
      </c>
      <c r="AS96" s="1257">
        <f t="shared" si="145"/>
        <v>0</v>
      </c>
      <c r="AT96" s="1253">
        <f t="shared" si="146"/>
        <v>0</v>
      </c>
      <c r="AU96" s="1254">
        <f t="shared" si="146"/>
        <v>0</v>
      </c>
      <c r="AV96" s="1254">
        <f t="shared" si="146"/>
        <v>0</v>
      </c>
      <c r="AW96" s="1254">
        <f t="shared" si="146"/>
        <v>0</v>
      </c>
      <c r="AX96" s="1257">
        <f t="shared" si="147"/>
        <v>0</v>
      </c>
      <c r="AY96" s="1258">
        <f t="shared" si="148"/>
        <v>35.076906405421582</v>
      </c>
      <c r="AZ96" s="1264">
        <f t="shared" si="149"/>
        <v>5.7733593693875749</v>
      </c>
      <c r="BA96" s="1264">
        <f t="shared" si="149"/>
        <v>4.8067342251908398</v>
      </c>
      <c r="BB96" s="1264">
        <f t="shared" si="149"/>
        <v>0</v>
      </c>
      <c r="BC96" s="1263">
        <f t="shared" si="149"/>
        <v>0</v>
      </c>
      <c r="BE96" s="568" t="s">
        <v>366</v>
      </c>
      <c r="BF96" s="568" t="s">
        <v>366</v>
      </c>
      <c r="BG96" s="591" t="str">
        <f>IFERROR(INDEX('Annex 2_Code'!$J$110:$J$127,MATCH('Annex 5_MRD'!BE96,'Annex 2_Code'!$G$110:$G$127,0)),"")</f>
        <v>MRD</v>
      </c>
      <c r="BH96" s="1565" t="str">
        <f t="shared" si="126"/>
        <v>MRD</v>
      </c>
    </row>
    <row r="97" spans="1:61" ht="14.25">
      <c r="A97" s="1287"/>
      <c r="B97" s="76" t="s">
        <v>24</v>
      </c>
      <c r="C97" s="76" t="s">
        <v>307</v>
      </c>
      <c r="D97" s="1288"/>
      <c r="E97" s="1289"/>
      <c r="F97" s="66" t="s">
        <v>939</v>
      </c>
      <c r="G97" s="1291"/>
      <c r="H97" s="1755" t="s">
        <v>1095</v>
      </c>
      <c r="I97" s="167">
        <v>3.5</v>
      </c>
      <c r="J97" s="1026">
        <v>3.5000000000000001E-3</v>
      </c>
      <c r="K97" s="788">
        <v>0</v>
      </c>
      <c r="L97" s="1261">
        <v>0</v>
      </c>
      <c r="M97" s="1261">
        <v>0</v>
      </c>
      <c r="N97" s="1261">
        <v>7048.8000000000011</v>
      </c>
      <c r="O97" s="1280">
        <f t="shared" si="133"/>
        <v>7048.8000000000011</v>
      </c>
      <c r="P97" s="2258">
        <f t="shared" si="134"/>
        <v>0</v>
      </c>
      <c r="Q97" s="2258">
        <f t="shared" si="135"/>
        <v>0</v>
      </c>
      <c r="R97" s="2258">
        <f t="shared" si="136"/>
        <v>0</v>
      </c>
      <c r="S97" s="2258">
        <f t="shared" si="137"/>
        <v>24.670800000000003</v>
      </c>
      <c r="T97" s="1281">
        <f t="shared" si="138"/>
        <v>24.670800000000003</v>
      </c>
      <c r="U97" s="1250">
        <f>IFERROR(INDEX([8]Code!I$8:I$33,MATCH('[8]$MRD-Annex'!$BG99,[8]Code!$G$8:$G$33,0)),"")</f>
        <v>0.76827006604510995</v>
      </c>
      <c r="V97" s="1251">
        <f>IFERROR(INDEX([8]Code!J$8:J$33,MATCH('[8]$MRD-Annex'!$BG99,[8]Code!$G$8:$G$33,0)),"")</f>
        <v>0.12645069473218948</v>
      </c>
      <c r="W97" s="1251">
        <f>IFERROR(INDEX([8]Code!K$8:K$33,MATCH('[8]$MRD-Annex'!$BG99,[8]Code!$G$8:$G$33,0)),"")</f>
        <v>0.10527923922270058</v>
      </c>
      <c r="X97" s="1251">
        <f>IFERROR(INDEX([8]Code!L$8:L$33,MATCH('[8]$MRD-Annex'!$BG99,[8]Code!$G$8:$G$33,0)),"")</f>
        <v>0</v>
      </c>
      <c r="Y97" s="1252">
        <f>IFERROR(INDEX([8]Code!M$8:M$33,MATCH('[8]$MRD-Annex'!$BG99,[8]Code!$G$8:$G$33,0)),"")</f>
        <v>0</v>
      </c>
      <c r="Z97" s="1253">
        <f t="shared" si="139"/>
        <v>0</v>
      </c>
      <c r="AA97" s="1254">
        <f t="shared" si="139"/>
        <v>0</v>
      </c>
      <c r="AB97" s="1254">
        <f t="shared" si="139"/>
        <v>0</v>
      </c>
      <c r="AC97" s="1254">
        <f t="shared" si="139"/>
        <v>18.953837145385702</v>
      </c>
      <c r="AD97" s="1255">
        <f t="shared" si="140"/>
        <v>18.953837145385702</v>
      </c>
      <c r="AE97" s="1253">
        <f t="shared" si="141"/>
        <v>0</v>
      </c>
      <c r="AF97" s="1254">
        <f t="shared" si="141"/>
        <v>0</v>
      </c>
      <c r="AG97" s="1254">
        <f t="shared" si="141"/>
        <v>0</v>
      </c>
      <c r="AH97" s="1254">
        <f t="shared" si="141"/>
        <v>3.1196397995989007</v>
      </c>
      <c r="AI97" s="1255">
        <f t="shared" si="141"/>
        <v>3.1196397995989007</v>
      </c>
      <c r="AJ97" s="1254">
        <f t="shared" si="142"/>
        <v>0</v>
      </c>
      <c r="AK97" s="1254">
        <f t="shared" si="142"/>
        <v>0</v>
      </c>
      <c r="AL97" s="1254">
        <f t="shared" si="142"/>
        <v>0</v>
      </c>
      <c r="AM97" s="1254">
        <f t="shared" si="142"/>
        <v>2.5973230550154018</v>
      </c>
      <c r="AN97" s="1256">
        <f t="shared" si="143"/>
        <v>2.5973230550154018</v>
      </c>
      <c r="AO97" s="1253">
        <f t="shared" si="144"/>
        <v>0</v>
      </c>
      <c r="AP97" s="1254">
        <f t="shared" si="144"/>
        <v>0</v>
      </c>
      <c r="AQ97" s="1254">
        <f t="shared" si="144"/>
        <v>0</v>
      </c>
      <c r="AR97" s="1254">
        <f t="shared" si="144"/>
        <v>0</v>
      </c>
      <c r="AS97" s="1257">
        <f t="shared" si="145"/>
        <v>0</v>
      </c>
      <c r="AT97" s="1253">
        <f t="shared" si="146"/>
        <v>0</v>
      </c>
      <c r="AU97" s="1254">
        <f t="shared" si="146"/>
        <v>0</v>
      </c>
      <c r="AV97" s="1254">
        <f t="shared" si="146"/>
        <v>0</v>
      </c>
      <c r="AW97" s="1254">
        <f t="shared" si="146"/>
        <v>0</v>
      </c>
      <c r="AX97" s="1257">
        <f t="shared" si="147"/>
        <v>0</v>
      </c>
      <c r="AY97" s="1258">
        <f t="shared" si="148"/>
        <v>18.953837145385702</v>
      </c>
      <c r="AZ97" s="1264">
        <f t="shared" si="149"/>
        <v>3.1196397995989007</v>
      </c>
      <c r="BA97" s="1264">
        <f t="shared" si="149"/>
        <v>2.5973230550154018</v>
      </c>
      <c r="BB97" s="1264">
        <f t="shared" si="149"/>
        <v>0</v>
      </c>
      <c r="BC97" s="1263">
        <f t="shared" si="149"/>
        <v>0</v>
      </c>
      <c r="BE97" s="568" t="s">
        <v>366</v>
      </c>
      <c r="BF97" s="568" t="s">
        <v>366</v>
      </c>
      <c r="BG97" s="591" t="str">
        <f>IFERROR(INDEX('Annex 2_Code'!$J$110:$J$127,MATCH('Annex 5_MRD'!BE97,'Annex 2_Code'!$G$110:$G$127,0)),"")</f>
        <v>MRD</v>
      </c>
      <c r="BH97" s="1565" t="str">
        <f t="shared" si="126"/>
        <v>MRD</v>
      </c>
    </row>
    <row r="98" spans="1:61" ht="12.75" customHeight="1">
      <c r="A98" s="1287"/>
      <c r="B98" s="76" t="s">
        <v>24</v>
      </c>
      <c r="C98" s="76" t="s">
        <v>307</v>
      </c>
      <c r="D98" s="1288"/>
      <c r="E98" s="1289"/>
      <c r="F98" s="66" t="s">
        <v>940</v>
      </c>
      <c r="G98" s="1291"/>
      <c r="H98" s="1755" t="s">
        <v>1095</v>
      </c>
      <c r="I98" s="167">
        <v>1.45</v>
      </c>
      <c r="J98" s="1026">
        <v>1.4499999999999999E-3</v>
      </c>
      <c r="K98" s="788">
        <v>0</v>
      </c>
      <c r="L98" s="1261">
        <v>0</v>
      </c>
      <c r="M98" s="1261">
        <v>0</v>
      </c>
      <c r="N98" s="1261">
        <v>19624.5</v>
      </c>
      <c r="O98" s="1280">
        <f t="shared" si="133"/>
        <v>19624.5</v>
      </c>
      <c r="P98" s="2258">
        <f t="shared" si="134"/>
        <v>0</v>
      </c>
      <c r="Q98" s="2258">
        <f t="shared" si="135"/>
        <v>0</v>
      </c>
      <c r="R98" s="2258">
        <f t="shared" si="136"/>
        <v>0</v>
      </c>
      <c r="S98" s="2258">
        <f t="shared" si="137"/>
        <v>28.455524999999998</v>
      </c>
      <c r="T98" s="1281">
        <f t="shared" si="138"/>
        <v>28.455524999999998</v>
      </c>
      <c r="U98" s="1250">
        <f>IFERROR(INDEX([8]Code!I$8:I$33,MATCH('[8]$MRD-Annex'!$BG100,[8]Code!$G$8:$G$33,0)),"")</f>
        <v>0.76827006604510995</v>
      </c>
      <c r="V98" s="1251">
        <f>IFERROR(INDEX([8]Code!J$8:J$33,MATCH('[8]$MRD-Annex'!$BG100,[8]Code!$G$8:$G$33,0)),"")</f>
        <v>0.12645069473218948</v>
      </c>
      <c r="W98" s="1251">
        <f>IFERROR(INDEX([8]Code!K$8:K$33,MATCH('[8]$MRD-Annex'!$BG100,[8]Code!$G$8:$G$33,0)),"")</f>
        <v>0.10527923922270058</v>
      </c>
      <c r="X98" s="1251">
        <f>IFERROR(INDEX([8]Code!L$8:L$33,MATCH('[8]$MRD-Annex'!$BG100,[8]Code!$G$8:$G$33,0)),"")</f>
        <v>0</v>
      </c>
      <c r="Y98" s="1252">
        <f>IFERROR(INDEX([8]Code!M$8:M$33,MATCH('[8]$MRD-Annex'!$BG100,[8]Code!$G$8:$G$33,0)),"")</f>
        <v>0</v>
      </c>
      <c r="Z98" s="1253">
        <f t="shared" si="139"/>
        <v>0</v>
      </c>
      <c r="AA98" s="1254">
        <f t="shared" si="139"/>
        <v>0</v>
      </c>
      <c r="AB98" s="1254">
        <f t="shared" si="139"/>
        <v>0</v>
      </c>
      <c r="AC98" s="1254">
        <f t="shared" si="139"/>
        <v>21.861528071098277</v>
      </c>
      <c r="AD98" s="1255">
        <f t="shared" si="140"/>
        <v>21.861528071098277</v>
      </c>
      <c r="AE98" s="1253">
        <f t="shared" si="141"/>
        <v>0</v>
      </c>
      <c r="AF98" s="1254">
        <f t="shared" si="141"/>
        <v>0</v>
      </c>
      <c r="AG98" s="1254">
        <f t="shared" si="141"/>
        <v>0</v>
      </c>
      <c r="AH98" s="1254">
        <f t="shared" si="141"/>
        <v>3.5982209052191858</v>
      </c>
      <c r="AI98" s="1255">
        <f t="shared" si="141"/>
        <v>3.5982209052191858</v>
      </c>
      <c r="AJ98" s="1254">
        <f t="shared" si="142"/>
        <v>0</v>
      </c>
      <c r="AK98" s="1254">
        <f t="shared" si="142"/>
        <v>0</v>
      </c>
      <c r="AL98" s="1254">
        <f t="shared" si="142"/>
        <v>0</v>
      </c>
      <c r="AM98" s="1254">
        <f t="shared" si="142"/>
        <v>2.9957760236825366</v>
      </c>
      <c r="AN98" s="1256">
        <f t="shared" si="143"/>
        <v>2.9957760236825366</v>
      </c>
      <c r="AO98" s="1253">
        <f t="shared" si="144"/>
        <v>0</v>
      </c>
      <c r="AP98" s="1254">
        <f t="shared" si="144"/>
        <v>0</v>
      </c>
      <c r="AQ98" s="1254">
        <f t="shared" si="144"/>
        <v>0</v>
      </c>
      <c r="AR98" s="1254">
        <f t="shared" si="144"/>
        <v>0</v>
      </c>
      <c r="AS98" s="1257">
        <f t="shared" si="145"/>
        <v>0</v>
      </c>
      <c r="AT98" s="1253">
        <f t="shared" si="146"/>
        <v>0</v>
      </c>
      <c r="AU98" s="1254">
        <f t="shared" si="146"/>
        <v>0</v>
      </c>
      <c r="AV98" s="1254">
        <f t="shared" si="146"/>
        <v>0</v>
      </c>
      <c r="AW98" s="1254">
        <f t="shared" si="146"/>
        <v>0</v>
      </c>
      <c r="AX98" s="1257">
        <f t="shared" si="147"/>
        <v>0</v>
      </c>
      <c r="AY98" s="1258">
        <f t="shared" si="148"/>
        <v>21.861528071098277</v>
      </c>
      <c r="AZ98" s="1264">
        <f t="shared" si="149"/>
        <v>3.5982209052191858</v>
      </c>
      <c r="BA98" s="1264">
        <f t="shared" si="149"/>
        <v>2.9957760236825366</v>
      </c>
      <c r="BB98" s="1264">
        <f t="shared" si="149"/>
        <v>0</v>
      </c>
      <c r="BC98" s="1263">
        <f t="shared" si="149"/>
        <v>0</v>
      </c>
      <c r="BD98" s="97"/>
      <c r="BE98" s="568" t="s">
        <v>366</v>
      </c>
      <c r="BF98" s="568" t="s">
        <v>366</v>
      </c>
      <c r="BG98" s="591" t="str">
        <f>IFERROR(INDEX('Annex 2_Code'!$J$110:$J$127,MATCH('Annex 5_MRD'!BE98,'Annex 2_Code'!$G$110:$G$127,0)),"")</f>
        <v>MRD</v>
      </c>
      <c r="BH98" s="1565" t="str">
        <f t="shared" si="126"/>
        <v>MRD</v>
      </c>
      <c r="BI98" s="97"/>
    </row>
    <row r="99" spans="1:61" ht="12.75" customHeight="1">
      <c r="A99" s="1287"/>
      <c r="B99" s="76" t="s">
        <v>24</v>
      </c>
      <c r="C99" s="76" t="s">
        <v>307</v>
      </c>
      <c r="D99" s="1288"/>
      <c r="E99" s="1289"/>
      <c r="F99" s="66" t="s">
        <v>308</v>
      </c>
      <c r="G99" s="1291"/>
      <c r="H99" s="1743" t="s">
        <v>309</v>
      </c>
      <c r="I99" s="1578">
        <v>34710</v>
      </c>
      <c r="J99" s="1026">
        <v>34.71</v>
      </c>
      <c r="K99" s="788">
        <v>0</v>
      </c>
      <c r="L99" s="1261">
        <v>0</v>
      </c>
      <c r="M99" s="1266">
        <v>0</v>
      </c>
      <c r="N99" s="1266">
        <v>0.15</v>
      </c>
      <c r="O99" s="1280">
        <f t="shared" si="133"/>
        <v>0.15</v>
      </c>
      <c r="P99" s="2258">
        <f t="shared" si="134"/>
        <v>0</v>
      </c>
      <c r="Q99" s="2258">
        <f t="shared" si="135"/>
        <v>0</v>
      </c>
      <c r="R99" s="2258">
        <f t="shared" si="136"/>
        <v>0</v>
      </c>
      <c r="S99" s="2258">
        <f t="shared" si="137"/>
        <v>5.2065000000000001</v>
      </c>
      <c r="T99" s="1281">
        <f t="shared" si="138"/>
        <v>5.2065000000000001</v>
      </c>
      <c r="U99" s="1250">
        <f>IFERROR(INDEX([8]Code!I$8:I$33,MATCH('[8]$MRD-Annex'!$BG101,[8]Code!$G$8:$G$33,0)),"")</f>
        <v>0.76827006604510995</v>
      </c>
      <c r="V99" s="1251">
        <f>IFERROR(INDEX([8]Code!J$8:J$33,MATCH('[8]$MRD-Annex'!$BG101,[8]Code!$G$8:$G$33,0)),"")</f>
        <v>0.12645069473218948</v>
      </c>
      <c r="W99" s="1251">
        <f>IFERROR(INDEX([8]Code!K$8:K$33,MATCH('[8]$MRD-Annex'!$BG101,[8]Code!$G$8:$G$33,0)),"")</f>
        <v>0.10527923922270058</v>
      </c>
      <c r="X99" s="1251">
        <f>IFERROR(INDEX([8]Code!L$8:L$33,MATCH('[8]$MRD-Annex'!$BG101,[8]Code!$G$8:$G$33,0)),"")</f>
        <v>0</v>
      </c>
      <c r="Y99" s="1252">
        <f>IFERROR(INDEX([8]Code!M$8:M$33,MATCH('[8]$MRD-Annex'!$BG101,[8]Code!$G$8:$G$33,0)),"")</f>
        <v>0</v>
      </c>
      <c r="Z99" s="1253">
        <f t="shared" si="139"/>
        <v>0</v>
      </c>
      <c r="AA99" s="1254">
        <f t="shared" si="139"/>
        <v>0</v>
      </c>
      <c r="AB99" s="1254">
        <f t="shared" si="139"/>
        <v>0</v>
      </c>
      <c r="AC99" s="1254">
        <f t="shared" si="139"/>
        <v>3.9999980988638648</v>
      </c>
      <c r="AD99" s="1255">
        <f t="shared" si="140"/>
        <v>3.9999980988638648</v>
      </c>
      <c r="AE99" s="1253">
        <f t="shared" si="141"/>
        <v>0</v>
      </c>
      <c r="AF99" s="1254">
        <f t="shared" si="141"/>
        <v>0</v>
      </c>
      <c r="AG99" s="1254">
        <f t="shared" si="141"/>
        <v>0</v>
      </c>
      <c r="AH99" s="1254">
        <f t="shared" si="141"/>
        <v>0.65836554212314458</v>
      </c>
      <c r="AI99" s="1255">
        <f t="shared" si="141"/>
        <v>0.65836554212314458</v>
      </c>
      <c r="AJ99" s="1254">
        <f t="shared" si="142"/>
        <v>0</v>
      </c>
      <c r="AK99" s="1254">
        <f t="shared" si="142"/>
        <v>0</v>
      </c>
      <c r="AL99" s="1254">
        <f t="shared" si="142"/>
        <v>0</v>
      </c>
      <c r="AM99" s="1254">
        <f t="shared" si="142"/>
        <v>0.54813635901299052</v>
      </c>
      <c r="AN99" s="1256">
        <f t="shared" si="143"/>
        <v>0.54813635901299052</v>
      </c>
      <c r="AO99" s="1253">
        <f t="shared" si="144"/>
        <v>0</v>
      </c>
      <c r="AP99" s="1254">
        <f t="shared" si="144"/>
        <v>0</v>
      </c>
      <c r="AQ99" s="1254">
        <f t="shared" si="144"/>
        <v>0</v>
      </c>
      <c r="AR99" s="1254">
        <f t="shared" si="144"/>
        <v>0</v>
      </c>
      <c r="AS99" s="1257">
        <f t="shared" si="145"/>
        <v>0</v>
      </c>
      <c r="AT99" s="1253">
        <f t="shared" si="146"/>
        <v>0</v>
      </c>
      <c r="AU99" s="1254">
        <f t="shared" si="146"/>
        <v>0</v>
      </c>
      <c r="AV99" s="1254">
        <f t="shared" si="146"/>
        <v>0</v>
      </c>
      <c r="AW99" s="1254">
        <f t="shared" si="146"/>
        <v>0</v>
      </c>
      <c r="AX99" s="1257">
        <f t="shared" si="147"/>
        <v>0</v>
      </c>
      <c r="AY99" s="1258">
        <f t="shared" si="148"/>
        <v>3.9999980988638648</v>
      </c>
      <c r="AZ99" s="1264">
        <f t="shared" si="149"/>
        <v>0.65836554212314458</v>
      </c>
      <c r="BA99" s="1264">
        <f t="shared" si="149"/>
        <v>0.54813635901299052</v>
      </c>
      <c r="BB99" s="1264">
        <f t="shared" si="149"/>
        <v>0</v>
      </c>
      <c r="BC99" s="1263">
        <f t="shared" si="149"/>
        <v>0</v>
      </c>
      <c r="BD99" s="97"/>
      <c r="BE99" s="568" t="s">
        <v>366</v>
      </c>
      <c r="BF99" s="568" t="s">
        <v>366</v>
      </c>
      <c r="BG99" s="591" t="str">
        <f>IFERROR(INDEX('Annex 2_Code'!$J$110:$J$127,MATCH('Annex 5_MRD'!BE99,'Annex 2_Code'!$G$110:$G$127,0)),"")</f>
        <v>MRD</v>
      </c>
      <c r="BH99" s="1565" t="str">
        <f t="shared" si="126"/>
        <v>MRD</v>
      </c>
      <c r="BI99" s="97"/>
    </row>
    <row r="100" spans="1:61">
      <c r="A100" s="1287"/>
      <c r="B100" s="76" t="s">
        <v>24</v>
      </c>
      <c r="C100" s="76" t="s">
        <v>307</v>
      </c>
      <c r="D100" s="1288"/>
      <c r="E100" s="1289"/>
      <c r="F100" s="97" t="s">
        <v>946</v>
      </c>
      <c r="G100" s="1291"/>
      <c r="H100" s="1743" t="s">
        <v>309</v>
      </c>
      <c r="I100" s="1578">
        <v>160200</v>
      </c>
      <c r="J100" s="1026">
        <v>160.19999999999999</v>
      </c>
      <c r="K100" s="664"/>
      <c r="L100" s="1309">
        <v>0</v>
      </c>
      <c r="M100" s="1266">
        <v>0</v>
      </c>
      <c r="N100" s="1266">
        <v>0.15</v>
      </c>
      <c r="O100" s="1280">
        <f t="shared" si="133"/>
        <v>0.15</v>
      </c>
      <c r="P100" s="2258">
        <f t="shared" si="134"/>
        <v>0</v>
      </c>
      <c r="Q100" s="2258">
        <f t="shared" si="135"/>
        <v>0</v>
      </c>
      <c r="R100" s="2258">
        <f t="shared" si="136"/>
        <v>0</v>
      </c>
      <c r="S100" s="2258">
        <f t="shared" si="137"/>
        <v>24.03</v>
      </c>
      <c r="T100" s="1281">
        <f t="shared" si="138"/>
        <v>24.03</v>
      </c>
      <c r="U100" s="1250">
        <f>IFERROR(INDEX([8]Code!I$8:I$33,MATCH('[8]$MRD-Annex'!$BG102,[8]Code!$G$8:$G$33,0)),"")</f>
        <v>0.76827006604510995</v>
      </c>
      <c r="V100" s="1251">
        <f>IFERROR(INDEX([8]Code!J$8:J$33,MATCH('[8]$MRD-Annex'!$BG102,[8]Code!$G$8:$G$33,0)),"")</f>
        <v>0.12645069473218948</v>
      </c>
      <c r="W100" s="1251">
        <f>IFERROR(INDEX([8]Code!K$8:K$33,MATCH('[8]$MRD-Annex'!$BG102,[8]Code!$G$8:$G$33,0)),"")</f>
        <v>0.10527923922270058</v>
      </c>
      <c r="X100" s="1251">
        <f>IFERROR(INDEX([8]Code!L$8:L$33,MATCH('[8]$MRD-Annex'!$BG102,[8]Code!$G$8:$G$33,0)),"")</f>
        <v>0</v>
      </c>
      <c r="Y100" s="1252">
        <f>IFERROR(INDEX([8]Code!M$8:M$33,MATCH('[8]$MRD-Annex'!$BG102,[8]Code!$G$8:$G$33,0)),"")</f>
        <v>0</v>
      </c>
      <c r="Z100" s="1253">
        <f t="shared" si="139"/>
        <v>0</v>
      </c>
      <c r="AA100" s="1254">
        <f t="shared" si="139"/>
        <v>0</v>
      </c>
      <c r="AB100" s="1254">
        <f t="shared" si="139"/>
        <v>0</v>
      </c>
      <c r="AC100" s="1254">
        <f t="shared" si="139"/>
        <v>18.461529687063994</v>
      </c>
      <c r="AD100" s="1255">
        <f t="shared" si="140"/>
        <v>18.461529687063994</v>
      </c>
      <c r="AE100" s="1253">
        <f t="shared" si="141"/>
        <v>0</v>
      </c>
      <c r="AF100" s="1254">
        <f t="shared" si="141"/>
        <v>0</v>
      </c>
      <c r="AG100" s="1254">
        <f t="shared" si="141"/>
        <v>0</v>
      </c>
      <c r="AH100" s="1254">
        <f t="shared" si="141"/>
        <v>3.0386101944145132</v>
      </c>
      <c r="AI100" s="1255">
        <f t="shared" si="141"/>
        <v>3.0386101944145132</v>
      </c>
      <c r="AJ100" s="1254">
        <f t="shared" si="142"/>
        <v>0</v>
      </c>
      <c r="AK100" s="1254">
        <f t="shared" si="142"/>
        <v>0</v>
      </c>
      <c r="AL100" s="1254">
        <f t="shared" si="142"/>
        <v>0</v>
      </c>
      <c r="AM100" s="1254">
        <f t="shared" si="142"/>
        <v>2.5298601185214951</v>
      </c>
      <c r="AN100" s="1256">
        <f t="shared" si="143"/>
        <v>2.5298601185214951</v>
      </c>
      <c r="AO100" s="1253">
        <f t="shared" si="144"/>
        <v>0</v>
      </c>
      <c r="AP100" s="1254">
        <f t="shared" si="144"/>
        <v>0</v>
      </c>
      <c r="AQ100" s="1254">
        <f t="shared" si="144"/>
        <v>0</v>
      </c>
      <c r="AR100" s="1254">
        <f t="shared" si="144"/>
        <v>0</v>
      </c>
      <c r="AS100" s="1257">
        <f t="shared" si="145"/>
        <v>0</v>
      </c>
      <c r="AT100" s="1253">
        <f t="shared" si="146"/>
        <v>0</v>
      </c>
      <c r="AU100" s="1254">
        <f t="shared" si="146"/>
        <v>0</v>
      </c>
      <c r="AV100" s="1254">
        <f t="shared" si="146"/>
        <v>0</v>
      </c>
      <c r="AW100" s="1254">
        <f t="shared" si="146"/>
        <v>0</v>
      </c>
      <c r="AX100" s="1257">
        <f t="shared" si="147"/>
        <v>0</v>
      </c>
      <c r="AY100" s="1258">
        <f t="shared" si="148"/>
        <v>18.461529687063994</v>
      </c>
      <c r="AZ100" s="1264">
        <f t="shared" si="149"/>
        <v>3.0386101944145132</v>
      </c>
      <c r="BA100" s="1264">
        <f t="shared" si="149"/>
        <v>2.5298601185214951</v>
      </c>
      <c r="BB100" s="1264">
        <f t="shared" si="149"/>
        <v>0</v>
      </c>
      <c r="BC100" s="1263">
        <f t="shared" si="149"/>
        <v>0</v>
      </c>
      <c r="BD100" s="97"/>
      <c r="BE100" s="568" t="s">
        <v>366</v>
      </c>
      <c r="BF100" s="568" t="s">
        <v>366</v>
      </c>
      <c r="BG100" s="591" t="str">
        <f>IFERROR(INDEX('Annex 2_Code'!$J$110:$J$127,MATCH('Annex 5_MRD'!BE100,'Annex 2_Code'!$G$110:$G$127,0)),"")</f>
        <v>MRD</v>
      </c>
      <c r="BH100" s="1565" t="str">
        <f t="shared" si="126"/>
        <v>MRD</v>
      </c>
      <c r="BI100" s="97"/>
    </row>
    <row r="101" spans="1:61">
      <c r="A101" s="75"/>
      <c r="B101" s="1267"/>
      <c r="C101" s="1568"/>
      <c r="D101" s="382"/>
      <c r="E101" s="383" t="s">
        <v>41</v>
      </c>
      <c r="F101" s="384"/>
      <c r="G101" s="1738"/>
      <c r="H101" s="1749"/>
      <c r="I101" s="776"/>
      <c r="J101" s="1641"/>
      <c r="K101" s="791"/>
      <c r="L101" s="386"/>
      <c r="M101" s="839"/>
      <c r="N101" s="840"/>
      <c r="O101" s="388"/>
      <c r="P101" s="1268">
        <f>SUM(P89:P100)</f>
        <v>0</v>
      </c>
      <c r="Q101" s="1268">
        <f>SUM(Q89:Q100)</f>
        <v>0</v>
      </c>
      <c r="R101" s="1268">
        <f>SUM(R89:R100)</f>
        <v>0</v>
      </c>
      <c r="S101" s="1268">
        <f>SUM(S89:S100)</f>
        <v>289.38327749999996</v>
      </c>
      <c r="T101" s="1268">
        <f>SUM(T89:T100)</f>
        <v>289.38327749999996</v>
      </c>
      <c r="U101" s="1270" t="str">
        <f>IFERROR(INDEX([8]Code!I$8:I$33,MATCH('[8]$MRD-Annex'!$BG103,[8]Code!$G$8:$G$33,0)),"")</f>
        <v/>
      </c>
      <c r="V101" s="1271" t="str">
        <f>IFERROR(INDEX([8]Code!J$8:J$33,MATCH('[8]$MRD-Annex'!$BG103,[8]Code!$G$8:$G$33,0)),"")</f>
        <v/>
      </c>
      <c r="W101" s="1271" t="str">
        <f>IFERROR(INDEX([8]Code!K$8:K$33,MATCH('[8]$MRD-Annex'!$BG103,[8]Code!$G$8:$G$33,0)),"")</f>
        <v/>
      </c>
      <c r="X101" s="1271" t="str">
        <f>IFERROR(INDEX([8]Code!L$8:L$33,MATCH('[8]$MRD-Annex'!$BG103,[8]Code!$G$8:$G$33,0)),"")</f>
        <v/>
      </c>
      <c r="Y101" s="1272" t="str">
        <f>IFERROR(INDEX([8]Code!M$8:M$33,MATCH('[8]$MRD-Annex'!$BG103,[8]Code!$G$8:$G$33,0)),"")</f>
        <v/>
      </c>
      <c r="Z101" s="1274">
        <f t="shared" ref="Z101:AF101" si="150">SUM(Z100,Z99,Z98,Z97,Z96,Z95,Z94,Z93,Z92,Z91,Z90)</f>
        <v>0</v>
      </c>
      <c r="AA101" s="1268">
        <f t="shared" si="150"/>
        <v>0</v>
      </c>
      <c r="AB101" s="1268">
        <f t="shared" si="150"/>
        <v>0</v>
      </c>
      <c r="AC101" s="1268">
        <f t="shared" si="150"/>
        <v>222.32450971727539</v>
      </c>
      <c r="AD101" s="1275">
        <f t="shared" si="150"/>
        <v>222.32450971727539</v>
      </c>
      <c r="AE101" s="1274">
        <f t="shared" si="150"/>
        <v>0</v>
      </c>
      <c r="AF101" s="1268">
        <f t="shared" si="150"/>
        <v>0</v>
      </c>
      <c r="AG101" s="1268">
        <f>SUM(AG100,AG99,AG98,AG97,AG96,AG95,AG94,AG93,AG92,AG91,AG90)</f>
        <v>0</v>
      </c>
      <c r="AH101" s="1268">
        <f t="shared" ref="AH101:AI101" si="151">SUM(AH100,AH99,AH98,AH97,AH96,AH95,AH94,AH93,AH92,AH91,AH90)</f>
        <v>36.59271648375298</v>
      </c>
      <c r="AI101" s="1275">
        <f t="shared" si="151"/>
        <v>36.59271648375298</v>
      </c>
      <c r="AJ101" s="1274">
        <f>SUM(AJ100,AJ99,AJ98,AJ97,AJ96,AJ95,AJ94,AJ93,AJ92,AJ91,AJ90)</f>
        <v>0</v>
      </c>
      <c r="AK101" s="1268">
        <f t="shared" ref="AK101" si="152">SUM(AK100,AK99,AK98,AK97,AK96,AK95,AK94,AK93,AK92,AK91,AK90)</f>
        <v>0</v>
      </c>
      <c r="AL101" s="1268">
        <f>SUM(AL100,AL99,AL98,AL97,AL96,AL95,AL94,AL93,AL92,AL91,AL90)</f>
        <v>0</v>
      </c>
      <c r="AM101" s="1268">
        <f t="shared" ref="AM101:AN101" si="153">SUM(AM100,AM99,AM98,AM97,AM96,AM95,AM94,AM93,AM92,AM91,AM90)</f>
        <v>30.466051298971642</v>
      </c>
      <c r="AN101" s="1275">
        <f t="shared" si="153"/>
        <v>30.466051298971642</v>
      </c>
      <c r="AO101" s="1274"/>
      <c r="AP101" s="1268"/>
      <c r="AQ101" s="1268"/>
      <c r="AR101" s="1268"/>
      <c r="AS101" s="1276"/>
      <c r="AT101" s="1277"/>
      <c r="AU101" s="1273"/>
      <c r="AV101" s="1273"/>
      <c r="AW101" s="1273"/>
      <c r="AX101" s="1276"/>
      <c r="AY101" s="1278">
        <f>SUM(AY90:AY100)</f>
        <v>222.32450971727545</v>
      </c>
      <c r="AZ101" s="1279">
        <f>SUM(AZ90:AZ100)</f>
        <v>36.592716483752966</v>
      </c>
      <c r="BA101" s="1279">
        <f>SUM(BA90:BA100)</f>
        <v>30.466051298971646</v>
      </c>
      <c r="BB101" s="1279">
        <f>SUM(BB90:BB100)</f>
        <v>0</v>
      </c>
      <c r="BC101" s="1269">
        <f t="shared" ref="BC101" si="154">SUM(BC90:BC100)</f>
        <v>0</v>
      </c>
      <c r="BD101" s="97"/>
      <c r="BE101" s="1282"/>
      <c r="BF101" s="1282"/>
      <c r="BG101" s="1282"/>
      <c r="BH101" s="1565"/>
      <c r="BI101" s="97"/>
    </row>
    <row r="102" spans="1:61">
      <c r="A102" s="1287"/>
      <c r="B102" s="76" t="s">
        <v>24</v>
      </c>
      <c r="C102" s="76" t="s">
        <v>307</v>
      </c>
      <c r="D102" s="1288"/>
      <c r="E102" s="66" t="s">
        <v>1039</v>
      </c>
      <c r="F102" s="1290"/>
      <c r="G102" s="1291"/>
      <c r="H102" s="1757"/>
      <c r="I102" s="1572"/>
      <c r="J102" s="1642"/>
      <c r="K102" s="1573"/>
      <c r="L102" s="1292"/>
      <c r="M102" s="1293"/>
      <c r="N102" s="1294"/>
      <c r="O102" s="1295"/>
      <c r="P102" s="1297"/>
      <c r="Q102" s="1297"/>
      <c r="R102" s="1297"/>
      <c r="S102" s="1297"/>
      <c r="T102" s="1298"/>
      <c r="U102" s="1299"/>
      <c r="V102" s="1300"/>
      <c r="W102" s="1300"/>
      <c r="X102" s="1300"/>
      <c r="Y102" s="1301"/>
      <c r="Z102" s="1303"/>
      <c r="AA102" s="1297"/>
      <c r="AB102" s="1297"/>
      <c r="AC102" s="1297"/>
      <c r="AD102" s="1304"/>
      <c r="AE102" s="1303"/>
      <c r="AF102" s="1297"/>
      <c r="AG102" s="1297"/>
      <c r="AH102" s="1297"/>
      <c r="AI102" s="1304"/>
      <c r="AJ102" s="1297"/>
      <c r="AK102" s="1297"/>
      <c r="AL102" s="1297"/>
      <c r="AM102" s="1297"/>
      <c r="AN102" s="1297"/>
      <c r="AO102" s="1303"/>
      <c r="AP102" s="1297"/>
      <c r="AQ102" s="1297"/>
      <c r="AR102" s="1297"/>
      <c r="AS102" s="1305"/>
      <c r="AT102" s="1306"/>
      <c r="AU102" s="1302"/>
      <c r="AV102" s="1302"/>
      <c r="AW102" s="1302"/>
      <c r="AX102" s="1305"/>
      <c r="AY102" s="1307"/>
      <c r="AZ102" s="1308"/>
      <c r="BA102" s="1308"/>
      <c r="BB102" s="1308"/>
      <c r="BC102" s="1298"/>
      <c r="BD102" s="97"/>
      <c r="BE102" s="1282"/>
      <c r="BF102" s="1282"/>
      <c r="BG102" s="1282"/>
      <c r="BH102" s="1565"/>
      <c r="BI102" s="97"/>
    </row>
    <row r="103" spans="1:61" ht="15">
      <c r="A103" s="1287"/>
      <c r="B103" s="76" t="s">
        <v>24</v>
      </c>
      <c r="C103" s="76" t="s">
        <v>307</v>
      </c>
      <c r="D103" s="1288"/>
      <c r="E103" s="1289"/>
      <c r="F103" t="s">
        <v>934</v>
      </c>
      <c r="G103" s="1291"/>
      <c r="H103" s="1755" t="s">
        <v>1095</v>
      </c>
      <c r="I103" s="1310">
        <v>2.5</v>
      </c>
      <c r="J103" s="1026">
        <v>2.5000000000000001E-3</v>
      </c>
      <c r="K103" s="1579">
        <v>0</v>
      </c>
      <c r="L103" s="1261">
        <v>0</v>
      </c>
      <c r="M103" s="1261">
        <v>0</v>
      </c>
      <c r="N103" s="1261">
        <v>3994.5</v>
      </c>
      <c r="O103" s="1280">
        <f t="shared" ref="O103:O113" si="155">SUM(K103:N103)</f>
        <v>3994.5</v>
      </c>
      <c r="P103" s="2258">
        <f t="shared" ref="P103:P113" si="156">K103*$I103/1000</f>
        <v>0</v>
      </c>
      <c r="Q103" s="2258">
        <f t="shared" ref="Q103:Q113" si="157">L103*$I103/1000</f>
        <v>0</v>
      </c>
      <c r="R103" s="2258">
        <f t="shared" ref="R103:R113" si="158">M103*$I103/1000</f>
        <v>0</v>
      </c>
      <c r="S103" s="2258">
        <f t="shared" ref="S103:S113" si="159">N103*$I103/1000</f>
        <v>9.9862500000000001</v>
      </c>
      <c r="T103" s="1281">
        <f t="shared" ref="T103:T113" si="160">SUM(P103:S103)</f>
        <v>9.9862500000000001</v>
      </c>
      <c r="U103" s="1250">
        <f>IFERROR(INDEX([8]Code!I$8:I$33,MATCH('[8]$MRD-Annex'!$BG105,[8]Code!$G$8:$G$33,0)),"")</f>
        <v>0.76827006604510995</v>
      </c>
      <c r="V103" s="1251">
        <f>IFERROR(INDEX([8]Code!J$8:J$33,MATCH('[8]$MRD-Annex'!$BG105,[8]Code!$G$8:$G$33,0)),"")</f>
        <v>0.12645069473218948</v>
      </c>
      <c r="W103" s="1251">
        <f>IFERROR(INDEX([8]Code!K$8:K$33,MATCH('[8]$MRD-Annex'!$BG105,[8]Code!$G$8:$G$33,0)),"")</f>
        <v>0.10527923922270058</v>
      </c>
      <c r="X103" s="1251">
        <f>IFERROR(INDEX([8]Code!L$8:L$33,MATCH('[8]$MRD-Annex'!$BG105,[8]Code!$G$8:$G$33,0)),"")</f>
        <v>0</v>
      </c>
      <c r="Y103" s="1252">
        <f>IFERROR(INDEX([8]Code!M$8:M$33,MATCH('[8]$MRD-Annex'!$BG105,[8]Code!$G$8:$G$33,0)),"")</f>
        <v>0</v>
      </c>
      <c r="Z103" s="1253">
        <f t="shared" ref="Z103:AC113" si="161">P103*$U103</f>
        <v>0</v>
      </c>
      <c r="AA103" s="1254">
        <f t="shared" si="161"/>
        <v>0</v>
      </c>
      <c r="AB103" s="1254">
        <f t="shared" si="161"/>
        <v>0</v>
      </c>
      <c r="AC103" s="1254">
        <f t="shared" si="161"/>
        <v>7.6721369470429792</v>
      </c>
      <c r="AD103" s="1255">
        <f t="shared" ref="AD103:AD113" si="162">SUM(Z103:AC103)</f>
        <v>7.6721369470429792</v>
      </c>
      <c r="AE103" s="1253">
        <f t="shared" ref="AE103:AI113" si="163">P103*$V103</f>
        <v>0</v>
      </c>
      <c r="AF103" s="1254">
        <f t="shared" si="163"/>
        <v>0</v>
      </c>
      <c r="AG103" s="1254">
        <f t="shared" si="163"/>
        <v>0</v>
      </c>
      <c r="AH103" s="1254">
        <f t="shared" si="163"/>
        <v>1.2627682502693272</v>
      </c>
      <c r="AI103" s="1255">
        <f t="shared" si="163"/>
        <v>1.2627682502693272</v>
      </c>
      <c r="AJ103" s="1254">
        <f t="shared" ref="AJ103:AM113" si="164">P103*$W103</f>
        <v>0</v>
      </c>
      <c r="AK103" s="1254">
        <f t="shared" si="164"/>
        <v>0</v>
      </c>
      <c r="AL103" s="1254">
        <f t="shared" si="164"/>
        <v>0</v>
      </c>
      <c r="AM103" s="1254">
        <f t="shared" si="164"/>
        <v>1.0513448026876937</v>
      </c>
      <c r="AN103" s="1256">
        <f t="shared" ref="AN103:AN113" si="165">SUM(AJ103:AM103)</f>
        <v>1.0513448026876937</v>
      </c>
      <c r="AO103" s="1253">
        <f t="shared" ref="AO103:AR113" si="166">P103*$X103</f>
        <v>0</v>
      </c>
      <c r="AP103" s="1254">
        <f t="shared" si="166"/>
        <v>0</v>
      </c>
      <c r="AQ103" s="1254">
        <f t="shared" si="166"/>
        <v>0</v>
      </c>
      <c r="AR103" s="1254">
        <f t="shared" si="166"/>
        <v>0</v>
      </c>
      <c r="AS103" s="1257">
        <f t="shared" ref="AS103:AS113" si="167">SUM(AO103:AR103)</f>
        <v>0</v>
      </c>
      <c r="AT103" s="1253">
        <f t="shared" ref="AT103:AW113" si="168">P103*$Y103</f>
        <v>0</v>
      </c>
      <c r="AU103" s="1254">
        <f t="shared" si="168"/>
        <v>0</v>
      </c>
      <c r="AV103" s="1254">
        <f t="shared" si="168"/>
        <v>0</v>
      </c>
      <c r="AW103" s="1254">
        <f t="shared" si="168"/>
        <v>0</v>
      </c>
      <c r="AX103" s="1257">
        <f t="shared" ref="AX103:AX113" si="169">SUM(AT103:AW103)</f>
        <v>0</v>
      </c>
      <c r="AY103" s="1258">
        <f t="shared" ref="AY103:AY113" si="170">SUM($T103*U103)</f>
        <v>7.6721369470429792</v>
      </c>
      <c r="AZ103" s="1264">
        <f t="shared" ref="AZ103:BC113" si="171">SUM($T103*V103)</f>
        <v>1.2627682502693272</v>
      </c>
      <c r="BA103" s="1264">
        <f t="shared" si="171"/>
        <v>1.0513448026876937</v>
      </c>
      <c r="BB103" s="1264">
        <f t="shared" si="171"/>
        <v>0</v>
      </c>
      <c r="BC103" s="1263">
        <f t="shared" si="171"/>
        <v>0</v>
      </c>
      <c r="BD103" s="97"/>
      <c r="BE103" s="568" t="s">
        <v>366</v>
      </c>
      <c r="BF103" s="568" t="s">
        <v>366</v>
      </c>
      <c r="BG103" s="591" t="str">
        <f>IFERROR(INDEX('Annex 2_Code'!$J$110:$J$127,MATCH('Annex 5_MRD'!BE103,'Annex 2_Code'!$G$110:$G$127,0)),"")</f>
        <v>MRD</v>
      </c>
      <c r="BH103" s="1565" t="str">
        <f t="shared" si="126"/>
        <v>MRD</v>
      </c>
      <c r="BI103" s="97"/>
    </row>
    <row r="104" spans="1:61" ht="14.25">
      <c r="A104" s="1287"/>
      <c r="B104" s="76" t="s">
        <v>24</v>
      </c>
      <c r="C104" s="76" t="s">
        <v>307</v>
      </c>
      <c r="D104" s="1288"/>
      <c r="E104" s="1289"/>
      <c r="F104" s="66" t="s">
        <v>935</v>
      </c>
      <c r="G104" s="1291"/>
      <c r="H104" s="1755" t="s">
        <v>1095</v>
      </c>
      <c r="I104" s="1311">
        <v>21</v>
      </c>
      <c r="J104" s="1026">
        <v>2.1000000000000001E-2</v>
      </c>
      <c r="K104" s="1579">
        <v>0</v>
      </c>
      <c r="L104" s="1261">
        <v>0</v>
      </c>
      <c r="M104" s="1261">
        <v>0</v>
      </c>
      <c r="N104" s="1261">
        <v>335.53800000000001</v>
      </c>
      <c r="O104" s="1280">
        <f t="shared" si="155"/>
        <v>335.53800000000001</v>
      </c>
      <c r="P104" s="2258">
        <f t="shared" si="156"/>
        <v>0</v>
      </c>
      <c r="Q104" s="2258">
        <f t="shared" si="157"/>
        <v>0</v>
      </c>
      <c r="R104" s="2258">
        <f t="shared" si="158"/>
        <v>0</v>
      </c>
      <c r="S104" s="2258">
        <f t="shared" si="159"/>
        <v>7.0462980000000011</v>
      </c>
      <c r="T104" s="1281">
        <f t="shared" si="160"/>
        <v>7.0462980000000011</v>
      </c>
      <c r="U104" s="1250">
        <f>IFERROR(INDEX([8]Code!I$8:I$33,MATCH('[8]$MRD-Annex'!$BG106,[8]Code!$G$8:$G$33,0)),"")</f>
        <v>0.76827006604510995</v>
      </c>
      <c r="V104" s="1251">
        <f>IFERROR(INDEX([8]Code!J$8:J$33,MATCH('[8]$MRD-Annex'!$BG106,[8]Code!$G$8:$G$33,0)),"")</f>
        <v>0.12645069473218948</v>
      </c>
      <c r="W104" s="1251">
        <f>IFERROR(INDEX([8]Code!K$8:K$33,MATCH('[8]$MRD-Annex'!$BG106,[8]Code!$G$8:$G$33,0)),"")</f>
        <v>0.10527923922270058</v>
      </c>
      <c r="X104" s="1251">
        <f>IFERROR(INDEX([8]Code!L$8:L$33,MATCH('[8]$MRD-Annex'!$BG106,[8]Code!$G$8:$G$33,0)),"")</f>
        <v>0</v>
      </c>
      <c r="Y104" s="1252">
        <f>IFERROR(INDEX([8]Code!M$8:M$33,MATCH('[8]$MRD-Annex'!$BG106,[8]Code!$G$8:$G$33,0)),"")</f>
        <v>0</v>
      </c>
      <c r="Z104" s="1253">
        <f t="shared" si="161"/>
        <v>0</v>
      </c>
      <c r="AA104" s="1254">
        <f t="shared" si="161"/>
        <v>0</v>
      </c>
      <c r="AB104" s="1254">
        <f t="shared" si="161"/>
        <v>0</v>
      </c>
      <c r="AC104" s="1254">
        <f t="shared" si="161"/>
        <v>5.4134598298335268</v>
      </c>
      <c r="AD104" s="1255">
        <f t="shared" si="162"/>
        <v>5.4134598298335268</v>
      </c>
      <c r="AE104" s="1253">
        <f t="shared" si="163"/>
        <v>0</v>
      </c>
      <c r="AF104" s="1254">
        <f t="shared" si="163"/>
        <v>0</v>
      </c>
      <c r="AG104" s="1254">
        <f t="shared" si="163"/>
        <v>0</v>
      </c>
      <c r="AH104" s="1254">
        <f t="shared" si="163"/>
        <v>0.89100927739003744</v>
      </c>
      <c r="AI104" s="1255">
        <f t="shared" si="163"/>
        <v>0.89100927739003744</v>
      </c>
      <c r="AJ104" s="1254">
        <f t="shared" si="164"/>
        <v>0</v>
      </c>
      <c r="AK104" s="1254">
        <f t="shared" si="164"/>
        <v>0</v>
      </c>
      <c r="AL104" s="1254">
        <f t="shared" si="164"/>
        <v>0</v>
      </c>
      <c r="AM104" s="1254">
        <f t="shared" si="164"/>
        <v>0.74182889277643671</v>
      </c>
      <c r="AN104" s="1256">
        <f t="shared" si="165"/>
        <v>0.74182889277643671</v>
      </c>
      <c r="AO104" s="1253">
        <f t="shared" si="166"/>
        <v>0</v>
      </c>
      <c r="AP104" s="1254">
        <f t="shared" si="166"/>
        <v>0</v>
      </c>
      <c r="AQ104" s="1254">
        <f t="shared" si="166"/>
        <v>0</v>
      </c>
      <c r="AR104" s="1254">
        <f t="shared" si="166"/>
        <v>0</v>
      </c>
      <c r="AS104" s="1257">
        <f t="shared" si="167"/>
        <v>0</v>
      </c>
      <c r="AT104" s="1253">
        <f t="shared" si="168"/>
        <v>0</v>
      </c>
      <c r="AU104" s="1254">
        <f t="shared" si="168"/>
        <v>0</v>
      </c>
      <c r="AV104" s="1254">
        <f t="shared" si="168"/>
        <v>0</v>
      </c>
      <c r="AW104" s="1254">
        <f t="shared" si="168"/>
        <v>0</v>
      </c>
      <c r="AX104" s="1257">
        <f t="shared" si="169"/>
        <v>0</v>
      </c>
      <c r="AY104" s="1258">
        <f t="shared" si="170"/>
        <v>5.4134598298335268</v>
      </c>
      <c r="AZ104" s="1264">
        <f t="shared" si="171"/>
        <v>0.89100927739003744</v>
      </c>
      <c r="BA104" s="1264">
        <f t="shared" si="171"/>
        <v>0.74182889277643671</v>
      </c>
      <c r="BB104" s="1264">
        <f t="shared" si="171"/>
        <v>0</v>
      </c>
      <c r="BC104" s="1263">
        <f t="shared" si="171"/>
        <v>0</v>
      </c>
      <c r="BD104" s="97"/>
      <c r="BE104" s="568" t="s">
        <v>366</v>
      </c>
      <c r="BF104" s="568" t="s">
        <v>366</v>
      </c>
      <c r="BG104" s="591" t="str">
        <f>IFERROR(INDEX('Annex 2_Code'!$J$110:$J$127,MATCH('Annex 5_MRD'!BE104,'Annex 2_Code'!$G$110:$G$127,0)),"")</f>
        <v>MRD</v>
      </c>
      <c r="BH104" s="1565" t="str">
        <f t="shared" si="126"/>
        <v>MRD</v>
      </c>
      <c r="BI104" s="97"/>
    </row>
    <row r="105" spans="1:61" ht="15">
      <c r="A105" s="1287"/>
      <c r="B105" s="76" t="s">
        <v>24</v>
      </c>
      <c r="C105" s="76" t="s">
        <v>307</v>
      </c>
      <c r="D105" s="1288"/>
      <c r="E105" s="1289"/>
      <c r="F105" t="s">
        <v>936</v>
      </c>
      <c r="G105" s="1291"/>
      <c r="H105" s="1755" t="s">
        <v>1095</v>
      </c>
      <c r="I105" s="1580">
        <v>21</v>
      </c>
      <c r="J105" s="1026">
        <v>2.1000000000000001E-2</v>
      </c>
      <c r="K105" s="1312">
        <v>0</v>
      </c>
      <c r="L105" s="1261">
        <v>0</v>
      </c>
      <c r="M105" s="1261">
        <v>0</v>
      </c>
      <c r="N105" s="1261">
        <v>766.94399999999996</v>
      </c>
      <c r="O105" s="1280">
        <f t="shared" si="155"/>
        <v>766.94399999999996</v>
      </c>
      <c r="P105" s="2258">
        <f t="shared" si="156"/>
        <v>0</v>
      </c>
      <c r="Q105" s="2258">
        <f t="shared" si="157"/>
        <v>0</v>
      </c>
      <c r="R105" s="2258">
        <f t="shared" si="158"/>
        <v>0</v>
      </c>
      <c r="S105" s="2258">
        <f t="shared" si="159"/>
        <v>16.105823999999998</v>
      </c>
      <c r="T105" s="1281">
        <f t="shared" si="160"/>
        <v>16.105823999999998</v>
      </c>
      <c r="U105" s="1250">
        <f>IFERROR(INDEX([8]Code!I$8:I$33,MATCH('[8]$MRD-Annex'!$BG107,[8]Code!$G$8:$G$33,0)),"")</f>
        <v>0.76827006604510995</v>
      </c>
      <c r="V105" s="1251">
        <f>IFERROR(INDEX([8]Code!J$8:J$33,MATCH('[8]$MRD-Annex'!$BG107,[8]Code!$G$8:$G$33,0)),"")</f>
        <v>0.12645069473218948</v>
      </c>
      <c r="W105" s="1251">
        <f>IFERROR(INDEX([8]Code!K$8:K$33,MATCH('[8]$MRD-Annex'!$BG107,[8]Code!$G$8:$G$33,0)),"")</f>
        <v>0.10527923922270058</v>
      </c>
      <c r="X105" s="1251">
        <f>IFERROR(INDEX([8]Code!L$8:L$33,MATCH('[8]$MRD-Annex'!$BG107,[8]Code!$G$8:$G$33,0)),"")</f>
        <v>0</v>
      </c>
      <c r="Y105" s="1252">
        <f>IFERROR(INDEX([8]Code!M$8:M$33,MATCH('[8]$MRD-Annex'!$BG107,[8]Code!$G$8:$G$33,0)),"")</f>
        <v>0</v>
      </c>
      <c r="Z105" s="1253">
        <f t="shared" si="161"/>
        <v>0</v>
      </c>
      <c r="AA105" s="1254">
        <f t="shared" si="161"/>
        <v>0</v>
      </c>
      <c r="AB105" s="1254">
        <f t="shared" si="161"/>
        <v>0</v>
      </c>
      <c r="AC105" s="1254">
        <f t="shared" si="161"/>
        <v>12.373622468190916</v>
      </c>
      <c r="AD105" s="1255">
        <f t="shared" si="162"/>
        <v>12.373622468190916</v>
      </c>
      <c r="AE105" s="1253">
        <f t="shared" si="163"/>
        <v>0</v>
      </c>
      <c r="AF105" s="1254">
        <f t="shared" si="163"/>
        <v>0</v>
      </c>
      <c r="AG105" s="1254">
        <f t="shared" si="163"/>
        <v>0</v>
      </c>
      <c r="AH105" s="1254">
        <f t="shared" si="163"/>
        <v>2.0365926340343705</v>
      </c>
      <c r="AI105" s="1255">
        <f t="shared" si="163"/>
        <v>2.0365926340343705</v>
      </c>
      <c r="AJ105" s="1254">
        <f t="shared" si="164"/>
        <v>0</v>
      </c>
      <c r="AK105" s="1254">
        <f t="shared" si="164"/>
        <v>0</v>
      </c>
      <c r="AL105" s="1254">
        <f t="shared" si="164"/>
        <v>0</v>
      </c>
      <c r="AM105" s="1254">
        <f t="shared" si="164"/>
        <v>1.6956088977747121</v>
      </c>
      <c r="AN105" s="1256">
        <f t="shared" si="165"/>
        <v>1.6956088977747121</v>
      </c>
      <c r="AO105" s="1253">
        <f t="shared" si="166"/>
        <v>0</v>
      </c>
      <c r="AP105" s="1254">
        <f t="shared" si="166"/>
        <v>0</v>
      </c>
      <c r="AQ105" s="1254">
        <f t="shared" si="166"/>
        <v>0</v>
      </c>
      <c r="AR105" s="1254">
        <f t="shared" si="166"/>
        <v>0</v>
      </c>
      <c r="AS105" s="1257">
        <f t="shared" si="167"/>
        <v>0</v>
      </c>
      <c r="AT105" s="1253">
        <f t="shared" si="168"/>
        <v>0</v>
      </c>
      <c r="AU105" s="1254">
        <f t="shared" si="168"/>
        <v>0</v>
      </c>
      <c r="AV105" s="1254">
        <f t="shared" si="168"/>
        <v>0</v>
      </c>
      <c r="AW105" s="1254">
        <f t="shared" si="168"/>
        <v>0</v>
      </c>
      <c r="AX105" s="1257">
        <f t="shared" si="169"/>
        <v>0</v>
      </c>
      <c r="AY105" s="1258">
        <f t="shared" si="170"/>
        <v>12.373622468190916</v>
      </c>
      <c r="AZ105" s="1264">
        <f t="shared" si="171"/>
        <v>2.0365926340343705</v>
      </c>
      <c r="BA105" s="1264">
        <f t="shared" si="171"/>
        <v>1.6956088977747121</v>
      </c>
      <c r="BB105" s="1264">
        <f t="shared" si="171"/>
        <v>0</v>
      </c>
      <c r="BC105" s="1263">
        <f t="shared" si="171"/>
        <v>0</v>
      </c>
      <c r="BD105" s="97"/>
      <c r="BE105" s="568" t="s">
        <v>366</v>
      </c>
      <c r="BF105" s="568" t="s">
        <v>366</v>
      </c>
      <c r="BG105" s="591" t="str">
        <f>IFERROR(INDEX('Annex 2_Code'!$J$110:$J$127,MATCH('Annex 5_MRD'!BE105,'Annex 2_Code'!$G$110:$G$127,0)),"")</f>
        <v>MRD</v>
      </c>
      <c r="BH105" s="1565" t="str">
        <f t="shared" si="126"/>
        <v>MRD</v>
      </c>
      <c r="BI105" s="97"/>
    </row>
    <row r="106" spans="1:61" ht="14.25">
      <c r="A106" s="1287"/>
      <c r="B106" s="76" t="s">
        <v>24</v>
      </c>
      <c r="C106" s="76" t="s">
        <v>307</v>
      </c>
      <c r="D106" s="1288"/>
      <c r="E106" s="1289"/>
      <c r="F106" t="s">
        <v>311</v>
      </c>
      <c r="G106" s="1291"/>
      <c r="H106" s="1755" t="s">
        <v>1095</v>
      </c>
      <c r="I106" s="1265">
        <v>2.5</v>
      </c>
      <c r="J106" s="1026">
        <v>2.5000000000000001E-3</v>
      </c>
      <c r="K106" s="1261">
        <v>0</v>
      </c>
      <c r="L106" s="1261">
        <v>0</v>
      </c>
      <c r="M106" s="1261">
        <v>0</v>
      </c>
      <c r="N106" s="1261">
        <v>359.50499999999994</v>
      </c>
      <c r="O106" s="1280">
        <f t="shared" si="155"/>
        <v>359.50499999999994</v>
      </c>
      <c r="P106" s="2258">
        <f t="shared" si="156"/>
        <v>0</v>
      </c>
      <c r="Q106" s="2258">
        <f t="shared" si="157"/>
        <v>0</v>
      </c>
      <c r="R106" s="2258">
        <f t="shared" si="158"/>
        <v>0</v>
      </c>
      <c r="S106" s="2258">
        <f t="shared" si="159"/>
        <v>0.8987624999999998</v>
      </c>
      <c r="T106" s="1281">
        <f t="shared" si="160"/>
        <v>0.8987624999999998</v>
      </c>
      <c r="U106" s="1250">
        <f>IFERROR(INDEX([8]Code!I$8:I$33,MATCH('[8]$MRD-Annex'!$BG108,[8]Code!$G$8:$G$33,0)),"")</f>
        <v>0.76827006604510995</v>
      </c>
      <c r="V106" s="1251">
        <f>IFERROR(INDEX([8]Code!J$8:J$33,MATCH('[8]$MRD-Annex'!$BG108,[8]Code!$G$8:$G$33,0)),"")</f>
        <v>0.12645069473218948</v>
      </c>
      <c r="W106" s="1251">
        <f>IFERROR(INDEX([8]Code!K$8:K$33,MATCH('[8]$MRD-Annex'!$BG108,[8]Code!$G$8:$G$33,0)),"")</f>
        <v>0.10527923922270058</v>
      </c>
      <c r="X106" s="1251">
        <f>IFERROR(INDEX([8]Code!L$8:L$33,MATCH('[8]$MRD-Annex'!$BG108,[8]Code!$G$8:$G$33,0)),"")</f>
        <v>0</v>
      </c>
      <c r="Y106" s="1252">
        <f>IFERROR(INDEX([8]Code!M$8:M$33,MATCH('[8]$MRD-Annex'!$BG108,[8]Code!$G$8:$G$33,0)),"")</f>
        <v>0</v>
      </c>
      <c r="Z106" s="1253">
        <f t="shared" si="161"/>
        <v>0</v>
      </c>
      <c r="AA106" s="1254">
        <f t="shared" si="161"/>
        <v>0</v>
      </c>
      <c r="AB106" s="1254">
        <f t="shared" si="161"/>
        <v>0</v>
      </c>
      <c r="AC106" s="1254">
        <f t="shared" si="161"/>
        <v>0.69049232523386794</v>
      </c>
      <c r="AD106" s="1255">
        <f t="shared" si="162"/>
        <v>0.69049232523386794</v>
      </c>
      <c r="AE106" s="1253">
        <f t="shared" si="163"/>
        <v>0</v>
      </c>
      <c r="AF106" s="1254">
        <f t="shared" si="163"/>
        <v>0</v>
      </c>
      <c r="AG106" s="1254">
        <f t="shared" si="163"/>
        <v>0</v>
      </c>
      <c r="AH106" s="1254">
        <f t="shared" si="163"/>
        <v>0.11364914252423942</v>
      </c>
      <c r="AI106" s="1255">
        <f t="shared" si="163"/>
        <v>0.11364914252423942</v>
      </c>
      <c r="AJ106" s="1254">
        <f t="shared" si="164"/>
        <v>0</v>
      </c>
      <c r="AK106" s="1254">
        <f t="shared" si="164"/>
        <v>0</v>
      </c>
      <c r="AL106" s="1254">
        <f t="shared" si="164"/>
        <v>0</v>
      </c>
      <c r="AM106" s="1254">
        <f t="shared" si="164"/>
        <v>9.4621032241892403E-2</v>
      </c>
      <c r="AN106" s="1256">
        <f t="shared" si="165"/>
        <v>9.4621032241892403E-2</v>
      </c>
      <c r="AO106" s="1253">
        <f t="shared" si="166"/>
        <v>0</v>
      </c>
      <c r="AP106" s="1254">
        <f t="shared" si="166"/>
        <v>0</v>
      </c>
      <c r="AQ106" s="1254">
        <f t="shared" si="166"/>
        <v>0</v>
      </c>
      <c r="AR106" s="1254">
        <f t="shared" si="166"/>
        <v>0</v>
      </c>
      <c r="AS106" s="1257">
        <f t="shared" si="167"/>
        <v>0</v>
      </c>
      <c r="AT106" s="1253">
        <f t="shared" si="168"/>
        <v>0</v>
      </c>
      <c r="AU106" s="1254">
        <f t="shared" si="168"/>
        <v>0</v>
      </c>
      <c r="AV106" s="1254">
        <f t="shared" si="168"/>
        <v>0</v>
      </c>
      <c r="AW106" s="1254">
        <f t="shared" si="168"/>
        <v>0</v>
      </c>
      <c r="AX106" s="1257">
        <f t="shared" si="169"/>
        <v>0</v>
      </c>
      <c r="AY106" s="1258">
        <f t="shared" si="170"/>
        <v>0.69049232523386794</v>
      </c>
      <c r="AZ106" s="1264">
        <f t="shared" si="171"/>
        <v>0.11364914252423942</v>
      </c>
      <c r="BA106" s="1264">
        <f t="shared" si="171"/>
        <v>9.4621032241892403E-2</v>
      </c>
      <c r="BB106" s="1264">
        <f t="shared" si="171"/>
        <v>0</v>
      </c>
      <c r="BC106" s="1263">
        <f t="shared" si="171"/>
        <v>0</v>
      </c>
      <c r="BD106" s="97"/>
      <c r="BE106" s="568" t="s">
        <v>366</v>
      </c>
      <c r="BF106" s="568" t="s">
        <v>366</v>
      </c>
      <c r="BG106" s="591" t="str">
        <f>IFERROR(INDEX('Annex 2_Code'!$J$110:$J$127,MATCH('Annex 5_MRD'!BE106,'Annex 2_Code'!$G$110:$G$127,0)),"")</f>
        <v>MRD</v>
      </c>
      <c r="BH106" s="1565" t="str">
        <f t="shared" si="126"/>
        <v>MRD</v>
      </c>
      <c r="BI106" s="97"/>
    </row>
    <row r="107" spans="1:61" ht="14.25">
      <c r="A107" s="1287"/>
      <c r="B107" s="76" t="s">
        <v>24</v>
      </c>
      <c r="C107" s="76" t="s">
        <v>307</v>
      </c>
      <c r="D107" s="1288"/>
      <c r="E107" s="1289"/>
      <c r="F107" s="66" t="s">
        <v>312</v>
      </c>
      <c r="G107" s="1291"/>
      <c r="H107" s="1755" t="s">
        <v>1095</v>
      </c>
      <c r="I107" s="1310">
        <v>1</v>
      </c>
      <c r="J107" s="1026">
        <v>1E-3</v>
      </c>
      <c r="K107" s="1579">
        <v>0</v>
      </c>
      <c r="L107" s="1261">
        <v>0</v>
      </c>
      <c r="M107" s="1261">
        <v>0</v>
      </c>
      <c r="N107" s="1261">
        <v>41942.25</v>
      </c>
      <c r="O107" s="1280">
        <f t="shared" si="155"/>
        <v>41942.25</v>
      </c>
      <c r="P107" s="2258">
        <f t="shared" si="156"/>
        <v>0</v>
      </c>
      <c r="Q107" s="2258">
        <f t="shared" si="157"/>
        <v>0</v>
      </c>
      <c r="R107" s="2258">
        <f t="shared" si="158"/>
        <v>0</v>
      </c>
      <c r="S107" s="2258">
        <f t="shared" si="159"/>
        <v>41.942250000000001</v>
      </c>
      <c r="T107" s="1281">
        <f t="shared" si="160"/>
        <v>41.942250000000001</v>
      </c>
      <c r="U107" s="1250">
        <f>IFERROR(INDEX([8]Code!I$8:I$33,MATCH('[8]$MRD-Annex'!$BG109,[8]Code!$G$8:$G$33,0)),"")</f>
        <v>0.76827006604510995</v>
      </c>
      <c r="V107" s="1251">
        <f>IFERROR(INDEX([8]Code!J$8:J$33,MATCH('[8]$MRD-Annex'!$BG109,[8]Code!$G$8:$G$33,0)),"")</f>
        <v>0.12645069473218948</v>
      </c>
      <c r="W107" s="1251">
        <f>IFERROR(INDEX([8]Code!K$8:K$33,MATCH('[8]$MRD-Annex'!$BG109,[8]Code!$G$8:$G$33,0)),"")</f>
        <v>0.10527923922270058</v>
      </c>
      <c r="X107" s="1251">
        <f>IFERROR(INDEX([8]Code!L$8:L$33,MATCH('[8]$MRD-Annex'!$BG109,[8]Code!$G$8:$G$33,0)),"")</f>
        <v>0</v>
      </c>
      <c r="Y107" s="1252">
        <f>IFERROR(INDEX([8]Code!M$8:M$33,MATCH('[8]$MRD-Annex'!$BG109,[8]Code!$G$8:$G$33,0)),"")</f>
        <v>0</v>
      </c>
      <c r="Z107" s="1253">
        <f t="shared" si="161"/>
        <v>0</v>
      </c>
      <c r="AA107" s="1254">
        <f t="shared" si="161"/>
        <v>0</v>
      </c>
      <c r="AB107" s="1254">
        <f t="shared" si="161"/>
        <v>0</v>
      </c>
      <c r="AC107" s="1254">
        <f t="shared" si="161"/>
        <v>32.222975177580516</v>
      </c>
      <c r="AD107" s="1255">
        <f t="shared" si="162"/>
        <v>32.222975177580516</v>
      </c>
      <c r="AE107" s="1253">
        <f t="shared" si="163"/>
        <v>0</v>
      </c>
      <c r="AF107" s="1254">
        <f t="shared" si="163"/>
        <v>0</v>
      </c>
      <c r="AG107" s="1254">
        <f t="shared" si="163"/>
        <v>0</v>
      </c>
      <c r="AH107" s="1254">
        <f t="shared" si="163"/>
        <v>5.3036266511311743</v>
      </c>
      <c r="AI107" s="1255">
        <f t="shared" si="163"/>
        <v>5.3036266511311743</v>
      </c>
      <c r="AJ107" s="1254">
        <f t="shared" si="164"/>
        <v>0</v>
      </c>
      <c r="AK107" s="1254">
        <f t="shared" si="164"/>
        <v>0</v>
      </c>
      <c r="AL107" s="1254">
        <f t="shared" si="164"/>
        <v>0</v>
      </c>
      <c r="AM107" s="1254">
        <f t="shared" si="164"/>
        <v>4.4156481712883133</v>
      </c>
      <c r="AN107" s="1256">
        <f t="shared" si="165"/>
        <v>4.4156481712883133</v>
      </c>
      <c r="AO107" s="1253">
        <f t="shared" si="166"/>
        <v>0</v>
      </c>
      <c r="AP107" s="1254">
        <f t="shared" si="166"/>
        <v>0</v>
      </c>
      <c r="AQ107" s="1254">
        <f t="shared" si="166"/>
        <v>0</v>
      </c>
      <c r="AR107" s="1254">
        <f t="shared" si="166"/>
        <v>0</v>
      </c>
      <c r="AS107" s="1257">
        <f t="shared" si="167"/>
        <v>0</v>
      </c>
      <c r="AT107" s="1253">
        <f t="shared" si="168"/>
        <v>0</v>
      </c>
      <c r="AU107" s="1254">
        <f t="shared" si="168"/>
        <v>0</v>
      </c>
      <c r="AV107" s="1254">
        <f t="shared" si="168"/>
        <v>0</v>
      </c>
      <c r="AW107" s="1254">
        <f t="shared" si="168"/>
        <v>0</v>
      </c>
      <c r="AX107" s="1257">
        <f t="shared" si="169"/>
        <v>0</v>
      </c>
      <c r="AY107" s="1258">
        <f t="shared" si="170"/>
        <v>32.222975177580516</v>
      </c>
      <c r="AZ107" s="1264">
        <f t="shared" si="171"/>
        <v>5.3036266511311743</v>
      </c>
      <c r="BA107" s="1264">
        <f t="shared" si="171"/>
        <v>4.4156481712883133</v>
      </c>
      <c r="BB107" s="1264">
        <f t="shared" si="171"/>
        <v>0</v>
      </c>
      <c r="BC107" s="1263">
        <f t="shared" si="171"/>
        <v>0</v>
      </c>
      <c r="BD107" s="97"/>
      <c r="BE107" s="568" t="s">
        <v>366</v>
      </c>
      <c r="BF107" s="568" t="s">
        <v>366</v>
      </c>
      <c r="BG107" s="591" t="str">
        <f>IFERROR(INDEX('Annex 2_Code'!$J$110:$J$127,MATCH('Annex 5_MRD'!BE107,'Annex 2_Code'!$G$110:$G$127,0)),"")</f>
        <v>MRD</v>
      </c>
      <c r="BH107" s="1565" t="str">
        <f t="shared" si="126"/>
        <v>MRD</v>
      </c>
      <c r="BI107" s="97"/>
    </row>
    <row r="108" spans="1:61" ht="14.25">
      <c r="A108" s="1287"/>
      <c r="B108" s="76" t="s">
        <v>24</v>
      </c>
      <c r="C108" s="76" t="s">
        <v>307</v>
      </c>
      <c r="D108" s="1288"/>
      <c r="E108" s="1289"/>
      <c r="F108" s="66" t="s">
        <v>937</v>
      </c>
      <c r="G108" s="1291"/>
      <c r="H108" s="1755" t="s">
        <v>1095</v>
      </c>
      <c r="I108" s="1310">
        <v>18</v>
      </c>
      <c r="J108" s="1026">
        <v>1.7999999999999999E-2</v>
      </c>
      <c r="K108" s="1579">
        <v>0</v>
      </c>
      <c r="L108" s="1261">
        <v>0</v>
      </c>
      <c r="M108" s="1261">
        <v>0</v>
      </c>
      <c r="N108" s="1261">
        <v>13661.189999999999</v>
      </c>
      <c r="O108" s="1280">
        <f t="shared" si="155"/>
        <v>13661.189999999999</v>
      </c>
      <c r="P108" s="2258">
        <f t="shared" si="156"/>
        <v>0</v>
      </c>
      <c r="Q108" s="2258">
        <f t="shared" si="157"/>
        <v>0</v>
      </c>
      <c r="R108" s="2258">
        <f t="shared" si="158"/>
        <v>0</v>
      </c>
      <c r="S108" s="2258">
        <f t="shared" si="159"/>
        <v>245.90141999999997</v>
      </c>
      <c r="T108" s="1281">
        <f t="shared" si="160"/>
        <v>245.90141999999997</v>
      </c>
      <c r="U108" s="1250">
        <f>IFERROR(INDEX([8]Code!I$8:I$33,MATCH('[8]$MRD-Annex'!$BG110,[8]Code!$G$8:$G$33,0)),"")</f>
        <v>0.76827006604510995</v>
      </c>
      <c r="V108" s="1251">
        <f>IFERROR(INDEX([8]Code!J$8:J$33,MATCH('[8]$MRD-Annex'!$BG110,[8]Code!$G$8:$G$33,0)),"")</f>
        <v>0.12645069473218948</v>
      </c>
      <c r="W108" s="1251">
        <f>IFERROR(INDEX([8]Code!K$8:K$33,MATCH('[8]$MRD-Annex'!$BG110,[8]Code!$G$8:$G$33,0)),"")</f>
        <v>0.10527923922270058</v>
      </c>
      <c r="X108" s="1251">
        <f>IFERROR(INDEX([8]Code!L$8:L$33,MATCH('[8]$MRD-Annex'!$BG110,[8]Code!$G$8:$G$33,0)),"")</f>
        <v>0</v>
      </c>
      <c r="Y108" s="1252">
        <f>IFERROR(INDEX([8]Code!M$8:M$33,MATCH('[8]$MRD-Annex'!$BG110,[8]Code!$G$8:$G$33,0)),"")</f>
        <v>0</v>
      </c>
      <c r="Z108" s="1253">
        <f t="shared" si="161"/>
        <v>0</v>
      </c>
      <c r="AA108" s="1254">
        <f t="shared" si="161"/>
        <v>0</v>
      </c>
      <c r="AB108" s="1254">
        <f t="shared" si="161"/>
        <v>0</v>
      </c>
      <c r="AC108" s="1254">
        <f t="shared" si="161"/>
        <v>188.91870018398629</v>
      </c>
      <c r="AD108" s="1255">
        <f t="shared" si="162"/>
        <v>188.91870018398629</v>
      </c>
      <c r="AE108" s="1253">
        <f t="shared" si="163"/>
        <v>0</v>
      </c>
      <c r="AF108" s="1254">
        <f t="shared" si="163"/>
        <v>0</v>
      </c>
      <c r="AG108" s="1254">
        <f t="shared" si="163"/>
        <v>0</v>
      </c>
      <c r="AH108" s="1254">
        <f t="shared" si="163"/>
        <v>31.094405394631909</v>
      </c>
      <c r="AI108" s="1255">
        <f t="shared" si="163"/>
        <v>31.094405394631909</v>
      </c>
      <c r="AJ108" s="1254">
        <f t="shared" si="164"/>
        <v>0</v>
      </c>
      <c r="AK108" s="1254">
        <f t="shared" si="164"/>
        <v>0</v>
      </c>
      <c r="AL108" s="1254">
        <f t="shared" si="164"/>
        <v>0</v>
      </c>
      <c r="AM108" s="1254">
        <f t="shared" si="164"/>
        <v>25.888314421381764</v>
      </c>
      <c r="AN108" s="1256">
        <f t="shared" si="165"/>
        <v>25.888314421381764</v>
      </c>
      <c r="AO108" s="1253">
        <f t="shared" si="166"/>
        <v>0</v>
      </c>
      <c r="AP108" s="1254">
        <f t="shared" si="166"/>
        <v>0</v>
      </c>
      <c r="AQ108" s="1254">
        <f t="shared" si="166"/>
        <v>0</v>
      </c>
      <c r="AR108" s="1254">
        <f t="shared" si="166"/>
        <v>0</v>
      </c>
      <c r="AS108" s="1257">
        <f t="shared" si="167"/>
        <v>0</v>
      </c>
      <c r="AT108" s="1253">
        <f t="shared" si="168"/>
        <v>0</v>
      </c>
      <c r="AU108" s="1254">
        <f t="shared" si="168"/>
        <v>0</v>
      </c>
      <c r="AV108" s="1254">
        <f t="shared" si="168"/>
        <v>0</v>
      </c>
      <c r="AW108" s="1254">
        <f t="shared" si="168"/>
        <v>0</v>
      </c>
      <c r="AX108" s="1257">
        <f t="shared" si="169"/>
        <v>0</v>
      </c>
      <c r="AY108" s="1258">
        <f t="shared" si="170"/>
        <v>188.91870018398629</v>
      </c>
      <c r="AZ108" s="1264">
        <f t="shared" si="171"/>
        <v>31.094405394631909</v>
      </c>
      <c r="BA108" s="1264">
        <f t="shared" si="171"/>
        <v>25.888314421381764</v>
      </c>
      <c r="BB108" s="1264">
        <f t="shared" si="171"/>
        <v>0</v>
      </c>
      <c r="BC108" s="1263">
        <f t="shared" si="171"/>
        <v>0</v>
      </c>
      <c r="BD108" s="97"/>
      <c r="BE108" s="568" t="s">
        <v>366</v>
      </c>
      <c r="BF108" s="568" t="s">
        <v>366</v>
      </c>
      <c r="BG108" s="591" t="str">
        <f>IFERROR(INDEX('Annex 2_Code'!$J$110:$J$127,MATCH('Annex 5_MRD'!BE108,'Annex 2_Code'!$G$110:$G$127,0)),"")</f>
        <v>MRD</v>
      </c>
      <c r="BH108" s="1565" t="str">
        <f t="shared" si="126"/>
        <v>MRD</v>
      </c>
      <c r="BI108" s="97"/>
    </row>
    <row r="109" spans="1:61" ht="14.25">
      <c r="A109" s="1287"/>
      <c r="B109" s="76" t="s">
        <v>24</v>
      </c>
      <c r="C109" s="76" t="s">
        <v>307</v>
      </c>
      <c r="D109" s="1288"/>
      <c r="E109" s="1289"/>
      <c r="F109" s="66" t="s">
        <v>938</v>
      </c>
      <c r="G109" s="1291"/>
      <c r="H109" s="1755" t="s">
        <v>1095</v>
      </c>
      <c r="I109" s="1310">
        <v>4</v>
      </c>
      <c r="J109" s="1026">
        <v>4.0000000000000001E-3</v>
      </c>
      <c r="K109" s="1579">
        <v>0</v>
      </c>
      <c r="L109" s="1261">
        <v>0</v>
      </c>
      <c r="M109" s="1261">
        <v>0</v>
      </c>
      <c r="N109" s="1261">
        <v>22768.649999999998</v>
      </c>
      <c r="O109" s="1280">
        <f t="shared" si="155"/>
        <v>22768.649999999998</v>
      </c>
      <c r="P109" s="2258">
        <f t="shared" si="156"/>
        <v>0</v>
      </c>
      <c r="Q109" s="2258">
        <f t="shared" si="157"/>
        <v>0</v>
      </c>
      <c r="R109" s="2258">
        <f t="shared" si="158"/>
        <v>0</v>
      </c>
      <c r="S109" s="2258">
        <f t="shared" si="159"/>
        <v>91.07459999999999</v>
      </c>
      <c r="T109" s="1281">
        <f t="shared" si="160"/>
        <v>91.07459999999999</v>
      </c>
      <c r="U109" s="1250">
        <f>IFERROR(INDEX([8]Code!I$8:I$33,MATCH('[8]$MRD-Annex'!$BG111,[8]Code!$G$8:$G$33,0)),"")</f>
        <v>0.76827006604510995</v>
      </c>
      <c r="V109" s="1251">
        <f>IFERROR(INDEX([8]Code!J$8:J$33,MATCH('[8]$MRD-Annex'!$BG111,[8]Code!$G$8:$G$33,0)),"")</f>
        <v>0.12645069473218948</v>
      </c>
      <c r="W109" s="1251">
        <f>IFERROR(INDEX([8]Code!K$8:K$33,MATCH('[8]$MRD-Annex'!$BG111,[8]Code!$G$8:$G$33,0)),"")</f>
        <v>0.10527923922270058</v>
      </c>
      <c r="X109" s="1251">
        <f>IFERROR(INDEX([8]Code!L$8:L$33,MATCH('[8]$MRD-Annex'!$BG111,[8]Code!$G$8:$G$33,0)),"")</f>
        <v>0</v>
      </c>
      <c r="Y109" s="1252">
        <f>IFERROR(INDEX([8]Code!M$8:M$33,MATCH('[8]$MRD-Annex'!$BG111,[8]Code!$G$8:$G$33,0)),"")</f>
        <v>0</v>
      </c>
      <c r="Z109" s="1253">
        <f t="shared" si="161"/>
        <v>0</v>
      </c>
      <c r="AA109" s="1254">
        <f t="shared" si="161"/>
        <v>0</v>
      </c>
      <c r="AB109" s="1254">
        <f t="shared" si="161"/>
        <v>0</v>
      </c>
      <c r="AC109" s="1254">
        <f t="shared" si="161"/>
        <v>69.969888957031955</v>
      </c>
      <c r="AD109" s="1255">
        <f t="shared" si="162"/>
        <v>69.969888957031955</v>
      </c>
      <c r="AE109" s="1253">
        <f t="shared" si="163"/>
        <v>0</v>
      </c>
      <c r="AF109" s="1254">
        <f t="shared" si="163"/>
        <v>0</v>
      </c>
      <c r="AG109" s="1254">
        <f t="shared" si="163"/>
        <v>0</v>
      </c>
      <c r="AH109" s="1254">
        <f t="shared" si="163"/>
        <v>11.516446442456262</v>
      </c>
      <c r="AI109" s="1255">
        <f t="shared" si="163"/>
        <v>11.516446442456262</v>
      </c>
      <c r="AJ109" s="1254">
        <f t="shared" si="164"/>
        <v>0</v>
      </c>
      <c r="AK109" s="1254">
        <f t="shared" si="164"/>
        <v>0</v>
      </c>
      <c r="AL109" s="1254">
        <f t="shared" si="164"/>
        <v>0</v>
      </c>
      <c r="AM109" s="1254">
        <f t="shared" si="164"/>
        <v>9.5882646005117653</v>
      </c>
      <c r="AN109" s="1256">
        <f t="shared" si="165"/>
        <v>9.5882646005117653</v>
      </c>
      <c r="AO109" s="1253">
        <f t="shared" si="166"/>
        <v>0</v>
      </c>
      <c r="AP109" s="1254">
        <f t="shared" si="166"/>
        <v>0</v>
      </c>
      <c r="AQ109" s="1254">
        <f t="shared" si="166"/>
        <v>0</v>
      </c>
      <c r="AR109" s="1254">
        <f t="shared" si="166"/>
        <v>0</v>
      </c>
      <c r="AS109" s="1257">
        <f t="shared" si="167"/>
        <v>0</v>
      </c>
      <c r="AT109" s="1253">
        <f t="shared" si="168"/>
        <v>0</v>
      </c>
      <c r="AU109" s="1254">
        <f t="shared" si="168"/>
        <v>0</v>
      </c>
      <c r="AV109" s="1254">
        <f t="shared" si="168"/>
        <v>0</v>
      </c>
      <c r="AW109" s="1254">
        <f t="shared" si="168"/>
        <v>0</v>
      </c>
      <c r="AX109" s="1257">
        <f t="shared" si="169"/>
        <v>0</v>
      </c>
      <c r="AY109" s="1258">
        <f t="shared" si="170"/>
        <v>69.969888957031955</v>
      </c>
      <c r="AZ109" s="1264">
        <f t="shared" si="171"/>
        <v>11.516446442456262</v>
      </c>
      <c r="BA109" s="1264">
        <f t="shared" si="171"/>
        <v>9.5882646005117653</v>
      </c>
      <c r="BB109" s="1264">
        <f t="shared" si="171"/>
        <v>0</v>
      </c>
      <c r="BC109" s="1263">
        <f t="shared" si="171"/>
        <v>0</v>
      </c>
      <c r="BD109" s="97"/>
      <c r="BE109" s="568" t="s">
        <v>366</v>
      </c>
      <c r="BF109" s="568" t="s">
        <v>366</v>
      </c>
      <c r="BG109" s="591" t="str">
        <f>IFERROR(INDEX('Annex 2_Code'!$J$110:$J$127,MATCH('Annex 5_MRD'!BE109,'Annex 2_Code'!$G$110:$G$127,0)),"")</f>
        <v>MRD</v>
      </c>
      <c r="BH109" s="1565" t="str">
        <f t="shared" si="126"/>
        <v>MRD</v>
      </c>
      <c r="BI109" s="97"/>
    </row>
    <row r="110" spans="1:61" ht="14.25">
      <c r="A110" s="1287"/>
      <c r="B110" s="76" t="s">
        <v>24</v>
      </c>
      <c r="C110" s="76" t="s">
        <v>307</v>
      </c>
      <c r="D110" s="1288"/>
      <c r="E110" s="1289"/>
      <c r="F110" s="66" t="s">
        <v>939</v>
      </c>
      <c r="G110" s="1291"/>
      <c r="H110" s="1755" t="s">
        <v>1095</v>
      </c>
      <c r="I110" s="1310">
        <v>3.5</v>
      </c>
      <c r="J110" s="1026">
        <v>3.5000000000000001E-3</v>
      </c>
      <c r="K110" s="1579">
        <v>0</v>
      </c>
      <c r="L110" s="1261">
        <v>0</v>
      </c>
      <c r="M110" s="1261">
        <v>0</v>
      </c>
      <c r="N110" s="1261">
        <v>14060.640000000001</v>
      </c>
      <c r="O110" s="1280">
        <f t="shared" si="155"/>
        <v>14060.640000000001</v>
      </c>
      <c r="P110" s="2258">
        <f t="shared" si="156"/>
        <v>0</v>
      </c>
      <c r="Q110" s="2258">
        <f t="shared" si="157"/>
        <v>0</v>
      </c>
      <c r="R110" s="2258">
        <f t="shared" si="158"/>
        <v>0</v>
      </c>
      <c r="S110" s="2258">
        <f t="shared" si="159"/>
        <v>49.212240000000008</v>
      </c>
      <c r="T110" s="1281">
        <f t="shared" si="160"/>
        <v>49.212240000000008</v>
      </c>
      <c r="U110" s="1250">
        <f>IFERROR(INDEX([8]Code!I$8:I$33,MATCH('[8]$MRD-Annex'!$BG112,[8]Code!$G$8:$G$33,0)),"")</f>
        <v>0.76827006604510995</v>
      </c>
      <c r="V110" s="1251">
        <f>IFERROR(INDEX([8]Code!J$8:J$33,MATCH('[8]$MRD-Annex'!$BG112,[8]Code!$G$8:$G$33,0)),"")</f>
        <v>0.12645069473218948</v>
      </c>
      <c r="W110" s="1251">
        <f>IFERROR(INDEX([8]Code!K$8:K$33,MATCH('[8]$MRD-Annex'!$BG112,[8]Code!$G$8:$G$33,0)),"")</f>
        <v>0.10527923922270058</v>
      </c>
      <c r="X110" s="1251">
        <f>IFERROR(INDEX([8]Code!L$8:L$33,MATCH('[8]$MRD-Annex'!$BG112,[8]Code!$G$8:$G$33,0)),"")</f>
        <v>0</v>
      </c>
      <c r="Y110" s="1252">
        <f>IFERROR(INDEX([8]Code!M$8:M$33,MATCH('[8]$MRD-Annex'!$BG112,[8]Code!$G$8:$G$33,0)),"")</f>
        <v>0</v>
      </c>
      <c r="Z110" s="1253">
        <f t="shared" si="161"/>
        <v>0</v>
      </c>
      <c r="AA110" s="1254">
        <f t="shared" si="161"/>
        <v>0</v>
      </c>
      <c r="AB110" s="1254">
        <f t="shared" si="161"/>
        <v>0</v>
      </c>
      <c r="AC110" s="1254">
        <f t="shared" si="161"/>
        <v>37.808290875027808</v>
      </c>
      <c r="AD110" s="1255">
        <f t="shared" si="162"/>
        <v>37.808290875027808</v>
      </c>
      <c r="AE110" s="1253">
        <f t="shared" si="163"/>
        <v>0</v>
      </c>
      <c r="AF110" s="1254">
        <f t="shared" si="163"/>
        <v>0</v>
      </c>
      <c r="AG110" s="1254">
        <f t="shared" si="163"/>
        <v>0</v>
      </c>
      <c r="AH110" s="1254">
        <f t="shared" si="163"/>
        <v>6.2229219373272455</v>
      </c>
      <c r="AI110" s="1255">
        <f t="shared" si="163"/>
        <v>6.2229219373272455</v>
      </c>
      <c r="AJ110" s="1254">
        <f t="shared" si="164"/>
        <v>0</v>
      </c>
      <c r="AK110" s="1254">
        <f t="shared" si="164"/>
        <v>0</v>
      </c>
      <c r="AL110" s="1254">
        <f t="shared" si="164"/>
        <v>0</v>
      </c>
      <c r="AM110" s="1254">
        <f t="shared" si="164"/>
        <v>5.181027187644955</v>
      </c>
      <c r="AN110" s="1256">
        <f t="shared" si="165"/>
        <v>5.181027187644955</v>
      </c>
      <c r="AO110" s="1253">
        <f t="shared" si="166"/>
        <v>0</v>
      </c>
      <c r="AP110" s="1254">
        <f t="shared" si="166"/>
        <v>0</v>
      </c>
      <c r="AQ110" s="1254">
        <f t="shared" si="166"/>
        <v>0</v>
      </c>
      <c r="AR110" s="1254">
        <f t="shared" si="166"/>
        <v>0</v>
      </c>
      <c r="AS110" s="1257">
        <f t="shared" si="167"/>
        <v>0</v>
      </c>
      <c r="AT110" s="1253">
        <f t="shared" si="168"/>
        <v>0</v>
      </c>
      <c r="AU110" s="1254">
        <f t="shared" si="168"/>
        <v>0</v>
      </c>
      <c r="AV110" s="1254">
        <f t="shared" si="168"/>
        <v>0</v>
      </c>
      <c r="AW110" s="1254">
        <f t="shared" si="168"/>
        <v>0</v>
      </c>
      <c r="AX110" s="1257">
        <f t="shared" si="169"/>
        <v>0</v>
      </c>
      <c r="AY110" s="1258">
        <f t="shared" si="170"/>
        <v>37.808290875027808</v>
      </c>
      <c r="AZ110" s="1264">
        <f t="shared" si="171"/>
        <v>6.2229219373272455</v>
      </c>
      <c r="BA110" s="1264">
        <f t="shared" si="171"/>
        <v>5.181027187644955</v>
      </c>
      <c r="BB110" s="1264">
        <f t="shared" si="171"/>
        <v>0</v>
      </c>
      <c r="BC110" s="1263">
        <f t="shared" si="171"/>
        <v>0</v>
      </c>
      <c r="BD110" s="97"/>
      <c r="BE110" s="568" t="s">
        <v>366</v>
      </c>
      <c r="BF110" s="568" t="s">
        <v>366</v>
      </c>
      <c r="BG110" s="591" t="str">
        <f>IFERROR(INDEX('Annex 2_Code'!$J$110:$J$127,MATCH('Annex 5_MRD'!BE110,'Annex 2_Code'!$G$110:$G$127,0)),"")</f>
        <v>MRD</v>
      </c>
      <c r="BH110" s="1565" t="str">
        <f t="shared" si="126"/>
        <v>MRD</v>
      </c>
      <c r="BI110" s="97"/>
    </row>
    <row r="111" spans="1:61" ht="14.25">
      <c r="A111" s="1287"/>
      <c r="B111" s="76" t="s">
        <v>24</v>
      </c>
      <c r="C111" s="76" t="s">
        <v>307</v>
      </c>
      <c r="D111" s="1288"/>
      <c r="E111" s="1289"/>
      <c r="F111" s="66" t="s">
        <v>940</v>
      </c>
      <c r="G111" s="1291"/>
      <c r="H111" s="1755" t="s">
        <v>1095</v>
      </c>
      <c r="I111" s="1310">
        <v>1.45</v>
      </c>
      <c r="J111" s="1026">
        <v>1.4499999999999999E-3</v>
      </c>
      <c r="K111" s="1579">
        <v>0</v>
      </c>
      <c r="L111" s="1261">
        <v>0</v>
      </c>
      <c r="M111" s="1261">
        <v>0</v>
      </c>
      <c r="N111" s="1261">
        <v>39146.100000000006</v>
      </c>
      <c r="O111" s="1280">
        <f t="shared" si="155"/>
        <v>39146.100000000006</v>
      </c>
      <c r="P111" s="2258">
        <f t="shared" si="156"/>
        <v>0</v>
      </c>
      <c r="Q111" s="2258">
        <f t="shared" si="157"/>
        <v>0</v>
      </c>
      <c r="R111" s="2258">
        <f t="shared" si="158"/>
        <v>0</v>
      </c>
      <c r="S111" s="2258">
        <f t="shared" si="159"/>
        <v>56.761845000000008</v>
      </c>
      <c r="T111" s="1281">
        <f t="shared" si="160"/>
        <v>56.761845000000008</v>
      </c>
      <c r="U111" s="1250">
        <f>IFERROR(INDEX([8]Code!I$8:I$33,MATCH('[8]$MRD-Annex'!$BG113,[8]Code!$G$8:$G$33,0)),"")</f>
        <v>0.76827006604510995</v>
      </c>
      <c r="V111" s="1251">
        <f>IFERROR(INDEX([8]Code!J$8:J$33,MATCH('[8]$MRD-Annex'!$BG113,[8]Code!$G$8:$G$33,0)),"")</f>
        <v>0.12645069473218948</v>
      </c>
      <c r="W111" s="1251">
        <f>IFERROR(INDEX([8]Code!K$8:K$33,MATCH('[8]$MRD-Annex'!$BG113,[8]Code!$G$8:$G$33,0)),"")</f>
        <v>0.10527923922270058</v>
      </c>
      <c r="X111" s="1251">
        <f>IFERROR(INDEX([8]Code!L$8:L$33,MATCH('[8]$MRD-Annex'!$BG113,[8]Code!$G$8:$G$33,0)),"")</f>
        <v>0</v>
      </c>
      <c r="Y111" s="1252">
        <f>IFERROR(INDEX([8]Code!M$8:M$33,MATCH('[8]$MRD-Annex'!$BG113,[8]Code!$G$8:$G$33,0)),"")</f>
        <v>0</v>
      </c>
      <c r="Z111" s="1253">
        <f t="shared" si="161"/>
        <v>0</v>
      </c>
      <c r="AA111" s="1254">
        <f t="shared" si="161"/>
        <v>0</v>
      </c>
      <c r="AB111" s="1254">
        <f t="shared" si="161"/>
        <v>0</v>
      </c>
      <c r="AC111" s="1254">
        <f t="shared" si="161"/>
        <v>43.608426406992301</v>
      </c>
      <c r="AD111" s="1255">
        <f t="shared" si="162"/>
        <v>43.608426406992301</v>
      </c>
      <c r="AE111" s="1253">
        <f t="shared" si="163"/>
        <v>0</v>
      </c>
      <c r="AF111" s="1254">
        <f t="shared" si="163"/>
        <v>0</v>
      </c>
      <c r="AG111" s="1254">
        <f t="shared" si="163"/>
        <v>0</v>
      </c>
      <c r="AH111" s="1254">
        <f t="shared" si="163"/>
        <v>7.1775747345308565</v>
      </c>
      <c r="AI111" s="1255">
        <f t="shared" si="163"/>
        <v>7.1775747345308565</v>
      </c>
      <c r="AJ111" s="1254">
        <f t="shared" si="164"/>
        <v>0</v>
      </c>
      <c r="AK111" s="1254">
        <f t="shared" si="164"/>
        <v>0</v>
      </c>
      <c r="AL111" s="1254">
        <f t="shared" si="164"/>
        <v>0</v>
      </c>
      <c r="AM111" s="1254">
        <f t="shared" si="164"/>
        <v>5.9758438584768516</v>
      </c>
      <c r="AN111" s="1256">
        <f t="shared" si="165"/>
        <v>5.9758438584768516</v>
      </c>
      <c r="AO111" s="1253">
        <f t="shared" si="166"/>
        <v>0</v>
      </c>
      <c r="AP111" s="1254">
        <f t="shared" si="166"/>
        <v>0</v>
      </c>
      <c r="AQ111" s="1254">
        <f t="shared" si="166"/>
        <v>0</v>
      </c>
      <c r="AR111" s="1254">
        <f t="shared" si="166"/>
        <v>0</v>
      </c>
      <c r="AS111" s="1257">
        <f t="shared" si="167"/>
        <v>0</v>
      </c>
      <c r="AT111" s="1253">
        <f t="shared" si="168"/>
        <v>0</v>
      </c>
      <c r="AU111" s="1254">
        <f t="shared" si="168"/>
        <v>0</v>
      </c>
      <c r="AV111" s="1254">
        <f t="shared" si="168"/>
        <v>0</v>
      </c>
      <c r="AW111" s="1254">
        <f t="shared" si="168"/>
        <v>0</v>
      </c>
      <c r="AX111" s="1257">
        <f t="shared" si="169"/>
        <v>0</v>
      </c>
      <c r="AY111" s="1258">
        <f t="shared" si="170"/>
        <v>43.608426406992301</v>
      </c>
      <c r="AZ111" s="1264">
        <f t="shared" si="171"/>
        <v>7.1775747345308565</v>
      </c>
      <c r="BA111" s="1264">
        <f t="shared" si="171"/>
        <v>5.9758438584768516</v>
      </c>
      <c r="BB111" s="1264">
        <f t="shared" si="171"/>
        <v>0</v>
      </c>
      <c r="BC111" s="1263">
        <f t="shared" si="171"/>
        <v>0</v>
      </c>
      <c r="BD111" s="97"/>
      <c r="BE111" s="568" t="s">
        <v>366</v>
      </c>
      <c r="BF111" s="568" t="s">
        <v>366</v>
      </c>
      <c r="BG111" s="591" t="str">
        <f>IFERROR(INDEX('Annex 2_Code'!$J$110:$J$127,MATCH('Annex 5_MRD'!BE111,'Annex 2_Code'!$G$110:$G$127,0)),"")</f>
        <v>MRD</v>
      </c>
      <c r="BH111" s="1565" t="str">
        <f t="shared" si="126"/>
        <v>MRD</v>
      </c>
      <c r="BI111" s="97"/>
    </row>
    <row r="112" spans="1:61">
      <c r="A112" s="1287"/>
      <c r="B112" s="76" t="s">
        <v>24</v>
      </c>
      <c r="C112" s="76" t="s">
        <v>307</v>
      </c>
      <c r="D112" s="1288"/>
      <c r="E112" s="1289"/>
      <c r="F112" s="66" t="s">
        <v>308</v>
      </c>
      <c r="G112" s="1291"/>
      <c r="H112" s="1743" t="s">
        <v>309</v>
      </c>
      <c r="I112" s="1578">
        <v>69238</v>
      </c>
      <c r="J112" s="1026">
        <v>69.238</v>
      </c>
      <c r="K112" s="1579">
        <v>0</v>
      </c>
      <c r="L112" s="1266">
        <v>0</v>
      </c>
      <c r="M112" s="1266">
        <v>0</v>
      </c>
      <c r="N112" s="1266">
        <v>0.15</v>
      </c>
      <c r="O112" s="1280">
        <f t="shared" si="155"/>
        <v>0.15</v>
      </c>
      <c r="P112" s="2258">
        <f t="shared" si="156"/>
        <v>0</v>
      </c>
      <c r="Q112" s="2258">
        <f t="shared" si="157"/>
        <v>0</v>
      </c>
      <c r="R112" s="2258">
        <f t="shared" si="158"/>
        <v>0</v>
      </c>
      <c r="S112" s="2258">
        <f t="shared" si="159"/>
        <v>10.385699999999998</v>
      </c>
      <c r="T112" s="1281">
        <f t="shared" si="160"/>
        <v>10.385699999999998</v>
      </c>
      <c r="U112" s="1250">
        <f>IFERROR(INDEX([8]Code!I$8:I$33,MATCH('[8]$MRD-Annex'!$BG114,[8]Code!$G$8:$G$33,0)),"")</f>
        <v>0.76827006604510995</v>
      </c>
      <c r="V112" s="1251">
        <f>IFERROR(INDEX([8]Code!J$8:J$33,MATCH('[8]$MRD-Annex'!$BG114,[8]Code!$G$8:$G$33,0)),"")</f>
        <v>0.12645069473218948</v>
      </c>
      <c r="W112" s="1251">
        <f>IFERROR(INDEX([8]Code!K$8:K$33,MATCH('[8]$MRD-Annex'!$BG114,[8]Code!$G$8:$G$33,0)),"")</f>
        <v>0.10527923922270058</v>
      </c>
      <c r="X112" s="1251">
        <f>IFERROR(INDEX([8]Code!L$8:L$33,MATCH('[8]$MRD-Annex'!$BG114,[8]Code!$G$8:$G$33,0)),"")</f>
        <v>0</v>
      </c>
      <c r="Y112" s="1252">
        <f>IFERROR(INDEX([8]Code!M$8:M$33,MATCH('[8]$MRD-Annex'!$BG114,[8]Code!$G$8:$G$33,0)),"")</f>
        <v>0</v>
      </c>
      <c r="Z112" s="1253">
        <f t="shared" si="161"/>
        <v>0</v>
      </c>
      <c r="AA112" s="1254">
        <f t="shared" si="161"/>
        <v>0</v>
      </c>
      <c r="AB112" s="1254">
        <f t="shared" si="161"/>
        <v>0</v>
      </c>
      <c r="AC112" s="1254">
        <f t="shared" si="161"/>
        <v>7.9790224249246968</v>
      </c>
      <c r="AD112" s="1255">
        <f t="shared" si="162"/>
        <v>7.9790224249246968</v>
      </c>
      <c r="AE112" s="1253">
        <f t="shared" si="163"/>
        <v>0</v>
      </c>
      <c r="AF112" s="1254">
        <f t="shared" si="163"/>
        <v>0</v>
      </c>
      <c r="AG112" s="1254">
        <f t="shared" si="163"/>
        <v>0</v>
      </c>
      <c r="AH112" s="1254">
        <f t="shared" si="163"/>
        <v>1.3132789802800999</v>
      </c>
      <c r="AI112" s="1255">
        <f t="shared" si="163"/>
        <v>1.3132789802800999</v>
      </c>
      <c r="AJ112" s="1254">
        <f t="shared" si="164"/>
        <v>0</v>
      </c>
      <c r="AK112" s="1254">
        <f t="shared" si="164"/>
        <v>0</v>
      </c>
      <c r="AL112" s="1254">
        <f t="shared" si="164"/>
        <v>0</v>
      </c>
      <c r="AM112" s="1254">
        <f t="shared" si="164"/>
        <v>1.0933985947952012</v>
      </c>
      <c r="AN112" s="1256">
        <f t="shared" si="165"/>
        <v>1.0933985947952012</v>
      </c>
      <c r="AO112" s="1253">
        <f t="shared" si="166"/>
        <v>0</v>
      </c>
      <c r="AP112" s="1254">
        <f t="shared" si="166"/>
        <v>0</v>
      </c>
      <c r="AQ112" s="1254">
        <f t="shared" si="166"/>
        <v>0</v>
      </c>
      <c r="AR112" s="1254">
        <f t="shared" si="166"/>
        <v>0</v>
      </c>
      <c r="AS112" s="1257">
        <f t="shared" si="167"/>
        <v>0</v>
      </c>
      <c r="AT112" s="1253">
        <f t="shared" si="168"/>
        <v>0</v>
      </c>
      <c r="AU112" s="1254">
        <f t="shared" si="168"/>
        <v>0</v>
      </c>
      <c r="AV112" s="1254">
        <f t="shared" si="168"/>
        <v>0</v>
      </c>
      <c r="AW112" s="1254">
        <f t="shared" si="168"/>
        <v>0</v>
      </c>
      <c r="AX112" s="1257">
        <f t="shared" si="169"/>
        <v>0</v>
      </c>
      <c r="AY112" s="1258">
        <f t="shared" si="170"/>
        <v>7.9790224249246968</v>
      </c>
      <c r="AZ112" s="1264">
        <f t="shared" si="171"/>
        <v>1.3132789802800999</v>
      </c>
      <c r="BA112" s="1264">
        <f t="shared" si="171"/>
        <v>1.0933985947952012</v>
      </c>
      <c r="BB112" s="1264">
        <f t="shared" si="171"/>
        <v>0</v>
      </c>
      <c r="BC112" s="1263">
        <f t="shared" si="171"/>
        <v>0</v>
      </c>
      <c r="BD112" s="97"/>
      <c r="BE112" s="568" t="s">
        <v>366</v>
      </c>
      <c r="BF112" s="568" t="s">
        <v>366</v>
      </c>
      <c r="BG112" s="591" t="str">
        <f>IFERROR(INDEX('Annex 2_Code'!$J$110:$J$127,MATCH('Annex 5_MRD'!BE112,'Annex 2_Code'!$G$110:$G$127,0)),"")</f>
        <v>MRD</v>
      </c>
      <c r="BH112" s="1565" t="str">
        <f t="shared" si="126"/>
        <v>MRD</v>
      </c>
      <c r="BI112" s="97"/>
    </row>
    <row r="113" spans="1:61">
      <c r="A113" s="1287"/>
      <c r="B113" s="76" t="s">
        <v>24</v>
      </c>
      <c r="C113" s="76" t="s">
        <v>307</v>
      </c>
      <c r="D113" s="1288"/>
      <c r="E113" s="1289"/>
      <c r="F113" s="97" t="s">
        <v>946</v>
      </c>
      <c r="G113" s="1291"/>
      <c r="H113" s="1743" t="s">
        <v>309</v>
      </c>
      <c r="I113" s="1578">
        <v>319560</v>
      </c>
      <c r="J113" s="1026">
        <v>319.56</v>
      </c>
      <c r="K113" s="1581"/>
      <c r="L113" s="1313">
        <v>0</v>
      </c>
      <c r="M113" s="1266">
        <v>0</v>
      </c>
      <c r="N113" s="1266">
        <v>0.15</v>
      </c>
      <c r="O113" s="1280">
        <f t="shared" si="155"/>
        <v>0.15</v>
      </c>
      <c r="P113" s="2258">
        <f t="shared" si="156"/>
        <v>0</v>
      </c>
      <c r="Q113" s="2258">
        <f t="shared" si="157"/>
        <v>0</v>
      </c>
      <c r="R113" s="2258">
        <f t="shared" si="158"/>
        <v>0</v>
      </c>
      <c r="S113" s="2258">
        <f t="shared" si="159"/>
        <v>47.933999999999997</v>
      </c>
      <c r="T113" s="1281">
        <f t="shared" si="160"/>
        <v>47.933999999999997</v>
      </c>
      <c r="U113" s="1250">
        <f>IFERROR(INDEX([8]Code!I$8:I$33,MATCH('[8]$MRD-Annex'!$BG115,[8]Code!$G$8:$G$33,0)),"")</f>
        <v>0.76827006604510995</v>
      </c>
      <c r="V113" s="1251">
        <f>IFERROR(INDEX([8]Code!J$8:J$33,MATCH('[8]$MRD-Annex'!$BG115,[8]Code!$G$8:$G$33,0)),"")</f>
        <v>0.12645069473218948</v>
      </c>
      <c r="W113" s="1251">
        <f>IFERROR(INDEX([8]Code!K$8:K$33,MATCH('[8]$MRD-Annex'!$BG115,[8]Code!$G$8:$G$33,0)),"")</f>
        <v>0.10527923922270058</v>
      </c>
      <c r="X113" s="1251">
        <f>IFERROR(INDEX([8]Code!L$8:L$33,MATCH('[8]$MRD-Annex'!$BG115,[8]Code!$G$8:$G$33,0)),"")</f>
        <v>0</v>
      </c>
      <c r="Y113" s="1252">
        <f>IFERROR(INDEX([8]Code!M$8:M$33,MATCH('[8]$MRD-Annex'!$BG115,[8]Code!$G$8:$G$33,0)),"")</f>
        <v>0</v>
      </c>
      <c r="Z113" s="1253">
        <f t="shared" si="161"/>
        <v>0</v>
      </c>
      <c r="AA113" s="1254">
        <f t="shared" si="161"/>
        <v>0</v>
      </c>
      <c r="AB113" s="1254">
        <f t="shared" si="161"/>
        <v>0</v>
      </c>
      <c r="AC113" s="1254">
        <f t="shared" si="161"/>
        <v>36.826257345806297</v>
      </c>
      <c r="AD113" s="1255">
        <f t="shared" si="162"/>
        <v>36.826257345806297</v>
      </c>
      <c r="AE113" s="1253">
        <f t="shared" si="163"/>
        <v>0</v>
      </c>
      <c r="AF113" s="1254">
        <f t="shared" si="163"/>
        <v>0</v>
      </c>
      <c r="AG113" s="1254">
        <f t="shared" si="163"/>
        <v>0</v>
      </c>
      <c r="AH113" s="1254">
        <f t="shared" si="163"/>
        <v>6.0612876012927703</v>
      </c>
      <c r="AI113" s="1255">
        <f t="shared" si="163"/>
        <v>6.0612876012927703</v>
      </c>
      <c r="AJ113" s="1254">
        <f t="shared" si="164"/>
        <v>0</v>
      </c>
      <c r="AK113" s="1254">
        <f t="shared" si="164"/>
        <v>0</v>
      </c>
      <c r="AL113" s="1254">
        <f t="shared" si="164"/>
        <v>0</v>
      </c>
      <c r="AM113" s="1254">
        <f t="shared" si="164"/>
        <v>5.0464550529009289</v>
      </c>
      <c r="AN113" s="1256">
        <f t="shared" si="165"/>
        <v>5.0464550529009289</v>
      </c>
      <c r="AO113" s="1253">
        <f t="shared" si="166"/>
        <v>0</v>
      </c>
      <c r="AP113" s="1254">
        <f t="shared" si="166"/>
        <v>0</v>
      </c>
      <c r="AQ113" s="1254">
        <f t="shared" si="166"/>
        <v>0</v>
      </c>
      <c r="AR113" s="1254">
        <f t="shared" si="166"/>
        <v>0</v>
      </c>
      <c r="AS113" s="1257">
        <f t="shared" si="167"/>
        <v>0</v>
      </c>
      <c r="AT113" s="1253">
        <f t="shared" si="168"/>
        <v>0</v>
      </c>
      <c r="AU113" s="1254">
        <f t="shared" si="168"/>
        <v>0</v>
      </c>
      <c r="AV113" s="1254">
        <f t="shared" si="168"/>
        <v>0</v>
      </c>
      <c r="AW113" s="1254">
        <f t="shared" si="168"/>
        <v>0</v>
      </c>
      <c r="AX113" s="1257">
        <f t="shared" si="169"/>
        <v>0</v>
      </c>
      <c r="AY113" s="1258">
        <f t="shared" si="170"/>
        <v>36.826257345806297</v>
      </c>
      <c r="AZ113" s="1264">
        <f t="shared" si="171"/>
        <v>6.0612876012927703</v>
      </c>
      <c r="BA113" s="1264">
        <f t="shared" si="171"/>
        <v>5.0464550529009289</v>
      </c>
      <c r="BB113" s="1264">
        <f t="shared" si="171"/>
        <v>0</v>
      </c>
      <c r="BC113" s="1263">
        <f t="shared" si="171"/>
        <v>0</v>
      </c>
      <c r="BD113" s="97"/>
      <c r="BE113" s="568" t="s">
        <v>366</v>
      </c>
      <c r="BF113" s="568" t="s">
        <v>366</v>
      </c>
      <c r="BG113" s="591" t="str">
        <f>IFERROR(INDEX('Annex 2_Code'!$J$110:$J$127,MATCH('Annex 5_MRD'!BE113,'Annex 2_Code'!$G$110:$G$127,0)),"")</f>
        <v>MRD</v>
      </c>
      <c r="BH113" s="1565" t="str">
        <f t="shared" si="126"/>
        <v>MRD</v>
      </c>
      <c r="BI113" s="97"/>
    </row>
    <row r="114" spans="1:61">
      <c r="A114" s="75"/>
      <c r="B114" s="1267"/>
      <c r="C114" s="1568"/>
      <c r="D114" s="382"/>
      <c r="E114" s="383" t="s">
        <v>41</v>
      </c>
      <c r="F114" s="384"/>
      <c r="G114" s="385"/>
      <c r="H114" s="775"/>
      <c r="I114" s="776"/>
      <c r="J114" s="1641"/>
      <c r="K114" s="791"/>
      <c r="L114" s="386"/>
      <c r="M114" s="839"/>
      <c r="N114" s="840"/>
      <c r="O114" s="388"/>
      <c r="P114" s="1268">
        <f>SUM(P102:P113)</f>
        <v>0</v>
      </c>
      <c r="Q114" s="1268">
        <f>SUM(Q102:Q113)</f>
        <v>0</v>
      </c>
      <c r="R114" s="1268">
        <f>SUM(R102:R113)</f>
        <v>0</v>
      </c>
      <c r="S114" s="1268">
        <f>SUM(S102:S113)</f>
        <v>577.24918949999994</v>
      </c>
      <c r="T114" s="1268">
        <f>SUM(T102:T113)</f>
        <v>577.24918949999994</v>
      </c>
      <c r="U114" s="1270" t="str">
        <f>IFERROR(INDEX([8]Code!I$8:I$33,MATCH('[8]$MRD-Annex'!$BG116,[8]Code!$G$8:$G$33,0)),"")</f>
        <v/>
      </c>
      <c r="V114" s="1271" t="str">
        <f>IFERROR(INDEX([8]Code!J$8:J$33,MATCH('[8]$MRD-Annex'!$BG116,[8]Code!$G$8:$G$33,0)),"")</f>
        <v/>
      </c>
      <c r="W114" s="1271" t="str">
        <f>IFERROR(INDEX([8]Code!K$8:K$33,MATCH('[8]$MRD-Annex'!$BG116,[8]Code!$G$8:$G$33,0)),"")</f>
        <v/>
      </c>
      <c r="X114" s="1271" t="str">
        <f>IFERROR(INDEX([8]Code!L$8:L$33,MATCH('[8]$MRD-Annex'!$BG116,[8]Code!$G$8:$G$33,0)),"")</f>
        <v/>
      </c>
      <c r="Y114" s="1272" t="str">
        <f>IFERROR(INDEX([8]Code!M$8:M$33,MATCH('[8]$MRD-Annex'!$BG116,[8]Code!$G$8:$G$33,0)),"")</f>
        <v/>
      </c>
      <c r="Z114" s="1274">
        <f t="shared" ref="Z114:AF114" si="172">SUM(Z113,Z112,Z111,Z110,Z109,Z108,Z107,Z106,Z105,Z104,Z103)</f>
        <v>0</v>
      </c>
      <c r="AA114" s="1268">
        <f t="shared" si="172"/>
        <v>0</v>
      </c>
      <c r="AB114" s="1268">
        <f t="shared" si="172"/>
        <v>0</v>
      </c>
      <c r="AC114" s="1268">
        <f t="shared" si="172"/>
        <v>443.48327294165119</v>
      </c>
      <c r="AD114" s="1275">
        <f t="shared" si="172"/>
        <v>443.48327294165119</v>
      </c>
      <c r="AE114" s="1274">
        <f t="shared" si="172"/>
        <v>0</v>
      </c>
      <c r="AF114" s="1268">
        <f t="shared" si="172"/>
        <v>0</v>
      </c>
      <c r="AG114" s="1268">
        <f>SUM(AG113,AG112,AG111,AG110,AG109,AG108,AG107,AG106,AG105,AG104,AG103)</f>
        <v>0</v>
      </c>
      <c r="AH114" s="1268">
        <f t="shared" ref="AH114:AI114" si="173">SUM(AH113,AH112,AH111,AH110,AH109,AH108,AH107,AH106,AH105,AH104,AH103)</f>
        <v>72.99356104586829</v>
      </c>
      <c r="AI114" s="1275">
        <f t="shared" si="173"/>
        <v>72.99356104586829</v>
      </c>
      <c r="AJ114" s="1274">
        <f>SUM(AJ113,AJ112,AJ111,AJ110,AJ109,AJ108,AJ107,AJ106,AJ105,AJ104,AJ103)</f>
        <v>0</v>
      </c>
      <c r="AK114" s="1268">
        <f t="shared" ref="AK114" si="174">SUM(AK113,AK112,AK111,AK110,AK109,AK108,AK107,AK106,AK105,AK104,AK103)</f>
        <v>0</v>
      </c>
      <c r="AL114" s="1268">
        <f>SUM(AL113,AL112,AL111,AL110,AL109,AL108,AL107,AL106,AL105,AL104,AL103)</f>
        <v>0</v>
      </c>
      <c r="AM114" s="1268">
        <f t="shared" ref="AM114:AN114" si="175">SUM(AM113,AM112,AM111,AM110,AM109,AM108,AM107,AM106,AM105,AM104,AM103)</f>
        <v>60.772355512480509</v>
      </c>
      <c r="AN114" s="1275">
        <f t="shared" si="175"/>
        <v>60.772355512480509</v>
      </c>
      <c r="AO114" s="1274"/>
      <c r="AP114" s="1268"/>
      <c r="AQ114" s="1268"/>
      <c r="AR114" s="1268"/>
      <c r="AS114" s="1276"/>
      <c r="AT114" s="1277"/>
      <c r="AU114" s="1273"/>
      <c r="AV114" s="1273"/>
      <c r="AW114" s="1273"/>
      <c r="AX114" s="1276"/>
      <c r="AY114" s="1278">
        <f>SUM(AY103:AY113)</f>
        <v>443.48327294165119</v>
      </c>
      <c r="AZ114" s="1279">
        <f>SUM(AZ103:AZ113)</f>
        <v>72.993561045868304</v>
      </c>
      <c r="BA114" s="1279">
        <f>SUM(BA103:BA113)</f>
        <v>60.772355512480523</v>
      </c>
      <c r="BB114" s="1279">
        <f t="shared" ref="BB114:BC114" si="176">SUM(BB113,BB112,BB111,BB110,BB109,BB108,BB107,BB106,BB105,BB104)</f>
        <v>0</v>
      </c>
      <c r="BC114" s="1269">
        <f t="shared" si="176"/>
        <v>0</v>
      </c>
      <c r="BD114" s="97"/>
      <c r="BE114" s="1282"/>
      <c r="BF114" s="1282"/>
      <c r="BG114" s="1282"/>
      <c r="BH114" s="1565"/>
      <c r="BI114" s="97"/>
    </row>
    <row r="115" spans="1:61">
      <c r="A115" s="75"/>
      <c r="B115" s="76"/>
      <c r="C115" s="77"/>
      <c r="D115" s="113" t="s">
        <v>313</v>
      </c>
      <c r="E115" s="84"/>
      <c r="F115" s="71"/>
      <c r="G115" s="85"/>
      <c r="H115" s="777"/>
      <c r="I115" s="772"/>
      <c r="J115" s="1642"/>
      <c r="K115" s="792"/>
      <c r="L115" s="394"/>
      <c r="M115" s="842"/>
      <c r="N115" s="843"/>
      <c r="O115" s="304"/>
      <c r="P115" s="1248">
        <f>SUM(P62,P49,P23,P114,P101,P88,P75,P36)</f>
        <v>222.70673700000003</v>
      </c>
      <c r="Q115" s="1248">
        <f>SUM(Q62,Q49,Q23,Q114,Q101,Q88,Q75,Q36)</f>
        <v>1065.6308900000001</v>
      </c>
      <c r="R115" s="1248">
        <f>SUM(R62,R49,R23,R114,R101,R88,R75,R36)</f>
        <v>1709.3223790000002</v>
      </c>
      <c r="S115" s="1248">
        <f>SUM(S62,S49,S23,S114,S101,S88,S75,S36)</f>
        <v>3330.6130015000003</v>
      </c>
      <c r="T115" s="1248">
        <f>SUM(T62,T49,T23,T114,T101,T88,T75,T36)</f>
        <v>6328.2730074999999</v>
      </c>
      <c r="U115" s="1250" t="str">
        <f>IFERROR(INDEX([8]Code!I$8:I$33,MATCH('[8]$MRD-Annex'!$BG117,[8]Code!$G$8:$G$33,0)),"")</f>
        <v/>
      </c>
      <c r="V115" s="1251" t="str">
        <f>IFERROR(INDEX([8]Code!J$8:J$33,MATCH('[8]$MRD-Annex'!$BG117,[8]Code!$G$8:$G$33,0)),"")</f>
        <v/>
      </c>
      <c r="W115" s="1251" t="str">
        <f>IFERROR(INDEX([8]Code!K$8:K$33,MATCH('[8]$MRD-Annex'!$BG117,[8]Code!$G$8:$G$33,0)),"")</f>
        <v/>
      </c>
      <c r="X115" s="1251" t="str">
        <f>IFERROR(INDEX([8]Code!L$8:L$33,MATCH('[8]$MRD-Annex'!$BG117,[8]Code!$G$8:$G$33,0)),"")</f>
        <v/>
      </c>
      <c r="Y115" s="1252" t="str">
        <f>IFERROR(INDEX([8]Code!M$8:M$33,MATCH('[8]$MRD-Annex'!$BG117,[8]Code!$G$8:$G$33,0)),"")</f>
        <v/>
      </c>
      <c r="Z115" s="1314">
        <f t="shared" ref="Z115:BC115" si="177">SUM(Z62,Z49,Z36,Z114,Z101,Z88,Z75,Z23)</f>
        <v>171.09891954368095</v>
      </c>
      <c r="AA115" s="1248">
        <f t="shared" si="177"/>
        <v>818.6923142400093</v>
      </c>
      <c r="AB115" s="1248">
        <f t="shared" si="177"/>
        <v>1313.2212170067141</v>
      </c>
      <c r="AC115" s="1248">
        <f t="shared" si="177"/>
        <v>2558.8102706331065</v>
      </c>
      <c r="AD115" s="1315">
        <f t="shared" si="177"/>
        <v>4861.8227214235112</v>
      </c>
      <c r="AE115" s="1314">
        <f t="shared" si="177"/>
        <v>28.16142161518901</v>
      </c>
      <c r="AF115" s="1248">
        <f t="shared" si="177"/>
        <v>134.74976636858136</v>
      </c>
      <c r="AG115" s="1248">
        <f t="shared" si="177"/>
        <v>216.14500234582886</v>
      </c>
      <c r="AH115" s="1248">
        <f t="shared" si="177"/>
        <v>421.15832792373783</v>
      </c>
      <c r="AI115" s="1315">
        <f t="shared" si="177"/>
        <v>800.21451825333702</v>
      </c>
      <c r="AJ115" s="1314">
        <f t="shared" si="177"/>
        <v>23.446395841130066</v>
      </c>
      <c r="AK115" s="1248">
        <f t="shared" si="177"/>
        <v>112.18880939140934</v>
      </c>
      <c r="AL115" s="1248">
        <f t="shared" si="177"/>
        <v>179.95615964745664</v>
      </c>
      <c r="AM115" s="1248">
        <f t="shared" si="177"/>
        <v>350.64440294315534</v>
      </c>
      <c r="AN115" s="1315">
        <f t="shared" si="177"/>
        <v>666.23576782315126</v>
      </c>
      <c r="AO115" s="1314">
        <f t="shared" si="177"/>
        <v>0</v>
      </c>
      <c r="AP115" s="1248">
        <f t="shared" si="177"/>
        <v>0</v>
      </c>
      <c r="AQ115" s="1248">
        <f t="shared" si="177"/>
        <v>0</v>
      </c>
      <c r="AR115" s="1248">
        <f t="shared" si="177"/>
        <v>0</v>
      </c>
      <c r="AS115" s="1315">
        <f t="shared" si="177"/>
        <v>0</v>
      </c>
      <c r="AT115" s="1314">
        <f t="shared" si="177"/>
        <v>0</v>
      </c>
      <c r="AU115" s="1248">
        <f t="shared" si="177"/>
        <v>0</v>
      </c>
      <c r="AV115" s="1248">
        <f t="shared" si="177"/>
        <v>0</v>
      </c>
      <c r="AW115" s="1248">
        <f t="shared" si="177"/>
        <v>0</v>
      </c>
      <c r="AX115" s="1315">
        <f t="shared" si="177"/>
        <v>0</v>
      </c>
      <c r="AY115" s="1314">
        <f t="shared" si="177"/>
        <v>4861.8227214235112</v>
      </c>
      <c r="AZ115" s="1248">
        <f t="shared" si="177"/>
        <v>800.21451825333702</v>
      </c>
      <c r="BA115" s="1248">
        <f t="shared" si="177"/>
        <v>666.23576782315126</v>
      </c>
      <c r="BB115" s="1248">
        <f t="shared" si="177"/>
        <v>0</v>
      </c>
      <c r="BC115" s="1315">
        <f t="shared" si="177"/>
        <v>0</v>
      </c>
      <c r="BD115" s="97"/>
      <c r="BE115" s="1282"/>
      <c r="BF115" s="1282"/>
      <c r="BG115" s="1282"/>
      <c r="BH115" s="1565"/>
      <c r="BI115" s="97"/>
    </row>
    <row r="116" spans="1:61">
      <c r="A116" s="75"/>
      <c r="B116" s="1316"/>
      <c r="C116" s="1582"/>
      <c r="D116" s="107" t="s">
        <v>314</v>
      </c>
      <c r="E116" s="397"/>
      <c r="F116" s="311"/>
      <c r="G116" s="310"/>
      <c r="H116" s="779"/>
      <c r="I116" s="780"/>
      <c r="J116" s="1639"/>
      <c r="K116" s="793"/>
      <c r="L116" s="398"/>
      <c r="M116" s="398"/>
      <c r="N116" s="398"/>
      <c r="O116" s="763"/>
      <c r="P116" s="399"/>
      <c r="Q116" s="399"/>
      <c r="R116" s="399"/>
      <c r="S116" s="399"/>
      <c r="T116" s="814"/>
      <c r="U116" s="815" t="str">
        <f>IFERROR(INDEX([8]Code!I$8:I$33,MATCH('[8]$MRD-Annex'!$BG118,[8]Code!$G$8:$G$33,0)),"")</f>
        <v/>
      </c>
      <c r="V116" s="848" t="str">
        <f>IFERROR(INDEX([8]Code!J$8:J$33,MATCH('[8]$MRD-Annex'!$BG118,[8]Code!$G$8:$G$33,0)),"")</f>
        <v/>
      </c>
      <c r="W116" s="848" t="str">
        <f>IFERROR(INDEX([8]Code!K$8:K$33,MATCH('[8]$MRD-Annex'!$BG118,[8]Code!$G$8:$G$33,0)),"")</f>
        <v/>
      </c>
      <c r="X116" s="848" t="str">
        <f>IFERROR(INDEX([8]Code!L$8:L$33,MATCH('[8]$MRD-Annex'!$BG118,[8]Code!$G$8:$G$33,0)),"")</f>
        <v/>
      </c>
      <c r="Y116" s="849" t="str">
        <f>IFERROR(INDEX([8]Code!M$8:M$33,MATCH('[8]$MRD-Annex'!$BG118,[8]Code!$G$8:$G$33,0)),"")</f>
        <v/>
      </c>
      <c r="Z116" s="834"/>
      <c r="AA116" s="400"/>
      <c r="AB116" s="400"/>
      <c r="AC116" s="400"/>
      <c r="AD116" s="835"/>
      <c r="AE116" s="401"/>
      <c r="AF116" s="400"/>
      <c r="AG116" s="400"/>
      <c r="AH116" s="400"/>
      <c r="AI116" s="402"/>
      <c r="AJ116" s="400"/>
      <c r="AK116" s="400"/>
      <c r="AL116" s="400"/>
      <c r="AM116" s="400"/>
      <c r="AN116" s="400"/>
      <c r="AO116" s="401"/>
      <c r="AP116" s="400"/>
      <c r="AQ116" s="400"/>
      <c r="AR116" s="400"/>
      <c r="AS116" s="402"/>
      <c r="AT116" s="401"/>
      <c r="AU116" s="400"/>
      <c r="AV116" s="400"/>
      <c r="AW116" s="400"/>
      <c r="AX116" s="402"/>
      <c r="AY116" s="403"/>
      <c r="AZ116" s="400"/>
      <c r="BA116" s="400"/>
      <c r="BB116" s="400"/>
      <c r="BC116" s="402"/>
      <c r="BD116" s="97"/>
      <c r="BE116" s="1282"/>
      <c r="BF116" s="1282"/>
      <c r="BG116" s="1282"/>
      <c r="BH116" s="1565"/>
      <c r="BI116" s="97"/>
    </row>
    <row r="117" spans="1:61">
      <c r="A117" s="75"/>
      <c r="B117" s="76"/>
      <c r="C117" s="77"/>
      <c r="D117" s="86"/>
      <c r="E117" s="97" t="s">
        <v>1040</v>
      </c>
      <c r="F117" s="283"/>
      <c r="G117" s="284"/>
      <c r="H117" s="770"/>
      <c r="I117" s="771"/>
      <c r="J117" s="1640"/>
      <c r="K117" s="788"/>
      <c r="L117" s="79"/>
      <c r="M117" s="79"/>
      <c r="N117" s="79"/>
      <c r="O117" s="762"/>
      <c r="P117" s="281"/>
      <c r="Q117" s="281"/>
      <c r="R117" s="281"/>
      <c r="S117" s="281"/>
      <c r="T117" s="109"/>
      <c r="U117" s="812">
        <f>IFERROR(INDEX([8]Code!I$8:I$33,MATCH('[8]$MRD-Annex'!$BG119,[8]Code!$G$8:$G$33,0)),"")</f>
        <v>0</v>
      </c>
      <c r="V117" s="844"/>
      <c r="W117" s="844"/>
      <c r="X117" s="844"/>
      <c r="Y117" s="845"/>
      <c r="Z117" s="288">
        <f t="shared" ref="Z117:AC126" si="178">P117*$U117</f>
        <v>0</v>
      </c>
      <c r="AA117" s="287">
        <f t="shared" si="178"/>
        <v>0</v>
      </c>
      <c r="AB117" s="287">
        <f t="shared" si="178"/>
        <v>0</v>
      </c>
      <c r="AC117" s="287">
        <f t="shared" si="178"/>
        <v>0</v>
      </c>
      <c r="AD117" s="289">
        <f t="shared" ref="AD117:AD126" si="179">SUM(Z117:AC117)</f>
        <v>0</v>
      </c>
      <c r="AE117" s="288">
        <f t="shared" ref="AE117:AI126" si="180">P117*$V117</f>
        <v>0</v>
      </c>
      <c r="AF117" s="287">
        <f t="shared" si="180"/>
        <v>0</v>
      </c>
      <c r="AG117" s="287">
        <f t="shared" si="180"/>
        <v>0</v>
      </c>
      <c r="AH117" s="287">
        <f t="shared" si="180"/>
        <v>0</v>
      </c>
      <c r="AI117" s="289">
        <f t="shared" si="180"/>
        <v>0</v>
      </c>
      <c r="AJ117" s="287">
        <f t="shared" ref="AJ117:AM126" si="181">P117*$W117</f>
        <v>0</v>
      </c>
      <c r="AK117" s="287">
        <f t="shared" si="181"/>
        <v>0</v>
      </c>
      <c r="AL117" s="287">
        <f t="shared" si="181"/>
        <v>0</v>
      </c>
      <c r="AM117" s="287">
        <f t="shared" si="181"/>
        <v>0</v>
      </c>
      <c r="AN117" s="837">
        <f t="shared" ref="AN117:AN126" si="182">SUM(AJ117:AM117)</f>
        <v>0</v>
      </c>
      <c r="AO117" s="288">
        <f t="shared" ref="AO117:AR126" si="183">P117*$X117</f>
        <v>0</v>
      </c>
      <c r="AP117" s="287">
        <f t="shared" si="183"/>
        <v>0</v>
      </c>
      <c r="AQ117" s="287">
        <f t="shared" si="183"/>
        <v>0</v>
      </c>
      <c r="AR117" s="287">
        <f t="shared" si="183"/>
        <v>0</v>
      </c>
      <c r="AS117" s="152">
        <f t="shared" ref="AS117:AS126" si="184">SUM(AO117:AR117)</f>
        <v>0</v>
      </c>
      <c r="AT117" s="288">
        <f t="shared" ref="AT117:AW126" si="185">P117*$Y117</f>
        <v>0</v>
      </c>
      <c r="AU117" s="287">
        <f t="shared" si="185"/>
        <v>0</v>
      </c>
      <c r="AV117" s="287">
        <f t="shared" si="185"/>
        <v>0</v>
      </c>
      <c r="AW117" s="287">
        <f t="shared" si="185"/>
        <v>0</v>
      </c>
      <c r="AX117" s="152">
        <f t="shared" ref="AX117:AX126" si="186">SUM(AT117:AW117)</f>
        <v>0</v>
      </c>
      <c r="AY117" s="78"/>
      <c r="AZ117" s="82"/>
      <c r="BA117" s="82"/>
      <c r="BB117" s="82"/>
      <c r="BC117" s="83"/>
      <c r="BD117" s="97"/>
      <c r="BE117" s="1282"/>
      <c r="BF117" s="1282"/>
      <c r="BG117" s="1282"/>
      <c r="BH117" s="1565"/>
      <c r="BI117" s="97"/>
    </row>
    <row r="118" spans="1:61">
      <c r="A118" s="75"/>
      <c r="B118" s="76"/>
      <c r="C118" s="77"/>
      <c r="D118" s="86"/>
      <c r="E118" s="283" t="s">
        <v>1041</v>
      </c>
      <c r="F118" s="95"/>
      <c r="G118" s="284"/>
      <c r="H118" s="770"/>
      <c r="I118" s="771"/>
      <c r="J118" s="1640"/>
      <c r="K118" s="788"/>
      <c r="L118" s="79"/>
      <c r="M118" s="79"/>
      <c r="N118" s="79"/>
      <c r="O118" s="762"/>
      <c r="P118" s="281"/>
      <c r="Q118" s="281"/>
      <c r="R118" s="281"/>
      <c r="S118" s="281"/>
      <c r="T118" s="109"/>
      <c r="U118" s="812">
        <f>IFERROR(INDEX([8]Code!I$8:I$33,MATCH('[8]$MRD-Annex'!$BG120,[8]Code!$G$8:$G$33,0)),"")</f>
        <v>0</v>
      </c>
      <c r="V118" s="844"/>
      <c r="W118" s="844"/>
      <c r="X118" s="844"/>
      <c r="Y118" s="845"/>
      <c r="Z118" s="288">
        <f t="shared" si="178"/>
        <v>0</v>
      </c>
      <c r="AA118" s="287">
        <f t="shared" si="178"/>
        <v>0</v>
      </c>
      <c r="AB118" s="287">
        <f t="shared" si="178"/>
        <v>0</v>
      </c>
      <c r="AC118" s="287">
        <f t="shared" si="178"/>
        <v>0</v>
      </c>
      <c r="AD118" s="289">
        <f t="shared" si="179"/>
        <v>0</v>
      </c>
      <c r="AE118" s="288">
        <f t="shared" si="180"/>
        <v>0</v>
      </c>
      <c r="AF118" s="287">
        <f t="shared" si="180"/>
        <v>0</v>
      </c>
      <c r="AG118" s="287">
        <f t="shared" si="180"/>
        <v>0</v>
      </c>
      <c r="AH118" s="287">
        <f t="shared" si="180"/>
        <v>0</v>
      </c>
      <c r="AI118" s="289">
        <f t="shared" si="180"/>
        <v>0</v>
      </c>
      <c r="AJ118" s="287">
        <f t="shared" si="181"/>
        <v>0</v>
      </c>
      <c r="AK118" s="287">
        <f t="shared" si="181"/>
        <v>0</v>
      </c>
      <c r="AL118" s="287">
        <f t="shared" si="181"/>
        <v>0</v>
      </c>
      <c r="AM118" s="287">
        <f t="shared" si="181"/>
        <v>0</v>
      </c>
      <c r="AN118" s="837">
        <f t="shared" si="182"/>
        <v>0</v>
      </c>
      <c r="AO118" s="288">
        <f t="shared" si="183"/>
        <v>0</v>
      </c>
      <c r="AP118" s="287">
        <f t="shared" si="183"/>
        <v>0</v>
      </c>
      <c r="AQ118" s="287">
        <f t="shared" si="183"/>
        <v>0</v>
      </c>
      <c r="AR118" s="287">
        <f t="shared" si="183"/>
        <v>0</v>
      </c>
      <c r="AS118" s="152">
        <f t="shared" si="184"/>
        <v>0</v>
      </c>
      <c r="AT118" s="288">
        <f t="shared" si="185"/>
        <v>0</v>
      </c>
      <c r="AU118" s="287">
        <f t="shared" si="185"/>
        <v>0</v>
      </c>
      <c r="AV118" s="287">
        <f t="shared" si="185"/>
        <v>0</v>
      </c>
      <c r="AW118" s="287">
        <f t="shared" si="185"/>
        <v>0</v>
      </c>
      <c r="AX118" s="152">
        <f t="shared" si="186"/>
        <v>0</v>
      </c>
      <c r="AY118" s="78"/>
      <c r="AZ118" s="82"/>
      <c r="BA118" s="82"/>
      <c r="BB118" s="82"/>
      <c r="BC118" s="83"/>
      <c r="BD118" s="97"/>
      <c r="BE118" s="568" t="s">
        <v>564</v>
      </c>
      <c r="BF118" s="568" t="s">
        <v>414</v>
      </c>
      <c r="BG118" s="591" t="str">
        <f>IFERROR(INDEX('Annex 2_Code'!$J$110:$J$127,MATCH('Annex 5_MRD'!BE118,'Annex 2_Code'!$G$110:$G$127,0)),"")</f>
        <v>MRD</v>
      </c>
      <c r="BH118" s="1565" t="str">
        <f t="shared" si="126"/>
        <v>MRD</v>
      </c>
      <c r="BI118" s="97"/>
    </row>
    <row r="119" spans="1:61">
      <c r="A119" s="75"/>
      <c r="B119" s="2160" t="s">
        <v>58</v>
      </c>
      <c r="C119" s="2160" t="s">
        <v>58</v>
      </c>
      <c r="D119" s="86"/>
      <c r="E119" s="97"/>
      <c r="F119" s="294" t="s">
        <v>122</v>
      </c>
      <c r="G119" s="294"/>
      <c r="H119" s="770" t="s">
        <v>174</v>
      </c>
      <c r="I119" s="781">
        <f>250/1000</f>
        <v>0.25</v>
      </c>
      <c r="J119" s="1026">
        <v>2.5000000000000001E-4</v>
      </c>
      <c r="K119" s="788">
        <v>0</v>
      </c>
      <c r="L119" s="79">
        <v>0</v>
      </c>
      <c r="M119" s="79">
        <v>0</v>
      </c>
      <c r="N119" s="79">
        <v>0</v>
      </c>
      <c r="O119" s="764">
        <f t="shared" ref="O119:O127" si="187">SUM(K119:N119)</f>
        <v>0</v>
      </c>
      <c r="P119" s="281">
        <f>I119*K119</f>
        <v>0</v>
      </c>
      <c r="Q119" s="1317">
        <f>I119*L119</f>
        <v>0</v>
      </c>
      <c r="R119" s="1317">
        <f>I119*M119</f>
        <v>0</v>
      </c>
      <c r="S119" s="1317">
        <f>I119*N119</f>
        <v>0</v>
      </c>
      <c r="T119" s="80">
        <f>SUM(P119:S119)</f>
        <v>0</v>
      </c>
      <c r="U119" s="618">
        <f>IFERROR(INDEX('Annex 2_Code'!I$8:I$33,MATCH('Annex 5_MRD'!$BF119,'Annex 2_Code'!$G$8:$G$33,0)),"")</f>
        <v>0</v>
      </c>
      <c r="V119" s="618">
        <f>IFERROR(INDEX('Annex 2_Code'!J$8:J$33,MATCH('Annex 5_MRD'!$BF119,'Annex 2_Code'!$G$8:$G$33,0)),"")</f>
        <v>0</v>
      </c>
      <c r="W119" s="618">
        <f>IFERROR(INDEX('Annex 2_Code'!K$8:K$33,MATCH('Annex 5_MRD'!$BF119,'Annex 2_Code'!$G$8:$G$33,0)),"")</f>
        <v>0</v>
      </c>
      <c r="X119" s="618">
        <f>IFERROR(INDEX('Annex 2_Code'!L$8:L$33,MATCH('Annex 5_MRD'!$BF119,'Annex 2_Code'!$G$8:$G$33,0)),"")</f>
        <v>1</v>
      </c>
      <c r="Y119" s="715">
        <f>IFERROR(INDEX('Annex 2_Code'!M$8:M$33,MATCH('Annex 5_MRD'!$BF119,'Annex 2_Code'!$G$8:$G$33,0)),"")</f>
        <v>0</v>
      </c>
      <c r="Z119" s="288">
        <f t="shared" si="178"/>
        <v>0</v>
      </c>
      <c r="AA119" s="287">
        <f t="shared" si="178"/>
        <v>0</v>
      </c>
      <c r="AB119" s="287">
        <f t="shared" si="178"/>
        <v>0</v>
      </c>
      <c r="AC119" s="287">
        <f t="shared" si="178"/>
        <v>0</v>
      </c>
      <c r="AD119" s="289">
        <f t="shared" si="179"/>
        <v>0</v>
      </c>
      <c r="AE119" s="288">
        <f t="shared" si="180"/>
        <v>0</v>
      </c>
      <c r="AF119" s="287">
        <f t="shared" si="180"/>
        <v>0</v>
      </c>
      <c r="AG119" s="287">
        <f t="shared" si="180"/>
        <v>0</v>
      </c>
      <c r="AH119" s="287">
        <f t="shared" si="180"/>
        <v>0</v>
      </c>
      <c r="AI119" s="289">
        <f t="shared" si="180"/>
        <v>0</v>
      </c>
      <c r="AJ119" s="287">
        <f t="shared" si="181"/>
        <v>0</v>
      </c>
      <c r="AK119" s="287">
        <f t="shared" si="181"/>
        <v>0</v>
      </c>
      <c r="AL119" s="287">
        <f t="shared" si="181"/>
        <v>0</v>
      </c>
      <c r="AM119" s="287">
        <f t="shared" si="181"/>
        <v>0</v>
      </c>
      <c r="AN119" s="837">
        <f t="shared" si="182"/>
        <v>0</v>
      </c>
      <c r="AO119" s="288">
        <f t="shared" si="183"/>
        <v>0</v>
      </c>
      <c r="AP119" s="287">
        <f t="shared" si="183"/>
        <v>0</v>
      </c>
      <c r="AQ119" s="287">
        <f t="shared" si="183"/>
        <v>0</v>
      </c>
      <c r="AR119" s="287">
        <f t="shared" si="183"/>
        <v>0</v>
      </c>
      <c r="AS119" s="152">
        <f t="shared" si="184"/>
        <v>0</v>
      </c>
      <c r="AT119" s="288">
        <f t="shared" si="185"/>
        <v>0</v>
      </c>
      <c r="AU119" s="287">
        <f t="shared" si="185"/>
        <v>0</v>
      </c>
      <c r="AV119" s="287">
        <f t="shared" si="185"/>
        <v>0</v>
      </c>
      <c r="AW119" s="287">
        <f t="shared" si="185"/>
        <v>0</v>
      </c>
      <c r="AX119" s="152">
        <f t="shared" si="186"/>
        <v>0</v>
      </c>
      <c r="AY119" s="88">
        <f t="shared" ref="AY119:BC126" si="188">SUM($T119*U119)</f>
        <v>0</v>
      </c>
      <c r="AZ119" s="358">
        <f t="shared" si="188"/>
        <v>0</v>
      </c>
      <c r="BA119" s="358">
        <f t="shared" si="188"/>
        <v>0</v>
      </c>
      <c r="BB119" s="358">
        <f t="shared" si="188"/>
        <v>0</v>
      </c>
      <c r="BC119" s="80">
        <f t="shared" si="188"/>
        <v>0</v>
      </c>
      <c r="BD119" s="97"/>
      <c r="BE119" s="568" t="s">
        <v>564</v>
      </c>
      <c r="BF119" s="568" t="s">
        <v>414</v>
      </c>
      <c r="BG119" s="591" t="str">
        <f>IFERROR(INDEX('Annex 2_Code'!$J$110:$J$127,MATCH('Annex 5_MRD'!BE119,'Annex 2_Code'!$G$110:$G$127,0)),"")</f>
        <v>MRD</v>
      </c>
      <c r="BH119" s="1565" t="str">
        <f t="shared" si="126"/>
        <v>MRD</v>
      </c>
      <c r="BI119" s="97"/>
    </row>
    <row r="120" spans="1:61">
      <c r="A120" s="75"/>
      <c r="B120" s="2160" t="s">
        <v>58</v>
      </c>
      <c r="C120" s="1027" t="s">
        <v>58</v>
      </c>
      <c r="D120" s="86"/>
      <c r="E120" s="97"/>
      <c r="F120" s="294" t="s">
        <v>123</v>
      </c>
      <c r="G120" s="294"/>
      <c r="H120" s="770" t="s">
        <v>174</v>
      </c>
      <c r="I120" s="781">
        <v>250</v>
      </c>
      <c r="J120" s="1026">
        <v>0.25</v>
      </c>
      <c r="K120" s="788">
        <v>3</v>
      </c>
      <c r="L120" s="79">
        <v>3</v>
      </c>
      <c r="M120" s="79">
        <v>3</v>
      </c>
      <c r="N120" s="79">
        <v>3</v>
      </c>
      <c r="O120" s="764">
        <f t="shared" si="187"/>
        <v>12</v>
      </c>
      <c r="P120" s="281">
        <f>K120*$I$120/1000</f>
        <v>0.75</v>
      </c>
      <c r="Q120" s="281">
        <f>L120*$I$120/1000</f>
        <v>0.75</v>
      </c>
      <c r="R120" s="281">
        <f>M120*$I$120/1000</f>
        <v>0.75</v>
      </c>
      <c r="S120" s="281">
        <f>N120*$I$120/1000</f>
        <v>0.75</v>
      </c>
      <c r="T120" s="80">
        <f t="shared" ref="T120:T124" si="189">SUM(P120:S120)</f>
        <v>3</v>
      </c>
      <c r="U120" s="618">
        <f>IFERROR(INDEX('Annex 2_Code'!I$8:I$33,MATCH('Annex 5_MRD'!$BF120,'Annex 2_Code'!$G$8:$G$33,0)),"")</f>
        <v>0</v>
      </c>
      <c r="V120" s="618">
        <f>IFERROR(INDEX('Annex 2_Code'!J$8:J$33,MATCH('Annex 5_MRD'!$BF120,'Annex 2_Code'!$G$8:$G$33,0)),"")</f>
        <v>0</v>
      </c>
      <c r="W120" s="618">
        <f>IFERROR(INDEX('Annex 2_Code'!K$8:K$33,MATCH('Annex 5_MRD'!$BF120,'Annex 2_Code'!$G$8:$G$33,0)),"")</f>
        <v>0</v>
      </c>
      <c r="X120" s="618">
        <f>IFERROR(INDEX('Annex 2_Code'!L$8:L$33,MATCH('Annex 5_MRD'!$BF120,'Annex 2_Code'!$G$8:$G$33,0)),"")</f>
        <v>1</v>
      </c>
      <c r="Y120" s="715">
        <f>IFERROR(INDEX('Annex 2_Code'!M$8:M$33,MATCH('Annex 5_MRD'!$BF120,'Annex 2_Code'!$G$8:$G$33,0)),"")</f>
        <v>0</v>
      </c>
      <c r="Z120" s="288">
        <f t="shared" si="178"/>
        <v>0</v>
      </c>
      <c r="AA120" s="287">
        <f t="shared" si="178"/>
        <v>0</v>
      </c>
      <c r="AB120" s="287">
        <f t="shared" si="178"/>
        <v>0</v>
      </c>
      <c r="AC120" s="287">
        <f t="shared" si="178"/>
        <v>0</v>
      </c>
      <c r="AD120" s="289">
        <f t="shared" si="179"/>
        <v>0</v>
      </c>
      <c r="AE120" s="288">
        <f t="shared" si="180"/>
        <v>0</v>
      </c>
      <c r="AF120" s="287">
        <f t="shared" si="180"/>
        <v>0</v>
      </c>
      <c r="AG120" s="287">
        <f t="shared" si="180"/>
        <v>0</v>
      </c>
      <c r="AH120" s="287">
        <f t="shared" si="180"/>
        <v>0</v>
      </c>
      <c r="AI120" s="289">
        <f t="shared" si="180"/>
        <v>0</v>
      </c>
      <c r="AJ120" s="287">
        <f t="shared" si="181"/>
        <v>0</v>
      </c>
      <c r="AK120" s="287">
        <f t="shared" si="181"/>
        <v>0</v>
      </c>
      <c r="AL120" s="287">
        <f t="shared" si="181"/>
        <v>0</v>
      </c>
      <c r="AM120" s="287">
        <f t="shared" si="181"/>
        <v>0</v>
      </c>
      <c r="AN120" s="837">
        <f t="shared" si="182"/>
        <v>0</v>
      </c>
      <c r="AO120" s="288">
        <f>P120*$X120</f>
        <v>0.75</v>
      </c>
      <c r="AP120" s="287">
        <f t="shared" si="183"/>
        <v>0.75</v>
      </c>
      <c r="AQ120" s="287">
        <f t="shared" si="183"/>
        <v>0.75</v>
      </c>
      <c r="AR120" s="287">
        <f t="shared" si="183"/>
        <v>0.75</v>
      </c>
      <c r="AS120" s="152">
        <f t="shared" si="184"/>
        <v>3</v>
      </c>
      <c r="AT120" s="288">
        <f t="shared" si="185"/>
        <v>0</v>
      </c>
      <c r="AU120" s="287">
        <f t="shared" si="185"/>
        <v>0</v>
      </c>
      <c r="AV120" s="287">
        <f t="shared" si="185"/>
        <v>0</v>
      </c>
      <c r="AW120" s="287">
        <f t="shared" si="185"/>
        <v>0</v>
      </c>
      <c r="AX120" s="152">
        <f t="shared" si="186"/>
        <v>0</v>
      </c>
      <c r="AY120" s="88">
        <f t="shared" si="188"/>
        <v>0</v>
      </c>
      <c r="AZ120" s="358">
        <f t="shared" si="188"/>
        <v>0</v>
      </c>
      <c r="BA120" s="358">
        <f t="shared" si="188"/>
        <v>0</v>
      </c>
      <c r="BB120" s="358">
        <f t="shared" si="188"/>
        <v>3</v>
      </c>
      <c r="BC120" s="80">
        <f t="shared" si="188"/>
        <v>0</v>
      </c>
      <c r="BD120" s="97"/>
      <c r="BE120" s="568" t="s">
        <v>564</v>
      </c>
      <c r="BF120" s="568" t="s">
        <v>414</v>
      </c>
      <c r="BG120" s="591" t="str">
        <f>IFERROR(INDEX('Annex 2_Code'!$J$110:$J$127,MATCH('Annex 5_MRD'!BE120,'Annex 2_Code'!$G$110:$G$127,0)),"")</f>
        <v>MRD</v>
      </c>
      <c r="BH120" s="1565" t="str">
        <f t="shared" si="126"/>
        <v>MRD</v>
      </c>
      <c r="BI120" s="97"/>
    </row>
    <row r="121" spans="1:61">
      <c r="A121" s="75"/>
      <c r="B121" s="2160" t="s">
        <v>58</v>
      </c>
      <c r="C121" s="1027" t="s">
        <v>58</v>
      </c>
      <c r="D121" s="86"/>
      <c r="E121" s="97"/>
      <c r="F121" s="294" t="s">
        <v>249</v>
      </c>
      <c r="G121" s="294"/>
      <c r="H121" s="770" t="s">
        <v>174</v>
      </c>
      <c r="I121" s="781">
        <f>180</f>
        <v>180</v>
      </c>
      <c r="J121" s="1026">
        <v>0.18</v>
      </c>
      <c r="K121" s="788">
        <v>3</v>
      </c>
      <c r="L121" s="79">
        <v>3</v>
      </c>
      <c r="M121" s="79">
        <v>3</v>
      </c>
      <c r="N121" s="79">
        <v>3</v>
      </c>
      <c r="O121" s="764">
        <f t="shared" si="187"/>
        <v>12</v>
      </c>
      <c r="P121" s="281">
        <f>K121*$I$121/1000</f>
        <v>0.54</v>
      </c>
      <c r="Q121" s="281">
        <f>L121*$I$121/1000</f>
        <v>0.54</v>
      </c>
      <c r="R121" s="281">
        <f>M121*$I$121/1000</f>
        <v>0.54</v>
      </c>
      <c r="S121" s="281">
        <f>N121*$I$121/1000</f>
        <v>0.54</v>
      </c>
      <c r="T121" s="80">
        <f t="shared" si="189"/>
        <v>2.16</v>
      </c>
      <c r="U121" s="618">
        <f>IFERROR(INDEX('Annex 2_Code'!I$8:I$33,MATCH('Annex 5_MRD'!$BF121,'Annex 2_Code'!$G$8:$G$33,0)),"")</f>
        <v>0</v>
      </c>
      <c r="V121" s="618">
        <f>IFERROR(INDEX('Annex 2_Code'!J$8:J$33,MATCH('Annex 5_MRD'!$BF121,'Annex 2_Code'!$G$8:$G$33,0)),"")</f>
        <v>0</v>
      </c>
      <c r="W121" s="618">
        <f>IFERROR(INDEX('Annex 2_Code'!K$8:K$33,MATCH('Annex 5_MRD'!$BF121,'Annex 2_Code'!$G$8:$G$33,0)),"")</f>
        <v>0</v>
      </c>
      <c r="X121" s="618">
        <f>IFERROR(INDEX('Annex 2_Code'!L$8:L$33,MATCH('Annex 5_MRD'!$BF121,'Annex 2_Code'!$G$8:$G$33,0)),"")</f>
        <v>1</v>
      </c>
      <c r="Y121" s="715">
        <f>IFERROR(INDEX('Annex 2_Code'!M$8:M$33,MATCH('Annex 5_MRD'!$BF121,'Annex 2_Code'!$G$8:$G$33,0)),"")</f>
        <v>0</v>
      </c>
      <c r="Z121" s="288">
        <f t="shared" si="178"/>
        <v>0</v>
      </c>
      <c r="AA121" s="287">
        <f t="shared" si="178"/>
        <v>0</v>
      </c>
      <c r="AB121" s="287">
        <f t="shared" si="178"/>
        <v>0</v>
      </c>
      <c r="AC121" s="287">
        <f t="shared" si="178"/>
        <v>0</v>
      </c>
      <c r="AD121" s="289">
        <f t="shared" si="179"/>
        <v>0</v>
      </c>
      <c r="AE121" s="288">
        <f t="shared" si="180"/>
        <v>0</v>
      </c>
      <c r="AF121" s="287">
        <f t="shared" si="180"/>
        <v>0</v>
      </c>
      <c r="AG121" s="287">
        <f t="shared" si="180"/>
        <v>0</v>
      </c>
      <c r="AH121" s="287">
        <f t="shared" si="180"/>
        <v>0</v>
      </c>
      <c r="AI121" s="289">
        <f t="shared" si="180"/>
        <v>0</v>
      </c>
      <c r="AJ121" s="287">
        <f t="shared" si="181"/>
        <v>0</v>
      </c>
      <c r="AK121" s="287">
        <f t="shared" si="181"/>
        <v>0</v>
      </c>
      <c r="AL121" s="287">
        <f t="shared" si="181"/>
        <v>0</v>
      </c>
      <c r="AM121" s="287">
        <f t="shared" si="181"/>
        <v>0</v>
      </c>
      <c r="AN121" s="837">
        <f t="shared" si="182"/>
        <v>0</v>
      </c>
      <c r="AO121" s="288">
        <f t="shared" si="183"/>
        <v>0.54</v>
      </c>
      <c r="AP121" s="287">
        <f t="shared" si="183"/>
        <v>0.54</v>
      </c>
      <c r="AQ121" s="287">
        <f t="shared" si="183"/>
        <v>0.54</v>
      </c>
      <c r="AR121" s="287">
        <f t="shared" si="183"/>
        <v>0.54</v>
      </c>
      <c r="AS121" s="152">
        <f t="shared" si="184"/>
        <v>2.16</v>
      </c>
      <c r="AT121" s="288">
        <f t="shared" si="185"/>
        <v>0</v>
      </c>
      <c r="AU121" s="287">
        <f t="shared" si="185"/>
        <v>0</v>
      </c>
      <c r="AV121" s="287">
        <f t="shared" si="185"/>
        <v>0</v>
      </c>
      <c r="AW121" s="287">
        <f t="shared" si="185"/>
        <v>0</v>
      </c>
      <c r="AX121" s="152">
        <f t="shared" si="186"/>
        <v>0</v>
      </c>
      <c r="AY121" s="88">
        <f t="shared" si="188"/>
        <v>0</v>
      </c>
      <c r="AZ121" s="358">
        <f t="shared" si="188"/>
        <v>0</v>
      </c>
      <c r="BA121" s="358">
        <f t="shared" si="188"/>
        <v>0</v>
      </c>
      <c r="BB121" s="358">
        <f t="shared" si="188"/>
        <v>2.16</v>
      </c>
      <c r="BC121" s="80">
        <f t="shared" si="188"/>
        <v>0</v>
      </c>
      <c r="BD121" s="97"/>
      <c r="BE121" s="568" t="s">
        <v>564</v>
      </c>
      <c r="BF121" s="568" t="s">
        <v>414</v>
      </c>
      <c r="BG121" s="591" t="str">
        <f>IFERROR(INDEX('Annex 2_Code'!$J$110:$J$127,MATCH('Annex 5_MRD'!BE121,'Annex 2_Code'!$G$110:$G$127,0)),"")</f>
        <v>MRD</v>
      </c>
      <c r="BH121" s="1565" t="str">
        <f t="shared" si="126"/>
        <v>MRD</v>
      </c>
      <c r="BI121" s="97"/>
    </row>
    <row r="122" spans="1:61">
      <c r="A122" s="75"/>
      <c r="B122" s="2160" t="s">
        <v>58</v>
      </c>
      <c r="C122" s="1027" t="s">
        <v>58</v>
      </c>
      <c r="D122" s="86"/>
      <c r="E122" s="97"/>
      <c r="F122" s="294" t="s">
        <v>195</v>
      </c>
      <c r="G122" s="294"/>
      <c r="H122" s="770" t="s">
        <v>174</v>
      </c>
      <c r="I122" s="781">
        <f>180</f>
        <v>180</v>
      </c>
      <c r="J122" s="1026">
        <v>0.18</v>
      </c>
      <c r="K122" s="788">
        <v>3</v>
      </c>
      <c r="L122" s="79">
        <v>3</v>
      </c>
      <c r="M122" s="79">
        <v>3</v>
      </c>
      <c r="N122" s="79">
        <v>3</v>
      </c>
      <c r="O122" s="764">
        <f t="shared" si="187"/>
        <v>12</v>
      </c>
      <c r="P122" s="281">
        <f>K122*$I$122/1000</f>
        <v>0.54</v>
      </c>
      <c r="Q122" s="281">
        <f>L122*$I$122/1000</f>
        <v>0.54</v>
      </c>
      <c r="R122" s="281">
        <f>M122*$I$122/1000</f>
        <v>0.54</v>
      </c>
      <c r="S122" s="281">
        <f>N122*$I$122/1000</f>
        <v>0.54</v>
      </c>
      <c r="T122" s="80">
        <f t="shared" si="189"/>
        <v>2.16</v>
      </c>
      <c r="U122" s="618">
        <f>IFERROR(INDEX('Annex 2_Code'!I$8:I$33,MATCH('Annex 5_MRD'!$BF122,'Annex 2_Code'!$G$8:$G$33,0)),"")</f>
        <v>0</v>
      </c>
      <c r="V122" s="618">
        <f>IFERROR(INDEX('Annex 2_Code'!J$8:J$33,MATCH('Annex 5_MRD'!$BF122,'Annex 2_Code'!$G$8:$G$33,0)),"")</f>
        <v>0</v>
      </c>
      <c r="W122" s="618">
        <f>IFERROR(INDEX('Annex 2_Code'!K$8:K$33,MATCH('Annex 5_MRD'!$BF122,'Annex 2_Code'!$G$8:$G$33,0)),"")</f>
        <v>0</v>
      </c>
      <c r="X122" s="618">
        <f>IFERROR(INDEX('Annex 2_Code'!L$8:L$33,MATCH('Annex 5_MRD'!$BF122,'Annex 2_Code'!$G$8:$G$33,0)),"")</f>
        <v>1</v>
      </c>
      <c r="Y122" s="715">
        <f>IFERROR(INDEX('Annex 2_Code'!M$8:M$33,MATCH('Annex 5_MRD'!$BF122,'Annex 2_Code'!$G$8:$G$33,0)),"")</f>
        <v>0</v>
      </c>
      <c r="Z122" s="288">
        <f t="shared" si="178"/>
        <v>0</v>
      </c>
      <c r="AA122" s="287">
        <f t="shared" si="178"/>
        <v>0</v>
      </c>
      <c r="AB122" s="287">
        <f t="shared" si="178"/>
        <v>0</v>
      </c>
      <c r="AC122" s="287">
        <f t="shared" si="178"/>
        <v>0</v>
      </c>
      <c r="AD122" s="289">
        <f t="shared" si="179"/>
        <v>0</v>
      </c>
      <c r="AE122" s="288">
        <f t="shared" si="180"/>
        <v>0</v>
      </c>
      <c r="AF122" s="287">
        <f t="shared" si="180"/>
        <v>0</v>
      </c>
      <c r="AG122" s="287">
        <f t="shared" si="180"/>
        <v>0</v>
      </c>
      <c r="AH122" s="287">
        <f t="shared" si="180"/>
        <v>0</v>
      </c>
      <c r="AI122" s="289">
        <f t="shared" si="180"/>
        <v>0</v>
      </c>
      <c r="AJ122" s="287">
        <f t="shared" si="181"/>
        <v>0</v>
      </c>
      <c r="AK122" s="287">
        <f t="shared" si="181"/>
        <v>0</v>
      </c>
      <c r="AL122" s="287">
        <f t="shared" si="181"/>
        <v>0</v>
      </c>
      <c r="AM122" s="287">
        <f t="shared" si="181"/>
        <v>0</v>
      </c>
      <c r="AN122" s="837">
        <f t="shared" si="182"/>
        <v>0</v>
      </c>
      <c r="AO122" s="288">
        <f t="shared" si="183"/>
        <v>0.54</v>
      </c>
      <c r="AP122" s="287">
        <f t="shared" si="183"/>
        <v>0.54</v>
      </c>
      <c r="AQ122" s="287">
        <f t="shared" si="183"/>
        <v>0.54</v>
      </c>
      <c r="AR122" s="287">
        <f t="shared" si="183"/>
        <v>0.54</v>
      </c>
      <c r="AS122" s="152">
        <f t="shared" si="184"/>
        <v>2.16</v>
      </c>
      <c r="AT122" s="288">
        <f t="shared" si="185"/>
        <v>0</v>
      </c>
      <c r="AU122" s="287">
        <f t="shared" si="185"/>
        <v>0</v>
      </c>
      <c r="AV122" s="287">
        <f t="shared" si="185"/>
        <v>0</v>
      </c>
      <c r="AW122" s="287">
        <f t="shared" si="185"/>
        <v>0</v>
      </c>
      <c r="AX122" s="152">
        <f t="shared" si="186"/>
        <v>0</v>
      </c>
      <c r="AY122" s="88">
        <f t="shared" si="188"/>
        <v>0</v>
      </c>
      <c r="AZ122" s="358">
        <f t="shared" si="188"/>
        <v>0</v>
      </c>
      <c r="BA122" s="358">
        <f t="shared" si="188"/>
        <v>0</v>
      </c>
      <c r="BB122" s="358">
        <f t="shared" si="188"/>
        <v>2.16</v>
      </c>
      <c r="BC122" s="80">
        <f t="shared" si="188"/>
        <v>0</v>
      </c>
      <c r="BD122" s="97"/>
      <c r="BE122" s="568" t="s">
        <v>564</v>
      </c>
      <c r="BF122" s="568" t="s">
        <v>414</v>
      </c>
      <c r="BG122" s="591" t="str">
        <f>IFERROR(INDEX('Annex 2_Code'!$J$110:$J$127,MATCH('Annex 5_MRD'!BE122,'Annex 2_Code'!$G$110:$G$127,0)),"")</f>
        <v>MRD</v>
      </c>
      <c r="BH122" s="1565" t="str">
        <f t="shared" si="126"/>
        <v>MRD</v>
      </c>
      <c r="BI122" s="97"/>
    </row>
    <row r="123" spans="1:61">
      <c r="A123" s="75"/>
      <c r="B123" s="2160" t="s">
        <v>58</v>
      </c>
      <c r="C123" s="1027" t="s">
        <v>58</v>
      </c>
      <c r="D123" s="86"/>
      <c r="E123" s="97"/>
      <c r="F123" s="294" t="s">
        <v>250</v>
      </c>
      <c r="G123" s="294"/>
      <c r="H123" s="770" t="s">
        <v>174</v>
      </c>
      <c r="I123" s="781">
        <f>180</f>
        <v>180</v>
      </c>
      <c r="J123" s="1026">
        <v>0.18</v>
      </c>
      <c r="K123" s="788">
        <v>3</v>
      </c>
      <c r="L123" s="79">
        <v>3</v>
      </c>
      <c r="M123" s="79">
        <v>3</v>
      </c>
      <c r="N123" s="79">
        <v>3</v>
      </c>
      <c r="O123" s="764">
        <f t="shared" si="187"/>
        <v>12</v>
      </c>
      <c r="P123" s="281">
        <f>K123*$I$123/1000</f>
        <v>0.54</v>
      </c>
      <c r="Q123" s="281">
        <f>L123*$I$123/1000</f>
        <v>0.54</v>
      </c>
      <c r="R123" s="281">
        <f>M123*$I$123/1000</f>
        <v>0.54</v>
      </c>
      <c r="S123" s="281">
        <f>N123*$I$123/1000</f>
        <v>0.54</v>
      </c>
      <c r="T123" s="80">
        <f t="shared" si="189"/>
        <v>2.16</v>
      </c>
      <c r="U123" s="618">
        <f>IFERROR(INDEX('Annex 2_Code'!I$8:I$33,MATCH('Annex 5_MRD'!$BF123,'Annex 2_Code'!$G$8:$G$33,0)),"")</f>
        <v>0</v>
      </c>
      <c r="V123" s="618">
        <f>IFERROR(INDEX('Annex 2_Code'!J$8:J$33,MATCH('Annex 5_MRD'!$BF123,'Annex 2_Code'!$G$8:$G$33,0)),"")</f>
        <v>0</v>
      </c>
      <c r="W123" s="618">
        <f>IFERROR(INDEX('Annex 2_Code'!K$8:K$33,MATCH('Annex 5_MRD'!$BF123,'Annex 2_Code'!$G$8:$G$33,0)),"")</f>
        <v>0</v>
      </c>
      <c r="X123" s="618">
        <f>IFERROR(INDEX('Annex 2_Code'!L$8:L$33,MATCH('Annex 5_MRD'!$BF123,'Annex 2_Code'!$G$8:$G$33,0)),"")</f>
        <v>1</v>
      </c>
      <c r="Y123" s="715">
        <f>IFERROR(INDEX('Annex 2_Code'!M$8:M$33,MATCH('Annex 5_MRD'!$BF123,'Annex 2_Code'!$G$8:$G$33,0)),"")</f>
        <v>0</v>
      </c>
      <c r="Z123" s="288">
        <f t="shared" si="178"/>
        <v>0</v>
      </c>
      <c r="AA123" s="287">
        <f t="shared" si="178"/>
        <v>0</v>
      </c>
      <c r="AB123" s="287">
        <f t="shared" si="178"/>
        <v>0</v>
      </c>
      <c r="AC123" s="287">
        <f t="shared" si="178"/>
        <v>0</v>
      </c>
      <c r="AD123" s="289">
        <f t="shared" si="179"/>
        <v>0</v>
      </c>
      <c r="AE123" s="288">
        <f t="shared" si="180"/>
        <v>0</v>
      </c>
      <c r="AF123" s="287">
        <f t="shared" si="180"/>
        <v>0</v>
      </c>
      <c r="AG123" s="287">
        <f t="shared" si="180"/>
        <v>0</v>
      </c>
      <c r="AH123" s="287">
        <f t="shared" si="180"/>
        <v>0</v>
      </c>
      <c r="AI123" s="289">
        <f t="shared" si="180"/>
        <v>0</v>
      </c>
      <c r="AJ123" s="287">
        <f t="shared" si="181"/>
        <v>0</v>
      </c>
      <c r="AK123" s="287">
        <f t="shared" si="181"/>
        <v>0</v>
      </c>
      <c r="AL123" s="287">
        <f t="shared" si="181"/>
        <v>0</v>
      </c>
      <c r="AM123" s="287">
        <f t="shared" si="181"/>
        <v>0</v>
      </c>
      <c r="AN123" s="837">
        <f t="shared" si="182"/>
        <v>0</v>
      </c>
      <c r="AO123" s="288">
        <f t="shared" si="183"/>
        <v>0.54</v>
      </c>
      <c r="AP123" s="287">
        <f t="shared" si="183"/>
        <v>0.54</v>
      </c>
      <c r="AQ123" s="287">
        <f t="shared" si="183"/>
        <v>0.54</v>
      </c>
      <c r="AR123" s="287">
        <f t="shared" si="183"/>
        <v>0.54</v>
      </c>
      <c r="AS123" s="152">
        <f t="shared" si="184"/>
        <v>2.16</v>
      </c>
      <c r="AT123" s="288">
        <f t="shared" si="185"/>
        <v>0</v>
      </c>
      <c r="AU123" s="287">
        <f t="shared" si="185"/>
        <v>0</v>
      </c>
      <c r="AV123" s="287">
        <f t="shared" si="185"/>
        <v>0</v>
      </c>
      <c r="AW123" s="287">
        <f t="shared" si="185"/>
        <v>0</v>
      </c>
      <c r="AX123" s="152">
        <f t="shared" si="186"/>
        <v>0</v>
      </c>
      <c r="AY123" s="88">
        <f t="shared" si="188"/>
        <v>0</v>
      </c>
      <c r="AZ123" s="358">
        <f t="shared" si="188"/>
        <v>0</v>
      </c>
      <c r="BA123" s="358">
        <f t="shared" si="188"/>
        <v>0</v>
      </c>
      <c r="BB123" s="358">
        <f t="shared" si="188"/>
        <v>2.16</v>
      </c>
      <c r="BC123" s="80">
        <f t="shared" si="188"/>
        <v>0</v>
      </c>
      <c r="BD123" s="97"/>
      <c r="BE123" s="568" t="s">
        <v>564</v>
      </c>
      <c r="BF123" s="568" t="s">
        <v>414</v>
      </c>
      <c r="BG123" s="591" t="str">
        <f>IFERROR(INDEX('Annex 2_Code'!$J$110:$J$127,MATCH('Annex 5_MRD'!BE123,'Annex 2_Code'!$G$110:$G$127,0)),"")</f>
        <v>MRD</v>
      </c>
      <c r="BH123" s="1565" t="str">
        <f t="shared" si="126"/>
        <v>MRD</v>
      </c>
      <c r="BI123" s="97"/>
    </row>
    <row r="124" spans="1:61">
      <c r="A124" s="75"/>
      <c r="B124" s="2160" t="s">
        <v>58</v>
      </c>
      <c r="C124" s="1027" t="s">
        <v>58</v>
      </c>
      <c r="D124" s="86"/>
      <c r="E124" s="82"/>
      <c r="F124" s="294" t="s">
        <v>947</v>
      </c>
      <c r="G124" s="1489"/>
      <c r="H124" s="770" t="s">
        <v>174</v>
      </c>
      <c r="I124" s="771">
        <v>0</v>
      </c>
      <c r="J124" s="1026">
        <v>0</v>
      </c>
      <c r="K124" s="788">
        <v>3</v>
      </c>
      <c r="L124" s="79">
        <v>3</v>
      </c>
      <c r="M124" s="79">
        <v>3</v>
      </c>
      <c r="N124" s="79">
        <v>3</v>
      </c>
      <c r="O124" s="764">
        <f t="shared" si="187"/>
        <v>12</v>
      </c>
      <c r="P124" s="281">
        <f>K124*$I$124/1000</f>
        <v>0</v>
      </c>
      <c r="Q124" s="281">
        <f t="shared" ref="Q124:S124" si="190">L124*$I$124/1000</f>
        <v>0</v>
      </c>
      <c r="R124" s="281">
        <f t="shared" si="190"/>
        <v>0</v>
      </c>
      <c r="S124" s="281">
        <f t="shared" si="190"/>
        <v>0</v>
      </c>
      <c r="T124" s="80">
        <f t="shared" si="189"/>
        <v>0</v>
      </c>
      <c r="U124" s="618">
        <f>IFERROR(INDEX('Annex 2_Code'!I$8:I$33,MATCH('Annex 5_MRD'!$BF124,'Annex 2_Code'!$G$8:$G$33,0)),"")</f>
        <v>0</v>
      </c>
      <c r="V124" s="618">
        <f>IFERROR(INDEX('Annex 2_Code'!J$8:J$33,MATCH('Annex 5_MRD'!$BF124,'Annex 2_Code'!$G$8:$G$33,0)),"")</f>
        <v>0</v>
      </c>
      <c r="W124" s="618">
        <f>IFERROR(INDEX('Annex 2_Code'!K$8:K$33,MATCH('Annex 5_MRD'!$BF124,'Annex 2_Code'!$G$8:$G$33,0)),"")</f>
        <v>0</v>
      </c>
      <c r="X124" s="618">
        <f>IFERROR(INDEX('Annex 2_Code'!L$8:L$33,MATCH('Annex 5_MRD'!$BF124,'Annex 2_Code'!$G$8:$G$33,0)),"")</f>
        <v>1</v>
      </c>
      <c r="Y124" s="715">
        <f>IFERROR(INDEX('Annex 2_Code'!M$8:M$33,MATCH('Annex 5_MRD'!$BF124,'Annex 2_Code'!$G$8:$G$33,0)),"")</f>
        <v>0</v>
      </c>
      <c r="Z124" s="288">
        <f>P124*$U124</f>
        <v>0</v>
      </c>
      <c r="AA124" s="287">
        <f t="shared" si="178"/>
        <v>0</v>
      </c>
      <c r="AB124" s="287">
        <f t="shared" si="178"/>
        <v>0</v>
      </c>
      <c r="AC124" s="287">
        <f t="shared" si="178"/>
        <v>0</v>
      </c>
      <c r="AD124" s="289">
        <f t="shared" si="179"/>
        <v>0</v>
      </c>
      <c r="AE124" s="288">
        <f t="shared" si="180"/>
        <v>0</v>
      </c>
      <c r="AF124" s="287">
        <f t="shared" si="180"/>
        <v>0</v>
      </c>
      <c r="AG124" s="287">
        <f t="shared" si="180"/>
        <v>0</v>
      </c>
      <c r="AH124" s="287">
        <f t="shared" si="180"/>
        <v>0</v>
      </c>
      <c r="AI124" s="289">
        <f t="shared" si="180"/>
        <v>0</v>
      </c>
      <c r="AJ124" s="287">
        <f t="shared" si="181"/>
        <v>0</v>
      </c>
      <c r="AK124" s="287">
        <f t="shared" si="181"/>
        <v>0</v>
      </c>
      <c r="AL124" s="287">
        <f t="shared" si="181"/>
        <v>0</v>
      </c>
      <c r="AM124" s="287">
        <f t="shared" si="181"/>
        <v>0</v>
      </c>
      <c r="AN124" s="837">
        <f t="shared" si="182"/>
        <v>0</v>
      </c>
      <c r="AO124" s="288">
        <f t="shared" si="183"/>
        <v>0</v>
      </c>
      <c r="AP124" s="287">
        <f t="shared" si="183"/>
        <v>0</v>
      </c>
      <c r="AQ124" s="287">
        <f t="shared" si="183"/>
        <v>0</v>
      </c>
      <c r="AR124" s="287">
        <f t="shared" si="183"/>
        <v>0</v>
      </c>
      <c r="AS124" s="152">
        <f t="shared" si="184"/>
        <v>0</v>
      </c>
      <c r="AT124" s="288">
        <f t="shared" si="185"/>
        <v>0</v>
      </c>
      <c r="AU124" s="287">
        <f t="shared" si="185"/>
        <v>0</v>
      </c>
      <c r="AV124" s="287">
        <f t="shared" si="185"/>
        <v>0</v>
      </c>
      <c r="AW124" s="287">
        <f t="shared" si="185"/>
        <v>0</v>
      </c>
      <c r="AX124" s="152">
        <f t="shared" si="186"/>
        <v>0</v>
      </c>
      <c r="AY124" s="88">
        <f t="shared" si="188"/>
        <v>0</v>
      </c>
      <c r="AZ124" s="358">
        <f t="shared" si="188"/>
        <v>0</v>
      </c>
      <c r="BA124" s="358">
        <f t="shared" si="188"/>
        <v>0</v>
      </c>
      <c r="BB124" s="358">
        <f t="shared" si="188"/>
        <v>0</v>
      </c>
      <c r="BC124" s="80">
        <f t="shared" si="188"/>
        <v>0</v>
      </c>
      <c r="BD124" s="97"/>
      <c r="BE124" s="568" t="s">
        <v>564</v>
      </c>
      <c r="BF124" s="568" t="s">
        <v>414</v>
      </c>
      <c r="BG124" s="591" t="str">
        <f>IFERROR(INDEX('Annex 2_Code'!$J$110:$J$127,MATCH('Annex 5_MRD'!BE124,'Annex 2_Code'!$G$110:$G$127,0)),"")</f>
        <v>MRD</v>
      </c>
      <c r="BH124" s="1565" t="str">
        <f t="shared" si="126"/>
        <v>MRD</v>
      </c>
      <c r="BI124" s="97"/>
    </row>
    <row r="125" spans="1:61">
      <c r="A125" s="75"/>
      <c r="B125" s="2160" t="s">
        <v>58</v>
      </c>
      <c r="C125" s="1027" t="s">
        <v>58</v>
      </c>
      <c r="D125" s="86"/>
      <c r="E125" s="82"/>
      <c r="F125" s="294" t="s">
        <v>948</v>
      </c>
      <c r="G125" s="1489"/>
      <c r="H125" s="770" t="s">
        <v>174</v>
      </c>
      <c r="I125" s="781">
        <v>300</v>
      </c>
      <c r="J125" s="1026">
        <v>0.3</v>
      </c>
      <c r="K125" s="788">
        <v>3</v>
      </c>
      <c r="L125" s="79">
        <v>3</v>
      </c>
      <c r="M125" s="79">
        <v>3</v>
      </c>
      <c r="N125" s="79">
        <v>3</v>
      </c>
      <c r="O125" s="764">
        <f t="shared" si="187"/>
        <v>12</v>
      </c>
      <c r="P125" s="281">
        <f>K125*$I$125/1000</f>
        <v>0.9</v>
      </c>
      <c r="Q125" s="281">
        <f t="shared" ref="Q125:S125" si="191">L125*$I$125/1000</f>
        <v>0.9</v>
      </c>
      <c r="R125" s="281">
        <f t="shared" si="191"/>
        <v>0.9</v>
      </c>
      <c r="S125" s="281">
        <f t="shared" si="191"/>
        <v>0.9</v>
      </c>
      <c r="T125" s="80">
        <f>SUM(P125:S125)</f>
        <v>3.6</v>
      </c>
      <c r="U125" s="618">
        <f>IFERROR(INDEX('Annex 2_Code'!I$8:I$33,MATCH('Annex 5_MRD'!$BF125,'Annex 2_Code'!$G$8:$G$33,0)),"")</f>
        <v>0</v>
      </c>
      <c r="V125" s="618">
        <f>IFERROR(INDEX('Annex 2_Code'!J$8:J$33,MATCH('Annex 5_MRD'!$BF125,'Annex 2_Code'!$G$8:$G$33,0)),"")</f>
        <v>0</v>
      </c>
      <c r="W125" s="618">
        <f>IFERROR(INDEX('Annex 2_Code'!K$8:K$33,MATCH('Annex 5_MRD'!$BF125,'Annex 2_Code'!$G$8:$G$33,0)),"")</f>
        <v>0</v>
      </c>
      <c r="X125" s="618">
        <f>IFERROR(INDEX('Annex 2_Code'!L$8:L$33,MATCH('Annex 5_MRD'!$BF125,'Annex 2_Code'!$G$8:$G$33,0)),"")</f>
        <v>1</v>
      </c>
      <c r="Y125" s="715">
        <f>IFERROR(INDEX('Annex 2_Code'!M$8:M$33,MATCH('Annex 5_MRD'!$BF125,'Annex 2_Code'!$G$8:$G$33,0)),"")</f>
        <v>0</v>
      </c>
      <c r="Z125" s="288">
        <f t="shared" si="178"/>
        <v>0</v>
      </c>
      <c r="AA125" s="287">
        <f t="shared" si="178"/>
        <v>0</v>
      </c>
      <c r="AB125" s="287">
        <f t="shared" si="178"/>
        <v>0</v>
      </c>
      <c r="AC125" s="287">
        <f t="shared" si="178"/>
        <v>0</v>
      </c>
      <c r="AD125" s="289">
        <f t="shared" si="179"/>
        <v>0</v>
      </c>
      <c r="AE125" s="288">
        <f t="shared" si="180"/>
        <v>0</v>
      </c>
      <c r="AF125" s="287">
        <f t="shared" si="180"/>
        <v>0</v>
      </c>
      <c r="AG125" s="287">
        <f t="shared" si="180"/>
        <v>0</v>
      </c>
      <c r="AH125" s="287">
        <f t="shared" si="180"/>
        <v>0</v>
      </c>
      <c r="AI125" s="289">
        <f t="shared" si="180"/>
        <v>0</v>
      </c>
      <c r="AJ125" s="287">
        <f t="shared" si="181"/>
        <v>0</v>
      </c>
      <c r="AK125" s="287">
        <f t="shared" si="181"/>
        <v>0</v>
      </c>
      <c r="AL125" s="287">
        <f t="shared" si="181"/>
        <v>0</v>
      </c>
      <c r="AM125" s="287">
        <f t="shared" si="181"/>
        <v>0</v>
      </c>
      <c r="AN125" s="837">
        <f t="shared" si="182"/>
        <v>0</v>
      </c>
      <c r="AO125" s="288">
        <f t="shared" si="183"/>
        <v>0.9</v>
      </c>
      <c r="AP125" s="287">
        <f t="shared" si="183"/>
        <v>0.9</v>
      </c>
      <c r="AQ125" s="287">
        <f t="shared" si="183"/>
        <v>0.9</v>
      </c>
      <c r="AR125" s="287">
        <f t="shared" si="183"/>
        <v>0.9</v>
      </c>
      <c r="AS125" s="152">
        <f t="shared" si="184"/>
        <v>3.6</v>
      </c>
      <c r="AT125" s="288">
        <f t="shared" si="185"/>
        <v>0</v>
      </c>
      <c r="AU125" s="287">
        <f t="shared" si="185"/>
        <v>0</v>
      </c>
      <c r="AV125" s="287">
        <f t="shared" si="185"/>
        <v>0</v>
      </c>
      <c r="AW125" s="287">
        <f t="shared" si="185"/>
        <v>0</v>
      </c>
      <c r="AX125" s="152">
        <f t="shared" si="186"/>
        <v>0</v>
      </c>
      <c r="AY125" s="88">
        <f t="shared" si="188"/>
        <v>0</v>
      </c>
      <c r="AZ125" s="358">
        <f t="shared" si="188"/>
        <v>0</v>
      </c>
      <c r="BA125" s="358">
        <f t="shared" si="188"/>
        <v>0</v>
      </c>
      <c r="BB125" s="358">
        <f t="shared" si="188"/>
        <v>3.6</v>
      </c>
      <c r="BC125" s="80">
        <f t="shared" si="188"/>
        <v>0</v>
      </c>
      <c r="BD125" s="97"/>
      <c r="BE125" s="568" t="s">
        <v>564</v>
      </c>
      <c r="BF125" s="568" t="s">
        <v>414</v>
      </c>
      <c r="BG125" s="591" t="str">
        <f>IFERROR(INDEX('Annex 2_Code'!$J$110:$J$127,MATCH('Annex 5_MRD'!BE125,'Annex 2_Code'!$G$110:$G$127,0)),"")</f>
        <v>MRD</v>
      </c>
      <c r="BH125" s="1565" t="str">
        <f t="shared" si="126"/>
        <v>MRD</v>
      </c>
      <c r="BI125" s="97"/>
    </row>
    <row r="126" spans="1:61">
      <c r="A126" s="75"/>
      <c r="B126" s="2160" t="s">
        <v>58</v>
      </c>
      <c r="C126" s="1027" t="s">
        <v>58</v>
      </c>
      <c r="D126" s="86"/>
      <c r="E126" s="82"/>
      <c r="F126" s="294" t="s">
        <v>949</v>
      </c>
      <c r="G126" s="1489"/>
      <c r="H126" s="770" t="s">
        <v>174</v>
      </c>
      <c r="I126" s="781">
        <f>400</f>
        <v>400</v>
      </c>
      <c r="J126" s="1026">
        <v>0.4</v>
      </c>
      <c r="K126" s="788">
        <v>3</v>
      </c>
      <c r="L126" s="79">
        <v>3</v>
      </c>
      <c r="M126" s="79">
        <v>3</v>
      </c>
      <c r="N126" s="79">
        <v>3</v>
      </c>
      <c r="O126" s="764">
        <f t="shared" si="187"/>
        <v>12</v>
      </c>
      <c r="P126" s="281">
        <f>K126*$I$126/1000</f>
        <v>1.2</v>
      </c>
      <c r="Q126" s="281">
        <f>L126*$I$126/1000</f>
        <v>1.2</v>
      </c>
      <c r="R126" s="281">
        <f>M126*$I$126/1000</f>
        <v>1.2</v>
      </c>
      <c r="S126" s="281">
        <f>N126*$I$126/1000</f>
        <v>1.2</v>
      </c>
      <c r="T126" s="80">
        <f>SUM(P126:S126)</f>
        <v>4.8</v>
      </c>
      <c r="U126" s="618">
        <f>IFERROR(INDEX('Annex 2_Code'!I$8:I$33,MATCH('Annex 5_MRD'!$BF126,'Annex 2_Code'!$G$8:$G$33,0)),"")</f>
        <v>0</v>
      </c>
      <c r="V126" s="618">
        <f>IFERROR(INDEX('Annex 2_Code'!J$8:J$33,MATCH('Annex 5_MRD'!$BF126,'Annex 2_Code'!$G$8:$G$33,0)),"")</f>
        <v>0</v>
      </c>
      <c r="W126" s="618">
        <f>IFERROR(INDEX('Annex 2_Code'!K$8:K$33,MATCH('Annex 5_MRD'!$BF126,'Annex 2_Code'!$G$8:$G$33,0)),"")</f>
        <v>0</v>
      </c>
      <c r="X126" s="618">
        <f>IFERROR(INDEX('Annex 2_Code'!L$8:L$33,MATCH('Annex 5_MRD'!$BF126,'Annex 2_Code'!$G$8:$G$33,0)),"")</f>
        <v>1</v>
      </c>
      <c r="Y126" s="715">
        <f>IFERROR(INDEX('Annex 2_Code'!M$8:M$33,MATCH('Annex 5_MRD'!$BF126,'Annex 2_Code'!$G$8:$G$33,0)),"")</f>
        <v>0</v>
      </c>
      <c r="Z126" s="288">
        <f>P126*$U126</f>
        <v>0</v>
      </c>
      <c r="AA126" s="287">
        <f t="shared" si="178"/>
        <v>0</v>
      </c>
      <c r="AB126" s="287">
        <f t="shared" si="178"/>
        <v>0</v>
      </c>
      <c r="AC126" s="287">
        <f t="shared" si="178"/>
        <v>0</v>
      </c>
      <c r="AD126" s="289">
        <f t="shared" si="179"/>
        <v>0</v>
      </c>
      <c r="AE126" s="288">
        <f t="shared" si="180"/>
        <v>0</v>
      </c>
      <c r="AF126" s="287">
        <f t="shared" si="180"/>
        <v>0</v>
      </c>
      <c r="AG126" s="287">
        <f t="shared" si="180"/>
        <v>0</v>
      </c>
      <c r="AH126" s="287">
        <f t="shared" si="180"/>
        <v>0</v>
      </c>
      <c r="AI126" s="289">
        <f t="shared" si="180"/>
        <v>0</v>
      </c>
      <c r="AJ126" s="287">
        <f t="shared" si="181"/>
        <v>0</v>
      </c>
      <c r="AK126" s="287">
        <f t="shared" si="181"/>
        <v>0</v>
      </c>
      <c r="AL126" s="287">
        <f t="shared" si="181"/>
        <v>0</v>
      </c>
      <c r="AM126" s="287">
        <f t="shared" si="181"/>
        <v>0</v>
      </c>
      <c r="AN126" s="837">
        <f t="shared" si="182"/>
        <v>0</v>
      </c>
      <c r="AO126" s="288">
        <f t="shared" si="183"/>
        <v>1.2</v>
      </c>
      <c r="AP126" s="287">
        <f t="shared" si="183"/>
        <v>1.2</v>
      </c>
      <c r="AQ126" s="287">
        <f t="shared" si="183"/>
        <v>1.2</v>
      </c>
      <c r="AR126" s="287">
        <f t="shared" si="183"/>
        <v>1.2</v>
      </c>
      <c r="AS126" s="152">
        <f t="shared" si="184"/>
        <v>4.8</v>
      </c>
      <c r="AT126" s="288">
        <f t="shared" si="185"/>
        <v>0</v>
      </c>
      <c r="AU126" s="287">
        <f t="shared" si="185"/>
        <v>0</v>
      </c>
      <c r="AV126" s="287">
        <f t="shared" si="185"/>
        <v>0</v>
      </c>
      <c r="AW126" s="287">
        <f t="shared" si="185"/>
        <v>0</v>
      </c>
      <c r="AX126" s="152">
        <f t="shared" si="186"/>
        <v>0</v>
      </c>
      <c r="AY126" s="88">
        <f t="shared" si="188"/>
        <v>0</v>
      </c>
      <c r="AZ126" s="358">
        <f t="shared" si="188"/>
        <v>0</v>
      </c>
      <c r="BA126" s="358">
        <f t="shared" si="188"/>
        <v>0</v>
      </c>
      <c r="BB126" s="358">
        <f t="shared" si="188"/>
        <v>4.8</v>
      </c>
      <c r="BC126" s="80">
        <f t="shared" si="188"/>
        <v>0</v>
      </c>
      <c r="BD126" s="97"/>
      <c r="BE126" s="568" t="s">
        <v>564</v>
      </c>
      <c r="BF126" s="568" t="s">
        <v>414</v>
      </c>
      <c r="BG126" s="591" t="str">
        <f>IFERROR(INDEX('Annex 2_Code'!$J$110:$J$127,MATCH('Annex 5_MRD'!BE126,'Annex 2_Code'!$G$110:$G$127,0)),"")</f>
        <v>MRD</v>
      </c>
      <c r="BH126" s="1565" t="str">
        <f t="shared" si="126"/>
        <v>MRD</v>
      </c>
      <c r="BI126" s="97"/>
    </row>
    <row r="127" spans="1:61" s="1675" customFormat="1">
      <c r="A127" s="1649"/>
      <c r="B127" s="1650" t="s">
        <v>58</v>
      </c>
      <c r="C127" s="1651" t="s">
        <v>58</v>
      </c>
      <c r="D127" s="1652"/>
      <c r="E127" s="1653"/>
      <c r="F127" s="1654" t="s">
        <v>1088</v>
      </c>
      <c r="G127" s="1655"/>
      <c r="H127" s="1656" t="s">
        <v>309</v>
      </c>
      <c r="I127" s="1657">
        <f>400*7</f>
        <v>2800</v>
      </c>
      <c r="J127" s="1658">
        <v>2.8</v>
      </c>
      <c r="K127" s="1659">
        <v>0</v>
      </c>
      <c r="L127" s="1660">
        <v>0</v>
      </c>
      <c r="M127" s="1660">
        <v>1</v>
      </c>
      <c r="N127" s="1660">
        <v>0</v>
      </c>
      <c r="O127" s="1661">
        <f t="shared" si="187"/>
        <v>1</v>
      </c>
      <c r="P127" s="1662">
        <f>K127*$I$127/1000</f>
        <v>0</v>
      </c>
      <c r="Q127" s="1662">
        <f>L127*$I$127/1000</f>
        <v>0</v>
      </c>
      <c r="R127" s="1662">
        <f>M127*$I$126:$I$127/1000</f>
        <v>2.8</v>
      </c>
      <c r="S127" s="1662">
        <f>N127*$I$126:$I$127/1000</f>
        <v>0</v>
      </c>
      <c r="T127" s="1663">
        <f>SUM(P127:S127)</f>
        <v>2.8</v>
      </c>
      <c r="U127" s="1664">
        <f>IFERROR(INDEX('Annex 2_Code'!I$8:I$33,MATCH('Annex 5_MRD'!$BF127,'Annex 2_Code'!$G$8:$G$33,0)),"")</f>
        <v>0</v>
      </c>
      <c r="V127" s="1664">
        <f>IFERROR(INDEX('Annex 2_Code'!J$8:J$33,MATCH('Annex 5_MRD'!$BF127,'Annex 2_Code'!$G$8:$G$33,0)),"")</f>
        <v>0</v>
      </c>
      <c r="W127" s="1664">
        <f>IFERROR(INDEX('Annex 2_Code'!K$8:K$33,MATCH('Annex 5_MRD'!$BF127,'Annex 2_Code'!$G$8:$G$33,0)),"")</f>
        <v>0</v>
      </c>
      <c r="X127" s="1664">
        <f>IFERROR(INDEX('Annex 2_Code'!L$8:L$33,MATCH('Annex 5_MRD'!$BF127,'Annex 2_Code'!$G$8:$G$33,0)),"")</f>
        <v>1</v>
      </c>
      <c r="Y127" s="1665">
        <f>IFERROR(INDEX('Annex 2_Code'!M$8:M$33,MATCH('Annex 5_MRD'!$BF127,'Annex 2_Code'!$G$8:$G$33,0)),"")</f>
        <v>0</v>
      </c>
      <c r="Z127" s="1664">
        <f>IFERROR(INDEX('Annex 2_Code'!O$8:O$33,MATCH('Annex 3_MAFF'!$AG123,'Annex 2_Code'!$G$8:$G$33,0)),"")</f>
        <v>0</v>
      </c>
      <c r="AA127" s="1666">
        <f t="shared" ref="AA127" si="192">Q127*$U127</f>
        <v>0</v>
      </c>
      <c r="AB127" s="1666">
        <f t="shared" ref="AB127" si="193">R127*$U127</f>
        <v>0</v>
      </c>
      <c r="AC127" s="1666">
        <f t="shared" ref="AC127" si="194">S127*$U127</f>
        <v>0</v>
      </c>
      <c r="AD127" s="1667">
        <f t="shared" ref="AD127" si="195">SUM(Z127:AC127)</f>
        <v>0</v>
      </c>
      <c r="AE127" s="1668">
        <f t="shared" ref="AE127" si="196">P127*$V127</f>
        <v>0</v>
      </c>
      <c r="AF127" s="1666">
        <f t="shared" ref="AF127" si="197">Q127*$V127</f>
        <v>0</v>
      </c>
      <c r="AG127" s="1666">
        <f t="shared" ref="AG127" si="198">R127*$V127</f>
        <v>0</v>
      </c>
      <c r="AH127" s="1666">
        <f t="shared" ref="AH127" si="199">S127*$V127</f>
        <v>0</v>
      </c>
      <c r="AI127" s="1667">
        <f t="shared" ref="AI127" si="200">T127*$V127</f>
        <v>0</v>
      </c>
      <c r="AJ127" s="1666">
        <f t="shared" ref="AJ127" si="201">P127*$W127</f>
        <v>0</v>
      </c>
      <c r="AK127" s="1666">
        <f t="shared" ref="AK127" si="202">Q127*$W127</f>
        <v>0</v>
      </c>
      <c r="AL127" s="1666">
        <f t="shared" ref="AL127" si="203">R127*$W127</f>
        <v>0</v>
      </c>
      <c r="AM127" s="1666">
        <f t="shared" ref="AM127" si="204">S127*$W127</f>
        <v>0</v>
      </c>
      <c r="AN127" s="1669">
        <f t="shared" ref="AN127" si="205">SUM(AJ127:AM127)</f>
        <v>0</v>
      </c>
      <c r="AO127" s="1668">
        <f t="shared" ref="AO127" si="206">P127*$X127</f>
        <v>0</v>
      </c>
      <c r="AP127" s="1666">
        <f t="shared" ref="AP127" si="207">Q127*$X127</f>
        <v>0</v>
      </c>
      <c r="AQ127" s="1666">
        <f t="shared" ref="AQ127" si="208">R127*$X127</f>
        <v>2.8</v>
      </c>
      <c r="AR127" s="1666">
        <f t="shared" ref="AR127" si="209">S127*$X127</f>
        <v>0</v>
      </c>
      <c r="AS127" s="1670">
        <f t="shared" ref="AS127" si="210">SUM(AO127:AR127)</f>
        <v>2.8</v>
      </c>
      <c r="AT127" s="1668">
        <f t="shared" ref="AT127" si="211">P127*$Y127</f>
        <v>0</v>
      </c>
      <c r="AU127" s="1666">
        <f t="shared" ref="AU127" si="212">Q127*$Y127</f>
        <v>0</v>
      </c>
      <c r="AV127" s="1666">
        <f t="shared" ref="AV127" si="213">R127*$Y127</f>
        <v>0</v>
      </c>
      <c r="AW127" s="1666">
        <f t="shared" ref="AW127" si="214">S127*$Y127</f>
        <v>0</v>
      </c>
      <c r="AX127" s="1670">
        <f t="shared" ref="AX127" si="215">SUM(AT127:AW127)</f>
        <v>0</v>
      </c>
      <c r="AY127" s="1671">
        <f t="shared" ref="AY127" si="216">SUM($T127*U127)</f>
        <v>0</v>
      </c>
      <c r="AZ127" s="1672">
        <f t="shared" ref="AZ127" si="217">SUM($T127*V127)</f>
        <v>0</v>
      </c>
      <c r="BA127" s="1672">
        <f t="shared" ref="BA127" si="218">SUM($T127*W127)</f>
        <v>0</v>
      </c>
      <c r="BB127" s="1672">
        <f t="shared" ref="BB127" si="219">SUM($T127*X127)</f>
        <v>2.8</v>
      </c>
      <c r="BC127" s="1663">
        <f t="shared" ref="BC127" si="220">SUM($T127*Y127)</f>
        <v>0</v>
      </c>
      <c r="BD127" s="1673"/>
      <c r="BE127" s="568" t="s">
        <v>564</v>
      </c>
      <c r="BF127" s="568" t="s">
        <v>414</v>
      </c>
      <c r="BG127" s="1650" t="str">
        <f>IFERROR(INDEX('Annex 2_Code'!$J$110:$J$127,MATCH('Annex 5_MRD'!BE127,'Annex 2_Code'!$G$110:$G$127,0)),"")</f>
        <v>MRD</v>
      </c>
      <c r="BH127" s="1674" t="str">
        <f t="shared" ref="BH127" si="221">IF(ISNUMBER(FIND("-",BG127,1))=FALSE,LEFT(BG127,LEN(BG127)),LEFT(BG127,(FIND("-",BG127,1))-1))</f>
        <v>MRD</v>
      </c>
      <c r="BI127" s="1673"/>
    </row>
    <row r="128" spans="1:61">
      <c r="A128" s="75"/>
      <c r="B128" s="1267"/>
      <c r="C128" s="1568"/>
      <c r="D128" s="382"/>
      <c r="E128" s="383" t="s">
        <v>41</v>
      </c>
      <c r="F128" s="384"/>
      <c r="G128" s="385"/>
      <c r="H128" s="775"/>
      <c r="I128" s="776"/>
      <c r="J128" s="1638"/>
      <c r="K128" s="791"/>
      <c r="L128" s="386"/>
      <c r="M128" s="839"/>
      <c r="N128" s="840"/>
      <c r="O128" s="388"/>
      <c r="P128" s="387">
        <f>SUM(P119:P127)</f>
        <v>4.47</v>
      </c>
      <c r="Q128" s="387">
        <f>SUM(Q119:Q127)</f>
        <v>4.47</v>
      </c>
      <c r="R128" s="387">
        <f>SUM(R119:R127)</f>
        <v>7.27</v>
      </c>
      <c r="S128" s="387">
        <f>SUM(S119:S127)</f>
        <v>4.47</v>
      </c>
      <c r="T128" s="388">
        <f>SUM(T119:T127)</f>
        <v>20.68</v>
      </c>
      <c r="U128" s="813" t="str">
        <f>IFERROR(INDEX([8]Code!I$8:I$33,MATCH('[8]$MRD-Annex'!$BG128,[8]Code!$G$8:$G$33,0)),"")</f>
        <v/>
      </c>
      <c r="V128" s="846" t="str">
        <f>IFERROR(INDEX([8]Code!J$8:J$33,MATCH('[8]$MRD-Annex'!$BG128,[8]Code!$G$8:$G$33,0)),"")</f>
        <v/>
      </c>
      <c r="W128" s="846" t="str">
        <f>IFERROR(INDEX([8]Code!K$8:K$33,MATCH('[8]$MRD-Annex'!$BG128,[8]Code!$G$8:$G$33,0)),"")</f>
        <v/>
      </c>
      <c r="X128" s="846" t="str">
        <f>IFERROR(INDEX([8]Code!L$8:L$33,MATCH('[8]$MRD-Annex'!$BG128,[8]Code!$G$8:$G$33,0)),"")</f>
        <v/>
      </c>
      <c r="Y128" s="847" t="str">
        <f>IFERROR(INDEX([8]Code!M$8:M$33,MATCH('[8]$MRD-Annex'!$BG128,[8]Code!$G$8:$G$33,0)),"")</f>
        <v/>
      </c>
      <c r="Z128" s="390">
        <f>SUM(Z119:Z126)</f>
        <v>0</v>
      </c>
      <c r="AA128" s="389">
        <f>SUM(AA119:AA126)</f>
        <v>0</v>
      </c>
      <c r="AB128" s="389">
        <f>SUM(AB119:AB126)</f>
        <v>0</v>
      </c>
      <c r="AC128" s="389">
        <f>SUM(AC119:AC126)</f>
        <v>0</v>
      </c>
      <c r="AD128" s="391">
        <f>SUM(AD119:AD126)</f>
        <v>0</v>
      </c>
      <c r="AE128" s="390"/>
      <c r="AF128" s="389"/>
      <c r="AG128" s="389"/>
      <c r="AH128" s="389"/>
      <c r="AI128" s="391"/>
      <c r="AJ128" s="389"/>
      <c r="AK128" s="389"/>
      <c r="AL128" s="389"/>
      <c r="AM128" s="389"/>
      <c r="AN128" s="393"/>
      <c r="AO128" s="390">
        <f>SUM(AO119:AO126)</f>
        <v>4.47</v>
      </c>
      <c r="AP128" s="389">
        <f>SUM(AP119:AP126)</f>
        <v>4.47</v>
      </c>
      <c r="AQ128" s="389">
        <f>SUM(AQ119:AQ127)</f>
        <v>7.27</v>
      </c>
      <c r="AR128" s="389">
        <f>SUM(AR119:AR126)</f>
        <v>4.47</v>
      </c>
      <c r="AS128" s="391">
        <f>SUM(AS119:AS127)</f>
        <v>20.68</v>
      </c>
      <c r="AT128" s="382"/>
      <c r="AU128" s="383"/>
      <c r="AV128" s="383"/>
      <c r="AW128" s="383"/>
      <c r="AX128" s="838"/>
      <c r="AY128" s="392">
        <f>SUM(AY119:AY127)</f>
        <v>0</v>
      </c>
      <c r="AZ128" s="393">
        <f>SUM(AZ119:AZ126)</f>
        <v>0</v>
      </c>
      <c r="BA128" s="393">
        <f>SUM(BA119:BA126)</f>
        <v>0</v>
      </c>
      <c r="BB128" s="393">
        <f>SUM(BB119:BB127)</f>
        <v>20.68</v>
      </c>
      <c r="BC128" s="388">
        <f>SUM(BC119:BC123)</f>
        <v>0</v>
      </c>
      <c r="BD128" s="97"/>
      <c r="BE128" s="1069"/>
      <c r="BF128" s="1282"/>
      <c r="BG128" s="1282"/>
      <c r="BH128" s="1565"/>
      <c r="BI128" s="97"/>
    </row>
    <row r="129" spans="1:61">
      <c r="A129" s="75"/>
      <c r="B129" s="76"/>
      <c r="C129" s="77"/>
      <c r="D129" s="86"/>
      <c r="E129" s="1119" t="s">
        <v>1042</v>
      </c>
      <c r="F129" s="1120"/>
      <c r="G129" s="1318"/>
      <c r="H129" s="782"/>
      <c r="I129" s="771"/>
      <c r="J129" s="1640"/>
      <c r="K129" s="788"/>
      <c r="L129" s="79"/>
      <c r="M129" s="79"/>
      <c r="N129" s="79"/>
      <c r="O129" s="762"/>
      <c r="P129" s="293"/>
      <c r="Q129" s="293"/>
      <c r="R129" s="293"/>
      <c r="S129" s="293"/>
      <c r="T129" s="87"/>
      <c r="U129" s="812" t="str">
        <f>IFERROR(INDEX([8]Code!I$8:I$33,MATCH('[8]$MRD-Annex'!$BG137,[8]Code!$G$8:$G$33,0)),"")</f>
        <v/>
      </c>
      <c r="V129" s="844" t="str">
        <f>IFERROR(INDEX([8]Code!J$8:J$33,MATCH('[8]$MRD-Annex'!$BG137,[8]Code!$G$8:$G$33,0)),"")</f>
        <v/>
      </c>
      <c r="W129" s="844" t="str">
        <f>IFERROR(INDEX([8]Code!K$8:K$33,MATCH('[8]$MRD-Annex'!$BG137,[8]Code!$G$8:$G$33,0)),"")</f>
        <v/>
      </c>
      <c r="X129" s="844" t="str">
        <f>IFERROR(INDEX([8]Code!L$8:L$33,MATCH('[8]$MRD-Annex'!$BG137,[8]Code!$G$8:$G$33,0)),"")</f>
        <v/>
      </c>
      <c r="Y129" s="845" t="str">
        <f>IFERROR(INDEX([8]Code!M$8:M$33,MATCH('[8]$MRD-Annex'!$BG137,[8]Code!$G$8:$G$33,0)),"")</f>
        <v/>
      </c>
      <c r="Z129" s="461"/>
      <c r="AA129" s="292"/>
      <c r="AB129" s="292"/>
      <c r="AC129" s="292"/>
      <c r="AD129" s="153"/>
      <c r="AE129" s="86"/>
      <c r="AF129" s="82"/>
      <c r="AG129" s="82"/>
      <c r="AH129" s="82"/>
      <c r="AI129" s="83"/>
      <c r="AJ129" s="82"/>
      <c r="AK129" s="82"/>
      <c r="AL129" s="82"/>
      <c r="AM129" s="82"/>
      <c r="AN129" s="82"/>
      <c r="AO129" s="461"/>
      <c r="AP129" s="292"/>
      <c r="AQ129" s="292"/>
      <c r="AR129" s="292"/>
      <c r="AS129" s="153"/>
      <c r="AT129" s="86"/>
      <c r="AU129" s="82"/>
      <c r="AV129" s="82"/>
      <c r="AW129" s="82"/>
      <c r="AX129" s="83"/>
      <c r="AY129" s="111"/>
      <c r="AZ129" s="151"/>
      <c r="BA129" s="151"/>
      <c r="BB129" s="151"/>
      <c r="BC129" s="87"/>
      <c r="BD129" s="97"/>
      <c r="BE129" s="1069"/>
      <c r="BF129" s="1282"/>
      <c r="BG129" s="591" t="str">
        <f>IFERROR(INDEX('Annex 2_Code'!$J$110:$J$127,MATCH('Annex 5_MRD'!BE129,'Annex 2_Code'!$G$110:$G$127,0)),"")</f>
        <v/>
      </c>
      <c r="BH129" s="1565" t="str">
        <f t="shared" si="126"/>
        <v/>
      </c>
      <c r="BI129" s="97"/>
    </row>
    <row r="130" spans="1:61">
      <c r="A130" s="75"/>
      <c r="B130" s="2160" t="s">
        <v>58</v>
      </c>
      <c r="C130" s="1027" t="s">
        <v>58</v>
      </c>
      <c r="D130" s="86"/>
      <c r="E130" s="1120"/>
      <c r="F130" s="1319" t="s">
        <v>950</v>
      </c>
      <c r="G130" s="1318"/>
      <c r="H130" s="770" t="s">
        <v>174</v>
      </c>
      <c r="I130" s="781">
        <f>226</f>
        <v>226</v>
      </c>
      <c r="J130" s="1026">
        <v>0.22600000000000001</v>
      </c>
      <c r="K130" s="788">
        <v>3</v>
      </c>
      <c r="L130" s="79">
        <v>3</v>
      </c>
      <c r="M130" s="79">
        <v>3</v>
      </c>
      <c r="N130" s="79">
        <v>3</v>
      </c>
      <c r="O130" s="764">
        <f t="shared" ref="O130:O131" si="222">SUM(K130:N130)</f>
        <v>12</v>
      </c>
      <c r="P130" s="281">
        <f>K130*$I$130/1000</f>
        <v>0.67800000000000005</v>
      </c>
      <c r="Q130" s="281">
        <f>L130*$I$130/1000</f>
        <v>0.67800000000000005</v>
      </c>
      <c r="R130" s="281">
        <f>M130*$I$130/1000</f>
        <v>0.67800000000000005</v>
      </c>
      <c r="S130" s="281">
        <f>N130*$I$130/1000</f>
        <v>0.67800000000000005</v>
      </c>
      <c r="T130" s="80">
        <f t="shared" ref="T130:T131" si="223">SUM(P130:S130)</f>
        <v>2.7120000000000002</v>
      </c>
      <c r="U130" s="618">
        <f>IFERROR(INDEX('Annex 2_Code'!I$8:I$33,MATCH('Annex 5_MRD'!$BF130,'Annex 2_Code'!$G$8:$G$33,0)),"")</f>
        <v>0</v>
      </c>
      <c r="V130" s="618">
        <f>IFERROR(INDEX('Annex 2_Code'!J$8:J$33,MATCH('Annex 5_MRD'!$BF130,'Annex 2_Code'!$G$8:$G$33,0)),"")</f>
        <v>0</v>
      </c>
      <c r="W130" s="618">
        <f>IFERROR(INDEX('Annex 2_Code'!K$8:K$33,MATCH('Annex 5_MRD'!$BF130,'Annex 2_Code'!$G$8:$G$33,0)),"")</f>
        <v>0</v>
      </c>
      <c r="X130" s="618">
        <f>IFERROR(INDEX('Annex 2_Code'!L$8:L$33,MATCH('Annex 5_MRD'!$BF130,'Annex 2_Code'!$G$8:$G$33,0)),"")</f>
        <v>1</v>
      </c>
      <c r="Y130" s="715">
        <f>IFERROR(INDEX('Annex 2_Code'!M$8:M$33,MATCH('Annex 5_MRD'!$BF130,'Annex 2_Code'!$G$8:$G$33,0)),"")</f>
        <v>0</v>
      </c>
      <c r="Z130" s="288">
        <f t="shared" ref="Z130:AC131" si="224">P130*$U130</f>
        <v>0</v>
      </c>
      <c r="AA130" s="287">
        <f t="shared" si="224"/>
        <v>0</v>
      </c>
      <c r="AB130" s="287">
        <f t="shared" si="224"/>
        <v>0</v>
      </c>
      <c r="AC130" s="287">
        <f t="shared" si="224"/>
        <v>0</v>
      </c>
      <c r="AD130" s="289">
        <f t="shared" ref="AD130:AD131" si="225">SUM(Z130:AC130)</f>
        <v>0</v>
      </c>
      <c r="AE130" s="288">
        <f t="shared" ref="AE130:AI131" si="226">P130*$V130</f>
        <v>0</v>
      </c>
      <c r="AF130" s="287">
        <f t="shared" si="226"/>
        <v>0</v>
      </c>
      <c r="AG130" s="287">
        <f t="shared" si="226"/>
        <v>0</v>
      </c>
      <c r="AH130" s="287">
        <f t="shared" si="226"/>
        <v>0</v>
      </c>
      <c r="AI130" s="289">
        <f t="shared" si="226"/>
        <v>0</v>
      </c>
      <c r="AJ130" s="287">
        <f t="shared" ref="AJ130:AM131" si="227">P130*$W130</f>
        <v>0</v>
      </c>
      <c r="AK130" s="287">
        <f t="shared" si="227"/>
        <v>0</v>
      </c>
      <c r="AL130" s="287">
        <f t="shared" si="227"/>
        <v>0</v>
      </c>
      <c r="AM130" s="287">
        <f t="shared" si="227"/>
        <v>0</v>
      </c>
      <c r="AN130" s="837">
        <f t="shared" ref="AN130:AN131" si="228">SUM(AJ130:AM130)</f>
        <v>0</v>
      </c>
      <c r="AO130" s="288">
        <f t="shared" ref="AO130:AR131" si="229">P130*$X130</f>
        <v>0.67800000000000005</v>
      </c>
      <c r="AP130" s="287">
        <f t="shared" si="229"/>
        <v>0.67800000000000005</v>
      </c>
      <c r="AQ130" s="287">
        <f t="shared" si="229"/>
        <v>0.67800000000000005</v>
      </c>
      <c r="AR130" s="287">
        <f t="shared" si="229"/>
        <v>0.67800000000000005</v>
      </c>
      <c r="AS130" s="152">
        <f t="shared" ref="AS130:AS131" si="230">SUM(AO130:AR130)</f>
        <v>2.7120000000000002</v>
      </c>
      <c r="AT130" s="288">
        <f t="shared" ref="AT130:AW131" si="231">P130*$Y130</f>
        <v>0</v>
      </c>
      <c r="AU130" s="287">
        <f t="shared" si="231"/>
        <v>0</v>
      </c>
      <c r="AV130" s="287">
        <f t="shared" si="231"/>
        <v>0</v>
      </c>
      <c r="AW130" s="287">
        <f t="shared" si="231"/>
        <v>0</v>
      </c>
      <c r="AX130" s="152">
        <f t="shared" ref="AX130:AX131" si="232">SUM(AT130:AW130)</f>
        <v>0</v>
      </c>
      <c r="AY130" s="88">
        <f t="shared" ref="AY130:BC131" si="233">SUM($T130*U130)</f>
        <v>0</v>
      </c>
      <c r="AZ130" s="358">
        <f t="shared" si="233"/>
        <v>0</v>
      </c>
      <c r="BA130" s="358">
        <f t="shared" si="233"/>
        <v>0</v>
      </c>
      <c r="BB130" s="358">
        <f t="shared" si="233"/>
        <v>2.7120000000000002</v>
      </c>
      <c r="BC130" s="80">
        <f t="shared" si="233"/>
        <v>0</v>
      </c>
      <c r="BD130" s="97"/>
      <c r="BE130" s="568" t="s">
        <v>564</v>
      </c>
      <c r="BF130" s="568" t="s">
        <v>414</v>
      </c>
      <c r="BG130" s="591" t="str">
        <f>IFERROR(INDEX('Annex 2_Code'!$J$110:$J$127,MATCH('Annex 5_MRD'!BE130,'Annex 2_Code'!$G$110:$G$127,0)),"")</f>
        <v>MRD</v>
      </c>
      <c r="BH130" s="1565" t="str">
        <f t="shared" si="126"/>
        <v>MRD</v>
      </c>
      <c r="BI130" s="97"/>
    </row>
    <row r="131" spans="1:61">
      <c r="A131" s="75"/>
      <c r="B131" s="2160" t="s">
        <v>58</v>
      </c>
      <c r="C131" s="1027" t="s">
        <v>58</v>
      </c>
      <c r="D131" s="86"/>
      <c r="E131" s="1120"/>
      <c r="F131" s="1319" t="s">
        <v>124</v>
      </c>
      <c r="G131" s="1318"/>
      <c r="H131" s="770" t="s">
        <v>174</v>
      </c>
      <c r="I131" s="781">
        <f>24.26*15%</f>
        <v>3.6390000000000002</v>
      </c>
      <c r="J131" s="1026">
        <v>3.6390000000000003E-3</v>
      </c>
      <c r="K131" s="788">
        <v>3</v>
      </c>
      <c r="L131" s="79">
        <v>3</v>
      </c>
      <c r="M131" s="79">
        <v>3</v>
      </c>
      <c r="N131" s="79">
        <v>3</v>
      </c>
      <c r="O131" s="764">
        <f t="shared" si="222"/>
        <v>12</v>
      </c>
      <c r="P131" s="281">
        <f>K131*$I$131/1000</f>
        <v>1.0917000000000001E-2</v>
      </c>
      <c r="Q131" s="281">
        <f>L131*$I$131/1000</f>
        <v>1.0917000000000001E-2</v>
      </c>
      <c r="R131" s="281">
        <f>M131*$I$131/1000</f>
        <v>1.0917000000000001E-2</v>
      </c>
      <c r="S131" s="281">
        <f>N131*$I$131/1000</f>
        <v>1.0917000000000001E-2</v>
      </c>
      <c r="T131" s="80">
        <f t="shared" si="223"/>
        <v>4.3668000000000005E-2</v>
      </c>
      <c r="U131" s="618">
        <f>IFERROR(INDEX('Annex 2_Code'!I$8:I$33,MATCH('Annex 5_MRD'!$BF131,'Annex 2_Code'!$G$8:$G$33,0)),"")</f>
        <v>0</v>
      </c>
      <c r="V131" s="618">
        <f>IFERROR(INDEX('Annex 2_Code'!J$8:J$33,MATCH('Annex 5_MRD'!$BF131,'Annex 2_Code'!$G$8:$G$33,0)),"")</f>
        <v>0</v>
      </c>
      <c r="W131" s="618">
        <f>IFERROR(INDEX('Annex 2_Code'!K$8:K$33,MATCH('Annex 5_MRD'!$BF131,'Annex 2_Code'!$G$8:$G$33,0)),"")</f>
        <v>0</v>
      </c>
      <c r="X131" s="618">
        <f>IFERROR(INDEX('Annex 2_Code'!L$8:L$33,MATCH('Annex 5_MRD'!$BF131,'Annex 2_Code'!$G$8:$G$33,0)),"")</f>
        <v>1</v>
      </c>
      <c r="Y131" s="715">
        <f>IFERROR(INDEX('Annex 2_Code'!M$8:M$33,MATCH('Annex 5_MRD'!$BF131,'Annex 2_Code'!$G$8:$G$33,0)),"")</f>
        <v>0</v>
      </c>
      <c r="Z131" s="288">
        <f t="shared" si="224"/>
        <v>0</v>
      </c>
      <c r="AA131" s="287">
        <f t="shared" si="224"/>
        <v>0</v>
      </c>
      <c r="AB131" s="287">
        <f t="shared" si="224"/>
        <v>0</v>
      </c>
      <c r="AC131" s="287">
        <f t="shared" si="224"/>
        <v>0</v>
      </c>
      <c r="AD131" s="289">
        <f t="shared" si="225"/>
        <v>0</v>
      </c>
      <c r="AE131" s="288">
        <f t="shared" si="226"/>
        <v>0</v>
      </c>
      <c r="AF131" s="287">
        <f t="shared" si="226"/>
        <v>0</v>
      </c>
      <c r="AG131" s="287">
        <f t="shared" si="226"/>
        <v>0</v>
      </c>
      <c r="AH131" s="287">
        <f t="shared" si="226"/>
        <v>0</v>
      </c>
      <c r="AI131" s="289">
        <f t="shared" si="226"/>
        <v>0</v>
      </c>
      <c r="AJ131" s="287">
        <f t="shared" si="227"/>
        <v>0</v>
      </c>
      <c r="AK131" s="287">
        <f t="shared" si="227"/>
        <v>0</v>
      </c>
      <c r="AL131" s="287">
        <f t="shared" si="227"/>
        <v>0</v>
      </c>
      <c r="AM131" s="287">
        <f t="shared" si="227"/>
        <v>0</v>
      </c>
      <c r="AN131" s="837">
        <f t="shared" si="228"/>
        <v>0</v>
      </c>
      <c r="AO131" s="288">
        <f t="shared" si="229"/>
        <v>1.0917000000000001E-2</v>
      </c>
      <c r="AP131" s="287">
        <f t="shared" si="229"/>
        <v>1.0917000000000001E-2</v>
      </c>
      <c r="AQ131" s="287">
        <f t="shared" si="229"/>
        <v>1.0917000000000001E-2</v>
      </c>
      <c r="AR131" s="287">
        <f t="shared" si="229"/>
        <v>1.0917000000000001E-2</v>
      </c>
      <c r="AS131" s="152">
        <f t="shared" si="230"/>
        <v>4.3668000000000005E-2</v>
      </c>
      <c r="AT131" s="288">
        <f t="shared" si="231"/>
        <v>0</v>
      </c>
      <c r="AU131" s="287">
        <f t="shared" si="231"/>
        <v>0</v>
      </c>
      <c r="AV131" s="287">
        <f t="shared" si="231"/>
        <v>0</v>
      </c>
      <c r="AW131" s="287">
        <f t="shared" si="231"/>
        <v>0</v>
      </c>
      <c r="AX131" s="152">
        <f t="shared" si="232"/>
        <v>0</v>
      </c>
      <c r="AY131" s="88">
        <f t="shared" si="233"/>
        <v>0</v>
      </c>
      <c r="AZ131" s="358">
        <f t="shared" si="233"/>
        <v>0</v>
      </c>
      <c r="BA131" s="358">
        <f t="shared" si="233"/>
        <v>0</v>
      </c>
      <c r="BB131" s="358">
        <f t="shared" si="233"/>
        <v>4.3668000000000005E-2</v>
      </c>
      <c r="BC131" s="80">
        <f t="shared" si="233"/>
        <v>0</v>
      </c>
      <c r="BD131" s="97"/>
      <c r="BE131" s="568" t="s">
        <v>564</v>
      </c>
      <c r="BF131" s="568" t="s">
        <v>414</v>
      </c>
      <c r="BG131" s="591" t="str">
        <f>IFERROR(INDEX('Annex 2_Code'!$J$110:$J$127,MATCH('Annex 5_MRD'!BE131,'Annex 2_Code'!$G$110:$G$127,0)),"")</f>
        <v>MRD</v>
      </c>
      <c r="BH131" s="1565" t="str">
        <f t="shared" si="126"/>
        <v>MRD</v>
      </c>
      <c r="BI131" s="97"/>
    </row>
    <row r="132" spans="1:61">
      <c r="A132" s="75"/>
      <c r="B132" s="1267"/>
      <c r="C132" s="1568"/>
      <c r="D132" s="382"/>
      <c r="E132" s="383" t="s">
        <v>41</v>
      </c>
      <c r="F132" s="384"/>
      <c r="G132" s="385"/>
      <c r="H132" s="775"/>
      <c r="I132" s="776"/>
      <c r="J132" s="1638"/>
      <c r="K132" s="791"/>
      <c r="L132" s="386"/>
      <c r="M132" s="839"/>
      <c r="N132" s="840"/>
      <c r="O132" s="388"/>
      <c r="P132" s="387">
        <f>SUM(P130:P131)</f>
        <v>0.688917</v>
      </c>
      <c r="Q132" s="387">
        <f>SUM(Q130:Q131)</f>
        <v>0.688917</v>
      </c>
      <c r="R132" s="387">
        <f>SUM(R130:R131)</f>
        <v>0.688917</v>
      </c>
      <c r="S132" s="387">
        <f>SUM(S130:S131)</f>
        <v>0.688917</v>
      </c>
      <c r="T132" s="388">
        <f>SUM(T130:T131)</f>
        <v>2.755668</v>
      </c>
      <c r="U132" s="813" t="str">
        <f>IFERROR(INDEX([8]Code!I$8:I$33,MATCH('[8]$MRD-Annex'!$BG147,[8]Code!$G$8:$G$33,0)),"")</f>
        <v/>
      </c>
      <c r="V132" s="846" t="str">
        <f>IFERROR(INDEX([8]Code!J$8:J$33,MATCH('[8]$MRD-Annex'!$BG147,[8]Code!$G$8:$G$33,0)),"")</f>
        <v/>
      </c>
      <c r="W132" s="846" t="str">
        <f>IFERROR(INDEX([8]Code!K$8:K$33,MATCH('[8]$MRD-Annex'!$BG147,[8]Code!$G$8:$G$33,0)),"")</f>
        <v/>
      </c>
      <c r="X132" s="846" t="str">
        <f>IFERROR(INDEX([8]Code!L$8:L$33,MATCH('[8]$MRD-Annex'!$BG147,[8]Code!$G$8:$G$33,0)),"")</f>
        <v/>
      </c>
      <c r="Y132" s="847" t="str">
        <f>IFERROR(INDEX([8]Code!M$8:M$33,MATCH('[8]$MRD-Annex'!$BG147,[8]Code!$G$8:$G$33,0)),"")</f>
        <v/>
      </c>
      <c r="Z132" s="390">
        <f>SUM(Z130:Z131)</f>
        <v>0</v>
      </c>
      <c r="AA132" s="389">
        <f>SUM(AA130:AA131)</f>
        <v>0</v>
      </c>
      <c r="AB132" s="389">
        <f>SUM(AB130:AB131)</f>
        <v>0</v>
      </c>
      <c r="AC132" s="389">
        <f>SUM(AC130:AC131)</f>
        <v>0</v>
      </c>
      <c r="AD132" s="391">
        <f>SUM(AD130:AD131)</f>
        <v>0</v>
      </c>
      <c r="AE132" s="390"/>
      <c r="AF132" s="389"/>
      <c r="AG132" s="389"/>
      <c r="AH132" s="389"/>
      <c r="AI132" s="391"/>
      <c r="AJ132" s="389"/>
      <c r="AK132" s="389"/>
      <c r="AL132" s="389"/>
      <c r="AM132" s="389"/>
      <c r="AN132" s="393"/>
      <c r="AO132" s="390">
        <f>SUM(AO130:AO131)</f>
        <v>0.688917</v>
      </c>
      <c r="AP132" s="389">
        <f>SUM(AP130:AP131)</f>
        <v>0.688917</v>
      </c>
      <c r="AQ132" s="389">
        <f>SUM(AQ130:AQ131)</f>
        <v>0.688917</v>
      </c>
      <c r="AR132" s="389">
        <f>SUM(AR130:AR131)</f>
        <v>0.688917</v>
      </c>
      <c r="AS132" s="388">
        <f>SUM(AS130:AS131)</f>
        <v>2.755668</v>
      </c>
      <c r="AT132" s="382"/>
      <c r="AU132" s="383"/>
      <c r="AV132" s="383"/>
      <c r="AW132" s="383"/>
      <c r="AX132" s="838"/>
      <c r="AY132" s="392">
        <f>SUM(AY130:AY131)</f>
        <v>0</v>
      </c>
      <c r="AZ132" s="393">
        <f>SUM(AZ130:AZ131)</f>
        <v>0</v>
      </c>
      <c r="BA132" s="393">
        <f>SUM(BA130:BA131)</f>
        <v>0</v>
      </c>
      <c r="BB132" s="393">
        <f>SUM(BB130:BB131)</f>
        <v>2.755668</v>
      </c>
      <c r="BC132" s="388">
        <f>SUM(BC130:BC131)</f>
        <v>0</v>
      </c>
      <c r="BD132" s="97"/>
      <c r="BE132" s="1069"/>
      <c r="BF132" s="1282"/>
      <c r="BG132" s="1282"/>
      <c r="BH132" s="1565"/>
      <c r="BI132" s="97"/>
    </row>
    <row r="133" spans="1:61">
      <c r="A133" s="75"/>
      <c r="B133" s="76"/>
      <c r="C133" s="77"/>
      <c r="D133" s="86"/>
      <c r="E133" s="97" t="s">
        <v>255</v>
      </c>
      <c r="F133" s="1320"/>
      <c r="G133" s="1320"/>
      <c r="H133" s="770"/>
      <c r="I133" s="771"/>
      <c r="J133" s="1640"/>
      <c r="K133" s="788"/>
      <c r="L133" s="79"/>
      <c r="M133" s="79"/>
      <c r="N133" s="79"/>
      <c r="O133" s="762"/>
      <c r="P133" s="281"/>
      <c r="Q133" s="281"/>
      <c r="R133" s="281"/>
      <c r="S133" s="281"/>
      <c r="T133" s="109"/>
      <c r="U133" s="812" t="str">
        <f>IFERROR(INDEX([8]Code!I$8:I$33,MATCH('[8]$MRD-Annex'!$BG148,[8]Code!$G$8:$G$33,0)),"")</f>
        <v/>
      </c>
      <c r="V133" s="844" t="str">
        <f>IFERROR(INDEX([8]Code!J$8:J$33,MATCH('[8]$MRD-Annex'!$BG148,[8]Code!$G$8:$G$33,0)),"")</f>
        <v/>
      </c>
      <c r="W133" s="844" t="str">
        <f>IFERROR(INDEX([8]Code!K$8:K$33,MATCH('[8]$MRD-Annex'!$BG148,[8]Code!$G$8:$G$33,0)),"")</f>
        <v/>
      </c>
      <c r="X133" s="844" t="str">
        <f>IFERROR(INDEX([8]Code!L$8:L$33,MATCH('[8]$MRD-Annex'!$BG148,[8]Code!$G$8:$G$33,0)),"")</f>
        <v/>
      </c>
      <c r="Y133" s="845" t="str">
        <f>IFERROR(INDEX([8]Code!M$8:M$33,MATCH('[8]$MRD-Annex'!$BG148,[8]Code!$G$8:$G$33,0)),"")</f>
        <v/>
      </c>
      <c r="Z133" s="836"/>
      <c r="AA133" s="263"/>
      <c r="AB133" s="263"/>
      <c r="AC133" s="263"/>
      <c r="AD133" s="152"/>
      <c r="AE133" s="86"/>
      <c r="AF133" s="82"/>
      <c r="AG133" s="82"/>
      <c r="AH133" s="82"/>
      <c r="AI133" s="83"/>
      <c r="AJ133" s="82"/>
      <c r="AK133" s="82"/>
      <c r="AL133" s="82"/>
      <c r="AM133" s="82"/>
      <c r="AN133" s="82"/>
      <c r="AO133" s="86"/>
      <c r="AP133" s="82"/>
      <c r="AQ133" s="82"/>
      <c r="AR133" s="82"/>
      <c r="AS133" s="83"/>
      <c r="AT133" s="86"/>
      <c r="AU133" s="82"/>
      <c r="AV133" s="82"/>
      <c r="AW133" s="82"/>
      <c r="AX133" s="83"/>
      <c r="AY133" s="78"/>
      <c r="AZ133" s="97"/>
      <c r="BA133" s="97"/>
      <c r="BB133" s="97"/>
      <c r="BC133" s="98"/>
      <c r="BD133" s="97"/>
      <c r="BE133" s="1069"/>
      <c r="BF133" s="1282"/>
      <c r="BG133" s="1282"/>
      <c r="BH133" s="1565"/>
      <c r="BI133" s="97"/>
    </row>
    <row r="134" spans="1:61">
      <c r="A134" s="75"/>
      <c r="B134" s="1028" t="s">
        <v>261</v>
      </c>
      <c r="C134" s="1027" t="s">
        <v>261</v>
      </c>
      <c r="D134" s="86"/>
      <c r="E134" s="1320"/>
      <c r="F134" s="1321" t="s">
        <v>1043</v>
      </c>
      <c r="G134" s="95"/>
      <c r="H134" s="770" t="s">
        <v>174</v>
      </c>
      <c r="I134" s="781">
        <f>450</f>
        <v>450</v>
      </c>
      <c r="J134" s="1026">
        <v>0.45</v>
      </c>
      <c r="K134" s="788">
        <f>5*3</f>
        <v>15</v>
      </c>
      <c r="L134" s="79">
        <f>7*3</f>
        <v>21</v>
      </c>
      <c r="M134" s="79">
        <f>7*3</f>
        <v>21</v>
      </c>
      <c r="N134" s="79">
        <f>7*3</f>
        <v>21</v>
      </c>
      <c r="O134" s="764">
        <f t="shared" ref="O134:O135" si="234">SUM(K134:N134)</f>
        <v>78</v>
      </c>
      <c r="P134" s="281">
        <f>K134*$I$134/1000</f>
        <v>6.75</v>
      </c>
      <c r="Q134" s="281">
        <f>L134*$I$134/1000</f>
        <v>9.4499999999999993</v>
      </c>
      <c r="R134" s="281">
        <f>M134*$I$134/1000</f>
        <v>9.4499999999999993</v>
      </c>
      <c r="S134" s="281">
        <f>N134*$I$134/1000</f>
        <v>9.4499999999999993</v>
      </c>
      <c r="T134" s="80">
        <f>SUM(P134:S134)</f>
        <v>35.099999999999994</v>
      </c>
      <c r="U134" s="618">
        <f>IFERROR(INDEX('Annex 2_Code'!I$8:I$33,MATCH('Annex 5_MRD'!$BF134,'Annex 2_Code'!$G$8:$G$33,0)),"")</f>
        <v>1</v>
      </c>
      <c r="V134" s="618">
        <f>IFERROR(INDEX('Annex 2_Code'!J$8:J$33,MATCH('Annex 5_MRD'!$BF134,'Annex 2_Code'!$G$8:$G$33,0)),"")</f>
        <v>0</v>
      </c>
      <c r="W134" s="618">
        <f>IFERROR(INDEX('Annex 2_Code'!K$8:K$33,MATCH('Annex 5_MRD'!$BF134,'Annex 2_Code'!$G$8:$G$33,0)),"")</f>
        <v>0</v>
      </c>
      <c r="X134" s="618">
        <f>IFERROR(INDEX('Annex 2_Code'!L$8:L$33,MATCH('Annex 5_MRD'!$BF134,'Annex 2_Code'!$G$8:$G$33,0)),"")</f>
        <v>0</v>
      </c>
      <c r="Y134" s="715">
        <f>IFERROR(INDEX('Annex 2_Code'!M$8:M$33,MATCH('Annex 5_MRD'!$BF134,'Annex 2_Code'!$G$8:$G$33,0)),"")</f>
        <v>0</v>
      </c>
      <c r="Z134" s="288">
        <f t="shared" ref="Z134:AC141" si="235">P134*$U134</f>
        <v>6.75</v>
      </c>
      <c r="AA134" s="287">
        <f t="shared" si="235"/>
        <v>9.4499999999999993</v>
      </c>
      <c r="AB134" s="287">
        <f t="shared" si="235"/>
        <v>9.4499999999999993</v>
      </c>
      <c r="AC134" s="287">
        <f t="shared" si="235"/>
        <v>9.4499999999999993</v>
      </c>
      <c r="AD134" s="289">
        <f t="shared" ref="AD134:AD141" si="236">SUM(Z134:AC134)</f>
        <v>35.099999999999994</v>
      </c>
      <c r="AE134" s="288">
        <f t="shared" ref="AE134:AI141" si="237">P134*$V134</f>
        <v>0</v>
      </c>
      <c r="AF134" s="287">
        <f t="shared" si="237"/>
        <v>0</v>
      </c>
      <c r="AG134" s="287">
        <f t="shared" si="237"/>
        <v>0</v>
      </c>
      <c r="AH134" s="287">
        <f t="shared" si="237"/>
        <v>0</v>
      </c>
      <c r="AI134" s="289">
        <f t="shared" si="237"/>
        <v>0</v>
      </c>
      <c r="AJ134" s="287">
        <f t="shared" ref="AJ134:AM141" si="238">P134*$W134</f>
        <v>0</v>
      </c>
      <c r="AK134" s="287">
        <f t="shared" si="238"/>
        <v>0</v>
      </c>
      <c r="AL134" s="287">
        <f t="shared" si="238"/>
        <v>0</v>
      </c>
      <c r="AM134" s="287">
        <f t="shared" si="238"/>
        <v>0</v>
      </c>
      <c r="AN134" s="837">
        <f t="shared" ref="AN134:AN139" si="239">SUM(AJ134:AM134)</f>
        <v>0</v>
      </c>
      <c r="AO134" s="288">
        <f t="shared" ref="AO134:AR140" si="240">P134*$X134</f>
        <v>0</v>
      </c>
      <c r="AP134" s="287">
        <f t="shared" si="240"/>
        <v>0</v>
      </c>
      <c r="AQ134" s="287">
        <f t="shared" si="240"/>
        <v>0</v>
      </c>
      <c r="AR134" s="287">
        <f t="shared" si="240"/>
        <v>0</v>
      </c>
      <c r="AS134" s="152">
        <f t="shared" ref="AS134:AS139" si="241">SUM(AO134:AR134)</f>
        <v>0</v>
      </c>
      <c r="AT134" s="288">
        <f t="shared" ref="AT134:AW138" si="242">P134*$Y134</f>
        <v>0</v>
      </c>
      <c r="AU134" s="287">
        <f t="shared" si="242"/>
        <v>0</v>
      </c>
      <c r="AV134" s="287">
        <f t="shared" si="242"/>
        <v>0</v>
      </c>
      <c r="AW134" s="287">
        <f t="shared" si="242"/>
        <v>0</v>
      </c>
      <c r="AX134" s="152">
        <f t="shared" ref="AX134:AX138" si="243">SUM(AT134:AW134)</f>
        <v>0</v>
      </c>
      <c r="AY134" s="88">
        <f t="shared" ref="AY134:BC138" si="244">SUM($T134*U134)</f>
        <v>35.099999999999994</v>
      </c>
      <c r="AZ134" s="358">
        <f t="shared" si="244"/>
        <v>0</v>
      </c>
      <c r="BA134" s="358">
        <f t="shared" si="244"/>
        <v>0</v>
      </c>
      <c r="BB134" s="358">
        <f t="shared" si="244"/>
        <v>0</v>
      </c>
      <c r="BC134" s="80">
        <f t="shared" si="244"/>
        <v>0</v>
      </c>
      <c r="BD134" s="97"/>
      <c r="BE134" s="568" t="s">
        <v>564</v>
      </c>
      <c r="BF134" s="568" t="s">
        <v>412</v>
      </c>
      <c r="BG134" s="591" t="str">
        <f>IFERROR(INDEX('Annex 2_Code'!$J$110:$J$127,MATCH('Annex 5_MRD'!BE134,'Annex 2_Code'!$G$110:$G$127,0)),"")</f>
        <v>MRD</v>
      </c>
      <c r="BH134" s="1565" t="str">
        <f t="shared" si="126"/>
        <v>MRD</v>
      </c>
      <c r="BI134" s="97"/>
    </row>
    <row r="135" spans="1:61">
      <c r="A135" s="75"/>
      <c r="B135" s="1028" t="s">
        <v>261</v>
      </c>
      <c r="C135" s="1027" t="s">
        <v>261</v>
      </c>
      <c r="D135" s="86"/>
      <c r="E135" s="1320"/>
      <c r="F135" s="1321" t="s">
        <v>952</v>
      </c>
      <c r="G135" s="95"/>
      <c r="H135" s="770" t="s">
        <v>174</v>
      </c>
      <c r="I135" s="781">
        <f>(400+350)</f>
        <v>750</v>
      </c>
      <c r="J135" s="1026">
        <v>0.75</v>
      </c>
      <c r="K135" s="788">
        <v>3</v>
      </c>
      <c r="L135" s="79">
        <v>3</v>
      </c>
      <c r="M135" s="79">
        <v>3</v>
      </c>
      <c r="N135" s="79">
        <v>3</v>
      </c>
      <c r="O135" s="764">
        <f t="shared" si="234"/>
        <v>12</v>
      </c>
      <c r="P135" s="281">
        <f>K135*$I$135/1000</f>
        <v>2.25</v>
      </c>
      <c r="Q135" s="281">
        <f>L135*$I$135/1000</f>
        <v>2.25</v>
      </c>
      <c r="R135" s="281">
        <f>M135*$I$135/1000</f>
        <v>2.25</v>
      </c>
      <c r="S135" s="281">
        <f>N135*$I$135/1000</f>
        <v>2.25</v>
      </c>
      <c r="T135" s="80">
        <f t="shared" ref="T135:T136" si="245">SUM(P135:S135)</f>
        <v>9</v>
      </c>
      <c r="U135" s="618">
        <f>IFERROR(INDEX('Annex 2_Code'!I$8:I$33,MATCH('Annex 5_MRD'!$BF135,'Annex 2_Code'!$G$8:$G$33,0)),"")</f>
        <v>1</v>
      </c>
      <c r="V135" s="618">
        <f>IFERROR(INDEX('Annex 2_Code'!J$8:J$33,MATCH('Annex 5_MRD'!$BF135,'Annex 2_Code'!$G$8:$G$33,0)),"")</f>
        <v>0</v>
      </c>
      <c r="W135" s="618">
        <f>IFERROR(INDEX('Annex 2_Code'!K$8:K$33,MATCH('Annex 5_MRD'!$BF135,'Annex 2_Code'!$G$8:$G$33,0)),"")</f>
        <v>0</v>
      </c>
      <c r="X135" s="618">
        <f>IFERROR(INDEX('Annex 2_Code'!L$8:L$33,MATCH('Annex 5_MRD'!$BF135,'Annex 2_Code'!$G$8:$G$33,0)),"")</f>
        <v>0</v>
      </c>
      <c r="Y135" s="715">
        <f>IFERROR(INDEX('Annex 2_Code'!M$8:M$33,MATCH('Annex 5_MRD'!$BF135,'Annex 2_Code'!$G$8:$G$33,0)),"")</f>
        <v>0</v>
      </c>
      <c r="Z135" s="288">
        <f t="shared" si="235"/>
        <v>2.25</v>
      </c>
      <c r="AA135" s="287">
        <f t="shared" si="235"/>
        <v>2.25</v>
      </c>
      <c r="AB135" s="287">
        <f t="shared" si="235"/>
        <v>2.25</v>
      </c>
      <c r="AC135" s="287">
        <f t="shared" si="235"/>
        <v>2.25</v>
      </c>
      <c r="AD135" s="289">
        <f t="shared" si="236"/>
        <v>9</v>
      </c>
      <c r="AE135" s="288">
        <f t="shared" si="237"/>
        <v>0</v>
      </c>
      <c r="AF135" s="287">
        <f t="shared" si="237"/>
        <v>0</v>
      </c>
      <c r="AG135" s="287">
        <f t="shared" si="237"/>
        <v>0</v>
      </c>
      <c r="AH135" s="287">
        <f t="shared" si="237"/>
        <v>0</v>
      </c>
      <c r="AI135" s="289">
        <f t="shared" si="237"/>
        <v>0</v>
      </c>
      <c r="AJ135" s="287">
        <f t="shared" si="238"/>
        <v>0</v>
      </c>
      <c r="AK135" s="287">
        <f t="shared" si="238"/>
        <v>0</v>
      </c>
      <c r="AL135" s="287">
        <f t="shared" si="238"/>
        <v>0</v>
      </c>
      <c r="AM135" s="287">
        <f t="shared" si="238"/>
        <v>0</v>
      </c>
      <c r="AN135" s="837">
        <f t="shared" si="239"/>
        <v>0</v>
      </c>
      <c r="AO135" s="288">
        <f t="shared" si="240"/>
        <v>0</v>
      </c>
      <c r="AP135" s="287">
        <f t="shared" si="240"/>
        <v>0</v>
      </c>
      <c r="AQ135" s="287">
        <f t="shared" si="240"/>
        <v>0</v>
      </c>
      <c r="AR135" s="287">
        <f t="shared" si="240"/>
        <v>0</v>
      </c>
      <c r="AS135" s="152">
        <f t="shared" si="241"/>
        <v>0</v>
      </c>
      <c r="AT135" s="288">
        <f t="shared" si="242"/>
        <v>0</v>
      </c>
      <c r="AU135" s="287">
        <f t="shared" si="242"/>
        <v>0</v>
      </c>
      <c r="AV135" s="287">
        <f t="shared" si="242"/>
        <v>0</v>
      </c>
      <c r="AW135" s="287">
        <f t="shared" si="242"/>
        <v>0</v>
      </c>
      <c r="AX135" s="152">
        <f t="shared" si="243"/>
        <v>0</v>
      </c>
      <c r="AY135" s="88">
        <f t="shared" si="244"/>
        <v>9</v>
      </c>
      <c r="AZ135" s="358">
        <f t="shared" si="244"/>
        <v>0</v>
      </c>
      <c r="BA135" s="358">
        <f t="shared" si="244"/>
        <v>0</v>
      </c>
      <c r="BB135" s="358">
        <f t="shared" si="244"/>
        <v>0</v>
      </c>
      <c r="BC135" s="80">
        <f t="shared" si="244"/>
        <v>0</v>
      </c>
      <c r="BD135" s="97"/>
      <c r="BE135" s="568" t="s">
        <v>564</v>
      </c>
      <c r="BF135" s="568" t="s">
        <v>412</v>
      </c>
      <c r="BG135" s="591" t="str">
        <f>IFERROR(INDEX('Annex 2_Code'!$J$110:$J$127,MATCH('Annex 5_MRD'!BE135,'Annex 2_Code'!$G$110:$G$127,0)),"")</f>
        <v>MRD</v>
      </c>
      <c r="BH135" s="1565" t="str">
        <f t="shared" si="126"/>
        <v>MRD</v>
      </c>
      <c r="BI135" s="97"/>
    </row>
    <row r="136" spans="1:61">
      <c r="A136" s="75"/>
      <c r="B136" s="1028" t="s">
        <v>261</v>
      </c>
      <c r="C136" s="1027" t="s">
        <v>261</v>
      </c>
      <c r="D136" s="86"/>
      <c r="E136" s="97"/>
      <c r="F136" s="1583" t="s">
        <v>1044</v>
      </c>
      <c r="G136" s="1584"/>
      <c r="H136" s="96" t="s">
        <v>174</v>
      </c>
      <c r="I136" s="1585">
        <f>(8*34+14*2)</f>
        <v>300</v>
      </c>
      <c r="J136" s="1026">
        <v>0.3</v>
      </c>
      <c r="K136" s="788">
        <f>3*5</f>
        <v>15</v>
      </c>
      <c r="L136" s="79">
        <f>3*5</f>
        <v>15</v>
      </c>
      <c r="M136" s="79">
        <f>3*5</f>
        <v>15</v>
      </c>
      <c r="N136" s="79">
        <f>3*5</f>
        <v>15</v>
      </c>
      <c r="O136" s="145">
        <f t="shared" ref="O136" si="246">SUM(K136:N136)</f>
        <v>60</v>
      </c>
      <c r="P136" s="281">
        <f>K136*$I$136/1000</f>
        <v>4.5</v>
      </c>
      <c r="Q136" s="281">
        <f t="shared" ref="Q136:S136" si="247">L136*$I$136/1000</f>
        <v>4.5</v>
      </c>
      <c r="R136" s="281">
        <f t="shared" si="247"/>
        <v>4.5</v>
      </c>
      <c r="S136" s="281">
        <f t="shared" si="247"/>
        <v>4.5</v>
      </c>
      <c r="T136" s="80">
        <f t="shared" si="245"/>
        <v>18</v>
      </c>
      <c r="U136" s="618">
        <f>IFERROR(INDEX('Annex 2_Code'!I$8:I$33,MATCH('Annex 5_MRD'!$BF136,'Annex 2_Code'!$G$8:$G$33,0)),"")</f>
        <v>1</v>
      </c>
      <c r="V136" s="618">
        <f>IFERROR(INDEX('Annex 2_Code'!J$8:J$33,MATCH('Annex 5_MRD'!$BF136,'Annex 2_Code'!$G$8:$G$33,0)),"")</f>
        <v>0</v>
      </c>
      <c r="W136" s="618">
        <f>IFERROR(INDEX('Annex 2_Code'!K$8:K$33,MATCH('Annex 5_MRD'!$BF136,'Annex 2_Code'!$G$8:$G$33,0)),"")</f>
        <v>0</v>
      </c>
      <c r="X136" s="618">
        <f>IFERROR(INDEX('Annex 2_Code'!L$8:L$33,MATCH('Annex 5_MRD'!$BF136,'Annex 2_Code'!$G$8:$G$33,0)),"")</f>
        <v>0</v>
      </c>
      <c r="Y136" s="715">
        <f>IFERROR(INDEX('Annex 2_Code'!M$8:M$33,MATCH('Annex 5_MRD'!$BF136,'Annex 2_Code'!$G$8:$G$33,0)),"")</f>
        <v>0</v>
      </c>
      <c r="Z136" s="288">
        <f t="shared" si="235"/>
        <v>4.5</v>
      </c>
      <c r="AA136" s="287">
        <f t="shared" si="235"/>
        <v>4.5</v>
      </c>
      <c r="AB136" s="287">
        <f t="shared" si="235"/>
        <v>4.5</v>
      </c>
      <c r="AC136" s="287">
        <f t="shared" si="235"/>
        <v>4.5</v>
      </c>
      <c r="AD136" s="289">
        <f t="shared" si="236"/>
        <v>18</v>
      </c>
      <c r="AE136" s="288">
        <f t="shared" si="237"/>
        <v>0</v>
      </c>
      <c r="AF136" s="287">
        <f t="shared" si="237"/>
        <v>0</v>
      </c>
      <c r="AG136" s="287">
        <f t="shared" si="237"/>
        <v>0</v>
      </c>
      <c r="AH136" s="287">
        <f t="shared" si="237"/>
        <v>0</v>
      </c>
      <c r="AI136" s="289">
        <f t="shared" si="237"/>
        <v>0</v>
      </c>
      <c r="AJ136" s="287">
        <f t="shared" si="238"/>
        <v>0</v>
      </c>
      <c r="AK136" s="287">
        <f t="shared" si="238"/>
        <v>0</v>
      </c>
      <c r="AL136" s="287">
        <f t="shared" si="238"/>
        <v>0</v>
      </c>
      <c r="AM136" s="287">
        <f t="shared" si="238"/>
        <v>0</v>
      </c>
      <c r="AN136" s="837">
        <f t="shared" si="239"/>
        <v>0</v>
      </c>
      <c r="AO136" s="288">
        <f t="shared" si="240"/>
        <v>0</v>
      </c>
      <c r="AP136" s="287">
        <f t="shared" si="240"/>
        <v>0</v>
      </c>
      <c r="AQ136" s="287">
        <f t="shared" si="240"/>
        <v>0</v>
      </c>
      <c r="AR136" s="287">
        <f t="shared" si="240"/>
        <v>0</v>
      </c>
      <c r="AS136" s="152">
        <f t="shared" si="241"/>
        <v>0</v>
      </c>
      <c r="AT136" s="288">
        <f t="shared" si="242"/>
        <v>0</v>
      </c>
      <c r="AU136" s="287">
        <f t="shared" si="242"/>
        <v>0</v>
      </c>
      <c r="AV136" s="287">
        <f t="shared" si="242"/>
        <v>0</v>
      </c>
      <c r="AW136" s="287">
        <f t="shared" si="242"/>
        <v>0</v>
      </c>
      <c r="AX136" s="152">
        <f t="shared" si="243"/>
        <v>0</v>
      </c>
      <c r="AY136" s="88">
        <f t="shared" si="244"/>
        <v>18</v>
      </c>
      <c r="AZ136" s="358">
        <f t="shared" si="244"/>
        <v>0</v>
      </c>
      <c r="BA136" s="358">
        <f t="shared" si="244"/>
        <v>0</v>
      </c>
      <c r="BB136" s="358">
        <f t="shared" si="244"/>
        <v>0</v>
      </c>
      <c r="BC136" s="80">
        <f t="shared" si="244"/>
        <v>0</v>
      </c>
      <c r="BD136" s="97"/>
      <c r="BE136" s="568" t="s">
        <v>564</v>
      </c>
      <c r="BF136" s="568" t="s">
        <v>412</v>
      </c>
      <c r="BG136" s="591" t="str">
        <f>IFERROR(INDEX('Annex 2_Code'!$J$110:$J$127,MATCH('Annex 5_MRD'!BE136,'Annex 2_Code'!$G$110:$G$127,0)),"")</f>
        <v>MRD</v>
      </c>
      <c r="BH136" s="1565" t="str">
        <f t="shared" si="126"/>
        <v>MRD</v>
      </c>
      <c r="BI136" s="97"/>
    </row>
    <row r="137" spans="1:61" ht="27.6" customHeight="1">
      <c r="A137" s="75"/>
      <c r="B137" s="1028" t="s">
        <v>261</v>
      </c>
      <c r="C137" s="1027" t="s">
        <v>261</v>
      </c>
      <c r="D137" s="86"/>
      <c r="E137" s="82"/>
      <c r="F137" s="2365" t="s">
        <v>1086</v>
      </c>
      <c r="G137" s="2366"/>
      <c r="H137" s="96" t="s">
        <v>1087</v>
      </c>
      <c r="I137" s="1585">
        <f>((8*34+2*14)*2+(4*34+14))</f>
        <v>750</v>
      </c>
      <c r="J137" s="1736">
        <v>0.75</v>
      </c>
      <c r="K137" s="788">
        <f>3*4</f>
        <v>12</v>
      </c>
      <c r="L137" s="79">
        <f>3*4</f>
        <v>12</v>
      </c>
      <c r="M137" s="79">
        <f>3*4</f>
        <v>12</v>
      </c>
      <c r="N137" s="79">
        <f>3*4</f>
        <v>12</v>
      </c>
      <c r="O137" s="145">
        <f t="shared" ref="O137" si="248">SUM(K137:N137)</f>
        <v>48</v>
      </c>
      <c r="P137" s="281">
        <f>K137*$I$137/1000</f>
        <v>9</v>
      </c>
      <c r="Q137" s="281">
        <f t="shared" ref="Q137:S137" si="249">L137*$I$137/1000</f>
        <v>9</v>
      </c>
      <c r="R137" s="281">
        <f t="shared" si="249"/>
        <v>9</v>
      </c>
      <c r="S137" s="281">
        <f t="shared" si="249"/>
        <v>9</v>
      </c>
      <c r="T137" s="80">
        <f>SUM(P137:S137)</f>
        <v>36</v>
      </c>
      <c r="U137" s="618">
        <f>IFERROR(INDEX('Annex 2_Code'!I$8:I$33,MATCH('Annex 5_MRD'!$BF137,'Annex 2_Code'!$G$8:$G$33,0)),"")</f>
        <v>1</v>
      </c>
      <c r="V137" s="618">
        <f>IFERROR(INDEX('Annex 2_Code'!J$8:J$33,MATCH('Annex 5_MRD'!$BF137,'Annex 2_Code'!$G$8:$G$33,0)),"")</f>
        <v>0</v>
      </c>
      <c r="W137" s="618">
        <f>IFERROR(INDEX('Annex 2_Code'!K$8:K$33,MATCH('Annex 5_MRD'!$BF137,'Annex 2_Code'!$G$8:$G$33,0)),"")</f>
        <v>0</v>
      </c>
      <c r="X137" s="618">
        <f>IFERROR(INDEX('Annex 2_Code'!L$8:L$33,MATCH('Annex 5_MRD'!$BF137,'Annex 2_Code'!$G$8:$G$33,0)),"")</f>
        <v>0</v>
      </c>
      <c r="Y137" s="715">
        <f>IFERROR(INDEX('Annex 2_Code'!M$8:M$33,MATCH('Annex 5_MRD'!$BF137,'Annex 2_Code'!$G$8:$G$33,0)),"")</f>
        <v>0</v>
      </c>
      <c r="Z137" s="288">
        <f t="shared" si="235"/>
        <v>9</v>
      </c>
      <c r="AA137" s="287">
        <f t="shared" si="235"/>
        <v>9</v>
      </c>
      <c r="AB137" s="287">
        <f t="shared" si="235"/>
        <v>9</v>
      </c>
      <c r="AC137" s="287">
        <f t="shared" si="235"/>
        <v>9</v>
      </c>
      <c r="AD137" s="289">
        <f t="shared" si="236"/>
        <v>36</v>
      </c>
      <c r="AE137" s="288">
        <f t="shared" si="237"/>
        <v>0</v>
      </c>
      <c r="AF137" s="287">
        <f t="shared" si="237"/>
        <v>0</v>
      </c>
      <c r="AG137" s="287">
        <f t="shared" si="237"/>
        <v>0</v>
      </c>
      <c r="AH137" s="287">
        <f t="shared" si="237"/>
        <v>0</v>
      </c>
      <c r="AI137" s="289">
        <f t="shared" si="237"/>
        <v>0</v>
      </c>
      <c r="AJ137" s="287">
        <f t="shared" si="238"/>
        <v>0</v>
      </c>
      <c r="AK137" s="287">
        <f t="shared" si="238"/>
        <v>0</v>
      </c>
      <c r="AL137" s="287">
        <f t="shared" si="238"/>
        <v>0</v>
      </c>
      <c r="AM137" s="287">
        <f t="shared" si="238"/>
        <v>0</v>
      </c>
      <c r="AN137" s="837">
        <f t="shared" si="239"/>
        <v>0</v>
      </c>
      <c r="AO137" s="288">
        <f t="shared" si="240"/>
        <v>0</v>
      </c>
      <c r="AP137" s="287">
        <f t="shared" si="240"/>
        <v>0</v>
      </c>
      <c r="AQ137" s="287">
        <f t="shared" si="240"/>
        <v>0</v>
      </c>
      <c r="AR137" s="287">
        <f t="shared" si="240"/>
        <v>0</v>
      </c>
      <c r="AS137" s="152">
        <f t="shared" si="241"/>
        <v>0</v>
      </c>
      <c r="AT137" s="288">
        <f t="shared" si="242"/>
        <v>0</v>
      </c>
      <c r="AU137" s="287">
        <f t="shared" si="242"/>
        <v>0</v>
      </c>
      <c r="AV137" s="287">
        <f t="shared" si="242"/>
        <v>0</v>
      </c>
      <c r="AW137" s="287">
        <f t="shared" si="242"/>
        <v>0</v>
      </c>
      <c r="AX137" s="152">
        <f t="shared" si="243"/>
        <v>0</v>
      </c>
      <c r="AY137" s="88">
        <f t="shared" si="244"/>
        <v>36</v>
      </c>
      <c r="AZ137" s="358">
        <f t="shared" si="244"/>
        <v>0</v>
      </c>
      <c r="BA137" s="358">
        <f t="shared" si="244"/>
        <v>0</v>
      </c>
      <c r="BB137" s="358">
        <f t="shared" si="244"/>
        <v>0</v>
      </c>
      <c r="BC137" s="80">
        <f t="shared" si="244"/>
        <v>0</v>
      </c>
      <c r="BD137" s="97"/>
      <c r="BE137" s="568" t="s">
        <v>564</v>
      </c>
      <c r="BF137" s="568" t="s">
        <v>412</v>
      </c>
      <c r="BG137" s="591" t="str">
        <f>IFERROR(INDEX('Annex 2_Code'!$J$110:$J$127,MATCH('Annex 5_MRD'!BE137,'Annex 2_Code'!$G$110:$G$127,0)),"")</f>
        <v>MRD</v>
      </c>
      <c r="BH137" s="1565" t="str">
        <f t="shared" si="126"/>
        <v>MRD</v>
      </c>
      <c r="BI137" s="97"/>
    </row>
    <row r="138" spans="1:61" s="1698" customFormat="1">
      <c r="A138" s="1677"/>
      <c r="B138" s="1678" t="s">
        <v>261</v>
      </c>
      <c r="C138" s="1679" t="s">
        <v>261</v>
      </c>
      <c r="D138" s="1680"/>
      <c r="E138" s="1681"/>
      <c r="F138" s="1682" t="s">
        <v>1085</v>
      </c>
      <c r="G138" s="1683"/>
      <c r="H138" s="1684" t="s">
        <v>174</v>
      </c>
      <c r="I138" s="1685">
        <f>250</f>
        <v>250</v>
      </c>
      <c r="J138" s="1686">
        <v>0.25</v>
      </c>
      <c r="K138" s="1676">
        <f>5*3</f>
        <v>15</v>
      </c>
      <c r="L138" s="1687">
        <f>7*3</f>
        <v>21</v>
      </c>
      <c r="M138" s="1687">
        <f>7*3</f>
        <v>21</v>
      </c>
      <c r="N138" s="1687">
        <f>7*3</f>
        <v>21</v>
      </c>
      <c r="O138" s="1126">
        <f t="shared" ref="O138:O139" si="250">SUM(K138:N138)</f>
        <v>78</v>
      </c>
      <c r="P138" s="1132">
        <f>K138*$I$138/1000</f>
        <v>3.75</v>
      </c>
      <c r="Q138" s="1132">
        <f t="shared" ref="Q138:S138" si="251">L138*$I$138/1000</f>
        <v>5.25</v>
      </c>
      <c r="R138" s="1132">
        <f t="shared" si="251"/>
        <v>5.25</v>
      </c>
      <c r="S138" s="1132">
        <f t="shared" si="251"/>
        <v>5.25</v>
      </c>
      <c r="T138" s="1126">
        <f t="shared" ref="T138" si="252">SUM(P138:S138)</f>
        <v>19.5</v>
      </c>
      <c r="U138" s="1186">
        <f>IFERROR(INDEX('Annex 2_Code'!I$8:I$33,MATCH('Annex 5_MRD'!$BF138,'Annex 2_Code'!$G$8:$G$33,0)),"")</f>
        <v>1</v>
      </c>
      <c r="V138" s="1186">
        <f>IFERROR(INDEX('Annex 2_Code'!J$8:J$33,MATCH('Annex 5_MRD'!$BF138,'Annex 2_Code'!$G$8:$G$33,0)),"")</f>
        <v>0</v>
      </c>
      <c r="W138" s="1186">
        <f>IFERROR(INDEX('Annex 2_Code'!K$8:K$33,MATCH('Annex 5_MRD'!$BF138,'Annex 2_Code'!$G$8:$G$33,0)),"")</f>
        <v>0</v>
      </c>
      <c r="X138" s="1186">
        <f>IFERROR(INDEX('Annex 2_Code'!L$8:L$33,MATCH('Annex 5_MRD'!$BF138,'Annex 2_Code'!$G$8:$G$33,0)),"")</f>
        <v>0</v>
      </c>
      <c r="Y138" s="1688">
        <f>IFERROR(INDEX('Annex 2_Code'!M$8:M$33,MATCH('Annex 5_MRD'!$BF138,'Annex 2_Code'!$G$8:$G$33,0)),"")</f>
        <v>0</v>
      </c>
      <c r="Z138" s="1689">
        <f t="shared" si="235"/>
        <v>3.75</v>
      </c>
      <c r="AA138" s="1690">
        <f t="shared" si="235"/>
        <v>5.25</v>
      </c>
      <c r="AB138" s="1690">
        <f t="shared" si="235"/>
        <v>5.25</v>
      </c>
      <c r="AC138" s="1690">
        <f t="shared" si="235"/>
        <v>5.25</v>
      </c>
      <c r="AD138" s="1691">
        <f t="shared" si="236"/>
        <v>19.5</v>
      </c>
      <c r="AE138" s="1689">
        <f t="shared" si="237"/>
        <v>0</v>
      </c>
      <c r="AF138" s="1690">
        <f t="shared" si="237"/>
        <v>0</v>
      </c>
      <c r="AG138" s="1690">
        <f t="shared" si="237"/>
        <v>0</v>
      </c>
      <c r="AH138" s="1690">
        <f t="shared" si="237"/>
        <v>0</v>
      </c>
      <c r="AI138" s="1691">
        <f t="shared" si="237"/>
        <v>0</v>
      </c>
      <c r="AJ138" s="1690">
        <f t="shared" si="238"/>
        <v>0</v>
      </c>
      <c r="AK138" s="1690">
        <f t="shared" si="238"/>
        <v>0</v>
      </c>
      <c r="AL138" s="1690">
        <f t="shared" si="238"/>
        <v>0</v>
      </c>
      <c r="AM138" s="1690">
        <f t="shared" si="238"/>
        <v>0</v>
      </c>
      <c r="AN138" s="1692">
        <f t="shared" si="239"/>
        <v>0</v>
      </c>
      <c r="AO138" s="1689">
        <f t="shared" si="240"/>
        <v>0</v>
      </c>
      <c r="AP138" s="1690">
        <f t="shared" si="240"/>
        <v>0</v>
      </c>
      <c r="AQ138" s="1690">
        <f t="shared" si="240"/>
        <v>0</v>
      </c>
      <c r="AR138" s="1690">
        <f t="shared" si="240"/>
        <v>0</v>
      </c>
      <c r="AS138" s="1693">
        <f t="shared" si="241"/>
        <v>0</v>
      </c>
      <c r="AT138" s="1689">
        <f t="shared" si="242"/>
        <v>0</v>
      </c>
      <c r="AU138" s="1690">
        <f t="shared" si="242"/>
        <v>0</v>
      </c>
      <c r="AV138" s="1690">
        <f t="shared" si="242"/>
        <v>0</v>
      </c>
      <c r="AW138" s="1690">
        <f t="shared" si="242"/>
        <v>0</v>
      </c>
      <c r="AX138" s="1693">
        <f t="shared" si="243"/>
        <v>0</v>
      </c>
      <c r="AY138" s="1694">
        <f t="shared" si="244"/>
        <v>19.5</v>
      </c>
      <c r="AZ138" s="1695">
        <f t="shared" si="244"/>
        <v>0</v>
      </c>
      <c r="BA138" s="1695">
        <f t="shared" si="244"/>
        <v>0</v>
      </c>
      <c r="BB138" s="1695">
        <f t="shared" si="244"/>
        <v>0</v>
      </c>
      <c r="BC138" s="1126">
        <f t="shared" si="244"/>
        <v>0</v>
      </c>
      <c r="BD138" s="1681"/>
      <c r="BE138" s="1696" t="s">
        <v>564</v>
      </c>
      <c r="BF138" s="1696" t="s">
        <v>412</v>
      </c>
      <c r="BG138" s="1678" t="str">
        <f>IFERROR(INDEX('Annex 2_Code'!$J$110:$J$127,MATCH('Annex 5_MRD'!BE138,'Annex 2_Code'!$G$110:$G$127,0)),"")</f>
        <v>MRD</v>
      </c>
      <c r="BH138" s="1697" t="str">
        <f t="shared" si="126"/>
        <v>MRD</v>
      </c>
      <c r="BI138" s="1681"/>
    </row>
    <row r="139" spans="1:61" ht="14.1" customHeight="1">
      <c r="A139" s="75"/>
      <c r="B139" s="1028" t="s">
        <v>261</v>
      </c>
      <c r="C139" s="1027" t="s">
        <v>261</v>
      </c>
      <c r="D139" s="86"/>
      <c r="E139" s="97"/>
      <c r="F139" s="2365" t="s">
        <v>1045</v>
      </c>
      <c r="G139" s="2366"/>
      <c r="H139" s="96" t="s">
        <v>174</v>
      </c>
      <c r="I139" s="1083">
        <f>8*34+14*2</f>
        <v>300</v>
      </c>
      <c r="J139" s="1026">
        <v>0.3</v>
      </c>
      <c r="K139" s="788">
        <v>3</v>
      </c>
      <c r="L139" s="79">
        <f>3*3</f>
        <v>9</v>
      </c>
      <c r="M139" s="79">
        <f>3*3</f>
        <v>9</v>
      </c>
      <c r="N139" s="79">
        <f>3*3</f>
        <v>9</v>
      </c>
      <c r="O139" s="145">
        <f t="shared" si="250"/>
        <v>30</v>
      </c>
      <c r="P139" s="281">
        <f>K139*$I$139/1000</f>
        <v>0.9</v>
      </c>
      <c r="Q139" s="281">
        <f t="shared" ref="Q139:T139" si="253">L139*$I$139/1000</f>
        <v>2.7</v>
      </c>
      <c r="R139" s="281">
        <f t="shared" si="253"/>
        <v>2.7</v>
      </c>
      <c r="S139" s="281">
        <f t="shared" si="253"/>
        <v>2.7</v>
      </c>
      <c r="T139" s="2173">
        <f t="shared" si="253"/>
        <v>9</v>
      </c>
      <c r="U139" s="2174">
        <f>IFERROR(INDEX('Annex 2_Code'!I$8:I$33,MATCH('Annex 5_MRD'!$BF139,'Annex 2_Code'!$G$8:$G$33,0)),"")</f>
        <v>1</v>
      </c>
      <c r="V139" s="618">
        <f>IFERROR(INDEX('Annex 2_Code'!J$8:J$33,MATCH('Annex 5_MRD'!$BF139,'Annex 2_Code'!$G$8:$G$33,0)),"")</f>
        <v>0</v>
      </c>
      <c r="W139" s="618">
        <f>IFERROR(INDEX('Annex 2_Code'!K$8:K$33,MATCH('Annex 5_MRD'!$BF139,'Annex 2_Code'!$G$8:$G$33,0)),"")</f>
        <v>0</v>
      </c>
      <c r="X139" s="618">
        <f>IFERROR(INDEX('Annex 2_Code'!L$8:L$33,MATCH('Annex 5_MRD'!$BF139,'Annex 2_Code'!$G$8:$G$33,0)),"")</f>
        <v>0</v>
      </c>
      <c r="Y139" s="715">
        <f>IFERROR(INDEX('Annex 2_Code'!M$8:M$33,MATCH('Annex 5_MRD'!$BF139,'Annex 2_Code'!$G$8:$G$33,0)),"")</f>
        <v>0</v>
      </c>
      <c r="Z139" s="288">
        <f t="shared" si="235"/>
        <v>0.9</v>
      </c>
      <c r="AA139" s="287">
        <f t="shared" si="235"/>
        <v>2.7</v>
      </c>
      <c r="AB139" s="287">
        <f t="shared" si="235"/>
        <v>2.7</v>
      </c>
      <c r="AC139" s="287">
        <f t="shared" si="235"/>
        <v>2.7</v>
      </c>
      <c r="AD139" s="289">
        <f>T139*$U139</f>
        <v>9</v>
      </c>
      <c r="AE139" s="288">
        <f t="shared" si="237"/>
        <v>0</v>
      </c>
      <c r="AF139" s="287">
        <f t="shared" si="237"/>
        <v>0</v>
      </c>
      <c r="AG139" s="287">
        <f t="shared" si="237"/>
        <v>0</v>
      </c>
      <c r="AH139" s="287">
        <f t="shared" si="237"/>
        <v>0</v>
      </c>
      <c r="AI139" s="289">
        <f t="shared" si="237"/>
        <v>0</v>
      </c>
      <c r="AJ139" s="287">
        <f t="shared" si="238"/>
        <v>0</v>
      </c>
      <c r="AK139" s="287">
        <f t="shared" si="238"/>
        <v>0</v>
      </c>
      <c r="AL139" s="287">
        <f t="shared" si="238"/>
        <v>0</v>
      </c>
      <c r="AM139" s="287">
        <f t="shared" si="238"/>
        <v>0</v>
      </c>
      <c r="AN139" s="837">
        <f t="shared" si="239"/>
        <v>0</v>
      </c>
      <c r="AO139" s="288">
        <f t="shared" si="240"/>
        <v>0</v>
      </c>
      <c r="AP139" s="287">
        <f t="shared" si="240"/>
        <v>0</v>
      </c>
      <c r="AQ139" s="287">
        <f t="shared" si="240"/>
        <v>0</v>
      </c>
      <c r="AR139" s="287">
        <f t="shared" si="240"/>
        <v>0</v>
      </c>
      <c r="AS139" s="152">
        <f t="shared" si="241"/>
        <v>0</v>
      </c>
      <c r="AT139" s="288"/>
      <c r="AU139" s="287"/>
      <c r="AV139" s="287"/>
      <c r="AW139" s="287"/>
      <c r="AX139" s="152"/>
      <c r="AY139" s="88">
        <f>SUM($T139*U139)</f>
        <v>9</v>
      </c>
      <c r="AZ139" s="358"/>
      <c r="BA139" s="358"/>
      <c r="BB139" s="358"/>
      <c r="BC139" s="80"/>
      <c r="BD139" s="97"/>
      <c r="BE139" s="568" t="s">
        <v>564</v>
      </c>
      <c r="BF139" s="568" t="s">
        <v>412</v>
      </c>
      <c r="BG139" s="591" t="str">
        <f>IFERROR(INDEX('Annex 2_Code'!$J$110:$J$127,MATCH('Annex 5_MRD'!BE139,'Annex 2_Code'!$G$110:$G$127,0)),"")</f>
        <v>MRD</v>
      </c>
      <c r="BH139" s="1565" t="str">
        <f t="shared" ref="BH139:BH200" si="254">IF(ISNUMBER(FIND("-",BG139,1))=FALSE,LEFT(BG139,LEN(BG139)),LEFT(BG139,(FIND("-",BG139,1))-1))</f>
        <v>MRD</v>
      </c>
      <c r="BI139" s="97"/>
    </row>
    <row r="140" spans="1:61" ht="14.1" customHeight="1">
      <c r="A140" s="75"/>
      <c r="B140" s="1028" t="s">
        <v>261</v>
      </c>
      <c r="C140" s="1027" t="s">
        <v>261</v>
      </c>
      <c r="D140" s="86"/>
      <c r="E140" s="82"/>
      <c r="F140" s="2365" t="s">
        <v>1046</v>
      </c>
      <c r="G140" s="2366"/>
      <c r="H140" s="96" t="s">
        <v>174</v>
      </c>
      <c r="I140" s="1585">
        <f>(8*34+2*14)</f>
        <v>300</v>
      </c>
      <c r="J140" s="1026">
        <v>0.3</v>
      </c>
      <c r="K140" s="788">
        <f>3*4</f>
        <v>12</v>
      </c>
      <c r="L140" s="79">
        <f>3*4</f>
        <v>12</v>
      </c>
      <c r="M140" s="79">
        <f>3*4</f>
        <v>12</v>
      </c>
      <c r="N140" s="79">
        <f>3*4</f>
        <v>12</v>
      </c>
      <c r="O140" s="145">
        <f t="shared" ref="O140" si="255">SUM(K140:N140)</f>
        <v>48</v>
      </c>
      <c r="P140" s="281">
        <f>K140*$I$140/1000</f>
        <v>3.6</v>
      </c>
      <c r="Q140" s="281">
        <f t="shared" ref="Q140:S140" si="256">L140*$I$140/1000</f>
        <v>3.6</v>
      </c>
      <c r="R140" s="281">
        <f t="shared" si="256"/>
        <v>3.6</v>
      </c>
      <c r="S140" s="281">
        <f t="shared" si="256"/>
        <v>3.6</v>
      </c>
      <c r="T140" s="80">
        <f>SUM(P140:S140)</f>
        <v>14.4</v>
      </c>
      <c r="U140" s="618">
        <f>IFERROR(INDEX('Annex 2_Code'!I$8:I$33,MATCH('Annex 5_MRD'!$BF140,'Annex 2_Code'!$G$8:$G$33,0)),"")</f>
        <v>1</v>
      </c>
      <c r="V140" s="618">
        <f>IFERROR(INDEX('Annex 2_Code'!J$8:J$33,MATCH('Annex 5_MRD'!$BF140,'Annex 2_Code'!$G$8:$G$33,0)),"")</f>
        <v>0</v>
      </c>
      <c r="W140" s="618">
        <f>IFERROR(INDEX('Annex 2_Code'!K$8:K$33,MATCH('Annex 5_MRD'!$BF140,'Annex 2_Code'!$G$8:$G$33,0)),"")</f>
        <v>0</v>
      </c>
      <c r="X140" s="618">
        <f>IFERROR(INDEX('Annex 2_Code'!L$8:L$33,MATCH('Annex 5_MRD'!$BF140,'Annex 2_Code'!$G$8:$G$33,0)),"")</f>
        <v>0</v>
      </c>
      <c r="Y140" s="715">
        <f>IFERROR(INDEX('Annex 2_Code'!M$8:M$33,MATCH('Annex 5_MRD'!$BF140,'Annex 2_Code'!$G$8:$G$33,0)),"")</f>
        <v>0</v>
      </c>
      <c r="Z140" s="288">
        <f t="shared" si="235"/>
        <v>3.6</v>
      </c>
      <c r="AA140" s="287">
        <f t="shared" si="235"/>
        <v>3.6</v>
      </c>
      <c r="AB140" s="287">
        <f t="shared" si="235"/>
        <v>3.6</v>
      </c>
      <c r="AC140" s="287">
        <f t="shared" si="235"/>
        <v>3.6</v>
      </c>
      <c r="AD140" s="289">
        <f t="shared" si="236"/>
        <v>14.4</v>
      </c>
      <c r="AE140" s="288">
        <f t="shared" si="237"/>
        <v>0</v>
      </c>
      <c r="AF140" s="287">
        <f t="shared" si="237"/>
        <v>0</v>
      </c>
      <c r="AG140" s="287">
        <f t="shared" si="237"/>
        <v>0</v>
      </c>
      <c r="AH140" s="287">
        <f t="shared" si="237"/>
        <v>0</v>
      </c>
      <c r="AI140" s="289">
        <f t="shared" si="237"/>
        <v>0</v>
      </c>
      <c r="AJ140" s="287">
        <f t="shared" si="238"/>
        <v>0</v>
      </c>
      <c r="AK140" s="287">
        <f t="shared" si="238"/>
        <v>0</v>
      </c>
      <c r="AL140" s="287">
        <f t="shared" si="238"/>
        <v>0</v>
      </c>
      <c r="AM140" s="287">
        <f t="shared" si="238"/>
        <v>0</v>
      </c>
      <c r="AN140" s="287">
        <f>T140*$W140</f>
        <v>0</v>
      </c>
      <c r="AO140" s="288">
        <f t="shared" si="240"/>
        <v>0</v>
      </c>
      <c r="AP140" s="287">
        <f t="shared" ref="AP140:AX140" si="257">Z140*$V140</f>
        <v>0</v>
      </c>
      <c r="AQ140" s="287">
        <f t="shared" si="257"/>
        <v>0</v>
      </c>
      <c r="AR140" s="287">
        <f t="shared" si="257"/>
        <v>0</v>
      </c>
      <c r="AS140" s="152">
        <f>SUM(AO140:AR140)</f>
        <v>0</v>
      </c>
      <c r="AT140" s="1586">
        <f>P140*$Y140</f>
        <v>0</v>
      </c>
      <c r="AU140" s="287">
        <f t="shared" si="257"/>
        <v>0</v>
      </c>
      <c r="AV140" s="287">
        <f t="shared" si="257"/>
        <v>0</v>
      </c>
      <c r="AW140" s="287">
        <f t="shared" si="257"/>
        <v>0</v>
      </c>
      <c r="AX140" s="289">
        <f t="shared" si="257"/>
        <v>0</v>
      </c>
      <c r="AY140" s="88">
        <f>SUM($T140*U140)</f>
        <v>14.4</v>
      </c>
      <c r="AZ140" s="358">
        <f t="shared" ref="AZ140:BC141" si="258">SUM($T140*V140)</f>
        <v>0</v>
      </c>
      <c r="BA140" s="358">
        <f t="shared" si="258"/>
        <v>0</v>
      </c>
      <c r="BB140" s="358">
        <f t="shared" si="258"/>
        <v>0</v>
      </c>
      <c r="BC140" s="80">
        <f t="shared" si="258"/>
        <v>0</v>
      </c>
      <c r="BD140" s="97"/>
      <c r="BE140" s="568" t="s">
        <v>564</v>
      </c>
      <c r="BF140" s="568" t="s">
        <v>412</v>
      </c>
      <c r="BG140" s="591" t="str">
        <f>IFERROR(INDEX('Annex 2_Code'!$J$110:$J$127,MATCH('Annex 5_MRD'!BE140,'Annex 2_Code'!$G$110:$G$127,0)),"")</f>
        <v>MRD</v>
      </c>
      <c r="BH140" s="1565" t="str">
        <f t="shared" si="254"/>
        <v>MRD</v>
      </c>
      <c r="BI140" s="97"/>
    </row>
    <row r="141" spans="1:61">
      <c r="A141" s="75"/>
      <c r="B141" s="1028" t="s">
        <v>261</v>
      </c>
      <c r="C141" s="1027" t="s">
        <v>261</v>
      </c>
      <c r="D141" s="86"/>
      <c r="E141" s="1120"/>
      <c r="F141" s="1587" t="s">
        <v>1047</v>
      </c>
      <c r="G141" s="404"/>
      <c r="H141" s="96" t="s">
        <v>951</v>
      </c>
      <c r="I141" s="1083">
        <f>3*34</f>
        <v>102</v>
      </c>
      <c r="J141" s="1026">
        <v>0.10199999999999999</v>
      </c>
      <c r="K141" s="788">
        <v>3</v>
      </c>
      <c r="L141" s="79">
        <v>3</v>
      </c>
      <c r="M141" s="79">
        <v>3</v>
      </c>
      <c r="N141" s="79">
        <v>3</v>
      </c>
      <c r="O141" s="145">
        <f t="shared" ref="O141" si="259">SUM(K141:N141)</f>
        <v>12</v>
      </c>
      <c r="P141" s="281">
        <f>K141*$I$141/1000</f>
        <v>0.30599999999999999</v>
      </c>
      <c r="Q141" s="281">
        <f t="shared" ref="Q141:S141" si="260">L141*$I$141/1000</f>
        <v>0.30599999999999999</v>
      </c>
      <c r="R141" s="281">
        <f t="shared" si="260"/>
        <v>0.30599999999999999</v>
      </c>
      <c r="S141" s="281">
        <f t="shared" si="260"/>
        <v>0.30599999999999999</v>
      </c>
      <c r="T141" s="80">
        <f>SUM(P141:S141)</f>
        <v>1.224</v>
      </c>
      <c r="U141" s="618">
        <f>IFERROR(INDEX('Annex 2_Code'!I$8:I$33,MATCH('Annex 5_MRD'!$BF141,'Annex 2_Code'!$G$8:$G$33,0)),"")</f>
        <v>1</v>
      </c>
      <c r="V141" s="618">
        <f>IFERROR(INDEX('Annex 2_Code'!J$8:J$33,MATCH('Annex 5_MRD'!$BF141,'Annex 2_Code'!$G$8:$G$33,0)),"")</f>
        <v>0</v>
      </c>
      <c r="W141" s="618">
        <f>IFERROR(INDEX('Annex 2_Code'!K$8:K$33,MATCH('Annex 5_MRD'!$BF141,'Annex 2_Code'!$G$8:$G$33,0)),"")</f>
        <v>0</v>
      </c>
      <c r="X141" s="618">
        <f>IFERROR(INDEX('Annex 2_Code'!L$8:L$33,MATCH('Annex 5_MRD'!$BF141,'Annex 2_Code'!$G$8:$G$33,0)),"")</f>
        <v>0</v>
      </c>
      <c r="Y141" s="715">
        <f>IFERROR(INDEX('Annex 2_Code'!M$8:M$33,MATCH('Annex 5_MRD'!$BF141,'Annex 2_Code'!$G$8:$G$33,0)),"")</f>
        <v>0</v>
      </c>
      <c r="Z141" s="288">
        <f t="shared" si="235"/>
        <v>0.30599999999999999</v>
      </c>
      <c r="AA141" s="287">
        <f t="shared" si="235"/>
        <v>0.30599999999999999</v>
      </c>
      <c r="AB141" s="287">
        <f t="shared" si="235"/>
        <v>0.30599999999999999</v>
      </c>
      <c r="AC141" s="287">
        <f t="shared" si="235"/>
        <v>0.30599999999999999</v>
      </c>
      <c r="AD141" s="289">
        <f t="shared" si="236"/>
        <v>1.224</v>
      </c>
      <c r="AE141" s="288">
        <f t="shared" si="237"/>
        <v>0</v>
      </c>
      <c r="AF141" s="287">
        <f t="shared" si="237"/>
        <v>0</v>
      </c>
      <c r="AG141" s="287">
        <f t="shared" si="237"/>
        <v>0</v>
      </c>
      <c r="AH141" s="287">
        <f t="shared" si="237"/>
        <v>0</v>
      </c>
      <c r="AI141" s="289">
        <f t="shared" si="237"/>
        <v>0</v>
      </c>
      <c r="AJ141" s="287">
        <f t="shared" si="238"/>
        <v>0</v>
      </c>
      <c r="AK141" s="287">
        <f t="shared" si="238"/>
        <v>0</v>
      </c>
      <c r="AL141" s="287">
        <f t="shared" si="238"/>
        <v>0</v>
      </c>
      <c r="AM141" s="287">
        <f t="shared" si="238"/>
        <v>0</v>
      </c>
      <c r="AN141" s="837">
        <f t="shared" ref="AN141" si="261">SUM(AJ141:AM141)</f>
        <v>0</v>
      </c>
      <c r="AO141" s="288">
        <f>P141*$X141</f>
        <v>0</v>
      </c>
      <c r="AP141" s="287">
        <f>Q141*$X141</f>
        <v>0</v>
      </c>
      <c r="AQ141" s="287">
        <f>R141*$X141</f>
        <v>0</v>
      </c>
      <c r="AR141" s="287">
        <f>S141*$X141</f>
        <v>0</v>
      </c>
      <c r="AS141" s="152">
        <f t="shared" ref="AS141" si="262">SUM(AO141:AR141)</f>
        <v>0</v>
      </c>
      <c r="AT141" s="288">
        <f>P141*$Y141</f>
        <v>0</v>
      </c>
      <c r="AU141" s="287">
        <f>Q141*$Y141</f>
        <v>0</v>
      </c>
      <c r="AV141" s="287">
        <f>R141*$Y141</f>
        <v>0</v>
      </c>
      <c r="AW141" s="287">
        <f>S141*$Y141</f>
        <v>0</v>
      </c>
      <c r="AX141" s="152">
        <f t="shared" ref="AX141" si="263">SUM(AT141:AW141)</f>
        <v>0</v>
      </c>
      <c r="AY141" s="88">
        <f>SUM($T141*U141)</f>
        <v>1.224</v>
      </c>
      <c r="AZ141" s="358">
        <f t="shared" si="258"/>
        <v>0</v>
      </c>
      <c r="BA141" s="358">
        <f t="shared" si="258"/>
        <v>0</v>
      </c>
      <c r="BB141" s="358">
        <f t="shared" si="258"/>
        <v>0</v>
      </c>
      <c r="BC141" s="80">
        <f t="shared" si="258"/>
        <v>0</v>
      </c>
      <c r="BD141" s="97"/>
      <c r="BE141" s="568" t="s">
        <v>564</v>
      </c>
      <c r="BF141" s="568" t="s">
        <v>412</v>
      </c>
      <c r="BG141" s="591" t="str">
        <f>IFERROR(INDEX('Annex 2_Code'!$J$110:$J$127,MATCH('Annex 5_MRD'!BE141,'Annex 2_Code'!$G$110:$G$127,0)),"")</f>
        <v>MRD</v>
      </c>
      <c r="BH141" s="1565" t="str">
        <f t="shared" si="254"/>
        <v>MRD</v>
      </c>
      <c r="BI141" s="97"/>
    </row>
    <row r="142" spans="1:61" ht="13.5" thickBot="1">
      <c r="A142" s="75"/>
      <c r="B142" s="1267"/>
      <c r="C142" s="1568"/>
      <c r="D142" s="382"/>
      <c r="E142" s="383" t="s">
        <v>41</v>
      </c>
      <c r="F142" s="384"/>
      <c r="G142" s="385"/>
      <c r="H142" s="775"/>
      <c r="I142" s="776"/>
      <c r="J142" s="1638"/>
      <c r="K142" s="791"/>
      <c r="L142" s="386"/>
      <c r="M142" s="839"/>
      <c r="N142" s="840"/>
      <c r="O142" s="388"/>
      <c r="P142" s="387">
        <f>SUM(P134:P141)</f>
        <v>31.056000000000001</v>
      </c>
      <c r="Q142" s="387">
        <f t="shared" ref="Q142:S142" si="264">SUM(Q134:Q141)</f>
        <v>37.055999999999997</v>
      </c>
      <c r="R142" s="387">
        <f t="shared" si="264"/>
        <v>37.055999999999997</v>
      </c>
      <c r="S142" s="387">
        <f t="shared" si="264"/>
        <v>37.055999999999997</v>
      </c>
      <c r="T142" s="388">
        <f>SUM(T134:T141)</f>
        <v>142.22399999999999</v>
      </c>
      <c r="U142" s="813" t="str">
        <f>IFERROR(INDEX([8]Code!I$8:I$33,MATCH('[8]$MRD-Annex'!$BG153,[8]Code!$G$8:$G$33,0)),"")</f>
        <v/>
      </c>
      <c r="V142" s="846" t="str">
        <f>IFERROR(INDEX([8]Code!J$8:J$33,MATCH('[8]$MRD-Annex'!$BG153,[8]Code!$G$8:$G$33,0)),"")</f>
        <v/>
      </c>
      <c r="W142" s="846" t="str">
        <f>IFERROR(INDEX([8]Code!K$8:K$33,MATCH('[8]$MRD-Annex'!$BG153,[8]Code!$G$8:$G$33,0)),"")</f>
        <v/>
      </c>
      <c r="X142" s="846" t="str">
        <f>IFERROR(INDEX([8]Code!L$8:L$33,MATCH('[8]$MRD-Annex'!$BG153,[8]Code!$G$8:$G$33,0)),"")</f>
        <v/>
      </c>
      <c r="Y142" s="847" t="str">
        <f>IFERROR(INDEX([8]Code!M$8:M$33,MATCH('[8]$MRD-Annex'!$BG153,[8]Code!$G$8:$G$33,0)),"")</f>
        <v/>
      </c>
      <c r="Z142" s="390">
        <f>SUM(Z134:Z141)</f>
        <v>31.056000000000001</v>
      </c>
      <c r="AA142" s="389">
        <f t="shared" ref="AA142:AC142" si="265">SUM(AA134:AA141)</f>
        <v>37.055999999999997</v>
      </c>
      <c r="AB142" s="389">
        <f t="shared" si="265"/>
        <v>37.055999999999997</v>
      </c>
      <c r="AC142" s="389">
        <f t="shared" si="265"/>
        <v>37.055999999999997</v>
      </c>
      <c r="AD142" s="391">
        <f>SUM(AD134:AD141)</f>
        <v>142.22399999999999</v>
      </c>
      <c r="AE142" s="390"/>
      <c r="AF142" s="389"/>
      <c r="AG142" s="389"/>
      <c r="AH142" s="389"/>
      <c r="AI142" s="391"/>
      <c r="AJ142" s="389"/>
      <c r="AK142" s="389"/>
      <c r="AL142" s="389"/>
      <c r="AM142" s="389"/>
      <c r="AN142" s="393"/>
      <c r="AO142" s="390"/>
      <c r="AP142" s="389"/>
      <c r="AQ142" s="389"/>
      <c r="AR142" s="389"/>
      <c r="AS142" s="838"/>
      <c r="AT142" s="382"/>
      <c r="AU142" s="383"/>
      <c r="AV142" s="383"/>
      <c r="AW142" s="383"/>
      <c r="AX142" s="838"/>
      <c r="AY142" s="392">
        <f>SUM(AY134:AY141)</f>
        <v>142.22399999999999</v>
      </c>
      <c r="AZ142" s="393">
        <f>SUM(AZ134:AZ141)</f>
        <v>0</v>
      </c>
      <c r="BA142" s="393">
        <f>SUM(BA134:BA141)</f>
        <v>0</v>
      </c>
      <c r="BB142" s="393">
        <f>SUM(BB134:BB141)</f>
        <v>0</v>
      </c>
      <c r="BC142" s="388">
        <f>SUM(BC134:BC141)</f>
        <v>0</v>
      </c>
      <c r="BD142" s="97"/>
      <c r="BE142" s="1069"/>
      <c r="BF142" s="97"/>
      <c r="BG142" s="1282"/>
      <c r="BH142" s="1565"/>
      <c r="BI142" s="97"/>
    </row>
    <row r="143" spans="1:61" ht="15" hidden="1">
      <c r="A143" s="75"/>
      <c r="B143" s="76"/>
      <c r="C143" s="77"/>
      <c r="D143" s="405" t="s">
        <v>315</v>
      </c>
      <c r="E143" s="404"/>
      <c r="F143" s="404"/>
      <c r="G143" s="406"/>
      <c r="H143" s="783"/>
      <c r="I143" s="784"/>
      <c r="J143" s="1322"/>
      <c r="K143" s="789"/>
      <c r="L143" s="112"/>
      <c r="M143" s="112"/>
      <c r="N143" s="112"/>
      <c r="O143" s="765"/>
      <c r="P143" s="305">
        <f>SUM(P142,P132,P128)</f>
        <v>36.214917</v>
      </c>
      <c r="Q143" s="305">
        <f>SUM(Q142,Q132,Q128)</f>
        <v>42.214917</v>
      </c>
      <c r="R143" s="305">
        <f>SUM(R142,R132,R128)</f>
        <v>45.014916999999997</v>
      </c>
      <c r="S143" s="305">
        <f>SUM(S142,S132,S128)</f>
        <v>42.214917</v>
      </c>
      <c r="T143" s="396">
        <f>SUM(T142,T132,T128)</f>
        <v>165.65966800000001</v>
      </c>
      <c r="U143" s="812" t="str">
        <f>IFERROR(INDEX([8]Code!I$8:I$33,MATCH('[8]$MRD-Annex'!$BG154,[8]Code!$G$8:$G$33,0)),"")</f>
        <v/>
      </c>
      <c r="V143" s="844" t="str">
        <f>IFERROR(INDEX([8]Code!J$8:J$33,MATCH('[8]$MRD-Annex'!$BG154,[8]Code!$G$8:$G$33,0)),"")</f>
        <v/>
      </c>
      <c r="W143" s="844" t="str">
        <f>IFERROR(INDEX([8]Code!K$8:K$33,MATCH('[8]$MRD-Annex'!$BG154,[8]Code!$G$8:$G$33,0)),"")</f>
        <v/>
      </c>
      <c r="X143" s="844" t="str">
        <f>IFERROR(INDEX([8]Code!L$8:L$33,MATCH('[8]$MRD-Annex'!$BG154,[8]Code!$G$8:$G$33,0)),"")</f>
        <v/>
      </c>
      <c r="Y143" s="845" t="str">
        <f>IFERROR(INDEX([8]Code!M$8:M$33,MATCH('[8]$MRD-Annex'!$BG154,[8]Code!$G$8:$G$33,0)),"")</f>
        <v/>
      </c>
      <c r="Z143" s="395">
        <f>SUM(Z142,Z132,Z128)</f>
        <v>31.056000000000001</v>
      </c>
      <c r="AA143" s="305">
        <f>SUM(AA142,AA132,AA128)</f>
        <v>37.055999999999997</v>
      </c>
      <c r="AB143" s="305">
        <f>SUM(AB142,AB132,AB128)</f>
        <v>37.055999999999997</v>
      </c>
      <c r="AC143" s="305">
        <f>SUM(AC142,AC132,AC128)</f>
        <v>37.055999999999997</v>
      </c>
      <c r="AD143" s="396">
        <f>SUM(AD142,AD132,AD128)</f>
        <v>142.22399999999999</v>
      </c>
      <c r="AE143" s="395"/>
      <c r="AF143" s="305"/>
      <c r="AG143" s="305"/>
      <c r="AH143" s="305"/>
      <c r="AI143" s="396"/>
      <c r="AJ143" s="84"/>
      <c r="AK143" s="84"/>
      <c r="AL143" s="84"/>
      <c r="AM143" s="84"/>
      <c r="AN143" s="84"/>
      <c r="AO143" s="395">
        <f>SUM(AO142,AO132,AO128)</f>
        <v>5.1589169999999998</v>
      </c>
      <c r="AP143" s="305">
        <f>SUM(AP142,AP132,AP128)</f>
        <v>5.1589169999999998</v>
      </c>
      <c r="AQ143" s="305">
        <f>SUM(AQ142,AQ132,AQ128)</f>
        <v>7.9589169999999996</v>
      </c>
      <c r="AR143" s="305">
        <f>SUM(AR142,AR132,AR128)</f>
        <v>5.1589169999999998</v>
      </c>
      <c r="AS143" s="396">
        <f>SUM(AS142,AS132,AS128)</f>
        <v>23.435668</v>
      </c>
      <c r="AT143" s="113"/>
      <c r="AU143" s="84"/>
      <c r="AV143" s="84"/>
      <c r="AW143" s="84"/>
      <c r="AX143" s="91"/>
      <c r="AY143" s="395">
        <f>SUM(AY142,AY132,AY128)</f>
        <v>142.22399999999999</v>
      </c>
      <c r="AZ143" s="305">
        <f>SUM(AZ142,AZ132,AZ128)</f>
        <v>0</v>
      </c>
      <c r="BA143" s="305">
        <f>SUM(BA142,BA132,BA128)</f>
        <v>0</v>
      </c>
      <c r="BB143" s="305">
        <f>SUM(BB142,BB132,BB128)</f>
        <v>23.435668</v>
      </c>
      <c r="BC143" s="396">
        <f>SUM(BC142,BC132,BC128)</f>
        <v>0</v>
      </c>
      <c r="BD143" s="97"/>
      <c r="BE143" s="1069"/>
      <c r="BF143" s="97"/>
      <c r="BG143" s="1282"/>
      <c r="BH143" s="1565"/>
      <c r="BI143" s="97"/>
    </row>
    <row r="144" spans="1:61" hidden="1">
      <c r="A144" s="75"/>
      <c r="B144" s="1316"/>
      <c r="C144" s="1582"/>
      <c r="D144" s="107" t="s">
        <v>1048</v>
      </c>
      <c r="E144" s="312"/>
      <c r="F144" s="1588"/>
      <c r="G144" s="310"/>
      <c r="H144" s="779"/>
      <c r="I144" s="780"/>
      <c r="J144" s="1639"/>
      <c r="K144" s="793"/>
      <c r="L144" s="398"/>
      <c r="M144" s="398"/>
      <c r="N144" s="398"/>
      <c r="O144" s="763"/>
      <c r="P144" s="1589"/>
      <c r="Q144" s="1589"/>
      <c r="R144" s="1589"/>
      <c r="S144" s="1589"/>
      <c r="T144" s="1590"/>
      <c r="U144" s="815" t="str">
        <f>IFERROR(INDEX([8]Code!I$8:I$33,MATCH('[8]$MRD-Annex'!$BG155,[8]Code!$G$8:$G$33,0)),"")</f>
        <v/>
      </c>
      <c r="V144" s="848" t="str">
        <f>IFERROR(INDEX([8]Code!J$8:J$33,MATCH('[8]$MRD-Annex'!$BG155,[8]Code!$G$8:$G$33,0)),"")</f>
        <v/>
      </c>
      <c r="W144" s="848" t="str">
        <f>IFERROR(INDEX([8]Code!K$8:K$33,MATCH('[8]$MRD-Annex'!$BG155,[8]Code!$G$8:$G$33,0)),"")</f>
        <v/>
      </c>
      <c r="X144" s="848" t="str">
        <f>IFERROR(INDEX([8]Code!L$8:L$33,MATCH('[8]$MRD-Annex'!$BG155,[8]Code!$G$8:$G$33,0)),"")</f>
        <v/>
      </c>
      <c r="Y144" s="849" t="str">
        <f>IFERROR(INDEX([8]Code!M$8:M$33,MATCH('[8]$MRD-Annex'!$BG155,[8]Code!$G$8:$G$33,0)),"")</f>
        <v/>
      </c>
      <c r="Z144" s="1591"/>
      <c r="AA144" s="1592"/>
      <c r="AB144" s="1592"/>
      <c r="AC144" s="1592"/>
      <c r="AD144" s="835"/>
      <c r="AE144" s="401"/>
      <c r="AF144" s="400"/>
      <c r="AG144" s="400"/>
      <c r="AH144" s="400"/>
      <c r="AI144" s="402"/>
      <c r="AJ144" s="400"/>
      <c r="AK144" s="400"/>
      <c r="AL144" s="400"/>
      <c r="AM144" s="400"/>
      <c r="AN144" s="400"/>
      <c r="AO144" s="401"/>
      <c r="AP144" s="400"/>
      <c r="AQ144" s="400"/>
      <c r="AR144" s="400"/>
      <c r="AS144" s="402"/>
      <c r="AT144" s="401"/>
      <c r="AU144" s="400"/>
      <c r="AV144" s="400"/>
      <c r="AW144" s="400"/>
      <c r="AX144" s="402"/>
      <c r="AY144" s="1593"/>
      <c r="AZ144" s="1594"/>
      <c r="BA144" s="1594"/>
      <c r="BB144" s="1594"/>
      <c r="BC144" s="1590"/>
      <c r="BD144" s="97"/>
      <c r="BE144" s="1069" t="s">
        <v>564</v>
      </c>
      <c r="BF144" s="97"/>
      <c r="BG144" s="1282">
        <f>IFERROR(INDEX('[9]Annex 2'!$J$110:$J$127,MATCH('[9]Annex 5'!BD146,'[9]Annex 2'!$G$110:$G$127,0)),"")</f>
        <v>0</v>
      </c>
      <c r="BH144" s="1565" t="str">
        <f t="shared" si="254"/>
        <v>0</v>
      </c>
      <c r="BI144" s="97"/>
    </row>
    <row r="145" spans="1:61" hidden="1">
      <c r="A145" s="75"/>
      <c r="B145" s="76"/>
      <c r="C145" s="77"/>
      <c r="D145" s="78"/>
      <c r="E145" s="97" t="s">
        <v>131</v>
      </c>
      <c r="F145" s="294"/>
      <c r="G145" s="284"/>
      <c r="H145" s="770"/>
      <c r="I145" s="771"/>
      <c r="J145" s="1640"/>
      <c r="K145" s="788"/>
      <c r="L145" s="79"/>
      <c r="M145" s="79"/>
      <c r="N145" s="79"/>
      <c r="O145" s="762"/>
      <c r="P145" s="293"/>
      <c r="Q145" s="293"/>
      <c r="R145" s="293"/>
      <c r="S145" s="293"/>
      <c r="T145" s="87"/>
      <c r="U145" s="812" t="str">
        <f>IFERROR(INDEX([8]Code!I$8:I$33,MATCH('[8]$MRD-Annex'!$BG156,[8]Code!$G$8:$G$33,0)),"")</f>
        <v/>
      </c>
      <c r="V145" s="844" t="str">
        <f>IFERROR(INDEX([8]Code!J$8:J$33,MATCH('[8]$MRD-Annex'!$BG156,[8]Code!$G$8:$G$33,0)),"")</f>
        <v/>
      </c>
      <c r="W145" s="844" t="str">
        <f>IFERROR(INDEX([8]Code!K$8:K$33,MATCH('[8]$MRD-Annex'!$BG156,[8]Code!$G$8:$G$33,0)),"")</f>
        <v/>
      </c>
      <c r="X145" s="844" t="str">
        <f>IFERROR(INDEX([8]Code!L$8:L$33,MATCH('[8]$MRD-Annex'!$BG156,[8]Code!$G$8:$G$33,0)),"")</f>
        <v/>
      </c>
      <c r="Y145" s="845" t="str">
        <f>IFERROR(INDEX([8]Code!M$8:M$33,MATCH('[8]$MRD-Annex'!$BG156,[8]Code!$G$8:$G$33,0)),"")</f>
        <v/>
      </c>
      <c r="Z145" s="836"/>
      <c r="AA145" s="263"/>
      <c r="AB145" s="263"/>
      <c r="AC145" s="263"/>
      <c r="AD145" s="152"/>
      <c r="AE145" s="86"/>
      <c r="AF145" s="82"/>
      <c r="AG145" s="82"/>
      <c r="AH145" s="82"/>
      <c r="AI145" s="83"/>
      <c r="AJ145" s="82"/>
      <c r="AK145" s="82"/>
      <c r="AL145" s="82"/>
      <c r="AM145" s="82"/>
      <c r="AN145" s="82"/>
      <c r="AO145" s="86"/>
      <c r="AP145" s="82"/>
      <c r="AQ145" s="82"/>
      <c r="AR145" s="82"/>
      <c r="AS145" s="83"/>
      <c r="AT145" s="86"/>
      <c r="AU145" s="82"/>
      <c r="AV145" s="82"/>
      <c r="AW145" s="82"/>
      <c r="AX145" s="83"/>
      <c r="AY145" s="111"/>
      <c r="AZ145" s="151"/>
      <c r="BA145" s="151"/>
      <c r="BB145" s="151"/>
      <c r="BC145" s="87"/>
      <c r="BD145" s="97"/>
      <c r="BE145" s="1069" t="s">
        <v>564</v>
      </c>
      <c r="BF145" s="97"/>
      <c r="BG145" s="1282">
        <f>IFERROR(INDEX('[9]Annex 2'!$J$110:$J$127,MATCH('[9]Annex 5'!BD147,'[9]Annex 2'!$G$110:$G$127,0)),"")</f>
        <v>0</v>
      </c>
      <c r="BH145" s="1565" t="str">
        <f t="shared" si="254"/>
        <v>0</v>
      </c>
      <c r="BI145" s="97"/>
    </row>
    <row r="146" spans="1:61" hidden="1">
      <c r="A146" s="75"/>
      <c r="B146" s="76"/>
      <c r="C146" s="77"/>
      <c r="D146" s="78"/>
      <c r="E146" s="84" t="s">
        <v>1049</v>
      </c>
      <c r="F146" s="294"/>
      <c r="G146" s="284"/>
      <c r="H146" s="770"/>
      <c r="I146" s="771"/>
      <c r="J146" s="1640"/>
      <c r="K146" s="788"/>
      <c r="L146" s="79"/>
      <c r="M146" s="79"/>
      <c r="N146" s="79"/>
      <c r="O146" s="762"/>
      <c r="P146" s="293"/>
      <c r="Q146" s="293"/>
      <c r="R146" s="293"/>
      <c r="S146" s="293"/>
      <c r="T146" s="87"/>
      <c r="U146" s="812" t="str">
        <f>IFERROR(INDEX([8]Code!I$8:I$33,MATCH('[8]$MRD-Annex'!$BG157,[8]Code!$G$8:$G$33,0)),"")</f>
        <v/>
      </c>
      <c r="V146" s="844" t="str">
        <f>IFERROR(INDEX([8]Code!J$8:J$33,MATCH('[8]$MRD-Annex'!$BG157,[8]Code!$G$8:$G$33,0)),"")</f>
        <v/>
      </c>
      <c r="W146" s="844" t="str">
        <f>IFERROR(INDEX([8]Code!K$8:K$33,MATCH('[8]$MRD-Annex'!$BG157,[8]Code!$G$8:$G$33,0)),"")</f>
        <v/>
      </c>
      <c r="X146" s="844" t="str">
        <f>IFERROR(INDEX([8]Code!L$8:L$33,MATCH('[8]$MRD-Annex'!$BG157,[8]Code!$G$8:$G$33,0)),"")</f>
        <v/>
      </c>
      <c r="Y146" s="845" t="str">
        <f>IFERROR(INDEX([8]Code!M$8:M$33,MATCH('[8]$MRD-Annex'!$BG157,[8]Code!$G$8:$G$33,0)),"")</f>
        <v/>
      </c>
      <c r="Z146" s="836"/>
      <c r="AA146" s="263"/>
      <c r="AB146" s="263"/>
      <c r="AC146" s="263"/>
      <c r="AD146" s="152"/>
      <c r="AE146" s="86"/>
      <c r="AF146" s="82"/>
      <c r="AG146" s="82"/>
      <c r="AH146" s="82"/>
      <c r="AI146" s="83"/>
      <c r="AJ146" s="82"/>
      <c r="AK146" s="82"/>
      <c r="AL146" s="82"/>
      <c r="AM146" s="82"/>
      <c r="AN146" s="82"/>
      <c r="AO146" s="86"/>
      <c r="AP146" s="82"/>
      <c r="AQ146" s="82"/>
      <c r="AR146" s="82"/>
      <c r="AS146" s="83"/>
      <c r="AT146" s="86"/>
      <c r="AU146" s="82"/>
      <c r="AV146" s="82"/>
      <c r="AW146" s="82"/>
      <c r="AX146" s="83"/>
      <c r="AY146" s="111"/>
      <c r="AZ146" s="151"/>
      <c r="BA146" s="151"/>
      <c r="BB146" s="151"/>
      <c r="BC146" s="87"/>
      <c r="BD146" s="97"/>
      <c r="BE146" s="1069" t="s">
        <v>564</v>
      </c>
      <c r="BF146" s="1282" t="s">
        <v>398</v>
      </c>
      <c r="BG146" s="1282" t="str">
        <f>IFERROR(INDEX('[9]Annex 2'!$J$110:$J$127,MATCH('[9]Annex 5'!BD148,'[9]Annex 2'!$G$110:$G$127,0)),"")</f>
        <v>MRD</v>
      </c>
      <c r="BH146" s="1565" t="str">
        <f t="shared" si="254"/>
        <v>MRD</v>
      </c>
      <c r="BI146" s="97"/>
    </row>
    <row r="147" spans="1:61" hidden="1">
      <c r="A147" s="75"/>
      <c r="B147" s="76"/>
      <c r="C147" s="77"/>
      <c r="D147" s="78"/>
      <c r="E147" s="294" t="s">
        <v>132</v>
      </c>
      <c r="F147" s="284"/>
      <c r="G147" s="95"/>
      <c r="H147" s="782"/>
      <c r="I147" s="771"/>
      <c r="J147" s="1640"/>
      <c r="K147" s="788"/>
      <c r="L147" s="79"/>
      <c r="M147" s="79"/>
      <c r="N147" s="79"/>
      <c r="O147" s="762"/>
      <c r="P147" s="293"/>
      <c r="Q147" s="293"/>
      <c r="R147" s="293"/>
      <c r="S147" s="293"/>
      <c r="T147" s="87"/>
      <c r="U147" s="812">
        <f>IFERROR(INDEX([8]Code!I$8:I$33,MATCH('[8]$MRD-Annex'!$BG158,[8]Code!$G$8:$G$33,0)),"")</f>
        <v>1</v>
      </c>
      <c r="V147" s="844">
        <f>IFERROR(INDEX([8]Code!J$8:J$33,MATCH('[8]$MRD-Annex'!$BG158,[8]Code!$G$8:$G$33,0)),"")</f>
        <v>0</v>
      </c>
      <c r="W147" s="844">
        <f>IFERROR(INDEX([8]Code!K$8:K$33,MATCH('[8]$MRD-Annex'!$BG158,[8]Code!$G$8:$G$33,0)),"")</f>
        <v>0</v>
      </c>
      <c r="X147" s="844">
        <f>IFERROR(INDEX([8]Code!L$8:L$33,MATCH('[8]$MRD-Annex'!$BG158,[8]Code!$G$8:$G$33,0)),"")</f>
        <v>0</v>
      </c>
      <c r="Y147" s="845">
        <f>IFERROR(INDEX([8]Code!M$8:M$33,MATCH('[8]$MRD-Annex'!$BG158,[8]Code!$G$8:$G$33,0)),"")</f>
        <v>0</v>
      </c>
      <c r="Z147" s="288">
        <f t="shared" ref="Z147:AC154" si="266">P147*$U147</f>
        <v>0</v>
      </c>
      <c r="AA147" s="287">
        <f t="shared" si="266"/>
        <v>0</v>
      </c>
      <c r="AB147" s="287">
        <f t="shared" si="266"/>
        <v>0</v>
      </c>
      <c r="AC147" s="287">
        <f t="shared" si="266"/>
        <v>0</v>
      </c>
      <c r="AD147" s="289">
        <f t="shared" ref="AD147:AD154" si="267">SUM(Z147:AC147)</f>
        <v>0</v>
      </c>
      <c r="AE147" s="288">
        <f t="shared" ref="AE147:AI154" si="268">P147*$V147</f>
        <v>0</v>
      </c>
      <c r="AF147" s="287">
        <f t="shared" si="268"/>
        <v>0</v>
      </c>
      <c r="AG147" s="287">
        <f t="shared" si="268"/>
        <v>0</v>
      </c>
      <c r="AH147" s="287">
        <f t="shared" si="268"/>
        <v>0</v>
      </c>
      <c r="AI147" s="289">
        <f t="shared" si="268"/>
        <v>0</v>
      </c>
      <c r="AJ147" s="287">
        <f t="shared" ref="AJ147:AM154" si="269">P147*$W147</f>
        <v>0</v>
      </c>
      <c r="AK147" s="287">
        <f t="shared" si="269"/>
        <v>0</v>
      </c>
      <c r="AL147" s="287">
        <f t="shared" si="269"/>
        <v>0</v>
      </c>
      <c r="AM147" s="287">
        <f t="shared" si="269"/>
        <v>0</v>
      </c>
      <c r="AN147" s="837">
        <f t="shared" ref="AN147:AN154" si="270">SUM(AJ147:AM147)</f>
        <v>0</v>
      </c>
      <c r="AO147" s="288">
        <f t="shared" ref="AO147:AR154" si="271">P147*$X147</f>
        <v>0</v>
      </c>
      <c r="AP147" s="287">
        <f t="shared" si="271"/>
        <v>0</v>
      </c>
      <c r="AQ147" s="287">
        <f t="shared" si="271"/>
        <v>0</v>
      </c>
      <c r="AR147" s="287">
        <f t="shared" si="271"/>
        <v>0</v>
      </c>
      <c r="AS147" s="152">
        <f t="shared" ref="AS147:AS154" si="272">SUM(AO147:AR147)</f>
        <v>0</v>
      </c>
      <c r="AT147" s="288">
        <f t="shared" ref="AT147:AW154" si="273">P147*$Y147</f>
        <v>0</v>
      </c>
      <c r="AU147" s="287">
        <f t="shared" si="273"/>
        <v>0</v>
      </c>
      <c r="AV147" s="287">
        <f t="shared" si="273"/>
        <v>0</v>
      </c>
      <c r="AW147" s="287">
        <f t="shared" si="273"/>
        <v>0</v>
      </c>
      <c r="AX147" s="152">
        <f t="shared" ref="AX147:AX154" si="274">SUM(AT147:AW147)</f>
        <v>0</v>
      </c>
      <c r="AY147" s="88">
        <f t="shared" ref="AY147:BC154" si="275">SUM($T147*U147)</f>
        <v>0</v>
      </c>
      <c r="AZ147" s="358">
        <f t="shared" si="275"/>
        <v>0</v>
      </c>
      <c r="BA147" s="358">
        <f t="shared" si="275"/>
        <v>0</v>
      </c>
      <c r="BB147" s="358">
        <f t="shared" si="275"/>
        <v>0</v>
      </c>
      <c r="BC147" s="80">
        <f t="shared" si="275"/>
        <v>0</v>
      </c>
      <c r="BD147" s="97"/>
      <c r="BE147" s="1069"/>
      <c r="BF147" s="1282" t="s">
        <v>398</v>
      </c>
      <c r="BG147" s="1282" t="str">
        <f>IFERROR(INDEX('[9]Annex 2'!$J$110:$J$127,MATCH('[9]Annex 5'!BD149,'[9]Annex 2'!$G$110:$G$127,0)),"")</f>
        <v>MRD</v>
      </c>
      <c r="BH147" s="1565" t="str">
        <f t="shared" si="254"/>
        <v>MRD</v>
      </c>
      <c r="BI147" s="97"/>
    </row>
    <row r="148" spans="1:61" hidden="1">
      <c r="A148" s="75"/>
      <c r="B148" s="76" t="s">
        <v>25</v>
      </c>
      <c r="C148" s="76" t="s">
        <v>303</v>
      </c>
      <c r="D148" s="78"/>
      <c r="E148" s="294"/>
      <c r="F148" s="294" t="s">
        <v>133</v>
      </c>
      <c r="G148" s="95"/>
      <c r="H148" s="782" t="s">
        <v>174</v>
      </c>
      <c r="I148" s="784">
        <v>13501</v>
      </c>
      <c r="J148" s="1322"/>
      <c r="K148" s="788">
        <v>0</v>
      </c>
      <c r="L148" s="79">
        <v>0</v>
      </c>
      <c r="M148" s="79">
        <v>0</v>
      </c>
      <c r="N148" s="79">
        <v>0</v>
      </c>
      <c r="O148" s="764">
        <f t="shared" ref="O148:O154" si="276">SUM(K148:N148)</f>
        <v>0</v>
      </c>
      <c r="P148" s="281">
        <f>K148*$I$148/1000</f>
        <v>0</v>
      </c>
      <c r="Q148" s="281">
        <f>L148*$I$148/1000</f>
        <v>0</v>
      </c>
      <c r="R148" s="281">
        <f>M148*$I$148/1000</f>
        <v>0</v>
      </c>
      <c r="S148" s="281">
        <f>N148*$I$148/1000</f>
        <v>0</v>
      </c>
      <c r="T148" s="80">
        <f>SUM(P148:S148)</f>
        <v>0</v>
      </c>
      <c r="U148" s="812">
        <f>IFERROR(INDEX([8]Code!I$8:I$33,MATCH('[8]$MRD-Annex'!$BG159,[8]Code!$G$8:$G$33,0)),"")</f>
        <v>1</v>
      </c>
      <c r="V148" s="844">
        <f>IFERROR(INDEX([8]Code!J$8:J$33,MATCH('[8]$MRD-Annex'!$BG159,[8]Code!$G$8:$G$33,0)),"")</f>
        <v>0</v>
      </c>
      <c r="W148" s="844">
        <f>IFERROR(INDEX([8]Code!K$8:K$33,MATCH('[8]$MRD-Annex'!$BG159,[8]Code!$G$8:$G$33,0)),"")</f>
        <v>0</v>
      </c>
      <c r="X148" s="844">
        <f>IFERROR(INDEX([8]Code!L$8:L$33,MATCH('[8]$MRD-Annex'!$BG159,[8]Code!$G$8:$G$33,0)),"")</f>
        <v>0</v>
      </c>
      <c r="Y148" s="845">
        <f>IFERROR(INDEX([8]Code!M$8:M$33,MATCH('[8]$MRD-Annex'!$BG159,[8]Code!$G$8:$G$33,0)),"")</f>
        <v>0</v>
      </c>
      <c r="Z148" s="288">
        <f t="shared" si="266"/>
        <v>0</v>
      </c>
      <c r="AA148" s="287">
        <f t="shared" si="266"/>
        <v>0</v>
      </c>
      <c r="AB148" s="287">
        <f t="shared" si="266"/>
        <v>0</v>
      </c>
      <c r="AC148" s="287">
        <f t="shared" si="266"/>
        <v>0</v>
      </c>
      <c r="AD148" s="289">
        <f t="shared" si="267"/>
        <v>0</v>
      </c>
      <c r="AE148" s="288">
        <f t="shared" si="268"/>
        <v>0</v>
      </c>
      <c r="AF148" s="287">
        <f t="shared" si="268"/>
        <v>0</v>
      </c>
      <c r="AG148" s="287">
        <f t="shared" si="268"/>
        <v>0</v>
      </c>
      <c r="AH148" s="287">
        <f t="shared" si="268"/>
        <v>0</v>
      </c>
      <c r="AI148" s="289">
        <f t="shared" si="268"/>
        <v>0</v>
      </c>
      <c r="AJ148" s="287">
        <f t="shared" si="269"/>
        <v>0</v>
      </c>
      <c r="AK148" s="287">
        <f t="shared" si="269"/>
        <v>0</v>
      </c>
      <c r="AL148" s="287">
        <f t="shared" si="269"/>
        <v>0</v>
      </c>
      <c r="AM148" s="287">
        <f t="shared" si="269"/>
        <v>0</v>
      </c>
      <c r="AN148" s="837">
        <f t="shared" si="270"/>
        <v>0</v>
      </c>
      <c r="AO148" s="288">
        <f t="shared" si="271"/>
        <v>0</v>
      </c>
      <c r="AP148" s="287">
        <f t="shared" si="271"/>
        <v>0</v>
      </c>
      <c r="AQ148" s="287">
        <f t="shared" si="271"/>
        <v>0</v>
      </c>
      <c r="AR148" s="287">
        <f t="shared" si="271"/>
        <v>0</v>
      </c>
      <c r="AS148" s="152">
        <f t="shared" si="272"/>
        <v>0</v>
      </c>
      <c r="AT148" s="288">
        <f t="shared" si="273"/>
        <v>0</v>
      </c>
      <c r="AU148" s="287">
        <f t="shared" si="273"/>
        <v>0</v>
      </c>
      <c r="AV148" s="287">
        <f t="shared" si="273"/>
        <v>0</v>
      </c>
      <c r="AW148" s="287">
        <f t="shared" si="273"/>
        <v>0</v>
      </c>
      <c r="AX148" s="152">
        <f t="shared" si="274"/>
        <v>0</v>
      </c>
      <c r="AY148" s="88">
        <f t="shared" si="275"/>
        <v>0</v>
      </c>
      <c r="AZ148" s="358">
        <f t="shared" si="275"/>
        <v>0</v>
      </c>
      <c r="BA148" s="358">
        <f t="shared" si="275"/>
        <v>0</v>
      </c>
      <c r="BB148" s="358">
        <f t="shared" si="275"/>
        <v>0</v>
      </c>
      <c r="BC148" s="80">
        <f t="shared" si="275"/>
        <v>0</v>
      </c>
      <c r="BD148" s="97"/>
      <c r="BE148" s="1282" t="s">
        <v>366</v>
      </c>
      <c r="BF148" s="1282" t="s">
        <v>398</v>
      </c>
      <c r="BG148" s="1282" t="str">
        <f>IFERROR(INDEX('[9]Annex 2'!$J$110:$J$127,MATCH('[9]Annex 5'!BD150,'[9]Annex 2'!$G$110:$G$127,0)),"")</f>
        <v>MRD</v>
      </c>
      <c r="BH148" s="1565" t="str">
        <f t="shared" si="254"/>
        <v>MRD</v>
      </c>
      <c r="BI148" s="97"/>
    </row>
    <row r="149" spans="1:61" hidden="1">
      <c r="A149" s="75"/>
      <c r="B149" s="76" t="s">
        <v>25</v>
      </c>
      <c r="C149" s="76" t="s">
        <v>303</v>
      </c>
      <c r="D149" s="78"/>
      <c r="E149" s="294"/>
      <c r="F149" s="294" t="s">
        <v>134</v>
      </c>
      <c r="G149" s="95"/>
      <c r="H149" s="782" t="s">
        <v>174</v>
      </c>
      <c r="I149" s="784">
        <v>21533</v>
      </c>
      <c r="J149" s="1322"/>
      <c r="K149" s="788">
        <v>0</v>
      </c>
      <c r="L149" s="79">
        <v>0</v>
      </c>
      <c r="M149" s="79">
        <v>0</v>
      </c>
      <c r="N149" s="79">
        <v>0</v>
      </c>
      <c r="O149" s="764">
        <f t="shared" si="276"/>
        <v>0</v>
      </c>
      <c r="P149" s="281">
        <f>K149*$I$149/1000</f>
        <v>0</v>
      </c>
      <c r="Q149" s="281">
        <f>L149*$I$149/1000</f>
        <v>0</v>
      </c>
      <c r="R149" s="281">
        <f>M149*$I$149/1000</f>
        <v>0</v>
      </c>
      <c r="S149" s="281">
        <f>N149*$I$149/1000</f>
        <v>0</v>
      </c>
      <c r="T149" s="80">
        <f t="shared" ref="T149:T154" si="277">SUM(P149:S149)</f>
        <v>0</v>
      </c>
      <c r="U149" s="812">
        <f>IFERROR(INDEX([8]Code!I$8:I$33,MATCH('[8]$MRD-Annex'!$BG160,[8]Code!$G$8:$G$33,0)),"")</f>
        <v>1</v>
      </c>
      <c r="V149" s="844">
        <f>IFERROR(INDEX([8]Code!J$8:J$33,MATCH('[8]$MRD-Annex'!$BG160,[8]Code!$G$8:$G$33,0)),"")</f>
        <v>0</v>
      </c>
      <c r="W149" s="844">
        <f>IFERROR(INDEX([8]Code!K$8:K$33,MATCH('[8]$MRD-Annex'!$BG160,[8]Code!$G$8:$G$33,0)),"")</f>
        <v>0</v>
      </c>
      <c r="X149" s="844">
        <f>IFERROR(INDEX([8]Code!L$8:L$33,MATCH('[8]$MRD-Annex'!$BG160,[8]Code!$G$8:$G$33,0)),"")</f>
        <v>0</v>
      </c>
      <c r="Y149" s="845">
        <f>IFERROR(INDEX([8]Code!M$8:M$33,MATCH('[8]$MRD-Annex'!$BG160,[8]Code!$G$8:$G$33,0)),"")</f>
        <v>0</v>
      </c>
      <c r="Z149" s="288">
        <f t="shared" si="266"/>
        <v>0</v>
      </c>
      <c r="AA149" s="287">
        <f t="shared" si="266"/>
        <v>0</v>
      </c>
      <c r="AB149" s="287">
        <f t="shared" si="266"/>
        <v>0</v>
      </c>
      <c r="AC149" s="287">
        <f t="shared" si="266"/>
        <v>0</v>
      </c>
      <c r="AD149" s="289">
        <f t="shared" si="267"/>
        <v>0</v>
      </c>
      <c r="AE149" s="288">
        <f t="shared" si="268"/>
        <v>0</v>
      </c>
      <c r="AF149" s="287">
        <f t="shared" si="268"/>
        <v>0</v>
      </c>
      <c r="AG149" s="287">
        <f t="shared" si="268"/>
        <v>0</v>
      </c>
      <c r="AH149" s="287">
        <f t="shared" si="268"/>
        <v>0</v>
      </c>
      <c r="AI149" s="289">
        <f t="shared" si="268"/>
        <v>0</v>
      </c>
      <c r="AJ149" s="287">
        <f t="shared" si="269"/>
        <v>0</v>
      </c>
      <c r="AK149" s="287">
        <f t="shared" si="269"/>
        <v>0</v>
      </c>
      <c r="AL149" s="287">
        <f t="shared" si="269"/>
        <v>0</v>
      </c>
      <c r="AM149" s="287">
        <f t="shared" si="269"/>
        <v>0</v>
      </c>
      <c r="AN149" s="837">
        <f t="shared" si="270"/>
        <v>0</v>
      </c>
      <c r="AO149" s="288">
        <f t="shared" si="271"/>
        <v>0</v>
      </c>
      <c r="AP149" s="287">
        <f t="shared" si="271"/>
        <v>0</v>
      </c>
      <c r="AQ149" s="287">
        <f t="shared" si="271"/>
        <v>0</v>
      </c>
      <c r="AR149" s="287">
        <f t="shared" si="271"/>
        <v>0</v>
      </c>
      <c r="AS149" s="152">
        <f t="shared" si="272"/>
        <v>0</v>
      </c>
      <c r="AT149" s="288">
        <f t="shared" si="273"/>
        <v>0</v>
      </c>
      <c r="AU149" s="287">
        <f t="shared" si="273"/>
        <v>0</v>
      </c>
      <c r="AV149" s="287">
        <f t="shared" si="273"/>
        <v>0</v>
      </c>
      <c r="AW149" s="287">
        <f t="shared" si="273"/>
        <v>0</v>
      </c>
      <c r="AX149" s="152">
        <f t="shared" si="274"/>
        <v>0</v>
      </c>
      <c r="AY149" s="88">
        <f t="shared" si="275"/>
        <v>0</v>
      </c>
      <c r="AZ149" s="358">
        <f t="shared" si="275"/>
        <v>0</v>
      </c>
      <c r="BA149" s="358">
        <f t="shared" si="275"/>
        <v>0</v>
      </c>
      <c r="BB149" s="358">
        <f t="shared" si="275"/>
        <v>0</v>
      </c>
      <c r="BC149" s="80">
        <f t="shared" si="275"/>
        <v>0</v>
      </c>
      <c r="BD149" s="97"/>
      <c r="BE149" s="1282" t="s">
        <v>366</v>
      </c>
      <c r="BF149" s="1282" t="s">
        <v>398</v>
      </c>
      <c r="BG149" s="1282" t="str">
        <f>IFERROR(INDEX('[9]Annex 2'!$J$110:$J$127,MATCH('[9]Annex 5'!BD151,'[9]Annex 2'!$G$110:$G$127,0)),"")</f>
        <v>MRD</v>
      </c>
      <c r="BH149" s="1565" t="str">
        <f t="shared" si="254"/>
        <v>MRD</v>
      </c>
      <c r="BI149" s="97"/>
    </row>
    <row r="150" spans="1:61" hidden="1">
      <c r="A150" s="75"/>
      <c r="B150" s="76" t="s">
        <v>25</v>
      </c>
      <c r="C150" s="76" t="s">
        <v>303</v>
      </c>
      <c r="D150" s="78"/>
      <c r="E150" s="294"/>
      <c r="F150" s="294" t="s">
        <v>135</v>
      </c>
      <c r="G150" s="95"/>
      <c r="H150" s="782" t="s">
        <v>174</v>
      </c>
      <c r="I150" s="784">
        <v>15593</v>
      </c>
      <c r="J150" s="1322"/>
      <c r="K150" s="788">
        <v>0</v>
      </c>
      <c r="L150" s="79">
        <v>0</v>
      </c>
      <c r="M150" s="79">
        <v>0</v>
      </c>
      <c r="N150" s="79">
        <v>0</v>
      </c>
      <c r="O150" s="764">
        <f t="shared" si="276"/>
        <v>0</v>
      </c>
      <c r="P150" s="281">
        <f>K150*$I$150/1000</f>
        <v>0</v>
      </c>
      <c r="Q150" s="281">
        <f>L150*$I$150/1000</f>
        <v>0</v>
      </c>
      <c r="R150" s="281">
        <f>M150*$I$150/1000</f>
        <v>0</v>
      </c>
      <c r="S150" s="281">
        <f>N150*$I$150/1000</f>
        <v>0</v>
      </c>
      <c r="T150" s="80">
        <f t="shared" si="277"/>
        <v>0</v>
      </c>
      <c r="U150" s="812">
        <f>IFERROR(INDEX([8]Code!I$8:I$33,MATCH('[8]$MRD-Annex'!$BG161,[8]Code!$G$8:$G$33,0)),"")</f>
        <v>1</v>
      </c>
      <c r="V150" s="844">
        <f>IFERROR(INDEX([8]Code!J$8:J$33,MATCH('[8]$MRD-Annex'!$BG161,[8]Code!$G$8:$G$33,0)),"")</f>
        <v>0</v>
      </c>
      <c r="W150" s="844">
        <f>IFERROR(INDEX([8]Code!K$8:K$33,MATCH('[8]$MRD-Annex'!$BG161,[8]Code!$G$8:$G$33,0)),"")</f>
        <v>0</v>
      </c>
      <c r="X150" s="844">
        <f>IFERROR(INDEX([8]Code!L$8:L$33,MATCH('[8]$MRD-Annex'!$BG161,[8]Code!$G$8:$G$33,0)),"")</f>
        <v>0</v>
      </c>
      <c r="Y150" s="845">
        <f>IFERROR(INDEX([8]Code!M$8:M$33,MATCH('[8]$MRD-Annex'!$BG161,[8]Code!$G$8:$G$33,0)),"")</f>
        <v>0</v>
      </c>
      <c r="Z150" s="288">
        <f t="shared" si="266"/>
        <v>0</v>
      </c>
      <c r="AA150" s="287">
        <f t="shared" si="266"/>
        <v>0</v>
      </c>
      <c r="AB150" s="287">
        <f t="shared" si="266"/>
        <v>0</v>
      </c>
      <c r="AC150" s="287">
        <f t="shared" si="266"/>
        <v>0</v>
      </c>
      <c r="AD150" s="289">
        <f t="shared" si="267"/>
        <v>0</v>
      </c>
      <c r="AE150" s="288">
        <f t="shared" si="268"/>
        <v>0</v>
      </c>
      <c r="AF150" s="287">
        <f t="shared" si="268"/>
        <v>0</v>
      </c>
      <c r="AG150" s="287">
        <f t="shared" si="268"/>
        <v>0</v>
      </c>
      <c r="AH150" s="287">
        <f t="shared" si="268"/>
        <v>0</v>
      </c>
      <c r="AI150" s="289">
        <f t="shared" si="268"/>
        <v>0</v>
      </c>
      <c r="AJ150" s="287">
        <f t="shared" si="269"/>
        <v>0</v>
      </c>
      <c r="AK150" s="287">
        <f t="shared" si="269"/>
        <v>0</v>
      </c>
      <c r="AL150" s="287">
        <f t="shared" si="269"/>
        <v>0</v>
      </c>
      <c r="AM150" s="287">
        <f t="shared" si="269"/>
        <v>0</v>
      </c>
      <c r="AN150" s="837">
        <f t="shared" si="270"/>
        <v>0</v>
      </c>
      <c r="AO150" s="288">
        <f t="shared" si="271"/>
        <v>0</v>
      </c>
      <c r="AP150" s="287">
        <f t="shared" si="271"/>
        <v>0</v>
      </c>
      <c r="AQ150" s="287">
        <f t="shared" si="271"/>
        <v>0</v>
      </c>
      <c r="AR150" s="287">
        <f t="shared" si="271"/>
        <v>0</v>
      </c>
      <c r="AS150" s="152">
        <f t="shared" si="272"/>
        <v>0</v>
      </c>
      <c r="AT150" s="288">
        <f t="shared" si="273"/>
        <v>0</v>
      </c>
      <c r="AU150" s="287">
        <f t="shared" si="273"/>
        <v>0</v>
      </c>
      <c r="AV150" s="287">
        <f t="shared" si="273"/>
        <v>0</v>
      </c>
      <c r="AW150" s="287">
        <f t="shared" si="273"/>
        <v>0</v>
      </c>
      <c r="AX150" s="152">
        <f t="shared" si="274"/>
        <v>0</v>
      </c>
      <c r="AY150" s="88">
        <f t="shared" si="275"/>
        <v>0</v>
      </c>
      <c r="AZ150" s="358">
        <f t="shared" si="275"/>
        <v>0</v>
      </c>
      <c r="BA150" s="358">
        <f t="shared" si="275"/>
        <v>0</v>
      </c>
      <c r="BB150" s="358">
        <f t="shared" si="275"/>
        <v>0</v>
      </c>
      <c r="BC150" s="80">
        <f t="shared" si="275"/>
        <v>0</v>
      </c>
      <c r="BD150" s="97"/>
      <c r="BE150" s="1282" t="s">
        <v>366</v>
      </c>
      <c r="BF150" s="1282" t="s">
        <v>398</v>
      </c>
      <c r="BG150" s="1282" t="str">
        <f>IFERROR(INDEX('[9]Annex 2'!$J$110:$J$127,MATCH('[9]Annex 5'!BD152,'[9]Annex 2'!$G$110:$G$127,0)),"")</f>
        <v>MRD</v>
      </c>
      <c r="BH150" s="1565" t="str">
        <f t="shared" si="254"/>
        <v>MRD</v>
      </c>
      <c r="BI150" s="97"/>
    </row>
    <row r="151" spans="1:61" hidden="1">
      <c r="A151" s="75"/>
      <c r="B151" s="76" t="s">
        <v>25</v>
      </c>
      <c r="C151" s="76" t="s">
        <v>303</v>
      </c>
      <c r="D151" s="78"/>
      <c r="E151" s="294"/>
      <c r="F151" s="294" t="s">
        <v>136</v>
      </c>
      <c r="G151" s="95"/>
      <c r="H151" s="782" t="s">
        <v>174</v>
      </c>
      <c r="I151" s="784">
        <v>11409</v>
      </c>
      <c r="J151" s="1322"/>
      <c r="K151" s="788">
        <v>0</v>
      </c>
      <c r="L151" s="79">
        <v>0</v>
      </c>
      <c r="M151" s="79">
        <v>0</v>
      </c>
      <c r="N151" s="79">
        <v>0</v>
      </c>
      <c r="O151" s="764">
        <f t="shared" si="276"/>
        <v>0</v>
      </c>
      <c r="P151" s="281">
        <f>K151*$I$151/1000</f>
        <v>0</v>
      </c>
      <c r="Q151" s="281">
        <f>L151*$I$151/1000</f>
        <v>0</v>
      </c>
      <c r="R151" s="281">
        <f>M151*$I$151/1000</f>
        <v>0</v>
      </c>
      <c r="S151" s="281">
        <f>N151*$I$151/1000</f>
        <v>0</v>
      </c>
      <c r="T151" s="80">
        <f t="shared" si="277"/>
        <v>0</v>
      </c>
      <c r="U151" s="812">
        <f>IFERROR(INDEX([8]Code!I$8:I$33,MATCH('[8]$MRD-Annex'!$BG162,[8]Code!$G$8:$G$33,0)),"")</f>
        <v>1</v>
      </c>
      <c r="V151" s="844">
        <f>IFERROR(INDEX([8]Code!J$8:J$33,MATCH('[8]$MRD-Annex'!$BG162,[8]Code!$G$8:$G$33,0)),"")</f>
        <v>0</v>
      </c>
      <c r="W151" s="844">
        <f>IFERROR(INDEX([8]Code!K$8:K$33,MATCH('[8]$MRD-Annex'!$BG162,[8]Code!$G$8:$G$33,0)),"")</f>
        <v>0</v>
      </c>
      <c r="X151" s="844">
        <f>IFERROR(INDEX([8]Code!L$8:L$33,MATCH('[8]$MRD-Annex'!$BG162,[8]Code!$G$8:$G$33,0)),"")</f>
        <v>0</v>
      </c>
      <c r="Y151" s="845">
        <f>IFERROR(INDEX([8]Code!M$8:M$33,MATCH('[8]$MRD-Annex'!$BG162,[8]Code!$G$8:$G$33,0)),"")</f>
        <v>0</v>
      </c>
      <c r="Z151" s="288">
        <f t="shared" si="266"/>
        <v>0</v>
      </c>
      <c r="AA151" s="287">
        <f t="shared" si="266"/>
        <v>0</v>
      </c>
      <c r="AB151" s="287">
        <f t="shared" si="266"/>
        <v>0</v>
      </c>
      <c r="AC151" s="287">
        <f t="shared" si="266"/>
        <v>0</v>
      </c>
      <c r="AD151" s="289">
        <f t="shared" si="267"/>
        <v>0</v>
      </c>
      <c r="AE151" s="288">
        <f t="shared" si="268"/>
        <v>0</v>
      </c>
      <c r="AF151" s="287">
        <f t="shared" si="268"/>
        <v>0</v>
      </c>
      <c r="AG151" s="287">
        <f t="shared" si="268"/>
        <v>0</v>
      </c>
      <c r="AH151" s="287">
        <f t="shared" si="268"/>
        <v>0</v>
      </c>
      <c r="AI151" s="289">
        <f t="shared" si="268"/>
        <v>0</v>
      </c>
      <c r="AJ151" s="287">
        <f t="shared" si="269"/>
        <v>0</v>
      </c>
      <c r="AK151" s="287">
        <f t="shared" si="269"/>
        <v>0</v>
      </c>
      <c r="AL151" s="287">
        <f t="shared" si="269"/>
        <v>0</v>
      </c>
      <c r="AM151" s="287">
        <f t="shared" si="269"/>
        <v>0</v>
      </c>
      <c r="AN151" s="837">
        <f t="shared" si="270"/>
        <v>0</v>
      </c>
      <c r="AO151" s="288">
        <f t="shared" si="271"/>
        <v>0</v>
      </c>
      <c r="AP151" s="287">
        <f t="shared" si="271"/>
        <v>0</v>
      </c>
      <c r="AQ151" s="287">
        <f t="shared" si="271"/>
        <v>0</v>
      </c>
      <c r="AR151" s="287">
        <f t="shared" si="271"/>
        <v>0</v>
      </c>
      <c r="AS151" s="152">
        <f t="shared" si="272"/>
        <v>0</v>
      </c>
      <c r="AT151" s="288">
        <f t="shared" si="273"/>
        <v>0</v>
      </c>
      <c r="AU151" s="287">
        <f t="shared" si="273"/>
        <v>0</v>
      </c>
      <c r="AV151" s="287">
        <f t="shared" si="273"/>
        <v>0</v>
      </c>
      <c r="AW151" s="287">
        <f t="shared" si="273"/>
        <v>0</v>
      </c>
      <c r="AX151" s="152">
        <f t="shared" si="274"/>
        <v>0</v>
      </c>
      <c r="AY151" s="88">
        <f t="shared" si="275"/>
        <v>0</v>
      </c>
      <c r="AZ151" s="358">
        <f t="shared" si="275"/>
        <v>0</v>
      </c>
      <c r="BA151" s="358">
        <f t="shared" si="275"/>
        <v>0</v>
      </c>
      <c r="BB151" s="358">
        <f t="shared" si="275"/>
        <v>0</v>
      </c>
      <c r="BC151" s="80">
        <f t="shared" si="275"/>
        <v>0</v>
      </c>
      <c r="BD151" s="97"/>
      <c r="BE151" s="1282" t="s">
        <v>366</v>
      </c>
      <c r="BF151" s="1282" t="s">
        <v>398</v>
      </c>
      <c r="BG151" s="1282" t="str">
        <f>IFERROR(INDEX('[9]Annex 2'!$J$110:$J$127,MATCH('[9]Annex 5'!BD153,'[9]Annex 2'!$G$110:$G$127,0)),"")</f>
        <v>MRD</v>
      </c>
      <c r="BH151" s="1565" t="str">
        <f t="shared" si="254"/>
        <v>MRD</v>
      </c>
      <c r="BI151" s="97"/>
    </row>
    <row r="152" spans="1:61" hidden="1">
      <c r="A152" s="75"/>
      <c r="B152" s="76" t="s">
        <v>25</v>
      </c>
      <c r="C152" s="76" t="s">
        <v>303</v>
      </c>
      <c r="D152" s="78"/>
      <c r="E152" s="294"/>
      <c r="F152" s="294" t="s">
        <v>137</v>
      </c>
      <c r="G152" s="95"/>
      <c r="H152" s="782" t="s">
        <v>174</v>
      </c>
      <c r="I152" s="784">
        <v>14198</v>
      </c>
      <c r="J152" s="1322"/>
      <c r="K152" s="788">
        <v>0</v>
      </c>
      <c r="L152" s="79">
        <v>0</v>
      </c>
      <c r="M152" s="79">
        <v>0</v>
      </c>
      <c r="N152" s="79">
        <v>0</v>
      </c>
      <c r="O152" s="764">
        <f t="shared" si="276"/>
        <v>0</v>
      </c>
      <c r="P152" s="281">
        <f>K152*$I$152/1000</f>
        <v>0</v>
      </c>
      <c r="Q152" s="281">
        <f>L152*$I$152/1000</f>
        <v>0</v>
      </c>
      <c r="R152" s="281">
        <f>M152*$I$152/1000</f>
        <v>0</v>
      </c>
      <c r="S152" s="281">
        <f>N152*$I$152/1000</f>
        <v>0</v>
      </c>
      <c r="T152" s="80">
        <f t="shared" si="277"/>
        <v>0</v>
      </c>
      <c r="U152" s="812">
        <f>IFERROR(INDEX([8]Code!I$8:I$33,MATCH('[8]$MRD-Annex'!$BG163,[8]Code!$G$8:$G$33,0)),"")</f>
        <v>1</v>
      </c>
      <c r="V152" s="844">
        <f>IFERROR(INDEX([8]Code!J$8:J$33,MATCH('[8]$MRD-Annex'!$BG163,[8]Code!$G$8:$G$33,0)),"")</f>
        <v>0</v>
      </c>
      <c r="W152" s="844">
        <f>IFERROR(INDEX([8]Code!K$8:K$33,MATCH('[8]$MRD-Annex'!$BG163,[8]Code!$G$8:$G$33,0)),"")</f>
        <v>0</v>
      </c>
      <c r="X152" s="844">
        <f>IFERROR(INDEX([8]Code!L$8:L$33,MATCH('[8]$MRD-Annex'!$BG163,[8]Code!$G$8:$G$33,0)),"")</f>
        <v>0</v>
      </c>
      <c r="Y152" s="845">
        <f>IFERROR(INDEX([8]Code!M$8:M$33,MATCH('[8]$MRD-Annex'!$BG163,[8]Code!$G$8:$G$33,0)),"")</f>
        <v>0</v>
      </c>
      <c r="Z152" s="288">
        <f t="shared" si="266"/>
        <v>0</v>
      </c>
      <c r="AA152" s="287">
        <f t="shared" si="266"/>
        <v>0</v>
      </c>
      <c r="AB152" s="287">
        <f t="shared" si="266"/>
        <v>0</v>
      </c>
      <c r="AC152" s="287">
        <f t="shared" si="266"/>
        <v>0</v>
      </c>
      <c r="AD152" s="289">
        <f t="shared" si="267"/>
        <v>0</v>
      </c>
      <c r="AE152" s="288">
        <f t="shared" si="268"/>
        <v>0</v>
      </c>
      <c r="AF152" s="287">
        <f t="shared" si="268"/>
        <v>0</v>
      </c>
      <c r="AG152" s="287">
        <f t="shared" si="268"/>
        <v>0</v>
      </c>
      <c r="AH152" s="287">
        <f t="shared" si="268"/>
        <v>0</v>
      </c>
      <c r="AI152" s="289">
        <f t="shared" si="268"/>
        <v>0</v>
      </c>
      <c r="AJ152" s="287">
        <f t="shared" si="269"/>
        <v>0</v>
      </c>
      <c r="AK152" s="287">
        <f t="shared" si="269"/>
        <v>0</v>
      </c>
      <c r="AL152" s="287">
        <f t="shared" si="269"/>
        <v>0</v>
      </c>
      <c r="AM152" s="287">
        <f t="shared" si="269"/>
        <v>0</v>
      </c>
      <c r="AN152" s="837">
        <f t="shared" si="270"/>
        <v>0</v>
      </c>
      <c r="AO152" s="288">
        <f t="shared" si="271"/>
        <v>0</v>
      </c>
      <c r="AP152" s="287">
        <f t="shared" si="271"/>
        <v>0</v>
      </c>
      <c r="AQ152" s="287">
        <f t="shared" si="271"/>
        <v>0</v>
      </c>
      <c r="AR152" s="287">
        <f t="shared" si="271"/>
        <v>0</v>
      </c>
      <c r="AS152" s="152">
        <f t="shared" si="272"/>
        <v>0</v>
      </c>
      <c r="AT152" s="288">
        <f t="shared" si="273"/>
        <v>0</v>
      </c>
      <c r="AU152" s="287">
        <f t="shared" si="273"/>
        <v>0</v>
      </c>
      <c r="AV152" s="287">
        <f t="shared" si="273"/>
        <v>0</v>
      </c>
      <c r="AW152" s="287">
        <f t="shared" si="273"/>
        <v>0</v>
      </c>
      <c r="AX152" s="152">
        <f t="shared" si="274"/>
        <v>0</v>
      </c>
      <c r="AY152" s="88">
        <f t="shared" si="275"/>
        <v>0</v>
      </c>
      <c r="AZ152" s="358">
        <f t="shared" si="275"/>
        <v>0</v>
      </c>
      <c r="BA152" s="358">
        <f t="shared" si="275"/>
        <v>0</v>
      </c>
      <c r="BB152" s="358">
        <f t="shared" si="275"/>
        <v>0</v>
      </c>
      <c r="BC152" s="80">
        <f t="shared" si="275"/>
        <v>0</v>
      </c>
      <c r="BD152" s="97"/>
      <c r="BE152" s="1282" t="s">
        <v>366</v>
      </c>
      <c r="BF152" s="1282" t="s">
        <v>398</v>
      </c>
      <c r="BG152" s="1282" t="str">
        <f>IFERROR(INDEX('[9]Annex 2'!$J$110:$J$127,MATCH('[9]Annex 5'!BD154,'[9]Annex 2'!$G$110:$G$127,0)),"")</f>
        <v>MRD</v>
      </c>
      <c r="BH152" s="1565" t="str">
        <f t="shared" si="254"/>
        <v>MRD</v>
      </c>
      <c r="BI152" s="97"/>
    </row>
    <row r="153" spans="1:61" hidden="1">
      <c r="A153" s="75"/>
      <c r="B153" s="76" t="s">
        <v>25</v>
      </c>
      <c r="C153" s="76" t="s">
        <v>303</v>
      </c>
      <c r="D153" s="78"/>
      <c r="E153" s="294"/>
      <c r="F153" s="294" t="s">
        <v>138</v>
      </c>
      <c r="G153" s="95"/>
      <c r="H153" s="782" t="s">
        <v>174</v>
      </c>
      <c r="I153" s="784">
        <v>12803</v>
      </c>
      <c r="J153" s="1322"/>
      <c r="K153" s="788">
        <v>0</v>
      </c>
      <c r="L153" s="79">
        <v>0</v>
      </c>
      <c r="M153" s="79">
        <v>0</v>
      </c>
      <c r="N153" s="79">
        <v>0</v>
      </c>
      <c r="O153" s="764">
        <f t="shared" si="276"/>
        <v>0</v>
      </c>
      <c r="P153" s="281">
        <f>K153*$I$153/1000</f>
        <v>0</v>
      </c>
      <c r="Q153" s="281">
        <f>L153*$I$153/1000</f>
        <v>0</v>
      </c>
      <c r="R153" s="281">
        <f>M153*$I$153/1000</f>
        <v>0</v>
      </c>
      <c r="S153" s="281">
        <f>N153*$I$153/1000</f>
        <v>0</v>
      </c>
      <c r="T153" s="80">
        <f t="shared" si="277"/>
        <v>0</v>
      </c>
      <c r="U153" s="812">
        <f>IFERROR(INDEX([8]Code!I$8:I$33,MATCH('[8]$MRD-Annex'!$BG164,[8]Code!$G$8:$G$33,0)),"")</f>
        <v>1</v>
      </c>
      <c r="V153" s="844">
        <f>IFERROR(INDEX([8]Code!J$8:J$33,MATCH('[8]$MRD-Annex'!$BG164,[8]Code!$G$8:$G$33,0)),"")</f>
        <v>0</v>
      </c>
      <c r="W153" s="844">
        <f>IFERROR(INDEX([8]Code!K$8:K$33,MATCH('[8]$MRD-Annex'!$BG164,[8]Code!$G$8:$G$33,0)),"")</f>
        <v>0</v>
      </c>
      <c r="X153" s="844">
        <f>IFERROR(INDEX([8]Code!L$8:L$33,MATCH('[8]$MRD-Annex'!$BG164,[8]Code!$G$8:$G$33,0)),"")</f>
        <v>0</v>
      </c>
      <c r="Y153" s="845">
        <f>IFERROR(INDEX([8]Code!M$8:M$33,MATCH('[8]$MRD-Annex'!$BG164,[8]Code!$G$8:$G$33,0)),"")</f>
        <v>0</v>
      </c>
      <c r="Z153" s="288">
        <f t="shared" si="266"/>
        <v>0</v>
      </c>
      <c r="AA153" s="287">
        <f t="shared" si="266"/>
        <v>0</v>
      </c>
      <c r="AB153" s="287">
        <f t="shared" si="266"/>
        <v>0</v>
      </c>
      <c r="AC153" s="287">
        <f t="shared" si="266"/>
        <v>0</v>
      </c>
      <c r="AD153" s="289">
        <f t="shared" si="267"/>
        <v>0</v>
      </c>
      <c r="AE153" s="288">
        <f t="shared" si="268"/>
        <v>0</v>
      </c>
      <c r="AF153" s="287">
        <f t="shared" si="268"/>
        <v>0</v>
      </c>
      <c r="AG153" s="287">
        <f t="shared" si="268"/>
        <v>0</v>
      </c>
      <c r="AH153" s="287">
        <f t="shared" si="268"/>
        <v>0</v>
      </c>
      <c r="AI153" s="289">
        <f t="shared" si="268"/>
        <v>0</v>
      </c>
      <c r="AJ153" s="287">
        <f t="shared" si="269"/>
        <v>0</v>
      </c>
      <c r="AK153" s="287">
        <f t="shared" si="269"/>
        <v>0</v>
      </c>
      <c r="AL153" s="287">
        <f t="shared" si="269"/>
        <v>0</v>
      </c>
      <c r="AM153" s="287">
        <f t="shared" si="269"/>
        <v>0</v>
      </c>
      <c r="AN153" s="837">
        <f t="shared" si="270"/>
        <v>0</v>
      </c>
      <c r="AO153" s="288">
        <f t="shared" si="271"/>
        <v>0</v>
      </c>
      <c r="AP153" s="287">
        <f t="shared" si="271"/>
        <v>0</v>
      </c>
      <c r="AQ153" s="287">
        <f t="shared" si="271"/>
        <v>0</v>
      </c>
      <c r="AR153" s="287">
        <f t="shared" si="271"/>
        <v>0</v>
      </c>
      <c r="AS153" s="152">
        <f t="shared" si="272"/>
        <v>0</v>
      </c>
      <c r="AT153" s="288">
        <f t="shared" si="273"/>
        <v>0</v>
      </c>
      <c r="AU153" s="287">
        <f t="shared" si="273"/>
        <v>0</v>
      </c>
      <c r="AV153" s="287">
        <f t="shared" si="273"/>
        <v>0</v>
      </c>
      <c r="AW153" s="287">
        <f t="shared" si="273"/>
        <v>0</v>
      </c>
      <c r="AX153" s="152">
        <f t="shared" si="274"/>
        <v>0</v>
      </c>
      <c r="AY153" s="88">
        <f t="shared" si="275"/>
        <v>0</v>
      </c>
      <c r="AZ153" s="358">
        <f t="shared" si="275"/>
        <v>0</v>
      </c>
      <c r="BA153" s="358">
        <f t="shared" si="275"/>
        <v>0</v>
      </c>
      <c r="BB153" s="358">
        <f t="shared" si="275"/>
        <v>0</v>
      </c>
      <c r="BC153" s="80">
        <f t="shared" si="275"/>
        <v>0</v>
      </c>
      <c r="BD153" s="97"/>
      <c r="BE153" s="1282" t="s">
        <v>366</v>
      </c>
      <c r="BF153" s="1282" t="s">
        <v>398</v>
      </c>
      <c r="BG153" s="1282" t="str">
        <f>IFERROR(INDEX('[9]Annex 2'!$J$110:$J$127,MATCH('[9]Annex 5'!BD155,'[9]Annex 2'!$G$110:$G$127,0)),"")</f>
        <v>MRD</v>
      </c>
      <c r="BH153" s="1565" t="str">
        <f t="shared" si="254"/>
        <v>MRD</v>
      </c>
      <c r="BI153" s="97"/>
    </row>
    <row r="154" spans="1:61" hidden="1">
      <c r="A154" s="75"/>
      <c r="B154" s="76" t="s">
        <v>25</v>
      </c>
      <c r="C154" s="76" t="s">
        <v>303</v>
      </c>
      <c r="D154" s="78"/>
      <c r="E154" s="294"/>
      <c r="F154" s="294" t="s">
        <v>139</v>
      </c>
      <c r="G154" s="95"/>
      <c r="H154" s="782" t="s">
        <v>174</v>
      </c>
      <c r="I154" s="784">
        <v>12803</v>
      </c>
      <c r="J154" s="1322"/>
      <c r="K154" s="788">
        <v>0</v>
      </c>
      <c r="L154" s="79">
        <v>0</v>
      </c>
      <c r="M154" s="79">
        <v>0</v>
      </c>
      <c r="N154" s="79">
        <v>0</v>
      </c>
      <c r="O154" s="764">
        <f t="shared" si="276"/>
        <v>0</v>
      </c>
      <c r="P154" s="281">
        <f>K154*$I$154/1000</f>
        <v>0</v>
      </c>
      <c r="Q154" s="281">
        <f>L154*$I$154/1000</f>
        <v>0</v>
      </c>
      <c r="R154" s="281">
        <f>M154*$I$154/1000</f>
        <v>0</v>
      </c>
      <c r="S154" s="281">
        <f>N154*$I$154/1000</f>
        <v>0</v>
      </c>
      <c r="T154" s="80">
        <f t="shared" si="277"/>
        <v>0</v>
      </c>
      <c r="U154" s="812">
        <f>IFERROR(INDEX([8]Code!I$8:I$33,MATCH('[8]$MRD-Annex'!$BG165,[8]Code!$G$8:$G$33,0)),"")</f>
        <v>1</v>
      </c>
      <c r="V154" s="844">
        <f>IFERROR(INDEX([8]Code!J$8:J$33,MATCH('[8]$MRD-Annex'!$BG165,[8]Code!$G$8:$G$33,0)),"")</f>
        <v>0</v>
      </c>
      <c r="W154" s="844">
        <f>IFERROR(INDEX([8]Code!K$8:K$33,MATCH('[8]$MRD-Annex'!$BG165,[8]Code!$G$8:$G$33,0)),"")</f>
        <v>0</v>
      </c>
      <c r="X154" s="844">
        <f>IFERROR(INDEX([8]Code!L$8:L$33,MATCH('[8]$MRD-Annex'!$BG165,[8]Code!$G$8:$G$33,0)),"")</f>
        <v>0</v>
      </c>
      <c r="Y154" s="845">
        <f>IFERROR(INDEX([8]Code!M$8:M$33,MATCH('[8]$MRD-Annex'!$BG165,[8]Code!$G$8:$G$33,0)),"")</f>
        <v>0</v>
      </c>
      <c r="Z154" s="288">
        <f t="shared" si="266"/>
        <v>0</v>
      </c>
      <c r="AA154" s="287">
        <f t="shared" si="266"/>
        <v>0</v>
      </c>
      <c r="AB154" s="287">
        <f t="shared" si="266"/>
        <v>0</v>
      </c>
      <c r="AC154" s="287">
        <f t="shared" si="266"/>
        <v>0</v>
      </c>
      <c r="AD154" s="289">
        <f t="shared" si="267"/>
        <v>0</v>
      </c>
      <c r="AE154" s="288">
        <f t="shared" si="268"/>
        <v>0</v>
      </c>
      <c r="AF154" s="287">
        <f t="shared" si="268"/>
        <v>0</v>
      </c>
      <c r="AG154" s="287">
        <f t="shared" si="268"/>
        <v>0</v>
      </c>
      <c r="AH154" s="287">
        <f t="shared" si="268"/>
        <v>0</v>
      </c>
      <c r="AI154" s="289">
        <f t="shared" si="268"/>
        <v>0</v>
      </c>
      <c r="AJ154" s="287">
        <f t="shared" si="269"/>
        <v>0</v>
      </c>
      <c r="AK154" s="287">
        <f t="shared" si="269"/>
        <v>0</v>
      </c>
      <c r="AL154" s="287">
        <f t="shared" si="269"/>
        <v>0</v>
      </c>
      <c r="AM154" s="287">
        <f t="shared" si="269"/>
        <v>0</v>
      </c>
      <c r="AN154" s="837">
        <f t="shared" si="270"/>
        <v>0</v>
      </c>
      <c r="AO154" s="288">
        <f t="shared" si="271"/>
        <v>0</v>
      </c>
      <c r="AP154" s="287">
        <f t="shared" si="271"/>
        <v>0</v>
      </c>
      <c r="AQ154" s="287">
        <f t="shared" si="271"/>
        <v>0</v>
      </c>
      <c r="AR154" s="287">
        <f t="shared" si="271"/>
        <v>0</v>
      </c>
      <c r="AS154" s="152">
        <f t="shared" si="272"/>
        <v>0</v>
      </c>
      <c r="AT154" s="288">
        <f t="shared" si="273"/>
        <v>0</v>
      </c>
      <c r="AU154" s="287">
        <f t="shared" si="273"/>
        <v>0</v>
      </c>
      <c r="AV154" s="287">
        <f t="shared" si="273"/>
        <v>0</v>
      </c>
      <c r="AW154" s="287">
        <f t="shared" si="273"/>
        <v>0</v>
      </c>
      <c r="AX154" s="152">
        <f t="shared" si="274"/>
        <v>0</v>
      </c>
      <c r="AY154" s="88">
        <f t="shared" si="275"/>
        <v>0</v>
      </c>
      <c r="AZ154" s="358">
        <f t="shared" si="275"/>
        <v>0</v>
      </c>
      <c r="BA154" s="358">
        <f t="shared" si="275"/>
        <v>0</v>
      </c>
      <c r="BB154" s="358">
        <f t="shared" si="275"/>
        <v>0</v>
      </c>
      <c r="BC154" s="80">
        <f t="shared" si="275"/>
        <v>0</v>
      </c>
      <c r="BD154" s="97"/>
      <c r="BE154" s="1282" t="s">
        <v>366</v>
      </c>
      <c r="BF154" s="1282" t="s">
        <v>398</v>
      </c>
      <c r="BG154" s="1282" t="str">
        <f>IFERROR(INDEX('[9]Annex 2'!$J$110:$J$127,MATCH('[9]Annex 5'!BD156,'[9]Annex 2'!$G$110:$G$127,0)),"")</f>
        <v>MRD</v>
      </c>
      <c r="BH154" s="1565" t="str">
        <f t="shared" si="254"/>
        <v>MRD</v>
      </c>
      <c r="BI154" s="97"/>
    </row>
    <row r="155" spans="1:61" hidden="1">
      <c r="A155" s="75"/>
      <c r="B155" s="1267"/>
      <c r="C155" s="1267"/>
      <c r="D155" s="382"/>
      <c r="E155" s="383" t="s">
        <v>41</v>
      </c>
      <c r="F155" s="384"/>
      <c r="G155" s="385"/>
      <c r="H155" s="775" t="s">
        <v>14</v>
      </c>
      <c r="I155" s="776"/>
      <c r="J155" s="1638"/>
      <c r="K155" s="791"/>
      <c r="L155" s="386"/>
      <c r="M155" s="839"/>
      <c r="N155" s="840"/>
      <c r="O155" s="388"/>
      <c r="P155" s="387">
        <f>SUM(P148:P154)</f>
        <v>0</v>
      </c>
      <c r="Q155" s="387">
        <f t="shared" ref="Q155:S155" si="278">SUM(Q148:Q154)</f>
        <v>0</v>
      </c>
      <c r="R155" s="387">
        <f t="shared" si="278"/>
        <v>0</v>
      </c>
      <c r="S155" s="387">
        <f t="shared" si="278"/>
        <v>0</v>
      </c>
      <c r="T155" s="388">
        <f>SUM(T148:T154)</f>
        <v>0</v>
      </c>
      <c r="U155" s="813" t="str">
        <f>IFERROR(INDEX([8]Code!I$8:I$33,MATCH('[8]$MRD-Annex'!$BG166,[8]Code!$G$8:$G$33,0)),"")</f>
        <v/>
      </c>
      <c r="V155" s="846" t="str">
        <f>IFERROR(INDEX([8]Code!J$8:J$33,MATCH('[8]$MRD-Annex'!$BG166,[8]Code!$G$8:$G$33,0)),"")</f>
        <v/>
      </c>
      <c r="W155" s="846" t="str">
        <f>IFERROR(INDEX([8]Code!K$8:K$33,MATCH('[8]$MRD-Annex'!$BG166,[8]Code!$G$8:$G$33,0)),"")</f>
        <v/>
      </c>
      <c r="X155" s="846" t="str">
        <f>IFERROR(INDEX([8]Code!L$8:L$33,MATCH('[8]$MRD-Annex'!$BG166,[8]Code!$G$8:$G$33,0)),"")</f>
        <v/>
      </c>
      <c r="Y155" s="847" t="str">
        <f>IFERROR(INDEX([8]Code!M$8:M$33,MATCH('[8]$MRD-Annex'!$BG166,[8]Code!$G$8:$G$33,0)),"")</f>
        <v/>
      </c>
      <c r="Z155" s="390">
        <f>SUM(Z148:Z154)</f>
        <v>0</v>
      </c>
      <c r="AA155" s="389">
        <f t="shared" ref="AA155:AC155" si="279">SUM(AA148:AA154)</f>
        <v>0</v>
      </c>
      <c r="AB155" s="389">
        <f t="shared" si="279"/>
        <v>0</v>
      </c>
      <c r="AC155" s="389">
        <f t="shared" si="279"/>
        <v>0</v>
      </c>
      <c r="AD155" s="391">
        <f t="shared" ref="AD155" si="280">SUM(Z155:AC155)</f>
        <v>0</v>
      </c>
      <c r="AE155" s="390"/>
      <c r="AF155" s="389"/>
      <c r="AG155" s="389"/>
      <c r="AH155" s="389"/>
      <c r="AI155" s="391"/>
      <c r="AJ155" s="389"/>
      <c r="AK155" s="389"/>
      <c r="AL155" s="389"/>
      <c r="AM155" s="389"/>
      <c r="AN155" s="393"/>
      <c r="AO155" s="390"/>
      <c r="AP155" s="389"/>
      <c r="AQ155" s="389"/>
      <c r="AR155" s="389"/>
      <c r="AS155" s="838"/>
      <c r="AT155" s="382"/>
      <c r="AU155" s="383"/>
      <c r="AV155" s="383"/>
      <c r="AW155" s="383"/>
      <c r="AX155" s="838"/>
      <c r="AY155" s="392">
        <f>SUM(AY148:AY154)</f>
        <v>0</v>
      </c>
      <c r="AZ155" s="393">
        <f>SUM(AZ148:AZ154)</f>
        <v>0</v>
      </c>
      <c r="BA155" s="393">
        <f>SUM(BA148:BA154)</f>
        <v>0</v>
      </c>
      <c r="BB155" s="393">
        <f>SUM(BB148:BB154)</f>
        <v>0</v>
      </c>
      <c r="BC155" s="388"/>
      <c r="BD155" s="97"/>
      <c r="BE155" s="1282"/>
      <c r="BF155" s="1282"/>
      <c r="BG155" s="1282">
        <f>IFERROR(INDEX('[9]Annex 2'!$J$110:$J$127,MATCH('[9]Annex 5'!BD157,'[9]Annex 2'!$G$110:$G$127,0)),"")</f>
        <v>0</v>
      </c>
      <c r="BH155" s="1565" t="str">
        <f t="shared" si="254"/>
        <v>0</v>
      </c>
      <c r="BI155" s="97"/>
    </row>
    <row r="156" spans="1:61" hidden="1">
      <c r="A156" s="75"/>
      <c r="B156" s="76"/>
      <c r="C156" s="76"/>
      <c r="D156" s="78"/>
      <c r="E156" s="97"/>
      <c r="F156" s="294" t="s">
        <v>140</v>
      </c>
      <c r="G156" s="284"/>
      <c r="H156" s="96" t="s">
        <v>14</v>
      </c>
      <c r="I156" s="784"/>
      <c r="J156" s="1322"/>
      <c r="K156" s="1322"/>
      <c r="L156" s="73"/>
      <c r="M156" s="56"/>
      <c r="N156" s="56"/>
      <c r="O156" s="1595"/>
      <c r="P156" s="281"/>
      <c r="Q156" s="281"/>
      <c r="R156" s="281"/>
      <c r="S156" s="281"/>
      <c r="T156" s="80"/>
      <c r="U156" s="812" t="str">
        <f>IFERROR(INDEX([8]Code!I$8:I$33,MATCH('[8]$MRD-Annex'!$BG167,[8]Code!$G$8:$G$33,0)),"")</f>
        <v/>
      </c>
      <c r="V156" s="844" t="str">
        <f>IFERROR(INDEX([8]Code!J$8:J$33,MATCH('[8]$MRD-Annex'!$BG167,[8]Code!$G$8:$G$33,0)),"")</f>
        <v/>
      </c>
      <c r="W156" s="844" t="str">
        <f>IFERROR(INDEX([8]Code!K$8:K$33,MATCH('[8]$MRD-Annex'!$BG167,[8]Code!$G$8:$G$33,0)),"")</f>
        <v/>
      </c>
      <c r="X156" s="844" t="str">
        <f>IFERROR(INDEX([8]Code!L$8:L$33,MATCH('[8]$MRD-Annex'!$BG167,[8]Code!$G$8:$G$33,0)),"")</f>
        <v/>
      </c>
      <c r="Y156" s="845" t="str">
        <f>IFERROR(INDEX([8]Code!M$8:M$33,MATCH('[8]$MRD-Annex'!$BG167,[8]Code!$G$8:$G$33,0)),"")</f>
        <v/>
      </c>
      <c r="Z156" s="288"/>
      <c r="AA156" s="287"/>
      <c r="AB156" s="287"/>
      <c r="AC156" s="287"/>
      <c r="AD156" s="289"/>
      <c r="AE156" s="86"/>
      <c r="AF156" s="82"/>
      <c r="AG156" s="82"/>
      <c r="AH156" s="82"/>
      <c r="AI156" s="83"/>
      <c r="AJ156" s="82"/>
      <c r="AK156" s="82"/>
      <c r="AL156" s="82"/>
      <c r="AM156" s="82"/>
      <c r="AN156" s="82"/>
      <c r="AO156" s="86"/>
      <c r="AP156" s="82"/>
      <c r="AQ156" s="82"/>
      <c r="AR156" s="82"/>
      <c r="AS156" s="83"/>
      <c r="AT156" s="86"/>
      <c r="AU156" s="82"/>
      <c r="AV156" s="82"/>
      <c r="AW156" s="82"/>
      <c r="AX156" s="83"/>
      <c r="AY156" s="88"/>
      <c r="AZ156" s="358"/>
      <c r="BA156" s="358"/>
      <c r="BB156" s="358"/>
      <c r="BC156" s="87"/>
      <c r="BD156" s="97"/>
      <c r="BE156" s="1282"/>
      <c r="BF156" s="1282"/>
      <c r="BG156" s="1282">
        <f>IFERROR(INDEX('[9]Annex 2'!$J$110:$J$127,MATCH('[9]Annex 5'!BD158,'[9]Annex 2'!$G$110:$G$127,0)),"")</f>
        <v>0</v>
      </c>
      <c r="BH156" s="1565" t="str">
        <f t="shared" si="254"/>
        <v>0</v>
      </c>
      <c r="BI156" s="97"/>
    </row>
    <row r="157" spans="1:61" hidden="1">
      <c r="A157" s="75"/>
      <c r="B157" s="76" t="s">
        <v>25</v>
      </c>
      <c r="C157" s="76" t="s">
        <v>303</v>
      </c>
      <c r="D157" s="78"/>
      <c r="E157" s="97"/>
      <c r="F157" s="294" t="s">
        <v>1050</v>
      </c>
      <c r="G157" s="95"/>
      <c r="H157" s="782" t="s">
        <v>174</v>
      </c>
      <c r="I157" s="784">
        <v>4184</v>
      </c>
      <c r="J157" s="1322"/>
      <c r="K157" s="788">
        <v>0</v>
      </c>
      <c r="L157" s="79">
        <v>0</v>
      </c>
      <c r="M157" s="79">
        <v>0</v>
      </c>
      <c r="N157" s="79">
        <v>0</v>
      </c>
      <c r="O157" s="764">
        <f t="shared" ref="O157:O177" si="281">SUM(K157:N157)</f>
        <v>0</v>
      </c>
      <c r="P157" s="281">
        <f>K157*$I$157/1000</f>
        <v>0</v>
      </c>
      <c r="Q157" s="281">
        <f>L157*$I$157/1000</f>
        <v>0</v>
      </c>
      <c r="R157" s="281">
        <f>M157*$I$157/1000</f>
        <v>0</v>
      </c>
      <c r="S157" s="281">
        <f>N157*$I$157/1000</f>
        <v>0</v>
      </c>
      <c r="T157" s="80">
        <f>SUM(P157:S157)</f>
        <v>0</v>
      </c>
      <c r="U157" s="812">
        <f>IFERROR(INDEX([8]Code!I$8:I$33,MATCH('[8]$MRD-Annex'!$BG168,[8]Code!$G$8:$G$33,0)),"")</f>
        <v>1</v>
      </c>
      <c r="V157" s="844">
        <f>IFERROR(INDEX([8]Code!J$8:J$33,MATCH('[8]$MRD-Annex'!$BG168,[8]Code!$G$8:$G$33,0)),"")</f>
        <v>0</v>
      </c>
      <c r="W157" s="844">
        <f>IFERROR(INDEX([8]Code!K$8:K$33,MATCH('[8]$MRD-Annex'!$BG168,[8]Code!$G$8:$G$33,0)),"")</f>
        <v>0</v>
      </c>
      <c r="X157" s="844">
        <f>IFERROR(INDEX([8]Code!L$8:L$33,MATCH('[8]$MRD-Annex'!$BG168,[8]Code!$G$8:$G$33,0)),"")</f>
        <v>0</v>
      </c>
      <c r="Y157" s="845">
        <f>IFERROR(INDEX([8]Code!M$8:M$33,MATCH('[8]$MRD-Annex'!$BG168,[8]Code!$G$8:$G$33,0)),"")</f>
        <v>0</v>
      </c>
      <c r="Z157" s="288">
        <f t="shared" ref="Z157:AC178" si="282">P157*$U157</f>
        <v>0</v>
      </c>
      <c r="AA157" s="287">
        <f t="shared" si="282"/>
        <v>0</v>
      </c>
      <c r="AB157" s="287">
        <f t="shared" si="282"/>
        <v>0</v>
      </c>
      <c r="AC157" s="287">
        <f t="shared" si="282"/>
        <v>0</v>
      </c>
      <c r="AD157" s="289">
        <f t="shared" ref="AD157:AD178" si="283">SUM(Z157:AC157)</f>
        <v>0</v>
      </c>
      <c r="AE157" s="288">
        <f t="shared" ref="AE157:AI178" si="284">P157*$V157</f>
        <v>0</v>
      </c>
      <c r="AF157" s="287">
        <f t="shared" si="284"/>
        <v>0</v>
      </c>
      <c r="AG157" s="287">
        <f t="shared" si="284"/>
        <v>0</v>
      </c>
      <c r="AH157" s="287">
        <f t="shared" si="284"/>
        <v>0</v>
      </c>
      <c r="AI157" s="289">
        <f t="shared" si="284"/>
        <v>0</v>
      </c>
      <c r="AJ157" s="287">
        <f t="shared" ref="AJ157:AM178" si="285">P157*$W157</f>
        <v>0</v>
      </c>
      <c r="AK157" s="287">
        <f t="shared" si="285"/>
        <v>0</v>
      </c>
      <c r="AL157" s="287">
        <f t="shared" si="285"/>
        <v>0</v>
      </c>
      <c r="AM157" s="287">
        <f t="shared" si="285"/>
        <v>0</v>
      </c>
      <c r="AN157" s="837">
        <f t="shared" ref="AN157:AN178" si="286">SUM(AJ157:AM157)</f>
        <v>0</v>
      </c>
      <c r="AO157" s="288">
        <f t="shared" ref="AO157:AR178" si="287">P157*$X157</f>
        <v>0</v>
      </c>
      <c r="AP157" s="287">
        <f t="shared" si="287"/>
        <v>0</v>
      </c>
      <c r="AQ157" s="287">
        <f t="shared" si="287"/>
        <v>0</v>
      </c>
      <c r="AR157" s="287">
        <f t="shared" si="287"/>
        <v>0</v>
      </c>
      <c r="AS157" s="152">
        <f t="shared" ref="AS157:AS178" si="288">SUM(AO157:AR157)</f>
        <v>0</v>
      </c>
      <c r="AT157" s="288">
        <f t="shared" ref="AT157:AW178" si="289">P157*$Y157</f>
        <v>0</v>
      </c>
      <c r="AU157" s="287">
        <f t="shared" si="289"/>
        <v>0</v>
      </c>
      <c r="AV157" s="287">
        <f t="shared" si="289"/>
        <v>0</v>
      </c>
      <c r="AW157" s="287">
        <f t="shared" si="289"/>
        <v>0</v>
      </c>
      <c r="AX157" s="152">
        <f t="shared" ref="AX157:AX178" si="290">SUM(AT157:AW157)</f>
        <v>0</v>
      </c>
      <c r="AY157" s="88">
        <f t="shared" ref="AY157:AY178" si="291">SUM($T157*U157)</f>
        <v>0</v>
      </c>
      <c r="AZ157" s="358">
        <f t="shared" ref="AZ157:BC178" si="292">SUM($T157*V157)</f>
        <v>0</v>
      </c>
      <c r="BA157" s="358">
        <f t="shared" si="292"/>
        <v>0</v>
      </c>
      <c r="BB157" s="358">
        <f t="shared" si="292"/>
        <v>0</v>
      </c>
      <c r="BC157" s="80">
        <f t="shared" si="292"/>
        <v>0</v>
      </c>
      <c r="BD157" s="97"/>
      <c r="BE157" s="1282" t="s">
        <v>366</v>
      </c>
      <c r="BF157" s="1282" t="s">
        <v>400</v>
      </c>
      <c r="BG157" s="1282" t="str">
        <f>IFERROR(INDEX('[9]Annex 2'!$J$110:$J$127,MATCH('[9]Annex 5'!BD159,'[9]Annex 2'!$G$110:$G$127,0)),"")</f>
        <v>MRD</v>
      </c>
      <c r="BH157" s="1565" t="str">
        <f t="shared" si="254"/>
        <v>MRD</v>
      </c>
      <c r="BI157" s="97"/>
    </row>
    <row r="158" spans="1:61" hidden="1">
      <c r="A158" s="75"/>
      <c r="B158" s="76" t="s">
        <v>25</v>
      </c>
      <c r="C158" s="76" t="s">
        <v>303</v>
      </c>
      <c r="D158" s="78"/>
      <c r="E158" s="97"/>
      <c r="F158" s="294" t="s">
        <v>1051</v>
      </c>
      <c r="G158" s="95"/>
      <c r="H158" s="782" t="s">
        <v>174</v>
      </c>
      <c r="I158" s="784">
        <v>4184</v>
      </c>
      <c r="J158" s="1322"/>
      <c r="K158" s="788">
        <v>0</v>
      </c>
      <c r="L158" s="79">
        <v>0</v>
      </c>
      <c r="M158" s="79">
        <v>0</v>
      </c>
      <c r="N158" s="79">
        <v>0</v>
      </c>
      <c r="O158" s="764">
        <f t="shared" si="281"/>
        <v>0</v>
      </c>
      <c r="P158" s="281">
        <f>K158*$I$158/1000</f>
        <v>0</v>
      </c>
      <c r="Q158" s="281">
        <f>L158*$I$158/1000</f>
        <v>0</v>
      </c>
      <c r="R158" s="281">
        <f>M158*$I$158/1000</f>
        <v>0</v>
      </c>
      <c r="S158" s="281">
        <f>N158*$I$158/1000</f>
        <v>0</v>
      </c>
      <c r="T158" s="80">
        <f t="shared" ref="T158:T177" si="293">SUM(P158:S158)</f>
        <v>0</v>
      </c>
      <c r="U158" s="812">
        <f>IFERROR(INDEX([8]Code!I$8:I$33,MATCH('[8]$MRD-Annex'!$BG169,[8]Code!$G$8:$G$33,0)),"")</f>
        <v>1</v>
      </c>
      <c r="V158" s="844">
        <f>IFERROR(INDEX([8]Code!J$8:J$33,MATCH('[8]$MRD-Annex'!$BG169,[8]Code!$G$8:$G$33,0)),"")</f>
        <v>0</v>
      </c>
      <c r="W158" s="844">
        <f>IFERROR(INDEX([8]Code!K$8:K$33,MATCH('[8]$MRD-Annex'!$BG169,[8]Code!$G$8:$G$33,0)),"")</f>
        <v>0</v>
      </c>
      <c r="X158" s="844">
        <f>IFERROR(INDEX([8]Code!L$8:L$33,MATCH('[8]$MRD-Annex'!$BG169,[8]Code!$G$8:$G$33,0)),"")</f>
        <v>0</v>
      </c>
      <c r="Y158" s="845">
        <f>IFERROR(INDEX([8]Code!M$8:M$33,MATCH('[8]$MRD-Annex'!$BG169,[8]Code!$G$8:$G$33,0)),"")</f>
        <v>0</v>
      </c>
      <c r="Z158" s="288">
        <f t="shared" si="282"/>
        <v>0</v>
      </c>
      <c r="AA158" s="287">
        <f t="shared" si="282"/>
        <v>0</v>
      </c>
      <c r="AB158" s="287">
        <f t="shared" si="282"/>
        <v>0</v>
      </c>
      <c r="AC158" s="287">
        <f t="shared" si="282"/>
        <v>0</v>
      </c>
      <c r="AD158" s="289">
        <f t="shared" si="283"/>
        <v>0</v>
      </c>
      <c r="AE158" s="288">
        <f t="shared" si="284"/>
        <v>0</v>
      </c>
      <c r="AF158" s="287">
        <f t="shared" si="284"/>
        <v>0</v>
      </c>
      <c r="AG158" s="287">
        <f t="shared" si="284"/>
        <v>0</v>
      </c>
      <c r="AH158" s="287">
        <f t="shared" si="284"/>
        <v>0</v>
      </c>
      <c r="AI158" s="289">
        <f t="shared" si="284"/>
        <v>0</v>
      </c>
      <c r="AJ158" s="287">
        <f t="shared" si="285"/>
        <v>0</v>
      </c>
      <c r="AK158" s="287">
        <f t="shared" si="285"/>
        <v>0</v>
      </c>
      <c r="AL158" s="287">
        <f t="shared" si="285"/>
        <v>0</v>
      </c>
      <c r="AM158" s="287">
        <f t="shared" si="285"/>
        <v>0</v>
      </c>
      <c r="AN158" s="837">
        <f t="shared" si="286"/>
        <v>0</v>
      </c>
      <c r="AO158" s="288">
        <f t="shared" si="287"/>
        <v>0</v>
      </c>
      <c r="AP158" s="287">
        <f t="shared" si="287"/>
        <v>0</v>
      </c>
      <c r="AQ158" s="287">
        <f t="shared" si="287"/>
        <v>0</v>
      </c>
      <c r="AR158" s="287">
        <f t="shared" si="287"/>
        <v>0</v>
      </c>
      <c r="AS158" s="152">
        <f t="shared" si="288"/>
        <v>0</v>
      </c>
      <c r="AT158" s="288">
        <f t="shared" si="289"/>
        <v>0</v>
      </c>
      <c r="AU158" s="287">
        <f t="shared" si="289"/>
        <v>0</v>
      </c>
      <c r="AV158" s="287">
        <f t="shared" si="289"/>
        <v>0</v>
      </c>
      <c r="AW158" s="287">
        <f t="shared" si="289"/>
        <v>0</v>
      </c>
      <c r="AX158" s="152">
        <f t="shared" si="290"/>
        <v>0</v>
      </c>
      <c r="AY158" s="88">
        <f t="shared" si="291"/>
        <v>0</v>
      </c>
      <c r="AZ158" s="358">
        <f t="shared" si="292"/>
        <v>0</v>
      </c>
      <c r="BA158" s="358">
        <f t="shared" si="292"/>
        <v>0</v>
      </c>
      <c r="BB158" s="358">
        <f t="shared" si="292"/>
        <v>0</v>
      </c>
      <c r="BC158" s="80">
        <f t="shared" si="292"/>
        <v>0</v>
      </c>
      <c r="BD158" s="97"/>
      <c r="BE158" s="1282" t="s">
        <v>366</v>
      </c>
      <c r="BF158" s="1282" t="s">
        <v>400</v>
      </c>
      <c r="BG158" s="1282" t="str">
        <f>IFERROR(INDEX('[9]Annex 2'!$J$110:$J$127,MATCH('[9]Annex 5'!BD160,'[9]Annex 2'!$G$110:$G$127,0)),"")</f>
        <v>MRD</v>
      </c>
      <c r="BH158" s="1565" t="str">
        <f t="shared" si="254"/>
        <v>MRD</v>
      </c>
      <c r="BI158" s="97"/>
    </row>
    <row r="159" spans="1:61" hidden="1">
      <c r="A159" s="75"/>
      <c r="B159" s="76" t="s">
        <v>25</v>
      </c>
      <c r="C159" s="76" t="s">
        <v>303</v>
      </c>
      <c r="D159" s="78"/>
      <c r="E159" s="97"/>
      <c r="F159" s="294" t="s">
        <v>1052</v>
      </c>
      <c r="G159" s="95"/>
      <c r="H159" s="782" t="s">
        <v>174</v>
      </c>
      <c r="I159" s="784">
        <v>4184</v>
      </c>
      <c r="J159" s="1322"/>
      <c r="K159" s="788">
        <v>0</v>
      </c>
      <c r="L159" s="79">
        <v>0</v>
      </c>
      <c r="M159" s="79">
        <v>0</v>
      </c>
      <c r="N159" s="79">
        <v>0</v>
      </c>
      <c r="O159" s="764">
        <f t="shared" si="281"/>
        <v>0</v>
      </c>
      <c r="P159" s="281">
        <f>K159*$I$159/1000</f>
        <v>0</v>
      </c>
      <c r="Q159" s="281">
        <f>L159*$I$159/1000</f>
        <v>0</v>
      </c>
      <c r="R159" s="281">
        <f>M159*$I$159/1000</f>
        <v>0</v>
      </c>
      <c r="S159" s="281">
        <f>N159*$I$159/1000</f>
        <v>0</v>
      </c>
      <c r="T159" s="80">
        <f t="shared" si="293"/>
        <v>0</v>
      </c>
      <c r="U159" s="812">
        <f>IFERROR(INDEX([8]Code!I$8:I$33,MATCH('[8]$MRD-Annex'!$BG170,[8]Code!$G$8:$G$33,0)),"")</f>
        <v>1</v>
      </c>
      <c r="V159" s="844">
        <f>IFERROR(INDEX([8]Code!J$8:J$33,MATCH('[8]$MRD-Annex'!$BG170,[8]Code!$G$8:$G$33,0)),"")</f>
        <v>0</v>
      </c>
      <c r="W159" s="844">
        <f>IFERROR(INDEX([8]Code!K$8:K$33,MATCH('[8]$MRD-Annex'!$BG170,[8]Code!$G$8:$G$33,0)),"")</f>
        <v>0</v>
      </c>
      <c r="X159" s="844">
        <f>IFERROR(INDEX([8]Code!L$8:L$33,MATCH('[8]$MRD-Annex'!$BG170,[8]Code!$G$8:$G$33,0)),"")</f>
        <v>0</v>
      </c>
      <c r="Y159" s="845">
        <f>IFERROR(INDEX([8]Code!M$8:M$33,MATCH('[8]$MRD-Annex'!$BG170,[8]Code!$G$8:$G$33,0)),"")</f>
        <v>0</v>
      </c>
      <c r="Z159" s="288">
        <f t="shared" si="282"/>
        <v>0</v>
      </c>
      <c r="AA159" s="287">
        <f t="shared" si="282"/>
        <v>0</v>
      </c>
      <c r="AB159" s="287">
        <f t="shared" si="282"/>
        <v>0</v>
      </c>
      <c r="AC159" s="287">
        <f t="shared" si="282"/>
        <v>0</v>
      </c>
      <c r="AD159" s="289">
        <f t="shared" si="283"/>
        <v>0</v>
      </c>
      <c r="AE159" s="288">
        <f t="shared" si="284"/>
        <v>0</v>
      </c>
      <c r="AF159" s="287">
        <f t="shared" si="284"/>
        <v>0</v>
      </c>
      <c r="AG159" s="287">
        <f t="shared" si="284"/>
        <v>0</v>
      </c>
      <c r="AH159" s="287">
        <f t="shared" si="284"/>
        <v>0</v>
      </c>
      <c r="AI159" s="289">
        <f t="shared" si="284"/>
        <v>0</v>
      </c>
      <c r="AJ159" s="287">
        <f t="shared" si="285"/>
        <v>0</v>
      </c>
      <c r="AK159" s="287">
        <f t="shared" si="285"/>
        <v>0</v>
      </c>
      <c r="AL159" s="287">
        <f t="shared" si="285"/>
        <v>0</v>
      </c>
      <c r="AM159" s="287">
        <f t="shared" si="285"/>
        <v>0</v>
      </c>
      <c r="AN159" s="837">
        <f t="shared" si="286"/>
        <v>0</v>
      </c>
      <c r="AO159" s="288">
        <f t="shared" si="287"/>
        <v>0</v>
      </c>
      <c r="AP159" s="287">
        <f t="shared" si="287"/>
        <v>0</v>
      </c>
      <c r="AQ159" s="287">
        <f t="shared" si="287"/>
        <v>0</v>
      </c>
      <c r="AR159" s="287">
        <f t="shared" si="287"/>
        <v>0</v>
      </c>
      <c r="AS159" s="152">
        <f t="shared" si="288"/>
        <v>0</v>
      </c>
      <c r="AT159" s="288">
        <f t="shared" si="289"/>
        <v>0</v>
      </c>
      <c r="AU159" s="287">
        <f t="shared" si="289"/>
        <v>0</v>
      </c>
      <c r="AV159" s="287">
        <f t="shared" si="289"/>
        <v>0</v>
      </c>
      <c r="AW159" s="287">
        <f t="shared" si="289"/>
        <v>0</v>
      </c>
      <c r="AX159" s="152">
        <f t="shared" si="290"/>
        <v>0</v>
      </c>
      <c r="AY159" s="88">
        <f t="shared" si="291"/>
        <v>0</v>
      </c>
      <c r="AZ159" s="358">
        <f t="shared" si="292"/>
        <v>0</v>
      </c>
      <c r="BA159" s="358">
        <f t="shared" si="292"/>
        <v>0</v>
      </c>
      <c r="BB159" s="358">
        <f t="shared" si="292"/>
        <v>0</v>
      </c>
      <c r="BC159" s="80">
        <f t="shared" si="292"/>
        <v>0</v>
      </c>
      <c r="BD159" s="97"/>
      <c r="BE159" s="1282" t="s">
        <v>366</v>
      </c>
      <c r="BF159" s="1282" t="s">
        <v>400</v>
      </c>
      <c r="BG159" s="1282" t="str">
        <f>IFERROR(INDEX('[9]Annex 2'!$J$110:$J$127,MATCH('[9]Annex 5'!BD161,'[9]Annex 2'!$G$110:$G$127,0)),"")</f>
        <v>MRD</v>
      </c>
      <c r="BH159" s="1565" t="str">
        <f t="shared" si="254"/>
        <v>MRD</v>
      </c>
      <c r="BI159" s="97"/>
    </row>
    <row r="160" spans="1:61" hidden="1">
      <c r="A160" s="75"/>
      <c r="B160" s="76" t="s">
        <v>25</v>
      </c>
      <c r="C160" s="76" t="s">
        <v>303</v>
      </c>
      <c r="D160" s="78"/>
      <c r="E160" s="97"/>
      <c r="F160" s="294" t="s">
        <v>1053</v>
      </c>
      <c r="G160" s="95"/>
      <c r="H160" s="782" t="s">
        <v>174</v>
      </c>
      <c r="I160" s="784">
        <v>2785</v>
      </c>
      <c r="J160" s="1322"/>
      <c r="K160" s="788">
        <v>0</v>
      </c>
      <c r="L160" s="79">
        <v>0</v>
      </c>
      <c r="M160" s="79">
        <v>0</v>
      </c>
      <c r="N160" s="79">
        <v>0</v>
      </c>
      <c r="O160" s="764">
        <f t="shared" si="281"/>
        <v>0</v>
      </c>
      <c r="P160" s="281">
        <f>K160*$I$160/1000</f>
        <v>0</v>
      </c>
      <c r="Q160" s="281">
        <f>L160*$I$160/1000</f>
        <v>0</v>
      </c>
      <c r="R160" s="281">
        <f>M160*$I$160/1000</f>
        <v>0</v>
      </c>
      <c r="S160" s="281">
        <f>N160*$I$160/1000</f>
        <v>0</v>
      </c>
      <c r="T160" s="80">
        <f t="shared" si="293"/>
        <v>0</v>
      </c>
      <c r="U160" s="812">
        <f>IFERROR(INDEX([8]Code!I$8:I$33,MATCH('[8]$MRD-Annex'!$BG171,[8]Code!$G$8:$G$33,0)),"")</f>
        <v>1</v>
      </c>
      <c r="V160" s="844">
        <f>IFERROR(INDEX([8]Code!J$8:J$33,MATCH('[8]$MRD-Annex'!$BG171,[8]Code!$G$8:$G$33,0)),"")</f>
        <v>0</v>
      </c>
      <c r="W160" s="844">
        <f>IFERROR(INDEX([8]Code!K$8:K$33,MATCH('[8]$MRD-Annex'!$BG171,[8]Code!$G$8:$G$33,0)),"")</f>
        <v>0</v>
      </c>
      <c r="X160" s="844">
        <f>IFERROR(INDEX([8]Code!L$8:L$33,MATCH('[8]$MRD-Annex'!$BG171,[8]Code!$G$8:$G$33,0)),"")</f>
        <v>0</v>
      </c>
      <c r="Y160" s="845">
        <f>IFERROR(INDEX([8]Code!M$8:M$33,MATCH('[8]$MRD-Annex'!$BG171,[8]Code!$G$8:$G$33,0)),"")</f>
        <v>0</v>
      </c>
      <c r="Z160" s="288">
        <f t="shared" si="282"/>
        <v>0</v>
      </c>
      <c r="AA160" s="287">
        <f t="shared" si="282"/>
        <v>0</v>
      </c>
      <c r="AB160" s="287">
        <f t="shared" si="282"/>
        <v>0</v>
      </c>
      <c r="AC160" s="287">
        <f t="shared" si="282"/>
        <v>0</v>
      </c>
      <c r="AD160" s="289">
        <f t="shared" si="283"/>
        <v>0</v>
      </c>
      <c r="AE160" s="288">
        <f t="shared" si="284"/>
        <v>0</v>
      </c>
      <c r="AF160" s="287">
        <f t="shared" si="284"/>
        <v>0</v>
      </c>
      <c r="AG160" s="287">
        <f t="shared" si="284"/>
        <v>0</v>
      </c>
      <c r="AH160" s="287">
        <f t="shared" si="284"/>
        <v>0</v>
      </c>
      <c r="AI160" s="289">
        <f t="shared" si="284"/>
        <v>0</v>
      </c>
      <c r="AJ160" s="287">
        <f t="shared" si="285"/>
        <v>0</v>
      </c>
      <c r="AK160" s="287">
        <f t="shared" si="285"/>
        <v>0</v>
      </c>
      <c r="AL160" s="287">
        <f t="shared" si="285"/>
        <v>0</v>
      </c>
      <c r="AM160" s="287">
        <f t="shared" si="285"/>
        <v>0</v>
      </c>
      <c r="AN160" s="837">
        <f t="shared" si="286"/>
        <v>0</v>
      </c>
      <c r="AO160" s="288">
        <f t="shared" si="287"/>
        <v>0</v>
      </c>
      <c r="AP160" s="287">
        <f t="shared" si="287"/>
        <v>0</v>
      </c>
      <c r="AQ160" s="287">
        <f t="shared" si="287"/>
        <v>0</v>
      </c>
      <c r="AR160" s="287">
        <f t="shared" si="287"/>
        <v>0</v>
      </c>
      <c r="AS160" s="152">
        <f t="shared" si="288"/>
        <v>0</v>
      </c>
      <c r="AT160" s="288">
        <f t="shared" si="289"/>
        <v>0</v>
      </c>
      <c r="AU160" s="287">
        <f t="shared" si="289"/>
        <v>0</v>
      </c>
      <c r="AV160" s="287">
        <f t="shared" si="289"/>
        <v>0</v>
      </c>
      <c r="AW160" s="287">
        <f t="shared" si="289"/>
        <v>0</v>
      </c>
      <c r="AX160" s="152">
        <f t="shared" si="290"/>
        <v>0</v>
      </c>
      <c r="AY160" s="88">
        <f t="shared" si="291"/>
        <v>0</v>
      </c>
      <c r="AZ160" s="358">
        <f t="shared" si="292"/>
        <v>0</v>
      </c>
      <c r="BA160" s="358">
        <f t="shared" si="292"/>
        <v>0</v>
      </c>
      <c r="BB160" s="358">
        <f t="shared" si="292"/>
        <v>0</v>
      </c>
      <c r="BC160" s="80">
        <f t="shared" si="292"/>
        <v>0</v>
      </c>
      <c r="BD160" s="97"/>
      <c r="BE160" s="1282" t="s">
        <v>366</v>
      </c>
      <c r="BF160" s="1282" t="s">
        <v>400</v>
      </c>
      <c r="BG160" s="1282" t="str">
        <f>IFERROR(INDEX('[9]Annex 2'!$J$110:$J$127,MATCH('[9]Annex 5'!BD162,'[9]Annex 2'!$G$110:$G$127,0)),"")</f>
        <v>MRD</v>
      </c>
      <c r="BH160" s="1565" t="str">
        <f t="shared" si="254"/>
        <v>MRD</v>
      </c>
      <c r="BI160" s="97"/>
    </row>
    <row r="161" spans="1:61" hidden="1">
      <c r="A161" s="75"/>
      <c r="B161" s="76" t="s">
        <v>25</v>
      </c>
      <c r="C161" s="76" t="s">
        <v>303</v>
      </c>
      <c r="D161" s="78"/>
      <c r="E161" s="97"/>
      <c r="F161" s="294" t="s">
        <v>1054</v>
      </c>
      <c r="G161" s="95"/>
      <c r="H161" s="782" t="s">
        <v>174</v>
      </c>
      <c r="I161" s="784">
        <v>2785</v>
      </c>
      <c r="J161" s="1322"/>
      <c r="K161" s="788">
        <v>0</v>
      </c>
      <c r="L161" s="79">
        <v>0</v>
      </c>
      <c r="M161" s="79">
        <v>0</v>
      </c>
      <c r="N161" s="79">
        <v>0</v>
      </c>
      <c r="O161" s="764">
        <f t="shared" si="281"/>
        <v>0</v>
      </c>
      <c r="P161" s="281">
        <f>K161*$I$161/1000</f>
        <v>0</v>
      </c>
      <c r="Q161" s="281">
        <f>L161*$I$161/1000</f>
        <v>0</v>
      </c>
      <c r="R161" s="281">
        <f>M161*$I$161/1000</f>
        <v>0</v>
      </c>
      <c r="S161" s="281">
        <f>N161*$I$161/1000</f>
        <v>0</v>
      </c>
      <c r="T161" s="80">
        <f t="shared" si="293"/>
        <v>0</v>
      </c>
      <c r="U161" s="812">
        <f>IFERROR(INDEX([8]Code!I$8:I$33,MATCH('[8]$MRD-Annex'!$BG172,[8]Code!$G$8:$G$33,0)),"")</f>
        <v>1</v>
      </c>
      <c r="V161" s="844">
        <f>IFERROR(INDEX([8]Code!J$8:J$33,MATCH('[8]$MRD-Annex'!$BG172,[8]Code!$G$8:$G$33,0)),"")</f>
        <v>0</v>
      </c>
      <c r="W161" s="844">
        <f>IFERROR(INDEX([8]Code!K$8:K$33,MATCH('[8]$MRD-Annex'!$BG172,[8]Code!$G$8:$G$33,0)),"")</f>
        <v>0</v>
      </c>
      <c r="X161" s="844">
        <f>IFERROR(INDEX([8]Code!L$8:L$33,MATCH('[8]$MRD-Annex'!$BG172,[8]Code!$G$8:$G$33,0)),"")</f>
        <v>0</v>
      </c>
      <c r="Y161" s="845">
        <f>IFERROR(INDEX([8]Code!M$8:M$33,MATCH('[8]$MRD-Annex'!$BG172,[8]Code!$G$8:$G$33,0)),"")</f>
        <v>0</v>
      </c>
      <c r="Z161" s="288">
        <f t="shared" si="282"/>
        <v>0</v>
      </c>
      <c r="AA161" s="287">
        <f t="shared" si="282"/>
        <v>0</v>
      </c>
      <c r="AB161" s="287">
        <f t="shared" si="282"/>
        <v>0</v>
      </c>
      <c r="AC161" s="287">
        <f t="shared" si="282"/>
        <v>0</v>
      </c>
      <c r="AD161" s="289">
        <f t="shared" si="283"/>
        <v>0</v>
      </c>
      <c r="AE161" s="288">
        <f t="shared" si="284"/>
        <v>0</v>
      </c>
      <c r="AF161" s="287">
        <f t="shared" si="284"/>
        <v>0</v>
      </c>
      <c r="AG161" s="287">
        <f t="shared" si="284"/>
        <v>0</v>
      </c>
      <c r="AH161" s="287">
        <f t="shared" si="284"/>
        <v>0</v>
      </c>
      <c r="AI161" s="289">
        <f t="shared" si="284"/>
        <v>0</v>
      </c>
      <c r="AJ161" s="287">
        <f t="shared" si="285"/>
        <v>0</v>
      </c>
      <c r="AK161" s="287">
        <f t="shared" si="285"/>
        <v>0</v>
      </c>
      <c r="AL161" s="287">
        <f t="shared" si="285"/>
        <v>0</v>
      </c>
      <c r="AM161" s="287">
        <f t="shared" si="285"/>
        <v>0</v>
      </c>
      <c r="AN161" s="837">
        <f t="shared" si="286"/>
        <v>0</v>
      </c>
      <c r="AO161" s="288">
        <f t="shared" si="287"/>
        <v>0</v>
      </c>
      <c r="AP161" s="287">
        <f t="shared" si="287"/>
        <v>0</v>
      </c>
      <c r="AQ161" s="287">
        <f t="shared" si="287"/>
        <v>0</v>
      </c>
      <c r="AR161" s="287">
        <f t="shared" si="287"/>
        <v>0</v>
      </c>
      <c r="AS161" s="152">
        <f t="shared" si="288"/>
        <v>0</v>
      </c>
      <c r="AT161" s="288">
        <f t="shared" si="289"/>
        <v>0</v>
      </c>
      <c r="AU161" s="287">
        <f t="shared" si="289"/>
        <v>0</v>
      </c>
      <c r="AV161" s="287">
        <f t="shared" si="289"/>
        <v>0</v>
      </c>
      <c r="AW161" s="287">
        <f t="shared" si="289"/>
        <v>0</v>
      </c>
      <c r="AX161" s="152">
        <f t="shared" si="290"/>
        <v>0</v>
      </c>
      <c r="AY161" s="88">
        <f t="shared" si="291"/>
        <v>0</v>
      </c>
      <c r="AZ161" s="358">
        <f t="shared" si="292"/>
        <v>0</v>
      </c>
      <c r="BA161" s="358">
        <f t="shared" si="292"/>
        <v>0</v>
      </c>
      <c r="BB161" s="358">
        <f t="shared" si="292"/>
        <v>0</v>
      </c>
      <c r="BC161" s="80">
        <f t="shared" si="292"/>
        <v>0</v>
      </c>
      <c r="BD161" s="97"/>
      <c r="BE161" s="1282" t="s">
        <v>366</v>
      </c>
      <c r="BF161" s="1282" t="s">
        <v>400</v>
      </c>
      <c r="BG161" s="1282" t="str">
        <f>IFERROR(INDEX('[9]Annex 2'!$J$110:$J$127,MATCH('[9]Annex 5'!BD163,'[9]Annex 2'!$G$110:$G$127,0)),"")</f>
        <v>MRD</v>
      </c>
      <c r="BH161" s="1565" t="str">
        <f t="shared" si="254"/>
        <v>MRD</v>
      </c>
      <c r="BI161" s="97"/>
    </row>
    <row r="162" spans="1:61" hidden="1">
      <c r="A162" s="75"/>
      <c r="B162" s="76" t="s">
        <v>25</v>
      </c>
      <c r="C162" s="76" t="s">
        <v>303</v>
      </c>
      <c r="D162" s="78"/>
      <c r="E162" s="97"/>
      <c r="F162" s="294" t="s">
        <v>1055</v>
      </c>
      <c r="G162" s="95"/>
      <c r="H162" s="782" t="s">
        <v>174</v>
      </c>
      <c r="I162" s="784">
        <v>2785</v>
      </c>
      <c r="J162" s="1322"/>
      <c r="K162" s="788">
        <v>0</v>
      </c>
      <c r="L162" s="79">
        <v>0</v>
      </c>
      <c r="M162" s="79">
        <v>0</v>
      </c>
      <c r="N162" s="79">
        <v>0</v>
      </c>
      <c r="O162" s="764">
        <f t="shared" si="281"/>
        <v>0</v>
      </c>
      <c r="P162" s="281">
        <f>K162*$I$162/1000</f>
        <v>0</v>
      </c>
      <c r="Q162" s="281">
        <f>L162*$I$162/1000</f>
        <v>0</v>
      </c>
      <c r="R162" s="281">
        <f>M162*$I$162/1000</f>
        <v>0</v>
      </c>
      <c r="S162" s="281">
        <f>N162*$I$162/1000</f>
        <v>0</v>
      </c>
      <c r="T162" s="80">
        <f t="shared" si="293"/>
        <v>0</v>
      </c>
      <c r="U162" s="812">
        <f>IFERROR(INDEX([8]Code!I$8:I$33,MATCH('[8]$MRD-Annex'!$BG173,[8]Code!$G$8:$G$33,0)),"")</f>
        <v>1</v>
      </c>
      <c r="V162" s="844">
        <f>IFERROR(INDEX([8]Code!J$8:J$33,MATCH('[8]$MRD-Annex'!$BG173,[8]Code!$G$8:$G$33,0)),"")</f>
        <v>0</v>
      </c>
      <c r="W162" s="844">
        <f>IFERROR(INDEX([8]Code!K$8:K$33,MATCH('[8]$MRD-Annex'!$BG173,[8]Code!$G$8:$G$33,0)),"")</f>
        <v>0</v>
      </c>
      <c r="X162" s="844">
        <f>IFERROR(INDEX([8]Code!L$8:L$33,MATCH('[8]$MRD-Annex'!$BG173,[8]Code!$G$8:$G$33,0)),"")</f>
        <v>0</v>
      </c>
      <c r="Y162" s="845">
        <f>IFERROR(INDEX([8]Code!M$8:M$33,MATCH('[8]$MRD-Annex'!$BG173,[8]Code!$G$8:$G$33,0)),"")</f>
        <v>0</v>
      </c>
      <c r="Z162" s="288">
        <f t="shared" si="282"/>
        <v>0</v>
      </c>
      <c r="AA162" s="287">
        <f t="shared" si="282"/>
        <v>0</v>
      </c>
      <c r="AB162" s="287">
        <f t="shared" si="282"/>
        <v>0</v>
      </c>
      <c r="AC162" s="287">
        <f t="shared" si="282"/>
        <v>0</v>
      </c>
      <c r="AD162" s="289">
        <f t="shared" si="283"/>
        <v>0</v>
      </c>
      <c r="AE162" s="288">
        <f t="shared" si="284"/>
        <v>0</v>
      </c>
      <c r="AF162" s="287">
        <f t="shared" si="284"/>
        <v>0</v>
      </c>
      <c r="AG162" s="287">
        <f t="shared" si="284"/>
        <v>0</v>
      </c>
      <c r="AH162" s="287">
        <f t="shared" si="284"/>
        <v>0</v>
      </c>
      <c r="AI162" s="289">
        <f t="shared" si="284"/>
        <v>0</v>
      </c>
      <c r="AJ162" s="287">
        <f t="shared" si="285"/>
        <v>0</v>
      </c>
      <c r="AK162" s="287">
        <f t="shared" si="285"/>
        <v>0</v>
      </c>
      <c r="AL162" s="287">
        <f t="shared" si="285"/>
        <v>0</v>
      </c>
      <c r="AM162" s="287">
        <f t="shared" si="285"/>
        <v>0</v>
      </c>
      <c r="AN162" s="837">
        <f t="shared" si="286"/>
        <v>0</v>
      </c>
      <c r="AO162" s="288">
        <f t="shared" si="287"/>
        <v>0</v>
      </c>
      <c r="AP162" s="287">
        <f t="shared" si="287"/>
        <v>0</v>
      </c>
      <c r="AQ162" s="287">
        <f t="shared" si="287"/>
        <v>0</v>
      </c>
      <c r="AR162" s="287">
        <f t="shared" si="287"/>
        <v>0</v>
      </c>
      <c r="AS162" s="152">
        <f t="shared" si="288"/>
        <v>0</v>
      </c>
      <c r="AT162" s="288">
        <f t="shared" si="289"/>
        <v>0</v>
      </c>
      <c r="AU162" s="287">
        <f t="shared" si="289"/>
        <v>0</v>
      </c>
      <c r="AV162" s="287">
        <f t="shared" si="289"/>
        <v>0</v>
      </c>
      <c r="AW162" s="287">
        <f t="shared" si="289"/>
        <v>0</v>
      </c>
      <c r="AX162" s="152">
        <f t="shared" si="290"/>
        <v>0</v>
      </c>
      <c r="AY162" s="88">
        <f t="shared" si="291"/>
        <v>0</v>
      </c>
      <c r="AZ162" s="358">
        <f t="shared" si="292"/>
        <v>0</v>
      </c>
      <c r="BA162" s="358">
        <f t="shared" si="292"/>
        <v>0</v>
      </c>
      <c r="BB162" s="358">
        <f t="shared" si="292"/>
        <v>0</v>
      </c>
      <c r="BC162" s="80">
        <f t="shared" si="292"/>
        <v>0</v>
      </c>
      <c r="BD162" s="97"/>
      <c r="BE162" s="1282" t="s">
        <v>366</v>
      </c>
      <c r="BF162" s="1282" t="s">
        <v>400</v>
      </c>
      <c r="BG162" s="1282" t="str">
        <f>IFERROR(INDEX('[9]Annex 2'!$J$110:$J$127,MATCH('[9]Annex 5'!BD164,'[9]Annex 2'!$G$110:$G$127,0)),"")</f>
        <v>MRD</v>
      </c>
      <c r="BH162" s="1565" t="str">
        <f t="shared" si="254"/>
        <v>MRD</v>
      </c>
      <c r="BI162" s="97"/>
    </row>
    <row r="163" spans="1:61" hidden="1">
      <c r="A163" s="75"/>
      <c r="B163" s="76" t="s">
        <v>25</v>
      </c>
      <c r="C163" s="76" t="s">
        <v>303</v>
      </c>
      <c r="D163" s="78"/>
      <c r="E163" s="97"/>
      <c r="F163" s="294" t="s">
        <v>1056</v>
      </c>
      <c r="G163" s="95"/>
      <c r="H163" s="782" t="s">
        <v>174</v>
      </c>
      <c r="I163" s="784">
        <v>2785</v>
      </c>
      <c r="J163" s="1322"/>
      <c r="K163" s="788">
        <v>0</v>
      </c>
      <c r="L163" s="79">
        <v>0</v>
      </c>
      <c r="M163" s="79">
        <v>0</v>
      </c>
      <c r="N163" s="79">
        <v>0</v>
      </c>
      <c r="O163" s="764">
        <f t="shared" si="281"/>
        <v>0</v>
      </c>
      <c r="P163" s="281">
        <f>K163*$I$163/1000</f>
        <v>0</v>
      </c>
      <c r="Q163" s="281">
        <f>L163*$I$163/1000</f>
        <v>0</v>
      </c>
      <c r="R163" s="281">
        <f>M163*$I$163/1000</f>
        <v>0</v>
      </c>
      <c r="S163" s="281">
        <f>N163*$I$163/1000</f>
        <v>0</v>
      </c>
      <c r="T163" s="80">
        <f t="shared" si="293"/>
        <v>0</v>
      </c>
      <c r="U163" s="812">
        <f>IFERROR(INDEX([8]Code!I$8:I$33,MATCH('[8]$MRD-Annex'!$BG174,[8]Code!$G$8:$G$33,0)),"")</f>
        <v>1</v>
      </c>
      <c r="V163" s="844">
        <f>IFERROR(INDEX([8]Code!J$8:J$33,MATCH('[8]$MRD-Annex'!$BG174,[8]Code!$G$8:$G$33,0)),"")</f>
        <v>0</v>
      </c>
      <c r="W163" s="844">
        <f>IFERROR(INDEX([8]Code!K$8:K$33,MATCH('[8]$MRD-Annex'!$BG174,[8]Code!$G$8:$G$33,0)),"")</f>
        <v>0</v>
      </c>
      <c r="X163" s="844">
        <f>IFERROR(INDEX([8]Code!L$8:L$33,MATCH('[8]$MRD-Annex'!$BG174,[8]Code!$G$8:$G$33,0)),"")</f>
        <v>0</v>
      </c>
      <c r="Y163" s="845">
        <f>IFERROR(INDEX([8]Code!M$8:M$33,MATCH('[8]$MRD-Annex'!$BG174,[8]Code!$G$8:$G$33,0)),"")</f>
        <v>0</v>
      </c>
      <c r="Z163" s="288">
        <f t="shared" si="282"/>
        <v>0</v>
      </c>
      <c r="AA163" s="287">
        <f t="shared" si="282"/>
        <v>0</v>
      </c>
      <c r="AB163" s="287">
        <f t="shared" si="282"/>
        <v>0</v>
      </c>
      <c r="AC163" s="287">
        <f t="shared" si="282"/>
        <v>0</v>
      </c>
      <c r="AD163" s="289">
        <f t="shared" si="283"/>
        <v>0</v>
      </c>
      <c r="AE163" s="288">
        <f t="shared" si="284"/>
        <v>0</v>
      </c>
      <c r="AF163" s="287">
        <f t="shared" si="284"/>
        <v>0</v>
      </c>
      <c r="AG163" s="287">
        <f t="shared" si="284"/>
        <v>0</v>
      </c>
      <c r="AH163" s="287">
        <f t="shared" si="284"/>
        <v>0</v>
      </c>
      <c r="AI163" s="289">
        <f t="shared" si="284"/>
        <v>0</v>
      </c>
      <c r="AJ163" s="287">
        <f t="shared" si="285"/>
        <v>0</v>
      </c>
      <c r="AK163" s="287">
        <f t="shared" si="285"/>
        <v>0</v>
      </c>
      <c r="AL163" s="287">
        <f t="shared" si="285"/>
        <v>0</v>
      </c>
      <c r="AM163" s="287">
        <f t="shared" si="285"/>
        <v>0</v>
      </c>
      <c r="AN163" s="837">
        <f t="shared" si="286"/>
        <v>0</v>
      </c>
      <c r="AO163" s="288">
        <f t="shared" si="287"/>
        <v>0</v>
      </c>
      <c r="AP163" s="287">
        <f t="shared" si="287"/>
        <v>0</v>
      </c>
      <c r="AQ163" s="287">
        <f t="shared" si="287"/>
        <v>0</v>
      </c>
      <c r="AR163" s="287">
        <f t="shared" si="287"/>
        <v>0</v>
      </c>
      <c r="AS163" s="152">
        <f t="shared" si="288"/>
        <v>0</v>
      </c>
      <c r="AT163" s="288">
        <f t="shared" si="289"/>
        <v>0</v>
      </c>
      <c r="AU163" s="287">
        <f t="shared" si="289"/>
        <v>0</v>
      </c>
      <c r="AV163" s="287">
        <f t="shared" si="289"/>
        <v>0</v>
      </c>
      <c r="AW163" s="287">
        <f t="shared" si="289"/>
        <v>0</v>
      </c>
      <c r="AX163" s="152">
        <f t="shared" si="290"/>
        <v>0</v>
      </c>
      <c r="AY163" s="88">
        <f t="shared" si="291"/>
        <v>0</v>
      </c>
      <c r="AZ163" s="358">
        <f t="shared" si="292"/>
        <v>0</v>
      </c>
      <c r="BA163" s="358">
        <f t="shared" si="292"/>
        <v>0</v>
      </c>
      <c r="BB163" s="358">
        <f t="shared" si="292"/>
        <v>0</v>
      </c>
      <c r="BC163" s="80">
        <f t="shared" si="292"/>
        <v>0</v>
      </c>
      <c r="BD163" s="97"/>
      <c r="BE163" s="1282" t="s">
        <v>366</v>
      </c>
      <c r="BF163" s="1282" t="s">
        <v>400</v>
      </c>
      <c r="BG163" s="1282" t="str">
        <f>IFERROR(INDEX('[9]Annex 2'!$J$110:$J$127,MATCH('[9]Annex 5'!BD165,'[9]Annex 2'!$G$110:$G$127,0)),"")</f>
        <v>MRD</v>
      </c>
      <c r="BH163" s="1565" t="str">
        <f t="shared" si="254"/>
        <v>MRD</v>
      </c>
      <c r="BI163" s="97"/>
    </row>
    <row r="164" spans="1:61" hidden="1">
      <c r="A164" s="75"/>
      <c r="B164" s="76" t="s">
        <v>25</v>
      </c>
      <c r="C164" s="76" t="s">
        <v>303</v>
      </c>
      <c r="D164" s="78"/>
      <c r="E164" s="97"/>
      <c r="F164" s="294" t="s">
        <v>1057</v>
      </c>
      <c r="G164" s="95"/>
      <c r="H164" s="782" t="s">
        <v>174</v>
      </c>
      <c r="I164" s="784">
        <v>2785</v>
      </c>
      <c r="J164" s="1322"/>
      <c r="K164" s="788">
        <v>0</v>
      </c>
      <c r="L164" s="79">
        <v>0</v>
      </c>
      <c r="M164" s="79">
        <v>0</v>
      </c>
      <c r="N164" s="79">
        <v>0</v>
      </c>
      <c r="O164" s="764">
        <f t="shared" si="281"/>
        <v>0</v>
      </c>
      <c r="P164" s="281">
        <f>K164*$I$164/1000</f>
        <v>0</v>
      </c>
      <c r="Q164" s="281">
        <f>L164*$I$164/1000</f>
        <v>0</v>
      </c>
      <c r="R164" s="281">
        <f>M164*$I$164/1000</f>
        <v>0</v>
      </c>
      <c r="S164" s="281">
        <f>N164*$I$164/1000</f>
        <v>0</v>
      </c>
      <c r="T164" s="80">
        <f t="shared" si="293"/>
        <v>0</v>
      </c>
      <c r="U164" s="812">
        <f>IFERROR(INDEX([8]Code!I$8:I$33,MATCH('[8]$MRD-Annex'!$BG175,[8]Code!$G$8:$G$33,0)),"")</f>
        <v>1</v>
      </c>
      <c r="V164" s="844">
        <f>IFERROR(INDEX([8]Code!J$8:J$33,MATCH('[8]$MRD-Annex'!$BG175,[8]Code!$G$8:$G$33,0)),"")</f>
        <v>0</v>
      </c>
      <c r="W164" s="844">
        <f>IFERROR(INDEX([8]Code!K$8:K$33,MATCH('[8]$MRD-Annex'!$BG175,[8]Code!$G$8:$G$33,0)),"")</f>
        <v>0</v>
      </c>
      <c r="X164" s="844">
        <f>IFERROR(INDEX([8]Code!L$8:L$33,MATCH('[8]$MRD-Annex'!$BG175,[8]Code!$G$8:$G$33,0)),"")</f>
        <v>0</v>
      </c>
      <c r="Y164" s="845">
        <f>IFERROR(INDEX([8]Code!M$8:M$33,MATCH('[8]$MRD-Annex'!$BG175,[8]Code!$G$8:$G$33,0)),"")</f>
        <v>0</v>
      </c>
      <c r="Z164" s="288">
        <f t="shared" si="282"/>
        <v>0</v>
      </c>
      <c r="AA164" s="287">
        <f t="shared" si="282"/>
        <v>0</v>
      </c>
      <c r="AB164" s="287">
        <f t="shared" si="282"/>
        <v>0</v>
      </c>
      <c r="AC164" s="287">
        <f t="shared" si="282"/>
        <v>0</v>
      </c>
      <c r="AD164" s="289">
        <f t="shared" si="283"/>
        <v>0</v>
      </c>
      <c r="AE164" s="288">
        <f t="shared" si="284"/>
        <v>0</v>
      </c>
      <c r="AF164" s="287">
        <f t="shared" si="284"/>
        <v>0</v>
      </c>
      <c r="AG164" s="287">
        <f t="shared" si="284"/>
        <v>0</v>
      </c>
      <c r="AH164" s="287">
        <f t="shared" si="284"/>
        <v>0</v>
      </c>
      <c r="AI164" s="289">
        <f t="shared" si="284"/>
        <v>0</v>
      </c>
      <c r="AJ164" s="287">
        <f t="shared" si="285"/>
        <v>0</v>
      </c>
      <c r="AK164" s="287">
        <f t="shared" si="285"/>
        <v>0</v>
      </c>
      <c r="AL164" s="287">
        <f t="shared" si="285"/>
        <v>0</v>
      </c>
      <c r="AM164" s="287">
        <f t="shared" si="285"/>
        <v>0</v>
      </c>
      <c r="AN164" s="837">
        <f t="shared" si="286"/>
        <v>0</v>
      </c>
      <c r="AO164" s="288">
        <f t="shared" si="287"/>
        <v>0</v>
      </c>
      <c r="AP164" s="287">
        <f t="shared" si="287"/>
        <v>0</v>
      </c>
      <c r="AQ164" s="287">
        <f t="shared" si="287"/>
        <v>0</v>
      </c>
      <c r="AR164" s="287">
        <f t="shared" si="287"/>
        <v>0</v>
      </c>
      <c r="AS164" s="152">
        <f t="shared" si="288"/>
        <v>0</v>
      </c>
      <c r="AT164" s="288">
        <f t="shared" si="289"/>
        <v>0</v>
      </c>
      <c r="AU164" s="287">
        <f t="shared" si="289"/>
        <v>0</v>
      </c>
      <c r="AV164" s="287">
        <f t="shared" si="289"/>
        <v>0</v>
      </c>
      <c r="AW164" s="287">
        <f t="shared" si="289"/>
        <v>0</v>
      </c>
      <c r="AX164" s="152">
        <f t="shared" si="290"/>
        <v>0</v>
      </c>
      <c r="AY164" s="88">
        <f t="shared" si="291"/>
        <v>0</v>
      </c>
      <c r="AZ164" s="358">
        <f t="shared" si="292"/>
        <v>0</v>
      </c>
      <c r="BA164" s="358">
        <f t="shared" si="292"/>
        <v>0</v>
      </c>
      <c r="BB164" s="358">
        <f t="shared" si="292"/>
        <v>0</v>
      </c>
      <c r="BC164" s="80">
        <f t="shared" si="292"/>
        <v>0</v>
      </c>
      <c r="BD164" s="97"/>
      <c r="BE164" s="1282" t="s">
        <v>366</v>
      </c>
      <c r="BF164" s="1282" t="s">
        <v>400</v>
      </c>
      <c r="BG164" s="1282" t="str">
        <f>IFERROR(INDEX('[9]Annex 2'!$J$110:$J$127,MATCH('[9]Annex 5'!BD166,'[9]Annex 2'!$G$110:$G$127,0)),"")</f>
        <v>MRD</v>
      </c>
      <c r="BH164" s="1565" t="str">
        <f t="shared" si="254"/>
        <v>MRD</v>
      </c>
      <c r="BI164" s="97"/>
    </row>
    <row r="165" spans="1:61" hidden="1">
      <c r="A165" s="75"/>
      <c r="B165" s="76" t="s">
        <v>25</v>
      </c>
      <c r="C165" s="76" t="s">
        <v>303</v>
      </c>
      <c r="D165" s="78"/>
      <c r="E165" s="97"/>
      <c r="F165" s="294" t="s">
        <v>1058</v>
      </c>
      <c r="G165" s="95"/>
      <c r="H165" s="782" t="s">
        <v>174</v>
      </c>
      <c r="I165" s="784">
        <v>2785</v>
      </c>
      <c r="J165" s="1322"/>
      <c r="K165" s="788">
        <v>0</v>
      </c>
      <c r="L165" s="79">
        <v>0</v>
      </c>
      <c r="M165" s="79">
        <v>0</v>
      </c>
      <c r="N165" s="79">
        <v>0</v>
      </c>
      <c r="O165" s="764">
        <f t="shared" si="281"/>
        <v>0</v>
      </c>
      <c r="P165" s="281">
        <f>K165*$I$165/1000</f>
        <v>0</v>
      </c>
      <c r="Q165" s="281">
        <f>L165*$I$165/1000</f>
        <v>0</v>
      </c>
      <c r="R165" s="281">
        <f>M165*$I$165/1000</f>
        <v>0</v>
      </c>
      <c r="S165" s="281">
        <f>N165*$I$165/1000</f>
        <v>0</v>
      </c>
      <c r="T165" s="80">
        <f t="shared" si="293"/>
        <v>0</v>
      </c>
      <c r="U165" s="812">
        <f>IFERROR(INDEX([8]Code!I$8:I$33,MATCH('[8]$MRD-Annex'!$BG176,[8]Code!$G$8:$G$33,0)),"")</f>
        <v>1</v>
      </c>
      <c r="V165" s="844">
        <f>IFERROR(INDEX([8]Code!J$8:J$33,MATCH('[8]$MRD-Annex'!$BG176,[8]Code!$G$8:$G$33,0)),"")</f>
        <v>0</v>
      </c>
      <c r="W165" s="844">
        <f>IFERROR(INDEX([8]Code!K$8:K$33,MATCH('[8]$MRD-Annex'!$BG176,[8]Code!$G$8:$G$33,0)),"")</f>
        <v>0</v>
      </c>
      <c r="X165" s="844">
        <f>IFERROR(INDEX([8]Code!L$8:L$33,MATCH('[8]$MRD-Annex'!$BG176,[8]Code!$G$8:$G$33,0)),"")</f>
        <v>0</v>
      </c>
      <c r="Y165" s="845">
        <f>IFERROR(INDEX([8]Code!M$8:M$33,MATCH('[8]$MRD-Annex'!$BG176,[8]Code!$G$8:$G$33,0)),"")</f>
        <v>0</v>
      </c>
      <c r="Z165" s="288">
        <f t="shared" si="282"/>
        <v>0</v>
      </c>
      <c r="AA165" s="287">
        <f t="shared" si="282"/>
        <v>0</v>
      </c>
      <c r="AB165" s="287">
        <f t="shared" si="282"/>
        <v>0</v>
      </c>
      <c r="AC165" s="287">
        <f t="shared" si="282"/>
        <v>0</v>
      </c>
      <c r="AD165" s="289">
        <f t="shared" si="283"/>
        <v>0</v>
      </c>
      <c r="AE165" s="288">
        <f t="shared" si="284"/>
        <v>0</v>
      </c>
      <c r="AF165" s="287">
        <f t="shared" si="284"/>
        <v>0</v>
      </c>
      <c r="AG165" s="287">
        <f t="shared" si="284"/>
        <v>0</v>
      </c>
      <c r="AH165" s="287">
        <f t="shared" si="284"/>
        <v>0</v>
      </c>
      <c r="AI165" s="289">
        <f t="shared" si="284"/>
        <v>0</v>
      </c>
      <c r="AJ165" s="287">
        <f t="shared" si="285"/>
        <v>0</v>
      </c>
      <c r="AK165" s="287">
        <f t="shared" si="285"/>
        <v>0</v>
      </c>
      <c r="AL165" s="287">
        <f t="shared" si="285"/>
        <v>0</v>
      </c>
      <c r="AM165" s="287">
        <f t="shared" si="285"/>
        <v>0</v>
      </c>
      <c r="AN165" s="837">
        <f t="shared" si="286"/>
        <v>0</v>
      </c>
      <c r="AO165" s="288">
        <f t="shared" si="287"/>
        <v>0</v>
      </c>
      <c r="AP165" s="287">
        <f t="shared" si="287"/>
        <v>0</v>
      </c>
      <c r="AQ165" s="287">
        <f t="shared" si="287"/>
        <v>0</v>
      </c>
      <c r="AR165" s="287">
        <f t="shared" si="287"/>
        <v>0</v>
      </c>
      <c r="AS165" s="152">
        <f t="shared" si="288"/>
        <v>0</v>
      </c>
      <c r="AT165" s="288">
        <f t="shared" si="289"/>
        <v>0</v>
      </c>
      <c r="AU165" s="287">
        <f t="shared" si="289"/>
        <v>0</v>
      </c>
      <c r="AV165" s="287">
        <f t="shared" si="289"/>
        <v>0</v>
      </c>
      <c r="AW165" s="287">
        <f t="shared" si="289"/>
        <v>0</v>
      </c>
      <c r="AX165" s="152">
        <f t="shared" si="290"/>
        <v>0</v>
      </c>
      <c r="AY165" s="88">
        <f t="shared" si="291"/>
        <v>0</v>
      </c>
      <c r="AZ165" s="358">
        <f t="shared" si="292"/>
        <v>0</v>
      </c>
      <c r="BA165" s="358">
        <f t="shared" si="292"/>
        <v>0</v>
      </c>
      <c r="BB165" s="358">
        <f t="shared" si="292"/>
        <v>0</v>
      </c>
      <c r="BC165" s="80">
        <f t="shared" si="292"/>
        <v>0</v>
      </c>
      <c r="BD165" s="97"/>
      <c r="BE165" s="1282" t="s">
        <v>366</v>
      </c>
      <c r="BF165" s="1282" t="s">
        <v>400</v>
      </c>
      <c r="BG165" s="1282" t="str">
        <f>IFERROR(INDEX('[9]Annex 2'!$J$110:$J$127,MATCH('[9]Annex 5'!BD167,'[9]Annex 2'!$G$110:$G$127,0)),"")</f>
        <v>MRD</v>
      </c>
      <c r="BH165" s="1565" t="str">
        <f t="shared" si="254"/>
        <v>MRD</v>
      </c>
      <c r="BI165" s="97"/>
    </row>
    <row r="166" spans="1:61" hidden="1">
      <c r="A166" s="75"/>
      <c r="B166" s="76" t="s">
        <v>25</v>
      </c>
      <c r="C166" s="76" t="s">
        <v>303</v>
      </c>
      <c r="D166" s="78"/>
      <c r="E166" s="97"/>
      <c r="F166" s="294" t="s">
        <v>142</v>
      </c>
      <c r="G166" s="95"/>
      <c r="H166" s="782" t="s">
        <v>174</v>
      </c>
      <c r="I166" s="784">
        <v>2785</v>
      </c>
      <c r="J166" s="1322"/>
      <c r="K166" s="788">
        <v>0</v>
      </c>
      <c r="L166" s="79">
        <v>0</v>
      </c>
      <c r="M166" s="79">
        <v>0</v>
      </c>
      <c r="N166" s="79">
        <v>0</v>
      </c>
      <c r="O166" s="764">
        <f t="shared" si="281"/>
        <v>0</v>
      </c>
      <c r="P166" s="281">
        <f t="shared" ref="P166:S167" si="294">K166*$I$166/1000</f>
        <v>0</v>
      </c>
      <c r="Q166" s="281">
        <f t="shared" si="294"/>
        <v>0</v>
      </c>
      <c r="R166" s="281">
        <f t="shared" si="294"/>
        <v>0</v>
      </c>
      <c r="S166" s="281">
        <f t="shared" si="294"/>
        <v>0</v>
      </c>
      <c r="T166" s="80">
        <f t="shared" si="293"/>
        <v>0</v>
      </c>
      <c r="U166" s="812">
        <f>IFERROR(INDEX([8]Code!I$8:I$33,MATCH('[8]$MRD-Annex'!$BG177,[8]Code!$G$8:$G$33,0)),"")</f>
        <v>1</v>
      </c>
      <c r="V166" s="844">
        <f>IFERROR(INDEX([8]Code!J$8:J$33,MATCH('[8]$MRD-Annex'!$BG177,[8]Code!$G$8:$G$33,0)),"")</f>
        <v>0</v>
      </c>
      <c r="W166" s="844">
        <f>IFERROR(INDEX([8]Code!K$8:K$33,MATCH('[8]$MRD-Annex'!$BG177,[8]Code!$G$8:$G$33,0)),"")</f>
        <v>0</v>
      </c>
      <c r="X166" s="844">
        <f>IFERROR(INDEX([8]Code!L$8:L$33,MATCH('[8]$MRD-Annex'!$BG177,[8]Code!$G$8:$G$33,0)),"")</f>
        <v>0</v>
      </c>
      <c r="Y166" s="845">
        <f>IFERROR(INDEX([8]Code!M$8:M$33,MATCH('[8]$MRD-Annex'!$BG177,[8]Code!$G$8:$G$33,0)),"")</f>
        <v>0</v>
      </c>
      <c r="Z166" s="288">
        <f t="shared" si="282"/>
        <v>0</v>
      </c>
      <c r="AA166" s="287">
        <f t="shared" si="282"/>
        <v>0</v>
      </c>
      <c r="AB166" s="287">
        <f t="shared" si="282"/>
        <v>0</v>
      </c>
      <c r="AC166" s="287">
        <f t="shared" si="282"/>
        <v>0</v>
      </c>
      <c r="AD166" s="289">
        <f t="shared" si="283"/>
        <v>0</v>
      </c>
      <c r="AE166" s="288">
        <f t="shared" si="284"/>
        <v>0</v>
      </c>
      <c r="AF166" s="287">
        <f t="shared" si="284"/>
        <v>0</v>
      </c>
      <c r="AG166" s="287">
        <f t="shared" si="284"/>
        <v>0</v>
      </c>
      <c r="AH166" s="287">
        <f t="shared" si="284"/>
        <v>0</v>
      </c>
      <c r="AI166" s="289">
        <f t="shared" si="284"/>
        <v>0</v>
      </c>
      <c r="AJ166" s="287">
        <f t="shared" si="285"/>
        <v>0</v>
      </c>
      <c r="AK166" s="287">
        <f t="shared" si="285"/>
        <v>0</v>
      </c>
      <c r="AL166" s="287">
        <f t="shared" si="285"/>
        <v>0</v>
      </c>
      <c r="AM166" s="287">
        <f t="shared" si="285"/>
        <v>0</v>
      </c>
      <c r="AN166" s="837">
        <f t="shared" si="286"/>
        <v>0</v>
      </c>
      <c r="AO166" s="288">
        <f t="shared" si="287"/>
        <v>0</v>
      </c>
      <c r="AP166" s="287">
        <f t="shared" si="287"/>
        <v>0</v>
      </c>
      <c r="AQ166" s="287">
        <f t="shared" si="287"/>
        <v>0</v>
      </c>
      <c r="AR166" s="287">
        <f t="shared" si="287"/>
        <v>0</v>
      </c>
      <c r="AS166" s="152">
        <f t="shared" si="288"/>
        <v>0</v>
      </c>
      <c r="AT166" s="288">
        <f t="shared" si="289"/>
        <v>0</v>
      </c>
      <c r="AU166" s="287">
        <f t="shared" si="289"/>
        <v>0</v>
      </c>
      <c r="AV166" s="287">
        <f t="shared" si="289"/>
        <v>0</v>
      </c>
      <c r="AW166" s="287">
        <f t="shared" si="289"/>
        <v>0</v>
      </c>
      <c r="AX166" s="152">
        <f t="shared" si="290"/>
        <v>0</v>
      </c>
      <c r="AY166" s="88">
        <f t="shared" si="291"/>
        <v>0</v>
      </c>
      <c r="AZ166" s="358">
        <f t="shared" si="292"/>
        <v>0</v>
      </c>
      <c r="BA166" s="358">
        <f t="shared" si="292"/>
        <v>0</v>
      </c>
      <c r="BB166" s="358">
        <f t="shared" si="292"/>
        <v>0</v>
      </c>
      <c r="BC166" s="80">
        <f t="shared" si="292"/>
        <v>0</v>
      </c>
      <c r="BD166" s="97"/>
      <c r="BE166" s="1282" t="s">
        <v>366</v>
      </c>
      <c r="BF166" s="1282" t="s">
        <v>400</v>
      </c>
      <c r="BG166" s="1282" t="str">
        <f>IFERROR(INDEX('[9]Annex 2'!$J$110:$J$127,MATCH('[9]Annex 5'!BD168,'[9]Annex 2'!$G$110:$G$127,0)),"")</f>
        <v>MRD</v>
      </c>
      <c r="BH166" s="1565" t="str">
        <f t="shared" si="254"/>
        <v>MRD</v>
      </c>
      <c r="BI166" s="97"/>
    </row>
    <row r="167" spans="1:61" hidden="1">
      <c r="A167" s="75"/>
      <c r="B167" s="76" t="s">
        <v>25</v>
      </c>
      <c r="C167" s="76" t="s">
        <v>303</v>
      </c>
      <c r="D167" s="78"/>
      <c r="E167" s="97"/>
      <c r="F167" s="294" t="s">
        <v>135</v>
      </c>
      <c r="G167" s="95"/>
      <c r="H167" s="782" t="s">
        <v>174</v>
      </c>
      <c r="I167" s="784">
        <v>4184</v>
      </c>
      <c r="J167" s="1322"/>
      <c r="K167" s="788">
        <v>0</v>
      </c>
      <c r="L167" s="79">
        <v>0</v>
      </c>
      <c r="M167" s="79">
        <v>0</v>
      </c>
      <c r="N167" s="79">
        <v>0</v>
      </c>
      <c r="O167" s="764">
        <f t="shared" si="281"/>
        <v>0</v>
      </c>
      <c r="P167" s="281">
        <f t="shared" si="294"/>
        <v>0</v>
      </c>
      <c r="Q167" s="281">
        <f t="shared" si="294"/>
        <v>0</v>
      </c>
      <c r="R167" s="281">
        <f t="shared" si="294"/>
        <v>0</v>
      </c>
      <c r="S167" s="281">
        <f t="shared" si="294"/>
        <v>0</v>
      </c>
      <c r="T167" s="80">
        <f t="shared" si="293"/>
        <v>0</v>
      </c>
      <c r="U167" s="812">
        <f>IFERROR(INDEX([8]Code!I$8:I$33,MATCH('[8]$MRD-Annex'!$BG178,[8]Code!$G$8:$G$33,0)),"")</f>
        <v>1</v>
      </c>
      <c r="V167" s="844">
        <f>IFERROR(INDEX([8]Code!J$8:J$33,MATCH('[8]$MRD-Annex'!$BG178,[8]Code!$G$8:$G$33,0)),"")</f>
        <v>0</v>
      </c>
      <c r="W167" s="844">
        <f>IFERROR(INDEX([8]Code!K$8:K$33,MATCH('[8]$MRD-Annex'!$BG178,[8]Code!$G$8:$G$33,0)),"")</f>
        <v>0</v>
      </c>
      <c r="X167" s="844">
        <f>IFERROR(INDEX([8]Code!L$8:L$33,MATCH('[8]$MRD-Annex'!$BG178,[8]Code!$G$8:$G$33,0)),"")</f>
        <v>0</v>
      </c>
      <c r="Y167" s="845">
        <f>IFERROR(INDEX([8]Code!M$8:M$33,MATCH('[8]$MRD-Annex'!$BG178,[8]Code!$G$8:$G$33,0)),"")</f>
        <v>0</v>
      </c>
      <c r="Z167" s="288">
        <f t="shared" si="282"/>
        <v>0</v>
      </c>
      <c r="AA167" s="287">
        <f t="shared" si="282"/>
        <v>0</v>
      </c>
      <c r="AB167" s="287">
        <f t="shared" si="282"/>
        <v>0</v>
      </c>
      <c r="AC167" s="287">
        <f t="shared" si="282"/>
        <v>0</v>
      </c>
      <c r="AD167" s="289">
        <f t="shared" si="283"/>
        <v>0</v>
      </c>
      <c r="AE167" s="288">
        <f t="shared" si="284"/>
        <v>0</v>
      </c>
      <c r="AF167" s="287">
        <f t="shared" si="284"/>
        <v>0</v>
      </c>
      <c r="AG167" s="287">
        <f t="shared" si="284"/>
        <v>0</v>
      </c>
      <c r="AH167" s="287">
        <f t="shared" si="284"/>
        <v>0</v>
      </c>
      <c r="AI167" s="289">
        <f t="shared" si="284"/>
        <v>0</v>
      </c>
      <c r="AJ167" s="287">
        <f t="shared" si="285"/>
        <v>0</v>
      </c>
      <c r="AK167" s="287">
        <f t="shared" si="285"/>
        <v>0</v>
      </c>
      <c r="AL167" s="287">
        <f t="shared" si="285"/>
        <v>0</v>
      </c>
      <c r="AM167" s="287">
        <f t="shared" si="285"/>
        <v>0</v>
      </c>
      <c r="AN167" s="837">
        <f t="shared" si="286"/>
        <v>0</v>
      </c>
      <c r="AO167" s="288">
        <f t="shared" si="287"/>
        <v>0</v>
      </c>
      <c r="AP167" s="287">
        <f t="shared" si="287"/>
        <v>0</v>
      </c>
      <c r="AQ167" s="287">
        <f t="shared" si="287"/>
        <v>0</v>
      </c>
      <c r="AR167" s="287">
        <f t="shared" si="287"/>
        <v>0</v>
      </c>
      <c r="AS167" s="152">
        <f t="shared" si="288"/>
        <v>0</v>
      </c>
      <c r="AT167" s="288">
        <f t="shared" si="289"/>
        <v>0</v>
      </c>
      <c r="AU167" s="287">
        <f t="shared" si="289"/>
        <v>0</v>
      </c>
      <c r="AV167" s="287">
        <f t="shared" si="289"/>
        <v>0</v>
      </c>
      <c r="AW167" s="287">
        <f t="shared" si="289"/>
        <v>0</v>
      </c>
      <c r="AX167" s="152">
        <f t="shared" si="290"/>
        <v>0</v>
      </c>
      <c r="AY167" s="88">
        <f t="shared" si="291"/>
        <v>0</v>
      </c>
      <c r="AZ167" s="358">
        <f t="shared" si="292"/>
        <v>0</v>
      </c>
      <c r="BA167" s="358">
        <f t="shared" si="292"/>
        <v>0</v>
      </c>
      <c r="BB167" s="358">
        <f t="shared" si="292"/>
        <v>0</v>
      </c>
      <c r="BC167" s="80">
        <f t="shared" si="292"/>
        <v>0</v>
      </c>
      <c r="BD167" s="97"/>
      <c r="BE167" s="1282" t="s">
        <v>366</v>
      </c>
      <c r="BF167" s="1282" t="s">
        <v>400</v>
      </c>
      <c r="BG167" s="1282" t="str">
        <f>IFERROR(INDEX('[9]Annex 2'!$J$110:$J$127,MATCH('[9]Annex 5'!BD169,'[9]Annex 2'!$G$110:$G$127,0)),"")</f>
        <v>MRD</v>
      </c>
      <c r="BH167" s="1565" t="str">
        <f t="shared" si="254"/>
        <v>MRD</v>
      </c>
      <c r="BI167" s="97"/>
    </row>
    <row r="168" spans="1:61" hidden="1">
      <c r="A168" s="75"/>
      <c r="B168" s="76" t="s">
        <v>25</v>
      </c>
      <c r="C168" s="76" t="s">
        <v>303</v>
      </c>
      <c r="D168" s="78"/>
      <c r="E168" s="97"/>
      <c r="F168" s="294" t="s">
        <v>136</v>
      </c>
      <c r="G168" s="95"/>
      <c r="H168" s="782" t="s">
        <v>174</v>
      </c>
      <c r="I168" s="784">
        <v>4184</v>
      </c>
      <c r="J168" s="1322"/>
      <c r="K168" s="788">
        <v>0</v>
      </c>
      <c r="L168" s="79">
        <v>0</v>
      </c>
      <c r="M168" s="79">
        <v>0</v>
      </c>
      <c r="N168" s="79">
        <v>0</v>
      </c>
      <c r="O168" s="764">
        <f t="shared" si="281"/>
        <v>0</v>
      </c>
      <c r="P168" s="281">
        <f>K168*$I$168/1000</f>
        <v>0</v>
      </c>
      <c r="Q168" s="281">
        <f>L168*$I$168/1000</f>
        <v>0</v>
      </c>
      <c r="R168" s="281">
        <f>M168*$I$168/1000</f>
        <v>0</v>
      </c>
      <c r="S168" s="281">
        <f>N168*$I$168/1000</f>
        <v>0</v>
      </c>
      <c r="T168" s="80">
        <f t="shared" si="293"/>
        <v>0</v>
      </c>
      <c r="U168" s="812">
        <f>IFERROR(INDEX([8]Code!I$8:I$33,MATCH('[8]$MRD-Annex'!$BG179,[8]Code!$G$8:$G$33,0)),"")</f>
        <v>1</v>
      </c>
      <c r="V168" s="844">
        <f>IFERROR(INDEX([8]Code!J$8:J$33,MATCH('[8]$MRD-Annex'!$BG179,[8]Code!$G$8:$G$33,0)),"")</f>
        <v>0</v>
      </c>
      <c r="W168" s="844">
        <f>IFERROR(INDEX([8]Code!K$8:K$33,MATCH('[8]$MRD-Annex'!$BG179,[8]Code!$G$8:$G$33,0)),"")</f>
        <v>0</v>
      </c>
      <c r="X168" s="844">
        <f>IFERROR(INDEX([8]Code!L$8:L$33,MATCH('[8]$MRD-Annex'!$BG179,[8]Code!$G$8:$G$33,0)),"")</f>
        <v>0</v>
      </c>
      <c r="Y168" s="845">
        <f>IFERROR(INDEX([8]Code!M$8:M$33,MATCH('[8]$MRD-Annex'!$BG179,[8]Code!$G$8:$G$33,0)),"")</f>
        <v>0</v>
      </c>
      <c r="Z168" s="288">
        <f t="shared" si="282"/>
        <v>0</v>
      </c>
      <c r="AA168" s="287">
        <f t="shared" si="282"/>
        <v>0</v>
      </c>
      <c r="AB168" s="287">
        <f t="shared" si="282"/>
        <v>0</v>
      </c>
      <c r="AC168" s="287">
        <f t="shared" si="282"/>
        <v>0</v>
      </c>
      <c r="AD168" s="289">
        <f t="shared" si="283"/>
        <v>0</v>
      </c>
      <c r="AE168" s="288">
        <f t="shared" si="284"/>
        <v>0</v>
      </c>
      <c r="AF168" s="287">
        <f t="shared" si="284"/>
        <v>0</v>
      </c>
      <c r="AG168" s="287">
        <f t="shared" si="284"/>
        <v>0</v>
      </c>
      <c r="AH168" s="287">
        <f t="shared" si="284"/>
        <v>0</v>
      </c>
      <c r="AI168" s="289">
        <f t="shared" si="284"/>
        <v>0</v>
      </c>
      <c r="AJ168" s="287">
        <f t="shared" si="285"/>
        <v>0</v>
      </c>
      <c r="AK168" s="287">
        <f t="shared" si="285"/>
        <v>0</v>
      </c>
      <c r="AL168" s="287">
        <f t="shared" si="285"/>
        <v>0</v>
      </c>
      <c r="AM168" s="287">
        <f t="shared" si="285"/>
        <v>0</v>
      </c>
      <c r="AN168" s="837">
        <f t="shared" si="286"/>
        <v>0</v>
      </c>
      <c r="AO168" s="288">
        <f t="shared" si="287"/>
        <v>0</v>
      </c>
      <c r="AP168" s="287">
        <f t="shared" si="287"/>
        <v>0</v>
      </c>
      <c r="AQ168" s="287">
        <f t="shared" si="287"/>
        <v>0</v>
      </c>
      <c r="AR168" s="287">
        <f t="shared" si="287"/>
        <v>0</v>
      </c>
      <c r="AS168" s="152">
        <f t="shared" si="288"/>
        <v>0</v>
      </c>
      <c r="AT168" s="288">
        <f t="shared" si="289"/>
        <v>0</v>
      </c>
      <c r="AU168" s="287">
        <f t="shared" si="289"/>
        <v>0</v>
      </c>
      <c r="AV168" s="287">
        <f t="shared" si="289"/>
        <v>0</v>
      </c>
      <c r="AW168" s="287">
        <f t="shared" si="289"/>
        <v>0</v>
      </c>
      <c r="AX168" s="152">
        <f t="shared" si="290"/>
        <v>0</v>
      </c>
      <c r="AY168" s="88">
        <f t="shared" si="291"/>
        <v>0</v>
      </c>
      <c r="AZ168" s="358">
        <f t="shared" si="292"/>
        <v>0</v>
      </c>
      <c r="BA168" s="358">
        <f t="shared" si="292"/>
        <v>0</v>
      </c>
      <c r="BB168" s="358">
        <f t="shared" si="292"/>
        <v>0</v>
      </c>
      <c r="BC168" s="80">
        <f t="shared" si="292"/>
        <v>0</v>
      </c>
      <c r="BD168" s="97"/>
      <c r="BE168" s="1282" t="s">
        <v>366</v>
      </c>
      <c r="BF168" s="1282" t="s">
        <v>400</v>
      </c>
      <c r="BG168" s="1282" t="str">
        <f>IFERROR(INDEX('[9]Annex 2'!$J$110:$J$127,MATCH('[9]Annex 5'!BD170,'[9]Annex 2'!$G$110:$G$127,0)),"")</f>
        <v>MRD</v>
      </c>
      <c r="BH168" s="1565" t="str">
        <f t="shared" si="254"/>
        <v>MRD</v>
      </c>
      <c r="BI168" s="97"/>
    </row>
    <row r="169" spans="1:61" hidden="1">
      <c r="A169" s="75"/>
      <c r="B169" s="76" t="s">
        <v>25</v>
      </c>
      <c r="C169" s="76" t="s">
        <v>303</v>
      </c>
      <c r="D169" s="78"/>
      <c r="E169" s="97"/>
      <c r="F169" s="294" t="s">
        <v>137</v>
      </c>
      <c r="G169" s="95"/>
      <c r="H169" s="782" t="s">
        <v>174</v>
      </c>
      <c r="I169" s="784">
        <v>4184</v>
      </c>
      <c r="J169" s="1322"/>
      <c r="K169" s="788">
        <v>0</v>
      </c>
      <c r="L169" s="79">
        <v>0</v>
      </c>
      <c r="M169" s="79">
        <v>0</v>
      </c>
      <c r="N169" s="79">
        <v>0</v>
      </c>
      <c r="O169" s="764">
        <f t="shared" si="281"/>
        <v>0</v>
      </c>
      <c r="P169" s="281">
        <f>K169*$I$169/1000</f>
        <v>0</v>
      </c>
      <c r="Q169" s="281">
        <f>L169*$I$169/1000</f>
        <v>0</v>
      </c>
      <c r="R169" s="281">
        <f>M169*$I$169/1000</f>
        <v>0</v>
      </c>
      <c r="S169" s="281">
        <f>N169*$I$169/1000</f>
        <v>0</v>
      </c>
      <c r="T169" s="80">
        <f t="shared" si="293"/>
        <v>0</v>
      </c>
      <c r="U169" s="812">
        <f>IFERROR(INDEX([8]Code!I$8:I$33,MATCH('[8]$MRD-Annex'!$BG180,[8]Code!$G$8:$G$33,0)),"")</f>
        <v>1</v>
      </c>
      <c r="V169" s="844">
        <f>IFERROR(INDEX([8]Code!J$8:J$33,MATCH('[8]$MRD-Annex'!$BG180,[8]Code!$G$8:$G$33,0)),"")</f>
        <v>0</v>
      </c>
      <c r="W169" s="844">
        <f>IFERROR(INDEX([8]Code!K$8:K$33,MATCH('[8]$MRD-Annex'!$BG180,[8]Code!$G$8:$G$33,0)),"")</f>
        <v>0</v>
      </c>
      <c r="X169" s="844">
        <f>IFERROR(INDEX([8]Code!L$8:L$33,MATCH('[8]$MRD-Annex'!$BG180,[8]Code!$G$8:$G$33,0)),"")</f>
        <v>0</v>
      </c>
      <c r="Y169" s="845">
        <f>IFERROR(INDEX([8]Code!M$8:M$33,MATCH('[8]$MRD-Annex'!$BG180,[8]Code!$G$8:$G$33,0)),"")</f>
        <v>0</v>
      </c>
      <c r="Z169" s="288">
        <f t="shared" si="282"/>
        <v>0</v>
      </c>
      <c r="AA169" s="287">
        <f t="shared" si="282"/>
        <v>0</v>
      </c>
      <c r="AB169" s="287">
        <f t="shared" si="282"/>
        <v>0</v>
      </c>
      <c r="AC169" s="287">
        <f t="shared" si="282"/>
        <v>0</v>
      </c>
      <c r="AD169" s="289">
        <f t="shared" si="283"/>
        <v>0</v>
      </c>
      <c r="AE169" s="288">
        <f t="shared" si="284"/>
        <v>0</v>
      </c>
      <c r="AF169" s="287">
        <f t="shared" si="284"/>
        <v>0</v>
      </c>
      <c r="AG169" s="287">
        <f t="shared" si="284"/>
        <v>0</v>
      </c>
      <c r="AH169" s="287">
        <f t="shared" si="284"/>
        <v>0</v>
      </c>
      <c r="AI169" s="289">
        <f t="shared" si="284"/>
        <v>0</v>
      </c>
      <c r="AJ169" s="287">
        <f t="shared" si="285"/>
        <v>0</v>
      </c>
      <c r="AK169" s="287">
        <f t="shared" si="285"/>
        <v>0</v>
      </c>
      <c r="AL169" s="287">
        <f t="shared" si="285"/>
        <v>0</v>
      </c>
      <c r="AM169" s="287">
        <f t="shared" si="285"/>
        <v>0</v>
      </c>
      <c r="AN169" s="837">
        <f t="shared" si="286"/>
        <v>0</v>
      </c>
      <c r="AO169" s="288">
        <f t="shared" si="287"/>
        <v>0</v>
      </c>
      <c r="AP169" s="287">
        <f t="shared" si="287"/>
        <v>0</v>
      </c>
      <c r="AQ169" s="287">
        <f t="shared" si="287"/>
        <v>0</v>
      </c>
      <c r="AR169" s="287">
        <f t="shared" si="287"/>
        <v>0</v>
      </c>
      <c r="AS169" s="152">
        <f t="shared" si="288"/>
        <v>0</v>
      </c>
      <c r="AT169" s="288">
        <f t="shared" si="289"/>
        <v>0</v>
      </c>
      <c r="AU169" s="287">
        <f t="shared" si="289"/>
        <v>0</v>
      </c>
      <c r="AV169" s="287">
        <f t="shared" si="289"/>
        <v>0</v>
      </c>
      <c r="AW169" s="287">
        <f t="shared" si="289"/>
        <v>0</v>
      </c>
      <c r="AX169" s="152">
        <f t="shared" si="290"/>
        <v>0</v>
      </c>
      <c r="AY169" s="88">
        <f t="shared" si="291"/>
        <v>0</v>
      </c>
      <c r="AZ169" s="358">
        <f t="shared" si="292"/>
        <v>0</v>
      </c>
      <c r="BA169" s="358">
        <f t="shared" si="292"/>
        <v>0</v>
      </c>
      <c r="BB169" s="358">
        <f t="shared" si="292"/>
        <v>0</v>
      </c>
      <c r="BC169" s="80">
        <f t="shared" si="292"/>
        <v>0</v>
      </c>
      <c r="BD169" s="97"/>
      <c r="BE169" s="1282" t="s">
        <v>366</v>
      </c>
      <c r="BF169" s="1282" t="s">
        <v>400</v>
      </c>
      <c r="BG169" s="1282" t="str">
        <f>IFERROR(INDEX('[9]Annex 2'!$J$110:$J$127,MATCH('[9]Annex 5'!BD171,'[9]Annex 2'!$G$110:$G$127,0)),"")</f>
        <v>MRD</v>
      </c>
      <c r="BH169" s="1565" t="str">
        <f t="shared" si="254"/>
        <v>MRD</v>
      </c>
      <c r="BI169" s="97"/>
    </row>
    <row r="170" spans="1:61" hidden="1">
      <c r="A170" s="75"/>
      <c r="B170" s="76" t="s">
        <v>25</v>
      </c>
      <c r="C170" s="76" t="s">
        <v>303</v>
      </c>
      <c r="D170" s="78"/>
      <c r="E170" s="97"/>
      <c r="F170" s="294" t="s">
        <v>1059</v>
      </c>
      <c r="G170" s="95"/>
      <c r="H170" s="782" t="s">
        <v>174</v>
      </c>
      <c r="I170" s="784">
        <v>2785</v>
      </c>
      <c r="J170" s="1322"/>
      <c r="K170" s="788">
        <v>0</v>
      </c>
      <c r="L170" s="79">
        <v>0</v>
      </c>
      <c r="M170" s="79">
        <v>0</v>
      </c>
      <c r="N170" s="79">
        <v>0</v>
      </c>
      <c r="O170" s="764">
        <f t="shared" si="281"/>
        <v>0</v>
      </c>
      <c r="P170" s="281">
        <f>K170*$I$170/1000</f>
        <v>0</v>
      </c>
      <c r="Q170" s="281">
        <f>L170*$I$170/1000</f>
        <v>0</v>
      </c>
      <c r="R170" s="281">
        <f>M170*$I$170/1000</f>
        <v>0</v>
      </c>
      <c r="S170" s="281">
        <f>N170*$I$170/1000</f>
        <v>0</v>
      </c>
      <c r="T170" s="80">
        <f t="shared" si="293"/>
        <v>0</v>
      </c>
      <c r="U170" s="812">
        <f>IFERROR(INDEX([8]Code!I$8:I$33,MATCH('[8]$MRD-Annex'!$BG181,[8]Code!$G$8:$G$33,0)),"")</f>
        <v>1</v>
      </c>
      <c r="V170" s="844">
        <f>IFERROR(INDEX([8]Code!J$8:J$33,MATCH('[8]$MRD-Annex'!$BG181,[8]Code!$G$8:$G$33,0)),"")</f>
        <v>0</v>
      </c>
      <c r="W170" s="844">
        <f>IFERROR(INDEX([8]Code!K$8:K$33,MATCH('[8]$MRD-Annex'!$BG181,[8]Code!$G$8:$G$33,0)),"")</f>
        <v>0</v>
      </c>
      <c r="X170" s="844">
        <f>IFERROR(INDEX([8]Code!L$8:L$33,MATCH('[8]$MRD-Annex'!$BG181,[8]Code!$G$8:$G$33,0)),"")</f>
        <v>0</v>
      </c>
      <c r="Y170" s="845">
        <f>IFERROR(INDEX([8]Code!M$8:M$33,MATCH('[8]$MRD-Annex'!$BG181,[8]Code!$G$8:$G$33,0)),"")</f>
        <v>0</v>
      </c>
      <c r="Z170" s="288">
        <f t="shared" si="282"/>
        <v>0</v>
      </c>
      <c r="AA170" s="287">
        <f t="shared" si="282"/>
        <v>0</v>
      </c>
      <c r="AB170" s="287">
        <f t="shared" si="282"/>
        <v>0</v>
      </c>
      <c r="AC170" s="287">
        <f t="shared" si="282"/>
        <v>0</v>
      </c>
      <c r="AD170" s="289">
        <f t="shared" si="283"/>
        <v>0</v>
      </c>
      <c r="AE170" s="288">
        <f t="shared" si="284"/>
        <v>0</v>
      </c>
      <c r="AF170" s="287">
        <f t="shared" si="284"/>
        <v>0</v>
      </c>
      <c r="AG170" s="287">
        <f t="shared" si="284"/>
        <v>0</v>
      </c>
      <c r="AH170" s="287">
        <f t="shared" si="284"/>
        <v>0</v>
      </c>
      <c r="AI170" s="289">
        <f t="shared" si="284"/>
        <v>0</v>
      </c>
      <c r="AJ170" s="287">
        <f t="shared" si="285"/>
        <v>0</v>
      </c>
      <c r="AK170" s="287">
        <f t="shared" si="285"/>
        <v>0</v>
      </c>
      <c r="AL170" s="287">
        <f t="shared" si="285"/>
        <v>0</v>
      </c>
      <c r="AM170" s="287">
        <f t="shared" si="285"/>
        <v>0</v>
      </c>
      <c r="AN170" s="837">
        <f t="shared" si="286"/>
        <v>0</v>
      </c>
      <c r="AO170" s="288">
        <f t="shared" si="287"/>
        <v>0</v>
      </c>
      <c r="AP170" s="287">
        <f t="shared" si="287"/>
        <v>0</v>
      </c>
      <c r="AQ170" s="287">
        <f t="shared" si="287"/>
        <v>0</v>
      </c>
      <c r="AR170" s="287">
        <f t="shared" si="287"/>
        <v>0</v>
      </c>
      <c r="AS170" s="152">
        <f t="shared" si="288"/>
        <v>0</v>
      </c>
      <c r="AT170" s="288">
        <f t="shared" si="289"/>
        <v>0</v>
      </c>
      <c r="AU170" s="287">
        <f t="shared" si="289"/>
        <v>0</v>
      </c>
      <c r="AV170" s="287">
        <f t="shared" si="289"/>
        <v>0</v>
      </c>
      <c r="AW170" s="287">
        <f t="shared" si="289"/>
        <v>0</v>
      </c>
      <c r="AX170" s="152">
        <f t="shared" si="290"/>
        <v>0</v>
      </c>
      <c r="AY170" s="88">
        <f t="shared" si="291"/>
        <v>0</v>
      </c>
      <c r="AZ170" s="358">
        <f t="shared" si="292"/>
        <v>0</v>
      </c>
      <c r="BA170" s="358">
        <f t="shared" si="292"/>
        <v>0</v>
      </c>
      <c r="BB170" s="358">
        <f t="shared" si="292"/>
        <v>0</v>
      </c>
      <c r="BC170" s="80">
        <f t="shared" si="292"/>
        <v>0</v>
      </c>
      <c r="BD170" s="97"/>
      <c r="BE170" s="1282" t="s">
        <v>366</v>
      </c>
      <c r="BF170" s="1282" t="s">
        <v>400</v>
      </c>
      <c r="BG170" s="1282" t="str">
        <f>IFERROR(INDEX('[9]Annex 2'!$J$110:$J$127,MATCH('[9]Annex 5'!BD172,'[9]Annex 2'!$G$110:$G$127,0)),"")</f>
        <v>MRD</v>
      </c>
      <c r="BH170" s="1565" t="str">
        <f t="shared" si="254"/>
        <v>MRD</v>
      </c>
      <c r="BI170" s="97"/>
    </row>
    <row r="171" spans="1:61" hidden="1">
      <c r="A171" s="75"/>
      <c r="B171" s="76" t="s">
        <v>25</v>
      </c>
      <c r="C171" s="76" t="s">
        <v>303</v>
      </c>
      <c r="D171" s="78"/>
      <c r="E171" s="97"/>
      <c r="F171" s="294" t="s">
        <v>1060</v>
      </c>
      <c r="G171" s="95"/>
      <c r="H171" s="782" t="s">
        <v>174</v>
      </c>
      <c r="I171" s="784">
        <v>2785</v>
      </c>
      <c r="J171" s="1322"/>
      <c r="K171" s="788">
        <v>0</v>
      </c>
      <c r="L171" s="79">
        <v>0</v>
      </c>
      <c r="M171" s="79">
        <v>0</v>
      </c>
      <c r="N171" s="79">
        <v>0</v>
      </c>
      <c r="O171" s="764">
        <f t="shared" si="281"/>
        <v>0</v>
      </c>
      <c r="P171" s="281">
        <f>K171*$I$171/1000</f>
        <v>0</v>
      </c>
      <c r="Q171" s="281">
        <f>L171*$I$171/1000</f>
        <v>0</v>
      </c>
      <c r="R171" s="281">
        <f>M171*$I$171/1000</f>
        <v>0</v>
      </c>
      <c r="S171" s="281">
        <f>N171*$I$171/1000</f>
        <v>0</v>
      </c>
      <c r="T171" s="80">
        <f t="shared" si="293"/>
        <v>0</v>
      </c>
      <c r="U171" s="812">
        <f>IFERROR(INDEX([8]Code!I$8:I$33,MATCH('[8]$MRD-Annex'!$BG182,[8]Code!$G$8:$G$33,0)),"")</f>
        <v>1</v>
      </c>
      <c r="V171" s="844">
        <f>IFERROR(INDEX([8]Code!J$8:J$33,MATCH('[8]$MRD-Annex'!$BG182,[8]Code!$G$8:$G$33,0)),"")</f>
        <v>0</v>
      </c>
      <c r="W171" s="844">
        <f>IFERROR(INDEX([8]Code!K$8:K$33,MATCH('[8]$MRD-Annex'!$BG182,[8]Code!$G$8:$G$33,0)),"")</f>
        <v>0</v>
      </c>
      <c r="X171" s="844">
        <f>IFERROR(INDEX([8]Code!L$8:L$33,MATCH('[8]$MRD-Annex'!$BG182,[8]Code!$G$8:$G$33,0)),"")</f>
        <v>0</v>
      </c>
      <c r="Y171" s="845">
        <f>IFERROR(INDEX([8]Code!M$8:M$33,MATCH('[8]$MRD-Annex'!$BG182,[8]Code!$G$8:$G$33,0)),"")</f>
        <v>0</v>
      </c>
      <c r="Z171" s="288">
        <f t="shared" si="282"/>
        <v>0</v>
      </c>
      <c r="AA171" s="287">
        <f t="shared" si="282"/>
        <v>0</v>
      </c>
      <c r="AB171" s="287">
        <f t="shared" si="282"/>
        <v>0</v>
      </c>
      <c r="AC171" s="287">
        <f t="shared" si="282"/>
        <v>0</v>
      </c>
      <c r="AD171" s="289">
        <f t="shared" si="283"/>
        <v>0</v>
      </c>
      <c r="AE171" s="288">
        <f t="shared" si="284"/>
        <v>0</v>
      </c>
      <c r="AF171" s="287">
        <f t="shared" si="284"/>
        <v>0</v>
      </c>
      <c r="AG171" s="287">
        <f t="shared" si="284"/>
        <v>0</v>
      </c>
      <c r="AH171" s="287">
        <f t="shared" si="284"/>
        <v>0</v>
      </c>
      <c r="AI171" s="289">
        <f t="shared" si="284"/>
        <v>0</v>
      </c>
      <c r="AJ171" s="287">
        <f t="shared" si="285"/>
        <v>0</v>
      </c>
      <c r="AK171" s="287">
        <f t="shared" si="285"/>
        <v>0</v>
      </c>
      <c r="AL171" s="287">
        <f t="shared" si="285"/>
        <v>0</v>
      </c>
      <c r="AM171" s="287">
        <f t="shared" si="285"/>
        <v>0</v>
      </c>
      <c r="AN171" s="837">
        <f t="shared" si="286"/>
        <v>0</v>
      </c>
      <c r="AO171" s="288">
        <f t="shared" si="287"/>
        <v>0</v>
      </c>
      <c r="AP171" s="287">
        <f t="shared" si="287"/>
        <v>0</v>
      </c>
      <c r="AQ171" s="287">
        <f t="shared" si="287"/>
        <v>0</v>
      </c>
      <c r="AR171" s="287">
        <f t="shared" si="287"/>
        <v>0</v>
      </c>
      <c r="AS171" s="152">
        <f t="shared" si="288"/>
        <v>0</v>
      </c>
      <c r="AT171" s="288">
        <f t="shared" si="289"/>
        <v>0</v>
      </c>
      <c r="AU171" s="287">
        <f t="shared" si="289"/>
        <v>0</v>
      </c>
      <c r="AV171" s="287">
        <f t="shared" si="289"/>
        <v>0</v>
      </c>
      <c r="AW171" s="287">
        <f t="shared" si="289"/>
        <v>0</v>
      </c>
      <c r="AX171" s="152">
        <f t="shared" si="290"/>
        <v>0</v>
      </c>
      <c r="AY171" s="88">
        <f t="shared" si="291"/>
        <v>0</v>
      </c>
      <c r="AZ171" s="358">
        <f t="shared" si="292"/>
        <v>0</v>
      </c>
      <c r="BA171" s="358">
        <f t="shared" si="292"/>
        <v>0</v>
      </c>
      <c r="BB171" s="358">
        <f t="shared" si="292"/>
        <v>0</v>
      </c>
      <c r="BC171" s="80">
        <f t="shared" si="292"/>
        <v>0</v>
      </c>
      <c r="BD171" s="97"/>
      <c r="BE171" s="1282" t="s">
        <v>366</v>
      </c>
      <c r="BF171" s="1282" t="s">
        <v>400</v>
      </c>
      <c r="BG171" s="1282" t="str">
        <f>IFERROR(INDEX('[9]Annex 2'!$J$110:$J$127,MATCH('[9]Annex 5'!BD173,'[9]Annex 2'!$G$110:$G$127,0)),"")</f>
        <v>MRD</v>
      </c>
      <c r="BH171" s="1565" t="str">
        <f t="shared" si="254"/>
        <v>MRD</v>
      </c>
      <c r="BI171" s="97"/>
    </row>
    <row r="172" spans="1:61" hidden="1">
      <c r="A172" s="75"/>
      <c r="B172" s="76" t="s">
        <v>25</v>
      </c>
      <c r="C172" s="76" t="s">
        <v>303</v>
      </c>
      <c r="D172" s="78"/>
      <c r="E172" s="97"/>
      <c r="F172" s="294" t="s">
        <v>1061</v>
      </c>
      <c r="G172" s="95"/>
      <c r="H172" s="782" t="s">
        <v>174</v>
      </c>
      <c r="I172" s="784">
        <v>2785</v>
      </c>
      <c r="J172" s="1322"/>
      <c r="K172" s="788">
        <v>0</v>
      </c>
      <c r="L172" s="79">
        <v>0</v>
      </c>
      <c r="M172" s="79">
        <v>0</v>
      </c>
      <c r="N172" s="79">
        <v>0</v>
      </c>
      <c r="O172" s="764">
        <f t="shared" si="281"/>
        <v>0</v>
      </c>
      <c r="P172" s="281">
        <f>K172*$I$172/1000</f>
        <v>0</v>
      </c>
      <c r="Q172" s="281">
        <f>L172*$I$172/1000</f>
        <v>0</v>
      </c>
      <c r="R172" s="281">
        <f>M172*$I$172/1000</f>
        <v>0</v>
      </c>
      <c r="S172" s="281">
        <f>N172*$I$172/1000</f>
        <v>0</v>
      </c>
      <c r="T172" s="80">
        <f t="shared" si="293"/>
        <v>0</v>
      </c>
      <c r="U172" s="812">
        <f>IFERROR(INDEX([8]Code!I$8:I$33,MATCH('[8]$MRD-Annex'!$BG183,[8]Code!$G$8:$G$33,0)),"")</f>
        <v>1</v>
      </c>
      <c r="V172" s="844">
        <f>IFERROR(INDEX([8]Code!J$8:J$33,MATCH('[8]$MRD-Annex'!$BG183,[8]Code!$G$8:$G$33,0)),"")</f>
        <v>0</v>
      </c>
      <c r="W172" s="844">
        <f>IFERROR(INDEX([8]Code!K$8:K$33,MATCH('[8]$MRD-Annex'!$BG183,[8]Code!$G$8:$G$33,0)),"")</f>
        <v>0</v>
      </c>
      <c r="X172" s="844">
        <f>IFERROR(INDEX([8]Code!L$8:L$33,MATCH('[8]$MRD-Annex'!$BG183,[8]Code!$G$8:$G$33,0)),"")</f>
        <v>0</v>
      </c>
      <c r="Y172" s="845">
        <f>IFERROR(INDEX([8]Code!M$8:M$33,MATCH('[8]$MRD-Annex'!$BG183,[8]Code!$G$8:$G$33,0)),"")</f>
        <v>0</v>
      </c>
      <c r="Z172" s="288">
        <f t="shared" si="282"/>
        <v>0</v>
      </c>
      <c r="AA172" s="287">
        <f t="shared" si="282"/>
        <v>0</v>
      </c>
      <c r="AB172" s="287">
        <f t="shared" si="282"/>
        <v>0</v>
      </c>
      <c r="AC172" s="287">
        <f t="shared" si="282"/>
        <v>0</v>
      </c>
      <c r="AD172" s="289">
        <f t="shared" si="283"/>
        <v>0</v>
      </c>
      <c r="AE172" s="288">
        <f t="shared" si="284"/>
        <v>0</v>
      </c>
      <c r="AF172" s="287">
        <f t="shared" si="284"/>
        <v>0</v>
      </c>
      <c r="AG172" s="287">
        <f t="shared" si="284"/>
        <v>0</v>
      </c>
      <c r="AH172" s="287">
        <f t="shared" si="284"/>
        <v>0</v>
      </c>
      <c r="AI172" s="289">
        <f t="shared" si="284"/>
        <v>0</v>
      </c>
      <c r="AJ172" s="287">
        <f t="shared" si="285"/>
        <v>0</v>
      </c>
      <c r="AK172" s="287">
        <f t="shared" si="285"/>
        <v>0</v>
      </c>
      <c r="AL172" s="287">
        <f t="shared" si="285"/>
        <v>0</v>
      </c>
      <c r="AM172" s="287">
        <f t="shared" si="285"/>
        <v>0</v>
      </c>
      <c r="AN172" s="837">
        <f t="shared" si="286"/>
        <v>0</v>
      </c>
      <c r="AO172" s="288">
        <f t="shared" si="287"/>
        <v>0</v>
      </c>
      <c r="AP172" s="287">
        <f t="shared" si="287"/>
        <v>0</v>
      </c>
      <c r="AQ172" s="287">
        <f t="shared" si="287"/>
        <v>0</v>
      </c>
      <c r="AR172" s="287">
        <f t="shared" si="287"/>
        <v>0</v>
      </c>
      <c r="AS172" s="152">
        <f t="shared" si="288"/>
        <v>0</v>
      </c>
      <c r="AT172" s="288">
        <f t="shared" si="289"/>
        <v>0</v>
      </c>
      <c r="AU172" s="287">
        <f t="shared" si="289"/>
        <v>0</v>
      </c>
      <c r="AV172" s="287">
        <f t="shared" si="289"/>
        <v>0</v>
      </c>
      <c r="AW172" s="287">
        <f t="shared" si="289"/>
        <v>0</v>
      </c>
      <c r="AX172" s="152">
        <f t="shared" si="290"/>
        <v>0</v>
      </c>
      <c r="AY172" s="88">
        <f t="shared" si="291"/>
        <v>0</v>
      </c>
      <c r="AZ172" s="358">
        <f t="shared" si="292"/>
        <v>0</v>
      </c>
      <c r="BA172" s="358">
        <f t="shared" si="292"/>
        <v>0</v>
      </c>
      <c r="BB172" s="358">
        <f t="shared" si="292"/>
        <v>0</v>
      </c>
      <c r="BC172" s="80">
        <f t="shared" si="292"/>
        <v>0</v>
      </c>
      <c r="BD172" s="97"/>
      <c r="BE172" s="1282" t="s">
        <v>366</v>
      </c>
      <c r="BF172" s="1282" t="s">
        <v>400</v>
      </c>
      <c r="BG172" s="1282" t="str">
        <f>IFERROR(INDEX('[9]Annex 2'!$J$110:$J$127,MATCH('[9]Annex 5'!BD174,'[9]Annex 2'!$G$110:$G$127,0)),"")</f>
        <v>MRD</v>
      </c>
      <c r="BH172" s="1565" t="str">
        <f t="shared" si="254"/>
        <v>MRD</v>
      </c>
      <c r="BI172" s="97"/>
    </row>
    <row r="173" spans="1:61" hidden="1">
      <c r="A173" s="75"/>
      <c r="B173" s="76" t="s">
        <v>25</v>
      </c>
      <c r="C173" s="76" t="s">
        <v>303</v>
      </c>
      <c r="D173" s="78"/>
      <c r="E173" s="97"/>
      <c r="F173" s="294" t="s">
        <v>1062</v>
      </c>
      <c r="G173" s="95"/>
      <c r="H173" s="782" t="s">
        <v>174</v>
      </c>
      <c r="I173" s="784">
        <v>2785</v>
      </c>
      <c r="J173" s="1322"/>
      <c r="K173" s="788">
        <v>0</v>
      </c>
      <c r="L173" s="79">
        <v>0</v>
      </c>
      <c r="M173" s="79">
        <v>0</v>
      </c>
      <c r="N173" s="79">
        <v>0</v>
      </c>
      <c r="O173" s="764">
        <f t="shared" si="281"/>
        <v>0</v>
      </c>
      <c r="P173" s="281">
        <f>K173*$I$173/1000</f>
        <v>0</v>
      </c>
      <c r="Q173" s="281">
        <f>L173*$I$173/1000</f>
        <v>0</v>
      </c>
      <c r="R173" s="281">
        <f>M173*$I$173/1000</f>
        <v>0</v>
      </c>
      <c r="S173" s="281">
        <f>N173*$I$173/1000</f>
        <v>0</v>
      </c>
      <c r="T173" s="80">
        <f t="shared" si="293"/>
        <v>0</v>
      </c>
      <c r="U173" s="812">
        <f>IFERROR(INDEX([8]Code!I$8:I$33,MATCH('[8]$MRD-Annex'!$BG184,[8]Code!$G$8:$G$33,0)),"")</f>
        <v>1</v>
      </c>
      <c r="V173" s="844">
        <f>IFERROR(INDEX([8]Code!J$8:J$33,MATCH('[8]$MRD-Annex'!$BG184,[8]Code!$G$8:$G$33,0)),"")</f>
        <v>0</v>
      </c>
      <c r="W173" s="844">
        <f>IFERROR(INDEX([8]Code!K$8:K$33,MATCH('[8]$MRD-Annex'!$BG184,[8]Code!$G$8:$G$33,0)),"")</f>
        <v>0</v>
      </c>
      <c r="X173" s="844">
        <f>IFERROR(INDEX([8]Code!L$8:L$33,MATCH('[8]$MRD-Annex'!$BG184,[8]Code!$G$8:$G$33,0)),"")</f>
        <v>0</v>
      </c>
      <c r="Y173" s="845">
        <f>IFERROR(INDEX([8]Code!M$8:M$33,MATCH('[8]$MRD-Annex'!$BG184,[8]Code!$G$8:$G$33,0)),"")</f>
        <v>0</v>
      </c>
      <c r="Z173" s="288">
        <f t="shared" si="282"/>
        <v>0</v>
      </c>
      <c r="AA173" s="287">
        <f t="shared" si="282"/>
        <v>0</v>
      </c>
      <c r="AB173" s="287">
        <f t="shared" si="282"/>
        <v>0</v>
      </c>
      <c r="AC173" s="287">
        <f t="shared" si="282"/>
        <v>0</v>
      </c>
      <c r="AD173" s="289">
        <f t="shared" si="283"/>
        <v>0</v>
      </c>
      <c r="AE173" s="288">
        <f t="shared" si="284"/>
        <v>0</v>
      </c>
      <c r="AF173" s="287">
        <f t="shared" si="284"/>
        <v>0</v>
      </c>
      <c r="AG173" s="287">
        <f t="shared" si="284"/>
        <v>0</v>
      </c>
      <c r="AH173" s="287">
        <f t="shared" si="284"/>
        <v>0</v>
      </c>
      <c r="AI173" s="289">
        <f t="shared" si="284"/>
        <v>0</v>
      </c>
      <c r="AJ173" s="287">
        <f t="shared" si="285"/>
        <v>0</v>
      </c>
      <c r="AK173" s="287">
        <f t="shared" si="285"/>
        <v>0</v>
      </c>
      <c r="AL173" s="287">
        <f t="shared" si="285"/>
        <v>0</v>
      </c>
      <c r="AM173" s="287">
        <f t="shared" si="285"/>
        <v>0</v>
      </c>
      <c r="AN173" s="837">
        <f t="shared" si="286"/>
        <v>0</v>
      </c>
      <c r="AO173" s="288">
        <f t="shared" si="287"/>
        <v>0</v>
      </c>
      <c r="AP173" s="287">
        <f t="shared" si="287"/>
        <v>0</v>
      </c>
      <c r="AQ173" s="287">
        <f t="shared" si="287"/>
        <v>0</v>
      </c>
      <c r="AR173" s="287">
        <f t="shared" si="287"/>
        <v>0</v>
      </c>
      <c r="AS173" s="152">
        <f t="shared" si="288"/>
        <v>0</v>
      </c>
      <c r="AT173" s="288">
        <f t="shared" si="289"/>
        <v>0</v>
      </c>
      <c r="AU173" s="287">
        <f t="shared" si="289"/>
        <v>0</v>
      </c>
      <c r="AV173" s="287">
        <f t="shared" si="289"/>
        <v>0</v>
      </c>
      <c r="AW173" s="287">
        <f t="shared" si="289"/>
        <v>0</v>
      </c>
      <c r="AX173" s="152">
        <f t="shared" si="290"/>
        <v>0</v>
      </c>
      <c r="AY173" s="88">
        <f t="shared" si="291"/>
        <v>0</v>
      </c>
      <c r="AZ173" s="358">
        <f t="shared" si="292"/>
        <v>0</v>
      </c>
      <c r="BA173" s="358">
        <f t="shared" si="292"/>
        <v>0</v>
      </c>
      <c r="BB173" s="358">
        <f t="shared" si="292"/>
        <v>0</v>
      </c>
      <c r="BC173" s="80">
        <f t="shared" si="292"/>
        <v>0</v>
      </c>
      <c r="BD173" s="97"/>
      <c r="BE173" s="1282" t="s">
        <v>366</v>
      </c>
      <c r="BF173" s="1282" t="s">
        <v>400</v>
      </c>
      <c r="BG173" s="1282" t="str">
        <f>IFERROR(INDEX('[9]Annex 2'!$J$110:$J$127,MATCH('[9]Annex 5'!BD175,'[9]Annex 2'!$G$110:$G$127,0)),"")</f>
        <v>MRD</v>
      </c>
      <c r="BH173" s="1565" t="str">
        <f t="shared" si="254"/>
        <v>MRD</v>
      </c>
      <c r="BI173" s="97"/>
    </row>
    <row r="174" spans="1:61" hidden="1">
      <c r="A174" s="75"/>
      <c r="B174" s="76" t="s">
        <v>25</v>
      </c>
      <c r="C174" s="76" t="s">
        <v>303</v>
      </c>
      <c r="D174" s="78"/>
      <c r="E174" s="97"/>
      <c r="F174" s="294" t="s">
        <v>1063</v>
      </c>
      <c r="G174" s="95"/>
      <c r="H174" s="782" t="s">
        <v>174</v>
      </c>
      <c r="I174" s="784">
        <v>2785</v>
      </c>
      <c r="J174" s="1322"/>
      <c r="K174" s="788">
        <v>0</v>
      </c>
      <c r="L174" s="79">
        <v>0</v>
      </c>
      <c r="M174" s="79">
        <v>0</v>
      </c>
      <c r="N174" s="79">
        <v>0</v>
      </c>
      <c r="O174" s="764">
        <f t="shared" si="281"/>
        <v>0</v>
      </c>
      <c r="P174" s="281">
        <f>K174*$I$174/1000</f>
        <v>0</v>
      </c>
      <c r="Q174" s="281">
        <f>L174*$I$174/1000</f>
        <v>0</v>
      </c>
      <c r="R174" s="281">
        <f>M174*$I$174/1000</f>
        <v>0</v>
      </c>
      <c r="S174" s="281">
        <f>N174*$I$174/1000</f>
        <v>0</v>
      </c>
      <c r="T174" s="80">
        <f t="shared" si="293"/>
        <v>0</v>
      </c>
      <c r="U174" s="812">
        <f>IFERROR(INDEX([8]Code!I$8:I$33,MATCH('[8]$MRD-Annex'!$BG185,[8]Code!$G$8:$G$33,0)),"")</f>
        <v>1</v>
      </c>
      <c r="V174" s="844">
        <f>IFERROR(INDEX([8]Code!J$8:J$33,MATCH('[8]$MRD-Annex'!$BG185,[8]Code!$G$8:$G$33,0)),"")</f>
        <v>0</v>
      </c>
      <c r="W174" s="844">
        <f>IFERROR(INDEX([8]Code!K$8:K$33,MATCH('[8]$MRD-Annex'!$BG185,[8]Code!$G$8:$G$33,0)),"")</f>
        <v>0</v>
      </c>
      <c r="X174" s="844">
        <f>IFERROR(INDEX([8]Code!L$8:L$33,MATCH('[8]$MRD-Annex'!$BG185,[8]Code!$G$8:$G$33,0)),"")</f>
        <v>0</v>
      </c>
      <c r="Y174" s="845">
        <f>IFERROR(INDEX([8]Code!M$8:M$33,MATCH('[8]$MRD-Annex'!$BG185,[8]Code!$G$8:$G$33,0)),"")</f>
        <v>0</v>
      </c>
      <c r="Z174" s="288">
        <f t="shared" si="282"/>
        <v>0</v>
      </c>
      <c r="AA174" s="287">
        <f t="shared" si="282"/>
        <v>0</v>
      </c>
      <c r="AB174" s="287">
        <f t="shared" si="282"/>
        <v>0</v>
      </c>
      <c r="AC174" s="287">
        <f t="shared" si="282"/>
        <v>0</v>
      </c>
      <c r="AD174" s="289">
        <f t="shared" si="283"/>
        <v>0</v>
      </c>
      <c r="AE174" s="288">
        <f t="shared" si="284"/>
        <v>0</v>
      </c>
      <c r="AF174" s="287">
        <f t="shared" si="284"/>
        <v>0</v>
      </c>
      <c r="AG174" s="287">
        <f t="shared" si="284"/>
        <v>0</v>
      </c>
      <c r="AH174" s="287">
        <f t="shared" si="284"/>
        <v>0</v>
      </c>
      <c r="AI174" s="289">
        <f t="shared" si="284"/>
        <v>0</v>
      </c>
      <c r="AJ174" s="287">
        <f t="shared" si="285"/>
        <v>0</v>
      </c>
      <c r="AK174" s="287">
        <f t="shared" si="285"/>
        <v>0</v>
      </c>
      <c r="AL174" s="287">
        <f t="shared" si="285"/>
        <v>0</v>
      </c>
      <c r="AM174" s="287">
        <f t="shared" si="285"/>
        <v>0</v>
      </c>
      <c r="AN174" s="837">
        <f t="shared" si="286"/>
        <v>0</v>
      </c>
      <c r="AO174" s="288">
        <f t="shared" si="287"/>
        <v>0</v>
      </c>
      <c r="AP174" s="287">
        <f t="shared" si="287"/>
        <v>0</v>
      </c>
      <c r="AQ174" s="287">
        <f t="shared" si="287"/>
        <v>0</v>
      </c>
      <c r="AR174" s="287">
        <f t="shared" si="287"/>
        <v>0</v>
      </c>
      <c r="AS174" s="152">
        <f t="shared" si="288"/>
        <v>0</v>
      </c>
      <c r="AT174" s="288">
        <f t="shared" si="289"/>
        <v>0</v>
      </c>
      <c r="AU174" s="287">
        <f t="shared" si="289"/>
        <v>0</v>
      </c>
      <c r="AV174" s="287">
        <f t="shared" si="289"/>
        <v>0</v>
      </c>
      <c r="AW174" s="287">
        <f t="shared" si="289"/>
        <v>0</v>
      </c>
      <c r="AX174" s="152">
        <f t="shared" si="290"/>
        <v>0</v>
      </c>
      <c r="AY174" s="88">
        <f t="shared" si="291"/>
        <v>0</v>
      </c>
      <c r="AZ174" s="358">
        <f t="shared" si="292"/>
        <v>0</v>
      </c>
      <c r="BA174" s="358">
        <f t="shared" si="292"/>
        <v>0</v>
      </c>
      <c r="BB174" s="358">
        <f t="shared" si="292"/>
        <v>0</v>
      </c>
      <c r="BC174" s="80">
        <f t="shared" si="292"/>
        <v>0</v>
      </c>
      <c r="BD174" s="97"/>
      <c r="BE174" s="1282" t="s">
        <v>366</v>
      </c>
      <c r="BF174" s="1282" t="s">
        <v>400</v>
      </c>
      <c r="BG174" s="1282" t="str">
        <f>IFERROR(INDEX('[9]Annex 2'!$J$110:$J$127,MATCH('[9]Annex 5'!BD176,'[9]Annex 2'!$G$110:$G$127,0)),"")</f>
        <v>MRD</v>
      </c>
      <c r="BH174" s="1565" t="str">
        <f t="shared" si="254"/>
        <v>MRD</v>
      </c>
      <c r="BI174" s="97"/>
    </row>
    <row r="175" spans="1:61" hidden="1">
      <c r="A175" s="75"/>
      <c r="B175" s="76" t="s">
        <v>25</v>
      </c>
      <c r="C175" s="76" t="s">
        <v>303</v>
      </c>
      <c r="D175" s="78"/>
      <c r="E175" s="97"/>
      <c r="F175" s="294" t="s">
        <v>1064</v>
      </c>
      <c r="G175" s="95"/>
      <c r="H175" s="782" t="s">
        <v>174</v>
      </c>
      <c r="I175" s="784">
        <v>2785</v>
      </c>
      <c r="J175" s="1322"/>
      <c r="K175" s="788">
        <v>0</v>
      </c>
      <c r="L175" s="79">
        <v>0</v>
      </c>
      <c r="M175" s="79">
        <v>0</v>
      </c>
      <c r="N175" s="79">
        <v>0</v>
      </c>
      <c r="O175" s="764">
        <f t="shared" si="281"/>
        <v>0</v>
      </c>
      <c r="P175" s="281">
        <f>K175*$I$175/1000</f>
        <v>0</v>
      </c>
      <c r="Q175" s="281">
        <f>L175*$I$175/1000</f>
        <v>0</v>
      </c>
      <c r="R175" s="281">
        <f>M175*$I$175/1000</f>
        <v>0</v>
      </c>
      <c r="S175" s="281">
        <f>N175*$I$175/1000</f>
        <v>0</v>
      </c>
      <c r="T175" s="80">
        <f t="shared" si="293"/>
        <v>0</v>
      </c>
      <c r="U175" s="812">
        <f>IFERROR(INDEX([8]Code!I$8:I$33,MATCH('[8]$MRD-Annex'!$BG186,[8]Code!$G$8:$G$33,0)),"")</f>
        <v>1</v>
      </c>
      <c r="V175" s="844">
        <f>IFERROR(INDEX([8]Code!J$8:J$33,MATCH('[8]$MRD-Annex'!$BG186,[8]Code!$G$8:$G$33,0)),"")</f>
        <v>0</v>
      </c>
      <c r="W175" s="844">
        <f>IFERROR(INDEX([8]Code!K$8:K$33,MATCH('[8]$MRD-Annex'!$BG186,[8]Code!$G$8:$G$33,0)),"")</f>
        <v>0</v>
      </c>
      <c r="X175" s="844">
        <f>IFERROR(INDEX([8]Code!L$8:L$33,MATCH('[8]$MRD-Annex'!$BG186,[8]Code!$G$8:$G$33,0)),"")</f>
        <v>0</v>
      </c>
      <c r="Y175" s="845">
        <f>IFERROR(INDEX([8]Code!M$8:M$33,MATCH('[8]$MRD-Annex'!$BG186,[8]Code!$G$8:$G$33,0)),"")</f>
        <v>0</v>
      </c>
      <c r="Z175" s="288">
        <f t="shared" si="282"/>
        <v>0</v>
      </c>
      <c r="AA175" s="287">
        <f t="shared" si="282"/>
        <v>0</v>
      </c>
      <c r="AB175" s="287">
        <f t="shared" si="282"/>
        <v>0</v>
      </c>
      <c r="AC175" s="287">
        <f t="shared" si="282"/>
        <v>0</v>
      </c>
      <c r="AD175" s="289">
        <f t="shared" si="283"/>
        <v>0</v>
      </c>
      <c r="AE175" s="288">
        <f t="shared" si="284"/>
        <v>0</v>
      </c>
      <c r="AF175" s="287">
        <f t="shared" si="284"/>
        <v>0</v>
      </c>
      <c r="AG175" s="287">
        <f t="shared" si="284"/>
        <v>0</v>
      </c>
      <c r="AH175" s="287">
        <f t="shared" si="284"/>
        <v>0</v>
      </c>
      <c r="AI175" s="289">
        <f t="shared" si="284"/>
        <v>0</v>
      </c>
      <c r="AJ175" s="287">
        <f t="shared" si="285"/>
        <v>0</v>
      </c>
      <c r="AK175" s="287">
        <f t="shared" si="285"/>
        <v>0</v>
      </c>
      <c r="AL175" s="287">
        <f t="shared" si="285"/>
        <v>0</v>
      </c>
      <c r="AM175" s="287">
        <f t="shared" si="285"/>
        <v>0</v>
      </c>
      <c r="AN175" s="837">
        <f t="shared" si="286"/>
        <v>0</v>
      </c>
      <c r="AO175" s="288">
        <f t="shared" si="287"/>
        <v>0</v>
      </c>
      <c r="AP175" s="287">
        <f t="shared" si="287"/>
        <v>0</v>
      </c>
      <c r="AQ175" s="287">
        <f t="shared" si="287"/>
        <v>0</v>
      </c>
      <c r="AR175" s="287">
        <f t="shared" si="287"/>
        <v>0</v>
      </c>
      <c r="AS175" s="152">
        <f t="shared" si="288"/>
        <v>0</v>
      </c>
      <c r="AT175" s="288">
        <f t="shared" si="289"/>
        <v>0</v>
      </c>
      <c r="AU175" s="287">
        <f t="shared" si="289"/>
        <v>0</v>
      </c>
      <c r="AV175" s="287">
        <f t="shared" si="289"/>
        <v>0</v>
      </c>
      <c r="AW175" s="287">
        <f t="shared" si="289"/>
        <v>0</v>
      </c>
      <c r="AX175" s="152">
        <f t="shared" si="290"/>
        <v>0</v>
      </c>
      <c r="AY175" s="88">
        <f t="shared" si="291"/>
        <v>0</v>
      </c>
      <c r="AZ175" s="358">
        <f t="shared" si="292"/>
        <v>0</v>
      </c>
      <c r="BA175" s="358">
        <f t="shared" si="292"/>
        <v>0</v>
      </c>
      <c r="BB175" s="358">
        <f t="shared" si="292"/>
        <v>0</v>
      </c>
      <c r="BC175" s="80">
        <f t="shared" si="292"/>
        <v>0</v>
      </c>
      <c r="BD175" s="97"/>
      <c r="BE175" s="1282" t="s">
        <v>366</v>
      </c>
      <c r="BF175" s="1282" t="s">
        <v>400</v>
      </c>
      <c r="BG175" s="1282" t="str">
        <f>IFERROR(INDEX('[9]Annex 2'!$J$110:$J$127,MATCH('[9]Annex 5'!BD177,'[9]Annex 2'!$G$110:$G$127,0)),"")</f>
        <v>MRD</v>
      </c>
      <c r="BH175" s="1565" t="str">
        <f t="shared" si="254"/>
        <v>MRD</v>
      </c>
      <c r="BI175" s="97"/>
    </row>
    <row r="176" spans="1:61" hidden="1">
      <c r="A176" s="75"/>
      <c r="B176" s="76" t="s">
        <v>25</v>
      </c>
      <c r="C176" s="76" t="s">
        <v>303</v>
      </c>
      <c r="D176" s="78"/>
      <c r="E176" s="97"/>
      <c r="F176" s="294" t="s">
        <v>1065</v>
      </c>
      <c r="G176" s="95"/>
      <c r="H176" s="782" t="s">
        <v>174</v>
      </c>
      <c r="I176" s="784">
        <v>2785</v>
      </c>
      <c r="J176" s="1322"/>
      <c r="K176" s="788">
        <v>0</v>
      </c>
      <c r="L176" s="79">
        <v>0</v>
      </c>
      <c r="M176" s="79">
        <v>0</v>
      </c>
      <c r="N176" s="79">
        <v>0</v>
      </c>
      <c r="O176" s="764">
        <f t="shared" si="281"/>
        <v>0</v>
      </c>
      <c r="P176" s="281">
        <f>K176*$I$176/1000</f>
        <v>0</v>
      </c>
      <c r="Q176" s="281">
        <f>L176*$I$176/1000</f>
        <v>0</v>
      </c>
      <c r="R176" s="281">
        <f>M176*$I$176/1000</f>
        <v>0</v>
      </c>
      <c r="S176" s="281">
        <f>N176*$I$176/1000</f>
        <v>0</v>
      </c>
      <c r="T176" s="80">
        <f t="shared" si="293"/>
        <v>0</v>
      </c>
      <c r="U176" s="812">
        <f>IFERROR(INDEX([8]Code!I$8:I$33,MATCH('[8]$MRD-Annex'!$BG187,[8]Code!$G$8:$G$33,0)),"")</f>
        <v>1</v>
      </c>
      <c r="V176" s="844">
        <f>IFERROR(INDEX([8]Code!J$8:J$33,MATCH('[8]$MRD-Annex'!$BG187,[8]Code!$G$8:$G$33,0)),"")</f>
        <v>0</v>
      </c>
      <c r="W176" s="844">
        <f>IFERROR(INDEX([8]Code!K$8:K$33,MATCH('[8]$MRD-Annex'!$BG187,[8]Code!$G$8:$G$33,0)),"")</f>
        <v>0</v>
      </c>
      <c r="X176" s="844">
        <f>IFERROR(INDEX([8]Code!L$8:L$33,MATCH('[8]$MRD-Annex'!$BG187,[8]Code!$G$8:$G$33,0)),"")</f>
        <v>0</v>
      </c>
      <c r="Y176" s="845">
        <f>IFERROR(INDEX([8]Code!M$8:M$33,MATCH('[8]$MRD-Annex'!$BG187,[8]Code!$G$8:$G$33,0)),"")</f>
        <v>0</v>
      </c>
      <c r="Z176" s="288">
        <f t="shared" si="282"/>
        <v>0</v>
      </c>
      <c r="AA176" s="287">
        <f t="shared" si="282"/>
        <v>0</v>
      </c>
      <c r="AB176" s="287">
        <f t="shared" si="282"/>
        <v>0</v>
      </c>
      <c r="AC176" s="287">
        <f t="shared" si="282"/>
        <v>0</v>
      </c>
      <c r="AD176" s="289">
        <f t="shared" si="283"/>
        <v>0</v>
      </c>
      <c r="AE176" s="288">
        <f t="shared" si="284"/>
        <v>0</v>
      </c>
      <c r="AF176" s="287">
        <f t="shared" si="284"/>
        <v>0</v>
      </c>
      <c r="AG176" s="287">
        <f t="shared" si="284"/>
        <v>0</v>
      </c>
      <c r="AH176" s="287">
        <f t="shared" si="284"/>
        <v>0</v>
      </c>
      <c r="AI176" s="289">
        <f t="shared" si="284"/>
        <v>0</v>
      </c>
      <c r="AJ176" s="287">
        <f t="shared" si="285"/>
        <v>0</v>
      </c>
      <c r="AK176" s="287">
        <f t="shared" si="285"/>
        <v>0</v>
      </c>
      <c r="AL176" s="287">
        <f t="shared" si="285"/>
        <v>0</v>
      </c>
      <c r="AM176" s="287">
        <f t="shared" si="285"/>
        <v>0</v>
      </c>
      <c r="AN176" s="837">
        <f t="shared" si="286"/>
        <v>0</v>
      </c>
      <c r="AO176" s="288">
        <f t="shared" si="287"/>
        <v>0</v>
      </c>
      <c r="AP176" s="287">
        <f t="shared" si="287"/>
        <v>0</v>
      </c>
      <c r="AQ176" s="287">
        <f t="shared" si="287"/>
        <v>0</v>
      </c>
      <c r="AR176" s="287">
        <f t="shared" si="287"/>
        <v>0</v>
      </c>
      <c r="AS176" s="152">
        <f t="shared" si="288"/>
        <v>0</v>
      </c>
      <c r="AT176" s="288">
        <f t="shared" si="289"/>
        <v>0</v>
      </c>
      <c r="AU176" s="287">
        <f t="shared" si="289"/>
        <v>0</v>
      </c>
      <c r="AV176" s="287">
        <f t="shared" si="289"/>
        <v>0</v>
      </c>
      <c r="AW176" s="287">
        <f t="shared" si="289"/>
        <v>0</v>
      </c>
      <c r="AX176" s="152">
        <f t="shared" si="290"/>
        <v>0</v>
      </c>
      <c r="AY176" s="88">
        <f t="shared" si="291"/>
        <v>0</v>
      </c>
      <c r="AZ176" s="358">
        <f t="shared" si="292"/>
        <v>0</v>
      </c>
      <c r="BA176" s="358">
        <f t="shared" si="292"/>
        <v>0</v>
      </c>
      <c r="BB176" s="358">
        <f t="shared" si="292"/>
        <v>0</v>
      </c>
      <c r="BC176" s="80">
        <f t="shared" si="292"/>
        <v>0</v>
      </c>
      <c r="BD176" s="97"/>
      <c r="BE176" s="1282" t="s">
        <v>366</v>
      </c>
      <c r="BF176" s="1282" t="s">
        <v>400</v>
      </c>
      <c r="BG176" s="1282" t="str">
        <f>IFERROR(INDEX('[9]Annex 2'!$J$110:$J$127,MATCH('[9]Annex 5'!BD178,'[9]Annex 2'!$G$110:$G$127,0)),"")</f>
        <v>MRD</v>
      </c>
      <c r="BH176" s="1565" t="str">
        <f t="shared" si="254"/>
        <v>MRD</v>
      </c>
      <c r="BI176" s="97"/>
    </row>
    <row r="177" spans="1:61" hidden="1">
      <c r="A177" s="75"/>
      <c r="B177" s="76" t="s">
        <v>25</v>
      </c>
      <c r="C177" s="76" t="s">
        <v>303</v>
      </c>
      <c r="D177" s="78"/>
      <c r="E177" s="97"/>
      <c r="F177" s="294" t="s">
        <v>1066</v>
      </c>
      <c r="G177" s="95"/>
      <c r="H177" s="782" t="s">
        <v>174</v>
      </c>
      <c r="I177" s="784">
        <v>2785</v>
      </c>
      <c r="J177" s="1322"/>
      <c r="K177" s="788">
        <v>0</v>
      </c>
      <c r="L177" s="79">
        <v>0</v>
      </c>
      <c r="M177" s="79">
        <v>0</v>
      </c>
      <c r="N177" s="79">
        <v>0</v>
      </c>
      <c r="O177" s="764">
        <f t="shared" si="281"/>
        <v>0</v>
      </c>
      <c r="P177" s="281">
        <f>K177*$I$177/1000</f>
        <v>0</v>
      </c>
      <c r="Q177" s="281">
        <f>L177*$I$177/1000</f>
        <v>0</v>
      </c>
      <c r="R177" s="281">
        <f>M177*$I$177/1000</f>
        <v>0</v>
      </c>
      <c r="S177" s="281">
        <f>N177*$I$177/1000</f>
        <v>0</v>
      </c>
      <c r="T177" s="80">
        <f t="shared" si="293"/>
        <v>0</v>
      </c>
      <c r="U177" s="812">
        <f>IFERROR(INDEX([8]Code!I$8:I$33,MATCH('[8]$MRD-Annex'!$BG188,[8]Code!$G$8:$G$33,0)),"")</f>
        <v>1</v>
      </c>
      <c r="V177" s="844">
        <f>IFERROR(INDEX([8]Code!J$8:J$33,MATCH('[8]$MRD-Annex'!$BG188,[8]Code!$G$8:$G$33,0)),"")</f>
        <v>0</v>
      </c>
      <c r="W177" s="844">
        <f>IFERROR(INDEX([8]Code!K$8:K$33,MATCH('[8]$MRD-Annex'!$BG188,[8]Code!$G$8:$G$33,0)),"")</f>
        <v>0</v>
      </c>
      <c r="X177" s="844">
        <f>IFERROR(INDEX([8]Code!L$8:L$33,MATCH('[8]$MRD-Annex'!$BG188,[8]Code!$G$8:$G$33,0)),"")</f>
        <v>0</v>
      </c>
      <c r="Y177" s="845">
        <f>IFERROR(INDEX([8]Code!M$8:M$33,MATCH('[8]$MRD-Annex'!$BG188,[8]Code!$G$8:$G$33,0)),"")</f>
        <v>0</v>
      </c>
      <c r="Z177" s="288">
        <f t="shared" si="282"/>
        <v>0</v>
      </c>
      <c r="AA177" s="287">
        <f t="shared" si="282"/>
        <v>0</v>
      </c>
      <c r="AB177" s="287">
        <f t="shared" si="282"/>
        <v>0</v>
      </c>
      <c r="AC177" s="287">
        <f t="shared" si="282"/>
        <v>0</v>
      </c>
      <c r="AD177" s="289">
        <f t="shared" si="283"/>
        <v>0</v>
      </c>
      <c r="AE177" s="288">
        <f t="shared" si="284"/>
        <v>0</v>
      </c>
      <c r="AF177" s="287">
        <f t="shared" si="284"/>
        <v>0</v>
      </c>
      <c r="AG177" s="287">
        <f t="shared" si="284"/>
        <v>0</v>
      </c>
      <c r="AH177" s="287">
        <f t="shared" si="284"/>
        <v>0</v>
      </c>
      <c r="AI177" s="289">
        <f t="shared" si="284"/>
        <v>0</v>
      </c>
      <c r="AJ177" s="287">
        <f t="shared" si="285"/>
        <v>0</v>
      </c>
      <c r="AK177" s="287">
        <f t="shared" si="285"/>
        <v>0</v>
      </c>
      <c r="AL177" s="287">
        <f t="shared" si="285"/>
        <v>0</v>
      </c>
      <c r="AM177" s="287">
        <f t="shared" si="285"/>
        <v>0</v>
      </c>
      <c r="AN177" s="837">
        <f t="shared" si="286"/>
        <v>0</v>
      </c>
      <c r="AO177" s="288">
        <f t="shared" si="287"/>
        <v>0</v>
      </c>
      <c r="AP177" s="287">
        <f t="shared" si="287"/>
        <v>0</v>
      </c>
      <c r="AQ177" s="287">
        <f t="shared" si="287"/>
        <v>0</v>
      </c>
      <c r="AR177" s="287">
        <f t="shared" si="287"/>
        <v>0</v>
      </c>
      <c r="AS177" s="152">
        <f t="shared" si="288"/>
        <v>0</v>
      </c>
      <c r="AT177" s="288">
        <f t="shared" si="289"/>
        <v>0</v>
      </c>
      <c r="AU177" s="287">
        <f t="shared" si="289"/>
        <v>0</v>
      </c>
      <c r="AV177" s="287">
        <f t="shared" si="289"/>
        <v>0</v>
      </c>
      <c r="AW177" s="287">
        <f t="shared" si="289"/>
        <v>0</v>
      </c>
      <c r="AX177" s="152">
        <f t="shared" si="290"/>
        <v>0</v>
      </c>
      <c r="AY177" s="88">
        <f t="shared" si="291"/>
        <v>0</v>
      </c>
      <c r="AZ177" s="358">
        <f t="shared" si="292"/>
        <v>0</v>
      </c>
      <c r="BA177" s="358">
        <f t="shared" si="292"/>
        <v>0</v>
      </c>
      <c r="BB177" s="358">
        <f t="shared" si="292"/>
        <v>0</v>
      </c>
      <c r="BC177" s="80">
        <f t="shared" si="292"/>
        <v>0</v>
      </c>
      <c r="BD177" s="97"/>
      <c r="BE177" s="1282" t="s">
        <v>366</v>
      </c>
      <c r="BF177" s="1282" t="s">
        <v>400</v>
      </c>
      <c r="BG177" s="1282" t="str">
        <f>IFERROR(INDEX('[9]Annex 2'!$J$110:$J$127,MATCH('[9]Annex 5'!BD179,'[9]Annex 2'!$G$110:$G$127,0)),"")</f>
        <v>MRD</v>
      </c>
      <c r="BH177" s="1565" t="str">
        <f t="shared" si="254"/>
        <v>MRD</v>
      </c>
      <c r="BI177" s="97"/>
    </row>
    <row r="178" spans="1:61" hidden="1">
      <c r="A178" s="75"/>
      <c r="B178" s="76"/>
      <c r="C178" s="76"/>
      <c r="D178" s="78"/>
      <c r="E178" s="97"/>
      <c r="F178" s="294" t="s">
        <v>145</v>
      </c>
      <c r="G178" s="95"/>
      <c r="H178" s="96" t="s">
        <v>14</v>
      </c>
      <c r="I178" s="784"/>
      <c r="J178" s="1322"/>
      <c r="K178" s="1322"/>
      <c r="L178" s="73"/>
      <c r="M178" s="56"/>
      <c r="N178" s="56"/>
      <c r="O178" s="1595"/>
      <c r="P178" s="281">
        <f t="shared" ref="P178" si="295">T178/4</f>
        <v>0</v>
      </c>
      <c r="Q178" s="281">
        <f t="shared" ref="Q178" si="296">T178/4</f>
        <v>0</v>
      </c>
      <c r="R178" s="281">
        <f t="shared" ref="R178" si="297">T178/4</f>
        <v>0</v>
      </c>
      <c r="S178" s="281">
        <f t="shared" ref="S178" si="298">T178/4</f>
        <v>0</v>
      </c>
      <c r="T178" s="80">
        <v>0</v>
      </c>
      <c r="U178" s="812">
        <f>IFERROR(INDEX([8]Code!I$8:I$33,MATCH('[8]$MRD-Annex'!$BG189,[8]Code!$G$8:$G$33,0)),"")</f>
        <v>1</v>
      </c>
      <c r="V178" s="844">
        <f>IFERROR(INDEX([8]Code!J$8:J$33,MATCH('[8]$MRD-Annex'!$BG189,[8]Code!$G$8:$G$33,0)),"")</f>
        <v>0</v>
      </c>
      <c r="W178" s="844">
        <f>IFERROR(INDEX([8]Code!K$8:K$33,MATCH('[8]$MRD-Annex'!$BG189,[8]Code!$G$8:$G$33,0)),"")</f>
        <v>0</v>
      </c>
      <c r="X178" s="844">
        <f>IFERROR(INDEX([8]Code!L$8:L$33,MATCH('[8]$MRD-Annex'!$BG189,[8]Code!$G$8:$G$33,0)),"")</f>
        <v>0</v>
      </c>
      <c r="Y178" s="845">
        <f>IFERROR(INDEX([8]Code!M$8:M$33,MATCH('[8]$MRD-Annex'!$BG189,[8]Code!$G$8:$G$33,0)),"")</f>
        <v>0</v>
      </c>
      <c r="Z178" s="288">
        <f t="shared" si="282"/>
        <v>0</v>
      </c>
      <c r="AA178" s="287">
        <f t="shared" si="282"/>
        <v>0</v>
      </c>
      <c r="AB178" s="287">
        <f t="shared" si="282"/>
        <v>0</v>
      </c>
      <c r="AC178" s="287">
        <f t="shared" si="282"/>
        <v>0</v>
      </c>
      <c r="AD178" s="289">
        <f t="shared" si="283"/>
        <v>0</v>
      </c>
      <c r="AE178" s="288">
        <f t="shared" si="284"/>
        <v>0</v>
      </c>
      <c r="AF178" s="287">
        <f t="shared" si="284"/>
        <v>0</v>
      </c>
      <c r="AG178" s="287">
        <f t="shared" si="284"/>
        <v>0</v>
      </c>
      <c r="AH178" s="287">
        <f t="shared" si="284"/>
        <v>0</v>
      </c>
      <c r="AI178" s="289">
        <f t="shared" si="284"/>
        <v>0</v>
      </c>
      <c r="AJ178" s="287">
        <f t="shared" si="285"/>
        <v>0</v>
      </c>
      <c r="AK178" s="287">
        <f t="shared" si="285"/>
        <v>0</v>
      </c>
      <c r="AL178" s="287">
        <f t="shared" si="285"/>
        <v>0</v>
      </c>
      <c r="AM178" s="287">
        <f t="shared" si="285"/>
        <v>0</v>
      </c>
      <c r="AN178" s="837">
        <f t="shared" si="286"/>
        <v>0</v>
      </c>
      <c r="AO178" s="288">
        <f t="shared" si="287"/>
        <v>0</v>
      </c>
      <c r="AP178" s="287">
        <f t="shared" si="287"/>
        <v>0</v>
      </c>
      <c r="AQ178" s="287">
        <f t="shared" si="287"/>
        <v>0</v>
      </c>
      <c r="AR178" s="287">
        <f t="shared" si="287"/>
        <v>0</v>
      </c>
      <c r="AS178" s="152">
        <f t="shared" si="288"/>
        <v>0</v>
      </c>
      <c r="AT178" s="288">
        <f t="shared" si="289"/>
        <v>0</v>
      </c>
      <c r="AU178" s="287">
        <f t="shared" si="289"/>
        <v>0</v>
      </c>
      <c r="AV178" s="287">
        <f t="shared" si="289"/>
        <v>0</v>
      </c>
      <c r="AW178" s="287">
        <f t="shared" si="289"/>
        <v>0</v>
      </c>
      <c r="AX178" s="152">
        <f t="shared" si="290"/>
        <v>0</v>
      </c>
      <c r="AY178" s="88">
        <f t="shared" si="291"/>
        <v>0</v>
      </c>
      <c r="AZ178" s="358">
        <f t="shared" si="292"/>
        <v>0</v>
      </c>
      <c r="BA178" s="358">
        <f t="shared" si="292"/>
        <v>0</v>
      </c>
      <c r="BB178" s="358">
        <f t="shared" si="292"/>
        <v>0</v>
      </c>
      <c r="BC178" s="80">
        <f t="shared" si="292"/>
        <v>0</v>
      </c>
      <c r="BD178" s="97"/>
      <c r="BE178" s="1282" t="s">
        <v>366</v>
      </c>
      <c r="BF178" s="1282" t="s">
        <v>400</v>
      </c>
      <c r="BG178" s="1282" t="str">
        <f>IFERROR(INDEX('[9]Annex 2'!$J$110:$J$127,MATCH('[9]Annex 5'!BD180,'[9]Annex 2'!$G$110:$G$127,0)),"")</f>
        <v>MRD</v>
      </c>
      <c r="BH178" s="1565" t="str">
        <f t="shared" si="254"/>
        <v>MRD</v>
      </c>
      <c r="BI178" s="97"/>
    </row>
    <row r="179" spans="1:61" hidden="1">
      <c r="A179" s="75"/>
      <c r="B179" s="1267"/>
      <c r="C179" s="1267"/>
      <c r="D179" s="382"/>
      <c r="E179" s="383" t="s">
        <v>41</v>
      </c>
      <c r="F179" s="384"/>
      <c r="G179" s="385"/>
      <c r="H179" s="775" t="s">
        <v>14</v>
      </c>
      <c r="I179" s="776"/>
      <c r="J179" s="1638"/>
      <c r="K179" s="791"/>
      <c r="L179" s="386"/>
      <c r="M179" s="839"/>
      <c r="N179" s="840"/>
      <c r="O179" s="388"/>
      <c r="P179" s="387">
        <f>SUM(P157:P178)</f>
        <v>0</v>
      </c>
      <c r="Q179" s="387">
        <f t="shared" ref="Q179:S179" si="299">SUM(Q157:Q178)</f>
        <v>0</v>
      </c>
      <c r="R179" s="387">
        <f t="shared" si="299"/>
        <v>0</v>
      </c>
      <c r="S179" s="387">
        <f t="shared" si="299"/>
        <v>0</v>
      </c>
      <c r="T179" s="388">
        <f>SUM(T157:T178)</f>
        <v>0</v>
      </c>
      <c r="U179" s="813" t="str">
        <f>IFERROR(INDEX([8]Code!I$8:I$33,MATCH('[8]$MRD-Annex'!$BG190,[8]Code!$G$8:$G$33,0)),"")</f>
        <v/>
      </c>
      <c r="V179" s="846" t="str">
        <f>IFERROR(INDEX([8]Code!J$8:J$33,MATCH('[8]$MRD-Annex'!$BG190,[8]Code!$G$8:$G$33,0)),"")</f>
        <v/>
      </c>
      <c r="W179" s="846" t="str">
        <f>IFERROR(INDEX([8]Code!K$8:K$33,MATCH('[8]$MRD-Annex'!$BG190,[8]Code!$G$8:$G$33,0)),"")</f>
        <v/>
      </c>
      <c r="X179" s="846" t="str">
        <f>IFERROR(INDEX([8]Code!L$8:L$33,MATCH('[8]$MRD-Annex'!$BG190,[8]Code!$G$8:$G$33,0)),"")</f>
        <v/>
      </c>
      <c r="Y179" s="847" t="str">
        <f>IFERROR(INDEX([8]Code!M$8:M$33,MATCH('[8]$MRD-Annex'!$BG190,[8]Code!$G$8:$G$33,0)),"")</f>
        <v/>
      </c>
      <c r="Z179" s="390">
        <f>SUM(Z157:Z178)</f>
        <v>0</v>
      </c>
      <c r="AA179" s="389">
        <f>SUM(AA157:AA178)</f>
        <v>0</v>
      </c>
      <c r="AB179" s="389">
        <f t="shared" ref="AB179:AD179" si="300">SUM(AB157:AB178)</f>
        <v>0</v>
      </c>
      <c r="AC179" s="389">
        <f t="shared" si="300"/>
        <v>0</v>
      </c>
      <c r="AD179" s="391">
        <f t="shared" si="300"/>
        <v>0</v>
      </c>
      <c r="AE179" s="390"/>
      <c r="AF179" s="389"/>
      <c r="AG179" s="389"/>
      <c r="AH179" s="389"/>
      <c r="AI179" s="391"/>
      <c r="AJ179" s="389"/>
      <c r="AK179" s="389"/>
      <c r="AL179" s="389"/>
      <c r="AM179" s="389"/>
      <c r="AN179" s="393"/>
      <c r="AO179" s="390"/>
      <c r="AP179" s="389"/>
      <c r="AQ179" s="389"/>
      <c r="AR179" s="389"/>
      <c r="AS179" s="838"/>
      <c r="AT179" s="382"/>
      <c r="AU179" s="383"/>
      <c r="AV179" s="383"/>
      <c r="AW179" s="383"/>
      <c r="AX179" s="838"/>
      <c r="AY179" s="392">
        <f>SUM(AY157:AY178)</f>
        <v>0</v>
      </c>
      <c r="AZ179" s="393">
        <f t="shared" ref="AZ179:BC179" si="301">SUM(AZ157:AZ178)</f>
        <v>0</v>
      </c>
      <c r="BA179" s="393">
        <f t="shared" si="301"/>
        <v>0</v>
      </c>
      <c r="BB179" s="393">
        <f t="shared" si="301"/>
        <v>0</v>
      </c>
      <c r="BC179" s="388">
        <f t="shared" si="301"/>
        <v>0</v>
      </c>
      <c r="BD179" s="97"/>
      <c r="BE179" s="1282"/>
      <c r="BF179" s="1282"/>
      <c r="BG179" s="1282">
        <f>IFERROR(INDEX('[9]Annex 2'!$J$110:$J$127,MATCH('[9]Annex 5'!BD181,'[9]Annex 2'!$G$110:$G$127,0)),"")</f>
        <v>0</v>
      </c>
      <c r="BH179" s="1565" t="str">
        <f t="shared" si="254"/>
        <v>0</v>
      </c>
      <c r="BI179" s="97"/>
    </row>
    <row r="180" spans="1:61" hidden="1">
      <c r="A180" s="75"/>
      <c r="B180" s="76"/>
      <c r="C180" s="76"/>
      <c r="D180" s="78"/>
      <c r="E180" s="97" t="s">
        <v>1067</v>
      </c>
      <c r="F180" s="294"/>
      <c r="G180" s="284"/>
      <c r="H180" s="96" t="s">
        <v>14</v>
      </c>
      <c r="I180" s="784"/>
      <c r="J180" s="1322"/>
      <c r="K180" s="1322"/>
      <c r="L180" s="73"/>
      <c r="M180" s="56"/>
      <c r="N180" s="56"/>
      <c r="O180" s="1595"/>
      <c r="P180" s="281"/>
      <c r="Q180" s="281"/>
      <c r="R180" s="281"/>
      <c r="S180" s="281"/>
      <c r="T180" s="80"/>
      <c r="U180" s="812" t="str">
        <f>IFERROR(INDEX([8]Code!I$8:I$33,MATCH('[8]$MRD-Annex'!$BG191,[8]Code!$G$8:$G$33,0)),"")</f>
        <v/>
      </c>
      <c r="V180" s="844" t="str">
        <f>IFERROR(INDEX([8]Code!J$8:J$33,MATCH('[8]$MRD-Annex'!$BG191,[8]Code!$G$8:$G$33,0)),"")</f>
        <v/>
      </c>
      <c r="W180" s="844" t="str">
        <f>IFERROR(INDEX([8]Code!K$8:K$33,MATCH('[8]$MRD-Annex'!$BG191,[8]Code!$G$8:$G$33,0)),"")</f>
        <v/>
      </c>
      <c r="X180" s="844" t="str">
        <f>IFERROR(INDEX([8]Code!L$8:L$33,MATCH('[8]$MRD-Annex'!$BG191,[8]Code!$G$8:$G$33,0)),"")</f>
        <v/>
      </c>
      <c r="Y180" s="845" t="str">
        <f>IFERROR(INDEX([8]Code!M$8:M$33,MATCH('[8]$MRD-Annex'!$BG191,[8]Code!$G$8:$G$33,0)),"")</f>
        <v/>
      </c>
      <c r="Z180" s="288"/>
      <c r="AA180" s="287"/>
      <c r="AB180" s="287"/>
      <c r="AC180" s="287"/>
      <c r="AD180" s="289"/>
      <c r="AE180" s="86"/>
      <c r="AF180" s="82"/>
      <c r="AG180" s="82"/>
      <c r="AH180" s="82"/>
      <c r="AI180" s="83"/>
      <c r="AJ180" s="82"/>
      <c r="AK180" s="82"/>
      <c r="AL180" s="82"/>
      <c r="AM180" s="82"/>
      <c r="AN180" s="82"/>
      <c r="AO180" s="86"/>
      <c r="AP180" s="82"/>
      <c r="AQ180" s="82"/>
      <c r="AR180" s="82"/>
      <c r="AS180" s="83"/>
      <c r="AT180" s="86"/>
      <c r="AU180" s="82"/>
      <c r="AV180" s="82"/>
      <c r="AW180" s="82"/>
      <c r="AX180" s="83"/>
      <c r="AY180" s="88"/>
      <c r="AZ180" s="358"/>
      <c r="BA180" s="358"/>
      <c r="BB180" s="358"/>
      <c r="BC180" s="1596"/>
      <c r="BD180" s="97"/>
      <c r="BE180" s="1282"/>
      <c r="BF180" s="1282"/>
      <c r="BG180" s="1282">
        <f>IFERROR(INDEX('[9]Annex 2'!$J$110:$J$127,MATCH('[9]Annex 5'!BD182,'[9]Annex 2'!$G$110:$G$127,0)),"")</f>
        <v>0</v>
      </c>
      <c r="BH180" s="1565" t="str">
        <f t="shared" si="254"/>
        <v>0</v>
      </c>
      <c r="BI180" s="97"/>
    </row>
    <row r="181" spans="1:61" hidden="1">
      <c r="A181" s="75"/>
      <c r="B181" s="76" t="s">
        <v>25</v>
      </c>
      <c r="C181" s="76" t="s">
        <v>273</v>
      </c>
      <c r="D181" s="78"/>
      <c r="E181" s="97"/>
      <c r="F181" s="294" t="s">
        <v>275</v>
      </c>
      <c r="G181" s="284"/>
      <c r="H181" s="782" t="s">
        <v>174</v>
      </c>
      <c r="I181" s="784">
        <v>17000</v>
      </c>
      <c r="J181" s="1322"/>
      <c r="K181" s="788">
        <v>0</v>
      </c>
      <c r="L181" s="79">
        <v>0</v>
      </c>
      <c r="M181" s="79">
        <v>0</v>
      </c>
      <c r="N181" s="79">
        <v>0</v>
      </c>
      <c r="O181" s="764">
        <f>SUM(K181:N181)</f>
        <v>0</v>
      </c>
      <c r="P181" s="281">
        <f>K181*$I$181/1000</f>
        <v>0</v>
      </c>
      <c r="Q181" s="281">
        <f>L181*$I$181/1000</f>
        <v>0</v>
      </c>
      <c r="R181" s="281">
        <f>M181*$I$181/1000</f>
        <v>0</v>
      </c>
      <c r="S181" s="281">
        <f>N181*$I$181/1000</f>
        <v>0</v>
      </c>
      <c r="T181" s="80">
        <f>SUM(P181:S181)</f>
        <v>0</v>
      </c>
      <c r="U181" s="812">
        <f>IFERROR(INDEX([8]Code!I$8:I$33,MATCH('[8]$MRD-Annex'!$BG192,[8]Code!$G$8:$G$33,0)),"")</f>
        <v>1</v>
      </c>
      <c r="V181" s="844">
        <f>IFERROR(INDEX([8]Code!J$8:J$33,MATCH('[8]$MRD-Annex'!$BG192,[8]Code!$G$8:$G$33,0)),"")</f>
        <v>0</v>
      </c>
      <c r="W181" s="844">
        <f>IFERROR(INDEX([8]Code!K$8:K$33,MATCH('[8]$MRD-Annex'!$BG192,[8]Code!$G$8:$G$33,0)),"")</f>
        <v>0</v>
      </c>
      <c r="X181" s="844">
        <f>IFERROR(INDEX([8]Code!L$8:L$33,MATCH('[8]$MRD-Annex'!$BG192,[8]Code!$G$8:$G$33,0)),"")</f>
        <v>0</v>
      </c>
      <c r="Y181" s="845">
        <f>IFERROR(INDEX([8]Code!M$8:M$33,MATCH('[8]$MRD-Annex'!$BG192,[8]Code!$G$8:$G$33,0)),"")</f>
        <v>0</v>
      </c>
      <c r="Z181" s="288">
        <f t="shared" ref="Z181:AC198" si="302">P181*$U181</f>
        <v>0</v>
      </c>
      <c r="AA181" s="287">
        <f t="shared" si="302"/>
        <v>0</v>
      </c>
      <c r="AB181" s="287">
        <f t="shared" si="302"/>
        <v>0</v>
      </c>
      <c r="AC181" s="287">
        <f t="shared" si="302"/>
        <v>0</v>
      </c>
      <c r="AD181" s="289">
        <f t="shared" ref="AD181:AD198" si="303">SUM(Z181:AC181)</f>
        <v>0</v>
      </c>
      <c r="AE181" s="288">
        <f t="shared" ref="AE181:AI198" si="304">P181*$V181</f>
        <v>0</v>
      </c>
      <c r="AF181" s="287">
        <f t="shared" si="304"/>
        <v>0</v>
      </c>
      <c r="AG181" s="287">
        <f t="shared" si="304"/>
        <v>0</v>
      </c>
      <c r="AH181" s="287">
        <f t="shared" si="304"/>
        <v>0</v>
      </c>
      <c r="AI181" s="289">
        <f t="shared" si="304"/>
        <v>0</v>
      </c>
      <c r="AJ181" s="287">
        <f t="shared" ref="AJ181:AM198" si="305">P181*$W181</f>
        <v>0</v>
      </c>
      <c r="AK181" s="287">
        <f t="shared" si="305"/>
        <v>0</v>
      </c>
      <c r="AL181" s="287">
        <f t="shared" si="305"/>
        <v>0</v>
      </c>
      <c r="AM181" s="287">
        <f t="shared" si="305"/>
        <v>0</v>
      </c>
      <c r="AN181" s="837">
        <f t="shared" ref="AN181:AN198" si="306">SUM(AJ181:AM181)</f>
        <v>0</v>
      </c>
      <c r="AO181" s="288">
        <f t="shared" ref="AO181:AR198" si="307">P181*$X181</f>
        <v>0</v>
      </c>
      <c r="AP181" s="287">
        <f t="shared" si="307"/>
        <v>0</v>
      </c>
      <c r="AQ181" s="287">
        <f t="shared" si="307"/>
        <v>0</v>
      </c>
      <c r="AR181" s="287">
        <f t="shared" si="307"/>
        <v>0</v>
      </c>
      <c r="AS181" s="152">
        <f t="shared" ref="AS181:AS198" si="308">SUM(AO181:AR181)</f>
        <v>0</v>
      </c>
      <c r="AT181" s="288">
        <f t="shared" ref="AT181:AW198" si="309">P181*$Y181</f>
        <v>0</v>
      </c>
      <c r="AU181" s="287">
        <f t="shared" si="309"/>
        <v>0</v>
      </c>
      <c r="AV181" s="287">
        <f t="shared" si="309"/>
        <v>0</v>
      </c>
      <c r="AW181" s="287">
        <f t="shared" si="309"/>
        <v>0</v>
      </c>
      <c r="AX181" s="152">
        <f t="shared" ref="AX181:AX198" si="310">SUM(AT181:AW181)</f>
        <v>0</v>
      </c>
      <c r="AY181" s="88">
        <f t="shared" ref="AY181:AY198" si="311">SUM($T181*U181)</f>
        <v>0</v>
      </c>
      <c r="AZ181" s="358">
        <f t="shared" ref="AZ181:BC198" si="312">SUM($T181*V181)</f>
        <v>0</v>
      </c>
      <c r="BA181" s="358">
        <f t="shared" si="312"/>
        <v>0</v>
      </c>
      <c r="BB181" s="358">
        <f t="shared" si="312"/>
        <v>0</v>
      </c>
      <c r="BC181" s="80">
        <f t="shared" si="312"/>
        <v>0</v>
      </c>
      <c r="BD181" s="97"/>
      <c r="BE181" s="1282" t="s">
        <v>366</v>
      </c>
      <c r="BF181" s="1282" t="s">
        <v>398</v>
      </c>
      <c r="BG181" s="1282" t="str">
        <f>IFERROR(INDEX('[9]Annex 2'!$J$110:$J$127,MATCH('[9]Annex 5'!BD183,'[9]Annex 2'!$G$110:$G$127,0)),"")</f>
        <v>MRD</v>
      </c>
      <c r="BH181" s="1565" t="str">
        <f t="shared" si="254"/>
        <v>MRD</v>
      </c>
      <c r="BI181" s="97"/>
    </row>
    <row r="182" spans="1:61" hidden="1">
      <c r="A182" s="75"/>
      <c r="B182" s="76" t="s">
        <v>25</v>
      </c>
      <c r="C182" s="76" t="s">
        <v>273</v>
      </c>
      <c r="D182" s="78"/>
      <c r="E182" s="97"/>
      <c r="F182" s="294" t="s">
        <v>1068</v>
      </c>
      <c r="G182" s="284"/>
      <c r="H182" s="782" t="s">
        <v>174</v>
      </c>
      <c r="I182" s="784">
        <v>13500</v>
      </c>
      <c r="J182" s="1322"/>
      <c r="K182" s="788">
        <v>0</v>
      </c>
      <c r="L182" s="79">
        <v>0</v>
      </c>
      <c r="M182" s="79">
        <v>0</v>
      </c>
      <c r="N182" s="79">
        <v>0</v>
      </c>
      <c r="O182" s="764">
        <f>SUM(K182:N182)</f>
        <v>0</v>
      </c>
      <c r="P182" s="281">
        <f>K182*$I$174/1000</f>
        <v>0</v>
      </c>
      <c r="Q182" s="281">
        <f>L182*$I$174/1000</f>
        <v>0</v>
      </c>
      <c r="R182" s="281">
        <f>M182*$I$174/1000</f>
        <v>0</v>
      </c>
      <c r="S182" s="281">
        <f>N182*$I$174/1000</f>
        <v>0</v>
      </c>
      <c r="T182" s="80">
        <f t="shared" ref="T182:T198" si="313">SUM(P182:S182)</f>
        <v>0</v>
      </c>
      <c r="U182" s="812">
        <f>IFERROR(INDEX([8]Code!I$8:I$33,MATCH('[8]$MRD-Annex'!$BG193,[8]Code!$G$8:$G$33,0)),"")</f>
        <v>1</v>
      </c>
      <c r="V182" s="844">
        <f>IFERROR(INDEX([8]Code!J$8:J$33,MATCH('[8]$MRD-Annex'!$BG193,[8]Code!$G$8:$G$33,0)),"")</f>
        <v>0</v>
      </c>
      <c r="W182" s="844">
        <f>IFERROR(INDEX([8]Code!K$8:K$33,MATCH('[8]$MRD-Annex'!$BG193,[8]Code!$G$8:$G$33,0)),"")</f>
        <v>0</v>
      </c>
      <c r="X182" s="844">
        <f>IFERROR(INDEX([8]Code!L$8:L$33,MATCH('[8]$MRD-Annex'!$BG193,[8]Code!$G$8:$G$33,0)),"")</f>
        <v>0</v>
      </c>
      <c r="Y182" s="845">
        <f>IFERROR(INDEX([8]Code!M$8:M$33,MATCH('[8]$MRD-Annex'!$BG193,[8]Code!$G$8:$G$33,0)),"")</f>
        <v>0</v>
      </c>
      <c r="Z182" s="288">
        <f t="shared" si="302"/>
        <v>0</v>
      </c>
      <c r="AA182" s="287">
        <f t="shared" si="302"/>
        <v>0</v>
      </c>
      <c r="AB182" s="287">
        <f t="shared" si="302"/>
        <v>0</v>
      </c>
      <c r="AC182" s="287">
        <f t="shared" si="302"/>
        <v>0</v>
      </c>
      <c r="AD182" s="289">
        <f t="shared" si="303"/>
        <v>0</v>
      </c>
      <c r="AE182" s="288">
        <f t="shared" si="304"/>
        <v>0</v>
      </c>
      <c r="AF182" s="287">
        <f t="shared" si="304"/>
        <v>0</v>
      </c>
      <c r="AG182" s="287">
        <f t="shared" si="304"/>
        <v>0</v>
      </c>
      <c r="AH182" s="287">
        <f t="shared" si="304"/>
        <v>0</v>
      </c>
      <c r="AI182" s="289">
        <f t="shared" si="304"/>
        <v>0</v>
      </c>
      <c r="AJ182" s="287">
        <f t="shared" si="305"/>
        <v>0</v>
      </c>
      <c r="AK182" s="287">
        <f t="shared" si="305"/>
        <v>0</v>
      </c>
      <c r="AL182" s="287">
        <f t="shared" si="305"/>
        <v>0</v>
      </c>
      <c r="AM182" s="287">
        <f t="shared" si="305"/>
        <v>0</v>
      </c>
      <c r="AN182" s="837">
        <f t="shared" si="306"/>
        <v>0</v>
      </c>
      <c r="AO182" s="288">
        <f t="shared" si="307"/>
        <v>0</v>
      </c>
      <c r="AP182" s="287">
        <f t="shared" si="307"/>
        <v>0</v>
      </c>
      <c r="AQ182" s="287">
        <f t="shared" si="307"/>
        <v>0</v>
      </c>
      <c r="AR182" s="287">
        <f t="shared" si="307"/>
        <v>0</v>
      </c>
      <c r="AS182" s="152">
        <f t="shared" si="308"/>
        <v>0</v>
      </c>
      <c r="AT182" s="288">
        <f t="shared" si="309"/>
        <v>0</v>
      </c>
      <c r="AU182" s="287">
        <f t="shared" si="309"/>
        <v>0</v>
      </c>
      <c r="AV182" s="287">
        <f t="shared" si="309"/>
        <v>0</v>
      </c>
      <c r="AW182" s="287">
        <f t="shared" si="309"/>
        <v>0</v>
      </c>
      <c r="AX182" s="152">
        <f t="shared" si="310"/>
        <v>0</v>
      </c>
      <c r="AY182" s="88">
        <f t="shared" si="311"/>
        <v>0</v>
      </c>
      <c r="AZ182" s="358">
        <f t="shared" si="312"/>
        <v>0</v>
      </c>
      <c r="BA182" s="358">
        <f t="shared" si="312"/>
        <v>0</v>
      </c>
      <c r="BB182" s="358">
        <f t="shared" si="312"/>
        <v>0</v>
      </c>
      <c r="BC182" s="80">
        <f t="shared" si="312"/>
        <v>0</v>
      </c>
      <c r="BD182" s="97"/>
      <c r="BE182" s="1282" t="s">
        <v>366</v>
      </c>
      <c r="BF182" s="1282" t="s">
        <v>398</v>
      </c>
      <c r="BG182" s="1282" t="str">
        <f>IFERROR(INDEX('[9]Annex 2'!$J$110:$J$127,MATCH('[9]Annex 5'!BD184,'[9]Annex 2'!$G$110:$G$127,0)),"")</f>
        <v>MRD</v>
      </c>
      <c r="BH182" s="1565" t="str">
        <f t="shared" si="254"/>
        <v>MRD</v>
      </c>
      <c r="BI182" s="97"/>
    </row>
    <row r="183" spans="1:61" ht="15" hidden="1">
      <c r="A183" s="75"/>
      <c r="B183" s="76" t="s">
        <v>25</v>
      </c>
      <c r="C183" s="76" t="s">
        <v>273</v>
      </c>
      <c r="D183" s="78"/>
      <c r="E183" s="97"/>
      <c r="F183" s="1323" t="s">
        <v>1069</v>
      </c>
      <c r="G183" s="284"/>
      <c r="H183" s="782" t="s">
        <v>174</v>
      </c>
      <c r="I183" s="784">
        <v>13500</v>
      </c>
      <c r="J183" s="1322"/>
      <c r="K183" s="788">
        <v>0</v>
      </c>
      <c r="L183" s="79">
        <v>0</v>
      </c>
      <c r="M183" s="79">
        <v>0</v>
      </c>
      <c r="N183" s="79">
        <v>0</v>
      </c>
      <c r="O183" s="764">
        <f t="shared" ref="O183:O198" si="314">SUM(K183:N183)</f>
        <v>0</v>
      </c>
      <c r="P183" s="281">
        <f>K183*$I$183/1000</f>
        <v>0</v>
      </c>
      <c r="Q183" s="281">
        <f>L183*$I$183/1000</f>
        <v>0</v>
      </c>
      <c r="R183" s="281">
        <f>M183*$I$183/1000</f>
        <v>0</v>
      </c>
      <c r="S183" s="281">
        <f>N183*$I$183/1000</f>
        <v>0</v>
      </c>
      <c r="T183" s="80">
        <f t="shared" si="313"/>
        <v>0</v>
      </c>
      <c r="U183" s="812">
        <f>IFERROR(INDEX([8]Code!I$8:I$33,MATCH('[8]$MRD-Annex'!$BG194,[8]Code!$G$8:$G$33,0)),"")</f>
        <v>1</v>
      </c>
      <c r="V183" s="844">
        <f>IFERROR(INDEX([8]Code!J$8:J$33,MATCH('[8]$MRD-Annex'!$BG194,[8]Code!$G$8:$G$33,0)),"")</f>
        <v>0</v>
      </c>
      <c r="W183" s="844">
        <f>IFERROR(INDEX([8]Code!K$8:K$33,MATCH('[8]$MRD-Annex'!$BG194,[8]Code!$G$8:$G$33,0)),"")</f>
        <v>0</v>
      </c>
      <c r="X183" s="844">
        <f>IFERROR(INDEX([8]Code!L$8:L$33,MATCH('[8]$MRD-Annex'!$BG194,[8]Code!$G$8:$G$33,0)),"")</f>
        <v>0</v>
      </c>
      <c r="Y183" s="845">
        <f>IFERROR(INDEX([8]Code!M$8:M$33,MATCH('[8]$MRD-Annex'!$BG194,[8]Code!$G$8:$G$33,0)),"")</f>
        <v>0</v>
      </c>
      <c r="Z183" s="288">
        <f t="shared" si="302"/>
        <v>0</v>
      </c>
      <c r="AA183" s="287">
        <f t="shared" si="302"/>
        <v>0</v>
      </c>
      <c r="AB183" s="287">
        <f t="shared" si="302"/>
        <v>0</v>
      </c>
      <c r="AC183" s="287">
        <f t="shared" si="302"/>
        <v>0</v>
      </c>
      <c r="AD183" s="289">
        <f t="shared" si="303"/>
        <v>0</v>
      </c>
      <c r="AE183" s="288">
        <f t="shared" si="304"/>
        <v>0</v>
      </c>
      <c r="AF183" s="287">
        <f t="shared" si="304"/>
        <v>0</v>
      </c>
      <c r="AG183" s="287">
        <f t="shared" si="304"/>
        <v>0</v>
      </c>
      <c r="AH183" s="287">
        <f t="shared" si="304"/>
        <v>0</v>
      </c>
      <c r="AI183" s="289">
        <f t="shared" si="304"/>
        <v>0</v>
      </c>
      <c r="AJ183" s="287">
        <f t="shared" si="305"/>
        <v>0</v>
      </c>
      <c r="AK183" s="287">
        <f t="shared" si="305"/>
        <v>0</v>
      </c>
      <c r="AL183" s="287">
        <f t="shared" si="305"/>
        <v>0</v>
      </c>
      <c r="AM183" s="287">
        <f t="shared" si="305"/>
        <v>0</v>
      </c>
      <c r="AN183" s="837">
        <f t="shared" si="306"/>
        <v>0</v>
      </c>
      <c r="AO183" s="288">
        <f t="shared" si="307"/>
        <v>0</v>
      </c>
      <c r="AP183" s="287">
        <f t="shared" si="307"/>
        <v>0</v>
      </c>
      <c r="AQ183" s="287">
        <f t="shared" si="307"/>
        <v>0</v>
      </c>
      <c r="AR183" s="287">
        <f t="shared" si="307"/>
        <v>0</v>
      </c>
      <c r="AS183" s="152">
        <f t="shared" si="308"/>
        <v>0</v>
      </c>
      <c r="AT183" s="288">
        <f t="shared" si="309"/>
        <v>0</v>
      </c>
      <c r="AU183" s="287">
        <f t="shared" si="309"/>
        <v>0</v>
      </c>
      <c r="AV183" s="287">
        <f t="shared" si="309"/>
        <v>0</v>
      </c>
      <c r="AW183" s="287">
        <f t="shared" si="309"/>
        <v>0</v>
      </c>
      <c r="AX183" s="152">
        <f t="shared" si="310"/>
        <v>0</v>
      </c>
      <c r="AY183" s="88">
        <f t="shared" si="311"/>
        <v>0</v>
      </c>
      <c r="AZ183" s="358">
        <f t="shared" si="312"/>
        <v>0</v>
      </c>
      <c r="BA183" s="358">
        <f t="shared" si="312"/>
        <v>0</v>
      </c>
      <c r="BB183" s="358">
        <f t="shared" si="312"/>
        <v>0</v>
      </c>
      <c r="BC183" s="80">
        <f t="shared" si="312"/>
        <v>0</v>
      </c>
      <c r="BD183" s="97"/>
      <c r="BE183" s="1282" t="s">
        <v>366</v>
      </c>
      <c r="BF183" s="1282" t="s">
        <v>398</v>
      </c>
      <c r="BG183" s="1282" t="str">
        <f>IFERROR(INDEX('[9]Annex 2'!$J$110:$J$127,MATCH('[9]Annex 5'!BD185,'[9]Annex 2'!$G$110:$G$127,0)),"")</f>
        <v>MRD</v>
      </c>
      <c r="BH183" s="1565" t="str">
        <f t="shared" si="254"/>
        <v>MRD</v>
      </c>
      <c r="BI183" s="97"/>
    </row>
    <row r="184" spans="1:61" ht="15" hidden="1">
      <c r="A184" s="75"/>
      <c r="B184" s="76" t="s">
        <v>25</v>
      </c>
      <c r="C184" s="76" t="s">
        <v>273</v>
      </c>
      <c r="D184" s="78"/>
      <c r="E184" s="97"/>
      <c r="F184" s="1323" t="s">
        <v>1070</v>
      </c>
      <c r="G184" s="284"/>
      <c r="H184" s="782" t="s">
        <v>174</v>
      </c>
      <c r="I184" s="784">
        <v>13500</v>
      </c>
      <c r="J184" s="1322"/>
      <c r="K184" s="788">
        <v>0</v>
      </c>
      <c r="L184" s="79">
        <v>0</v>
      </c>
      <c r="M184" s="79">
        <v>0</v>
      </c>
      <c r="N184" s="79">
        <v>0</v>
      </c>
      <c r="O184" s="764">
        <f t="shared" si="314"/>
        <v>0</v>
      </c>
      <c r="P184" s="281">
        <f>K184*$I$184/1000</f>
        <v>0</v>
      </c>
      <c r="Q184" s="281">
        <f>L184*$I$184/1000</f>
        <v>0</v>
      </c>
      <c r="R184" s="281">
        <f>M184*$I$184/1000</f>
        <v>0</v>
      </c>
      <c r="S184" s="281">
        <f>N184*$I$184/1000</f>
        <v>0</v>
      </c>
      <c r="T184" s="80">
        <f t="shared" si="313"/>
        <v>0</v>
      </c>
      <c r="U184" s="812">
        <f>IFERROR(INDEX([8]Code!I$8:I$33,MATCH('[8]$MRD-Annex'!$BG195,[8]Code!$G$8:$G$33,0)),"")</f>
        <v>1</v>
      </c>
      <c r="V184" s="844">
        <f>IFERROR(INDEX([8]Code!J$8:J$33,MATCH('[8]$MRD-Annex'!$BG195,[8]Code!$G$8:$G$33,0)),"")</f>
        <v>0</v>
      </c>
      <c r="W184" s="844">
        <f>IFERROR(INDEX([8]Code!K$8:K$33,MATCH('[8]$MRD-Annex'!$BG195,[8]Code!$G$8:$G$33,0)),"")</f>
        <v>0</v>
      </c>
      <c r="X184" s="844">
        <f>IFERROR(INDEX([8]Code!L$8:L$33,MATCH('[8]$MRD-Annex'!$BG195,[8]Code!$G$8:$G$33,0)),"")</f>
        <v>0</v>
      </c>
      <c r="Y184" s="845">
        <f>IFERROR(INDEX([8]Code!M$8:M$33,MATCH('[8]$MRD-Annex'!$BG195,[8]Code!$G$8:$G$33,0)),"")</f>
        <v>0</v>
      </c>
      <c r="Z184" s="288">
        <f t="shared" si="302"/>
        <v>0</v>
      </c>
      <c r="AA184" s="287">
        <f t="shared" si="302"/>
        <v>0</v>
      </c>
      <c r="AB184" s="287">
        <f t="shared" si="302"/>
        <v>0</v>
      </c>
      <c r="AC184" s="287">
        <f t="shared" si="302"/>
        <v>0</v>
      </c>
      <c r="AD184" s="289">
        <f t="shared" si="303"/>
        <v>0</v>
      </c>
      <c r="AE184" s="288">
        <f t="shared" si="304"/>
        <v>0</v>
      </c>
      <c r="AF184" s="287">
        <f t="shared" si="304"/>
        <v>0</v>
      </c>
      <c r="AG184" s="287">
        <f t="shared" si="304"/>
        <v>0</v>
      </c>
      <c r="AH184" s="287">
        <f t="shared" si="304"/>
        <v>0</v>
      </c>
      <c r="AI184" s="289">
        <f t="shared" si="304"/>
        <v>0</v>
      </c>
      <c r="AJ184" s="287">
        <f t="shared" si="305"/>
        <v>0</v>
      </c>
      <c r="AK184" s="287">
        <f t="shared" si="305"/>
        <v>0</v>
      </c>
      <c r="AL184" s="287">
        <f t="shared" si="305"/>
        <v>0</v>
      </c>
      <c r="AM184" s="287">
        <f t="shared" si="305"/>
        <v>0</v>
      </c>
      <c r="AN184" s="837">
        <f t="shared" si="306"/>
        <v>0</v>
      </c>
      <c r="AO184" s="288">
        <f t="shared" si="307"/>
        <v>0</v>
      </c>
      <c r="AP184" s="287">
        <f t="shared" si="307"/>
        <v>0</v>
      </c>
      <c r="AQ184" s="287">
        <f t="shared" si="307"/>
        <v>0</v>
      </c>
      <c r="AR184" s="287">
        <f t="shared" si="307"/>
        <v>0</v>
      </c>
      <c r="AS184" s="152">
        <f t="shared" si="308"/>
        <v>0</v>
      </c>
      <c r="AT184" s="288">
        <f t="shared" si="309"/>
        <v>0</v>
      </c>
      <c r="AU184" s="287">
        <f t="shared" si="309"/>
        <v>0</v>
      </c>
      <c r="AV184" s="287">
        <f t="shared" si="309"/>
        <v>0</v>
      </c>
      <c r="AW184" s="287">
        <f t="shared" si="309"/>
        <v>0</v>
      </c>
      <c r="AX184" s="152">
        <f t="shared" si="310"/>
        <v>0</v>
      </c>
      <c r="AY184" s="88">
        <f t="shared" si="311"/>
        <v>0</v>
      </c>
      <c r="AZ184" s="358">
        <f t="shared" si="312"/>
        <v>0</v>
      </c>
      <c r="BA184" s="358">
        <f t="shared" si="312"/>
        <v>0</v>
      </c>
      <c r="BB184" s="358">
        <f t="shared" si="312"/>
        <v>0</v>
      </c>
      <c r="BC184" s="80">
        <f t="shared" si="312"/>
        <v>0</v>
      </c>
      <c r="BD184" s="97"/>
      <c r="BE184" s="1282" t="s">
        <v>366</v>
      </c>
      <c r="BF184" s="1282" t="s">
        <v>398</v>
      </c>
      <c r="BG184" s="1282" t="str">
        <f>IFERROR(INDEX('[9]Annex 2'!$J$110:$J$127,MATCH('[9]Annex 5'!BD186,'[9]Annex 2'!$G$110:$G$127,0)),"")</f>
        <v>MRD</v>
      </c>
      <c r="BH184" s="1565" t="str">
        <f t="shared" si="254"/>
        <v>MRD</v>
      </c>
      <c r="BI184" s="97"/>
    </row>
    <row r="185" spans="1:61" hidden="1">
      <c r="A185" s="75"/>
      <c r="B185" s="76" t="s">
        <v>25</v>
      </c>
      <c r="C185" s="76" t="s">
        <v>273</v>
      </c>
      <c r="D185" s="78"/>
      <c r="E185" s="97"/>
      <c r="F185" s="294" t="s">
        <v>1071</v>
      </c>
      <c r="G185" s="284"/>
      <c r="H185" s="782" t="s">
        <v>174</v>
      </c>
      <c r="I185" s="784">
        <v>18900</v>
      </c>
      <c r="J185" s="1322"/>
      <c r="K185" s="788">
        <v>0</v>
      </c>
      <c r="L185" s="79">
        <v>0</v>
      </c>
      <c r="M185" s="79">
        <v>0</v>
      </c>
      <c r="N185" s="79">
        <v>0</v>
      </c>
      <c r="O185" s="764">
        <f t="shared" si="314"/>
        <v>0</v>
      </c>
      <c r="P185" s="281">
        <f>K185*$I$185/1000</f>
        <v>0</v>
      </c>
      <c r="Q185" s="281">
        <f>L185*$I$185/1000</f>
        <v>0</v>
      </c>
      <c r="R185" s="281">
        <f>M185*$I$185/1000</f>
        <v>0</v>
      </c>
      <c r="S185" s="281">
        <f>N185*$I$185/1000</f>
        <v>0</v>
      </c>
      <c r="T185" s="80">
        <f t="shared" si="313"/>
        <v>0</v>
      </c>
      <c r="U185" s="812">
        <f>IFERROR(INDEX([8]Code!I$8:I$33,MATCH('[8]$MRD-Annex'!$BG196,[8]Code!$G$8:$G$33,0)),"")</f>
        <v>1</v>
      </c>
      <c r="V185" s="844">
        <f>IFERROR(INDEX([8]Code!J$8:J$33,MATCH('[8]$MRD-Annex'!$BG196,[8]Code!$G$8:$G$33,0)),"")</f>
        <v>0</v>
      </c>
      <c r="W185" s="844">
        <f>IFERROR(INDEX([8]Code!K$8:K$33,MATCH('[8]$MRD-Annex'!$BG196,[8]Code!$G$8:$G$33,0)),"")</f>
        <v>0</v>
      </c>
      <c r="X185" s="844">
        <f>IFERROR(INDEX([8]Code!L$8:L$33,MATCH('[8]$MRD-Annex'!$BG196,[8]Code!$G$8:$G$33,0)),"")</f>
        <v>0</v>
      </c>
      <c r="Y185" s="845">
        <f>IFERROR(INDEX([8]Code!M$8:M$33,MATCH('[8]$MRD-Annex'!$BG196,[8]Code!$G$8:$G$33,0)),"")</f>
        <v>0</v>
      </c>
      <c r="Z185" s="288">
        <f t="shared" si="302"/>
        <v>0</v>
      </c>
      <c r="AA185" s="287">
        <f t="shared" si="302"/>
        <v>0</v>
      </c>
      <c r="AB185" s="287">
        <f t="shared" si="302"/>
        <v>0</v>
      </c>
      <c r="AC185" s="287">
        <f t="shared" si="302"/>
        <v>0</v>
      </c>
      <c r="AD185" s="289">
        <f t="shared" si="303"/>
        <v>0</v>
      </c>
      <c r="AE185" s="288">
        <f t="shared" si="304"/>
        <v>0</v>
      </c>
      <c r="AF185" s="287">
        <f t="shared" si="304"/>
        <v>0</v>
      </c>
      <c r="AG185" s="287">
        <f t="shared" si="304"/>
        <v>0</v>
      </c>
      <c r="AH185" s="287">
        <f t="shared" si="304"/>
        <v>0</v>
      </c>
      <c r="AI185" s="289">
        <f t="shared" si="304"/>
        <v>0</v>
      </c>
      <c r="AJ185" s="287">
        <f t="shared" si="305"/>
        <v>0</v>
      </c>
      <c r="AK185" s="287">
        <f t="shared" si="305"/>
        <v>0</v>
      </c>
      <c r="AL185" s="287">
        <f t="shared" si="305"/>
        <v>0</v>
      </c>
      <c r="AM185" s="287">
        <f t="shared" si="305"/>
        <v>0</v>
      </c>
      <c r="AN185" s="837">
        <f t="shared" si="306"/>
        <v>0</v>
      </c>
      <c r="AO185" s="288">
        <f t="shared" si="307"/>
        <v>0</v>
      </c>
      <c r="AP185" s="287">
        <f t="shared" si="307"/>
        <v>0</v>
      </c>
      <c r="AQ185" s="287">
        <f t="shared" si="307"/>
        <v>0</v>
      </c>
      <c r="AR185" s="287">
        <f t="shared" si="307"/>
        <v>0</v>
      </c>
      <c r="AS185" s="152">
        <f t="shared" si="308"/>
        <v>0</v>
      </c>
      <c r="AT185" s="288">
        <f t="shared" si="309"/>
        <v>0</v>
      </c>
      <c r="AU185" s="287">
        <f t="shared" si="309"/>
        <v>0</v>
      </c>
      <c r="AV185" s="287">
        <f t="shared" si="309"/>
        <v>0</v>
      </c>
      <c r="AW185" s="287">
        <f t="shared" si="309"/>
        <v>0</v>
      </c>
      <c r="AX185" s="152">
        <f t="shared" si="310"/>
        <v>0</v>
      </c>
      <c r="AY185" s="88">
        <f t="shared" si="311"/>
        <v>0</v>
      </c>
      <c r="AZ185" s="358">
        <f t="shared" si="312"/>
        <v>0</v>
      </c>
      <c r="BA185" s="358">
        <f t="shared" si="312"/>
        <v>0</v>
      </c>
      <c r="BB185" s="358">
        <f t="shared" si="312"/>
        <v>0</v>
      </c>
      <c r="BC185" s="80">
        <f t="shared" si="312"/>
        <v>0</v>
      </c>
      <c r="BD185" s="97"/>
      <c r="BE185" s="1282" t="s">
        <v>366</v>
      </c>
      <c r="BF185" s="1282" t="s">
        <v>398</v>
      </c>
      <c r="BG185" s="1282" t="str">
        <f>IFERROR(INDEX('[9]Annex 2'!$J$110:$J$127,MATCH('[9]Annex 5'!BD187,'[9]Annex 2'!$G$110:$G$127,0)),"")</f>
        <v>MRD</v>
      </c>
      <c r="BH185" s="1565" t="str">
        <f t="shared" si="254"/>
        <v>MRD</v>
      </c>
      <c r="BI185" s="97"/>
    </row>
    <row r="186" spans="1:61" hidden="1">
      <c r="A186" s="75"/>
      <c r="B186" s="76" t="s">
        <v>25</v>
      </c>
      <c r="C186" s="76" t="s">
        <v>273</v>
      </c>
      <c r="D186" s="78"/>
      <c r="E186" s="97"/>
      <c r="F186" s="294" t="s">
        <v>1072</v>
      </c>
      <c r="G186" s="284"/>
      <c r="H186" s="782" t="s">
        <v>174</v>
      </c>
      <c r="I186" s="784">
        <v>3880</v>
      </c>
      <c r="J186" s="1322"/>
      <c r="K186" s="788">
        <v>0</v>
      </c>
      <c r="L186" s="79">
        <v>0</v>
      </c>
      <c r="M186" s="79">
        <v>0</v>
      </c>
      <c r="N186" s="79">
        <v>0</v>
      </c>
      <c r="O186" s="764">
        <f t="shared" si="314"/>
        <v>0</v>
      </c>
      <c r="P186" s="281">
        <f>K186*$I$186/1000</f>
        <v>0</v>
      </c>
      <c r="Q186" s="281">
        <f>L186*$I$186/1000</f>
        <v>0</v>
      </c>
      <c r="R186" s="281">
        <f>M186*$I$186/1000</f>
        <v>0</v>
      </c>
      <c r="S186" s="281">
        <f>N186*$I$186/1000</f>
        <v>0</v>
      </c>
      <c r="T186" s="80">
        <f t="shared" si="313"/>
        <v>0</v>
      </c>
      <c r="U186" s="812">
        <f>IFERROR(INDEX([8]Code!I$8:I$33,MATCH('[8]$MRD-Annex'!$BG197,[8]Code!$G$8:$G$33,0)),"")</f>
        <v>1</v>
      </c>
      <c r="V186" s="844">
        <f>IFERROR(INDEX([8]Code!J$8:J$33,MATCH('[8]$MRD-Annex'!$BG197,[8]Code!$G$8:$G$33,0)),"")</f>
        <v>0</v>
      </c>
      <c r="W186" s="844">
        <f>IFERROR(INDEX([8]Code!K$8:K$33,MATCH('[8]$MRD-Annex'!$BG197,[8]Code!$G$8:$G$33,0)),"")</f>
        <v>0</v>
      </c>
      <c r="X186" s="844">
        <f>IFERROR(INDEX([8]Code!L$8:L$33,MATCH('[8]$MRD-Annex'!$BG197,[8]Code!$G$8:$G$33,0)),"")</f>
        <v>0</v>
      </c>
      <c r="Y186" s="845">
        <f>IFERROR(INDEX([8]Code!M$8:M$33,MATCH('[8]$MRD-Annex'!$BG197,[8]Code!$G$8:$G$33,0)),"")</f>
        <v>0</v>
      </c>
      <c r="Z186" s="288">
        <f t="shared" si="302"/>
        <v>0</v>
      </c>
      <c r="AA186" s="287">
        <f t="shared" si="302"/>
        <v>0</v>
      </c>
      <c r="AB186" s="287">
        <f t="shared" si="302"/>
        <v>0</v>
      </c>
      <c r="AC186" s="287">
        <f t="shared" si="302"/>
        <v>0</v>
      </c>
      <c r="AD186" s="289">
        <f t="shared" si="303"/>
        <v>0</v>
      </c>
      <c r="AE186" s="288">
        <f t="shared" si="304"/>
        <v>0</v>
      </c>
      <c r="AF186" s="287">
        <f t="shared" si="304"/>
        <v>0</v>
      </c>
      <c r="AG186" s="287">
        <f t="shared" si="304"/>
        <v>0</v>
      </c>
      <c r="AH186" s="287">
        <f t="shared" si="304"/>
        <v>0</v>
      </c>
      <c r="AI186" s="289">
        <f t="shared" si="304"/>
        <v>0</v>
      </c>
      <c r="AJ186" s="287">
        <f t="shared" si="305"/>
        <v>0</v>
      </c>
      <c r="AK186" s="287">
        <f t="shared" si="305"/>
        <v>0</v>
      </c>
      <c r="AL186" s="287">
        <f t="shared" si="305"/>
        <v>0</v>
      </c>
      <c r="AM186" s="287">
        <f t="shared" si="305"/>
        <v>0</v>
      </c>
      <c r="AN186" s="837">
        <f t="shared" si="306"/>
        <v>0</v>
      </c>
      <c r="AO186" s="288">
        <f t="shared" si="307"/>
        <v>0</v>
      </c>
      <c r="AP186" s="287">
        <f t="shared" si="307"/>
        <v>0</v>
      </c>
      <c r="AQ186" s="287">
        <f t="shared" si="307"/>
        <v>0</v>
      </c>
      <c r="AR186" s="287">
        <f t="shared" si="307"/>
        <v>0</v>
      </c>
      <c r="AS186" s="152">
        <f t="shared" si="308"/>
        <v>0</v>
      </c>
      <c r="AT186" s="288">
        <f t="shared" si="309"/>
        <v>0</v>
      </c>
      <c r="AU186" s="287">
        <f t="shared" si="309"/>
        <v>0</v>
      </c>
      <c r="AV186" s="287">
        <f t="shared" si="309"/>
        <v>0</v>
      </c>
      <c r="AW186" s="287">
        <f t="shared" si="309"/>
        <v>0</v>
      </c>
      <c r="AX186" s="152">
        <f t="shared" si="310"/>
        <v>0</v>
      </c>
      <c r="AY186" s="88">
        <f t="shared" si="311"/>
        <v>0</v>
      </c>
      <c r="AZ186" s="358">
        <f t="shared" si="312"/>
        <v>0</v>
      </c>
      <c r="BA186" s="358">
        <f t="shared" si="312"/>
        <v>0</v>
      </c>
      <c r="BB186" s="358">
        <f t="shared" si="312"/>
        <v>0</v>
      </c>
      <c r="BC186" s="80">
        <f t="shared" si="312"/>
        <v>0</v>
      </c>
      <c r="BD186" s="97"/>
      <c r="BE186" s="1282" t="s">
        <v>366</v>
      </c>
      <c r="BF186" s="1282" t="s">
        <v>400</v>
      </c>
      <c r="BG186" s="1282" t="str">
        <f>IFERROR(INDEX('[9]Annex 2'!$J$110:$J$127,MATCH('[9]Annex 5'!BD188,'[9]Annex 2'!$G$110:$G$127,0)),"")</f>
        <v>MRD</v>
      </c>
      <c r="BH186" s="1565" t="str">
        <f t="shared" si="254"/>
        <v>MRD</v>
      </c>
      <c r="BI186" s="97"/>
    </row>
    <row r="187" spans="1:61" ht="15" hidden="1">
      <c r="A187" s="75"/>
      <c r="B187" s="76" t="s">
        <v>25</v>
      </c>
      <c r="C187" s="76" t="s">
        <v>273</v>
      </c>
      <c r="D187" s="78"/>
      <c r="E187" s="97"/>
      <c r="F187" s="1323" t="s">
        <v>1073</v>
      </c>
      <c r="G187" s="284"/>
      <c r="H187" s="782" t="s">
        <v>174</v>
      </c>
      <c r="I187" s="784">
        <v>2910</v>
      </c>
      <c r="J187" s="1322"/>
      <c r="K187" s="788">
        <v>0</v>
      </c>
      <c r="L187" s="79">
        <v>0</v>
      </c>
      <c r="M187" s="79">
        <v>0</v>
      </c>
      <c r="N187" s="79">
        <v>0</v>
      </c>
      <c r="O187" s="764">
        <f t="shared" si="314"/>
        <v>0</v>
      </c>
      <c r="P187" s="281">
        <f>K187*$I$187/1000</f>
        <v>0</v>
      </c>
      <c r="Q187" s="281">
        <f>L187*$I$187/1000</f>
        <v>0</v>
      </c>
      <c r="R187" s="281">
        <f>M187*$I$187/1000</f>
        <v>0</v>
      </c>
      <c r="S187" s="281">
        <f>N187*$I$187/1000</f>
        <v>0</v>
      </c>
      <c r="T187" s="80">
        <f t="shared" si="313"/>
        <v>0</v>
      </c>
      <c r="U187" s="812">
        <f>IFERROR(INDEX([8]Code!I$8:I$33,MATCH('[8]$MRD-Annex'!$BG198,[8]Code!$G$8:$G$33,0)),"")</f>
        <v>1</v>
      </c>
      <c r="V187" s="844">
        <f>IFERROR(INDEX([8]Code!J$8:J$33,MATCH('[8]$MRD-Annex'!$BG198,[8]Code!$G$8:$G$33,0)),"")</f>
        <v>0</v>
      </c>
      <c r="W187" s="844">
        <f>IFERROR(INDEX([8]Code!K$8:K$33,MATCH('[8]$MRD-Annex'!$BG198,[8]Code!$G$8:$G$33,0)),"")</f>
        <v>0</v>
      </c>
      <c r="X187" s="844">
        <f>IFERROR(INDEX([8]Code!L$8:L$33,MATCH('[8]$MRD-Annex'!$BG198,[8]Code!$G$8:$G$33,0)),"")</f>
        <v>0</v>
      </c>
      <c r="Y187" s="845">
        <f>IFERROR(INDEX([8]Code!M$8:M$33,MATCH('[8]$MRD-Annex'!$BG198,[8]Code!$G$8:$G$33,0)),"")</f>
        <v>0</v>
      </c>
      <c r="Z187" s="288">
        <f t="shared" si="302"/>
        <v>0</v>
      </c>
      <c r="AA187" s="287">
        <f t="shared" si="302"/>
        <v>0</v>
      </c>
      <c r="AB187" s="287">
        <f t="shared" si="302"/>
        <v>0</v>
      </c>
      <c r="AC187" s="287">
        <f t="shared" si="302"/>
        <v>0</v>
      </c>
      <c r="AD187" s="289">
        <f t="shared" si="303"/>
        <v>0</v>
      </c>
      <c r="AE187" s="288">
        <f t="shared" si="304"/>
        <v>0</v>
      </c>
      <c r="AF187" s="287">
        <f t="shared" si="304"/>
        <v>0</v>
      </c>
      <c r="AG187" s="287">
        <f t="shared" si="304"/>
        <v>0</v>
      </c>
      <c r="AH187" s="287">
        <f t="shared" si="304"/>
        <v>0</v>
      </c>
      <c r="AI187" s="289">
        <f t="shared" si="304"/>
        <v>0</v>
      </c>
      <c r="AJ187" s="287">
        <f t="shared" si="305"/>
        <v>0</v>
      </c>
      <c r="AK187" s="287">
        <f t="shared" si="305"/>
        <v>0</v>
      </c>
      <c r="AL187" s="287">
        <f t="shared" si="305"/>
        <v>0</v>
      </c>
      <c r="AM187" s="287">
        <f t="shared" si="305"/>
        <v>0</v>
      </c>
      <c r="AN187" s="837">
        <f t="shared" si="306"/>
        <v>0</v>
      </c>
      <c r="AO187" s="288">
        <f t="shared" si="307"/>
        <v>0</v>
      </c>
      <c r="AP187" s="287">
        <f t="shared" si="307"/>
        <v>0</v>
      </c>
      <c r="AQ187" s="287">
        <f t="shared" si="307"/>
        <v>0</v>
      </c>
      <c r="AR187" s="287">
        <f t="shared" si="307"/>
        <v>0</v>
      </c>
      <c r="AS187" s="152">
        <f t="shared" si="308"/>
        <v>0</v>
      </c>
      <c r="AT187" s="288">
        <f t="shared" si="309"/>
        <v>0</v>
      </c>
      <c r="AU187" s="287">
        <f t="shared" si="309"/>
        <v>0</v>
      </c>
      <c r="AV187" s="287">
        <f t="shared" si="309"/>
        <v>0</v>
      </c>
      <c r="AW187" s="287">
        <f t="shared" si="309"/>
        <v>0</v>
      </c>
      <c r="AX187" s="152">
        <f t="shared" si="310"/>
        <v>0</v>
      </c>
      <c r="AY187" s="88">
        <f t="shared" si="311"/>
        <v>0</v>
      </c>
      <c r="AZ187" s="358">
        <f t="shared" si="312"/>
        <v>0</v>
      </c>
      <c r="BA187" s="358">
        <f t="shared" si="312"/>
        <v>0</v>
      </c>
      <c r="BB187" s="358">
        <f t="shared" si="312"/>
        <v>0</v>
      </c>
      <c r="BC187" s="80">
        <f t="shared" si="312"/>
        <v>0</v>
      </c>
      <c r="BD187" s="97"/>
      <c r="BE187" s="1282" t="s">
        <v>366</v>
      </c>
      <c r="BF187" s="1282" t="s">
        <v>400</v>
      </c>
      <c r="BG187" s="1282" t="str">
        <f>IFERROR(INDEX('[9]Annex 2'!$J$110:$J$127,MATCH('[9]Annex 5'!BD189,'[9]Annex 2'!$G$110:$G$127,0)),"")</f>
        <v>MRD</v>
      </c>
      <c r="BH187" s="1565" t="str">
        <f t="shared" si="254"/>
        <v>MRD</v>
      </c>
      <c r="BI187" s="97"/>
    </row>
    <row r="188" spans="1:61" ht="15" hidden="1">
      <c r="A188" s="75"/>
      <c r="B188" s="76" t="s">
        <v>25</v>
      </c>
      <c r="C188" s="76" t="s">
        <v>273</v>
      </c>
      <c r="D188" s="78"/>
      <c r="E188" s="97"/>
      <c r="F188" s="1323" t="s">
        <v>1074</v>
      </c>
      <c r="G188" s="284"/>
      <c r="H188" s="782" t="s">
        <v>174</v>
      </c>
      <c r="I188" s="784">
        <v>3390</v>
      </c>
      <c r="J188" s="1322"/>
      <c r="K188" s="788">
        <v>0</v>
      </c>
      <c r="L188" s="79">
        <v>0</v>
      </c>
      <c r="M188" s="79">
        <v>0</v>
      </c>
      <c r="N188" s="79">
        <v>0</v>
      </c>
      <c r="O188" s="764">
        <f t="shared" si="314"/>
        <v>0</v>
      </c>
      <c r="P188" s="281">
        <f>K188*$I$188/1000</f>
        <v>0</v>
      </c>
      <c r="Q188" s="281">
        <f>L188*$I$188/1000</f>
        <v>0</v>
      </c>
      <c r="R188" s="281">
        <f>M188*$I$188/1000</f>
        <v>0</v>
      </c>
      <c r="S188" s="281">
        <f>N188*$I$188/1000</f>
        <v>0</v>
      </c>
      <c r="T188" s="80">
        <f t="shared" si="313"/>
        <v>0</v>
      </c>
      <c r="U188" s="812">
        <f>IFERROR(INDEX([8]Code!I$8:I$33,MATCH('[8]$MRD-Annex'!$BG199,[8]Code!$G$8:$G$33,0)),"")</f>
        <v>1</v>
      </c>
      <c r="V188" s="844">
        <f>IFERROR(INDEX([8]Code!J$8:J$33,MATCH('[8]$MRD-Annex'!$BG199,[8]Code!$G$8:$G$33,0)),"")</f>
        <v>0</v>
      </c>
      <c r="W188" s="844">
        <f>IFERROR(INDEX([8]Code!K$8:K$33,MATCH('[8]$MRD-Annex'!$BG199,[8]Code!$G$8:$G$33,0)),"")</f>
        <v>0</v>
      </c>
      <c r="X188" s="844">
        <f>IFERROR(INDEX([8]Code!L$8:L$33,MATCH('[8]$MRD-Annex'!$BG199,[8]Code!$G$8:$G$33,0)),"")</f>
        <v>0</v>
      </c>
      <c r="Y188" s="845">
        <f>IFERROR(INDEX([8]Code!M$8:M$33,MATCH('[8]$MRD-Annex'!$BG199,[8]Code!$G$8:$G$33,0)),"")</f>
        <v>0</v>
      </c>
      <c r="Z188" s="288">
        <f t="shared" si="302"/>
        <v>0</v>
      </c>
      <c r="AA188" s="287">
        <f t="shared" si="302"/>
        <v>0</v>
      </c>
      <c r="AB188" s="287">
        <f t="shared" si="302"/>
        <v>0</v>
      </c>
      <c r="AC188" s="287">
        <f t="shared" si="302"/>
        <v>0</v>
      </c>
      <c r="AD188" s="289">
        <f t="shared" si="303"/>
        <v>0</v>
      </c>
      <c r="AE188" s="288">
        <f t="shared" si="304"/>
        <v>0</v>
      </c>
      <c r="AF188" s="287">
        <f t="shared" si="304"/>
        <v>0</v>
      </c>
      <c r="AG188" s="287">
        <f t="shared" si="304"/>
        <v>0</v>
      </c>
      <c r="AH188" s="287">
        <f t="shared" si="304"/>
        <v>0</v>
      </c>
      <c r="AI188" s="289">
        <f t="shared" si="304"/>
        <v>0</v>
      </c>
      <c r="AJ188" s="287">
        <f t="shared" si="305"/>
        <v>0</v>
      </c>
      <c r="AK188" s="287">
        <f t="shared" si="305"/>
        <v>0</v>
      </c>
      <c r="AL188" s="287">
        <f t="shared" si="305"/>
        <v>0</v>
      </c>
      <c r="AM188" s="287">
        <f t="shared" si="305"/>
        <v>0</v>
      </c>
      <c r="AN188" s="837">
        <f t="shared" si="306"/>
        <v>0</v>
      </c>
      <c r="AO188" s="288">
        <f t="shared" si="307"/>
        <v>0</v>
      </c>
      <c r="AP188" s="287">
        <f t="shared" si="307"/>
        <v>0</v>
      </c>
      <c r="AQ188" s="287">
        <f t="shared" si="307"/>
        <v>0</v>
      </c>
      <c r="AR188" s="287">
        <f t="shared" si="307"/>
        <v>0</v>
      </c>
      <c r="AS188" s="152">
        <f t="shared" si="308"/>
        <v>0</v>
      </c>
      <c r="AT188" s="288">
        <f t="shared" si="309"/>
        <v>0</v>
      </c>
      <c r="AU188" s="287">
        <f t="shared" si="309"/>
        <v>0</v>
      </c>
      <c r="AV188" s="287">
        <f t="shared" si="309"/>
        <v>0</v>
      </c>
      <c r="AW188" s="287">
        <f t="shared" si="309"/>
        <v>0</v>
      </c>
      <c r="AX188" s="152">
        <f t="shared" si="310"/>
        <v>0</v>
      </c>
      <c r="AY188" s="88">
        <f t="shared" si="311"/>
        <v>0</v>
      </c>
      <c r="AZ188" s="358">
        <f t="shared" si="312"/>
        <v>0</v>
      </c>
      <c r="BA188" s="358">
        <f t="shared" si="312"/>
        <v>0</v>
      </c>
      <c r="BB188" s="358">
        <f t="shared" si="312"/>
        <v>0</v>
      </c>
      <c r="BC188" s="80">
        <f t="shared" si="312"/>
        <v>0</v>
      </c>
      <c r="BD188" s="97"/>
      <c r="BE188" s="1282" t="s">
        <v>366</v>
      </c>
      <c r="BF188" s="1282" t="s">
        <v>400</v>
      </c>
      <c r="BG188" s="1282" t="str">
        <f>IFERROR(INDEX('[9]Annex 2'!$J$110:$J$127,MATCH('[9]Annex 5'!BD190,'[9]Annex 2'!$G$110:$G$127,0)),"")</f>
        <v>MRD</v>
      </c>
      <c r="BH188" s="1565" t="str">
        <f t="shared" si="254"/>
        <v>MRD</v>
      </c>
      <c r="BI188" s="97"/>
    </row>
    <row r="189" spans="1:61" hidden="1">
      <c r="A189" s="75"/>
      <c r="B189" s="76" t="s">
        <v>25</v>
      </c>
      <c r="C189" s="76" t="s">
        <v>273</v>
      </c>
      <c r="D189" s="78"/>
      <c r="E189" s="97"/>
      <c r="F189" s="294" t="s">
        <v>282</v>
      </c>
      <c r="G189" s="284"/>
      <c r="H189" s="782" t="s">
        <v>174</v>
      </c>
      <c r="I189" s="784">
        <v>2910</v>
      </c>
      <c r="J189" s="1322"/>
      <c r="K189" s="788">
        <v>0</v>
      </c>
      <c r="L189" s="79">
        <v>0</v>
      </c>
      <c r="M189" s="79">
        <v>0</v>
      </c>
      <c r="N189" s="79">
        <v>0</v>
      </c>
      <c r="O189" s="764">
        <f t="shared" si="314"/>
        <v>0</v>
      </c>
      <c r="P189" s="281">
        <f>K189*$I$189/1000</f>
        <v>0</v>
      </c>
      <c r="Q189" s="281">
        <f>L189*$I$189/1000</f>
        <v>0</v>
      </c>
      <c r="R189" s="281">
        <f>M189*$I$189/1000</f>
        <v>0</v>
      </c>
      <c r="S189" s="281">
        <f>N189*$I$189/1000</f>
        <v>0</v>
      </c>
      <c r="T189" s="80">
        <f t="shared" si="313"/>
        <v>0</v>
      </c>
      <c r="U189" s="812">
        <f>IFERROR(INDEX([8]Code!I$8:I$33,MATCH('[8]$MRD-Annex'!$BG200,[8]Code!$G$8:$G$33,0)),"")</f>
        <v>1</v>
      </c>
      <c r="V189" s="844">
        <f>IFERROR(INDEX([8]Code!J$8:J$33,MATCH('[8]$MRD-Annex'!$BG200,[8]Code!$G$8:$G$33,0)),"")</f>
        <v>0</v>
      </c>
      <c r="W189" s="844">
        <f>IFERROR(INDEX([8]Code!K$8:K$33,MATCH('[8]$MRD-Annex'!$BG200,[8]Code!$G$8:$G$33,0)),"")</f>
        <v>0</v>
      </c>
      <c r="X189" s="844">
        <f>IFERROR(INDEX([8]Code!L$8:L$33,MATCH('[8]$MRD-Annex'!$BG200,[8]Code!$G$8:$G$33,0)),"")</f>
        <v>0</v>
      </c>
      <c r="Y189" s="845">
        <f>IFERROR(INDEX([8]Code!M$8:M$33,MATCH('[8]$MRD-Annex'!$BG200,[8]Code!$G$8:$G$33,0)),"")</f>
        <v>0</v>
      </c>
      <c r="Z189" s="288">
        <f t="shared" si="302"/>
        <v>0</v>
      </c>
      <c r="AA189" s="287">
        <f t="shared" si="302"/>
        <v>0</v>
      </c>
      <c r="AB189" s="287">
        <f t="shared" si="302"/>
        <v>0</v>
      </c>
      <c r="AC189" s="287">
        <f t="shared" si="302"/>
        <v>0</v>
      </c>
      <c r="AD189" s="289">
        <f t="shared" si="303"/>
        <v>0</v>
      </c>
      <c r="AE189" s="288">
        <f t="shared" si="304"/>
        <v>0</v>
      </c>
      <c r="AF189" s="287">
        <f t="shared" si="304"/>
        <v>0</v>
      </c>
      <c r="AG189" s="287">
        <f t="shared" si="304"/>
        <v>0</v>
      </c>
      <c r="AH189" s="287">
        <f t="shared" si="304"/>
        <v>0</v>
      </c>
      <c r="AI189" s="289">
        <f t="shared" si="304"/>
        <v>0</v>
      </c>
      <c r="AJ189" s="287">
        <f t="shared" si="305"/>
        <v>0</v>
      </c>
      <c r="AK189" s="287">
        <f t="shared" si="305"/>
        <v>0</v>
      </c>
      <c r="AL189" s="287">
        <f t="shared" si="305"/>
        <v>0</v>
      </c>
      <c r="AM189" s="287">
        <f t="shared" si="305"/>
        <v>0</v>
      </c>
      <c r="AN189" s="837">
        <f t="shared" si="306"/>
        <v>0</v>
      </c>
      <c r="AO189" s="288">
        <f t="shared" si="307"/>
        <v>0</v>
      </c>
      <c r="AP189" s="287">
        <f t="shared" si="307"/>
        <v>0</v>
      </c>
      <c r="AQ189" s="287">
        <f t="shared" si="307"/>
        <v>0</v>
      </c>
      <c r="AR189" s="287">
        <f t="shared" si="307"/>
        <v>0</v>
      </c>
      <c r="AS189" s="152">
        <f t="shared" si="308"/>
        <v>0</v>
      </c>
      <c r="AT189" s="288">
        <f t="shared" si="309"/>
        <v>0</v>
      </c>
      <c r="AU189" s="287">
        <f t="shared" si="309"/>
        <v>0</v>
      </c>
      <c r="AV189" s="287">
        <f t="shared" si="309"/>
        <v>0</v>
      </c>
      <c r="AW189" s="287">
        <f t="shared" si="309"/>
        <v>0</v>
      </c>
      <c r="AX189" s="152">
        <f t="shared" si="310"/>
        <v>0</v>
      </c>
      <c r="AY189" s="88">
        <f t="shared" si="311"/>
        <v>0</v>
      </c>
      <c r="AZ189" s="358">
        <f t="shared" si="312"/>
        <v>0</v>
      </c>
      <c r="BA189" s="358">
        <f t="shared" si="312"/>
        <v>0</v>
      </c>
      <c r="BB189" s="358">
        <f t="shared" si="312"/>
        <v>0</v>
      </c>
      <c r="BC189" s="80">
        <f t="shared" si="312"/>
        <v>0</v>
      </c>
      <c r="BD189" s="97"/>
      <c r="BE189" s="1282" t="s">
        <v>366</v>
      </c>
      <c r="BF189" s="1282" t="s">
        <v>400</v>
      </c>
      <c r="BG189" s="1282" t="str">
        <f>IFERROR(INDEX('[9]Annex 2'!$J$110:$J$127,MATCH('[9]Annex 5'!BD191,'[9]Annex 2'!$G$110:$G$127,0)),"")</f>
        <v>MRD</v>
      </c>
      <c r="BH189" s="1565" t="str">
        <f t="shared" si="254"/>
        <v>MRD</v>
      </c>
      <c r="BI189" s="97"/>
    </row>
    <row r="190" spans="1:61" ht="15" hidden="1">
      <c r="A190" s="75"/>
      <c r="B190" s="76" t="s">
        <v>25</v>
      </c>
      <c r="C190" s="76" t="s">
        <v>273</v>
      </c>
      <c r="D190" s="78"/>
      <c r="E190" s="97"/>
      <c r="F190" s="1323" t="s">
        <v>1075</v>
      </c>
      <c r="G190" s="284"/>
      <c r="H190" s="782" t="s">
        <v>174</v>
      </c>
      <c r="I190" s="784">
        <v>2910</v>
      </c>
      <c r="J190" s="1322"/>
      <c r="K190" s="788">
        <v>0</v>
      </c>
      <c r="L190" s="79">
        <v>0</v>
      </c>
      <c r="M190" s="79">
        <v>0</v>
      </c>
      <c r="N190" s="79">
        <v>0</v>
      </c>
      <c r="O190" s="764">
        <f t="shared" si="314"/>
        <v>0</v>
      </c>
      <c r="P190" s="281">
        <f>K190*$I$190/1000</f>
        <v>0</v>
      </c>
      <c r="Q190" s="281">
        <f>L190*$I$190/1000</f>
        <v>0</v>
      </c>
      <c r="R190" s="281">
        <f>M190*$I$190/1000</f>
        <v>0</v>
      </c>
      <c r="S190" s="281">
        <f>N190*$I$190/1000</f>
        <v>0</v>
      </c>
      <c r="T190" s="80">
        <f t="shared" si="313"/>
        <v>0</v>
      </c>
      <c r="U190" s="812">
        <f>IFERROR(INDEX([8]Code!I$8:I$33,MATCH('[8]$MRD-Annex'!$BG201,[8]Code!$G$8:$G$33,0)),"")</f>
        <v>1</v>
      </c>
      <c r="V190" s="844">
        <f>IFERROR(INDEX([8]Code!J$8:J$33,MATCH('[8]$MRD-Annex'!$BG201,[8]Code!$G$8:$G$33,0)),"")</f>
        <v>0</v>
      </c>
      <c r="W190" s="844">
        <f>IFERROR(INDEX([8]Code!K$8:K$33,MATCH('[8]$MRD-Annex'!$BG201,[8]Code!$G$8:$G$33,0)),"")</f>
        <v>0</v>
      </c>
      <c r="X190" s="844">
        <f>IFERROR(INDEX([8]Code!L$8:L$33,MATCH('[8]$MRD-Annex'!$BG201,[8]Code!$G$8:$G$33,0)),"")</f>
        <v>0</v>
      </c>
      <c r="Y190" s="845">
        <f>IFERROR(INDEX([8]Code!M$8:M$33,MATCH('[8]$MRD-Annex'!$BG201,[8]Code!$G$8:$G$33,0)),"")</f>
        <v>0</v>
      </c>
      <c r="Z190" s="288">
        <f t="shared" si="302"/>
        <v>0</v>
      </c>
      <c r="AA190" s="287">
        <f t="shared" si="302"/>
        <v>0</v>
      </c>
      <c r="AB190" s="287">
        <f t="shared" si="302"/>
        <v>0</v>
      </c>
      <c r="AC190" s="287">
        <f t="shared" si="302"/>
        <v>0</v>
      </c>
      <c r="AD190" s="289">
        <f t="shared" si="303"/>
        <v>0</v>
      </c>
      <c r="AE190" s="288">
        <f t="shared" si="304"/>
        <v>0</v>
      </c>
      <c r="AF190" s="287">
        <f t="shared" si="304"/>
        <v>0</v>
      </c>
      <c r="AG190" s="287">
        <f t="shared" si="304"/>
        <v>0</v>
      </c>
      <c r="AH190" s="287">
        <f t="shared" si="304"/>
        <v>0</v>
      </c>
      <c r="AI190" s="289">
        <f t="shared" si="304"/>
        <v>0</v>
      </c>
      <c r="AJ190" s="287">
        <f t="shared" si="305"/>
        <v>0</v>
      </c>
      <c r="AK190" s="287">
        <f t="shared" si="305"/>
        <v>0</v>
      </c>
      <c r="AL190" s="287">
        <f t="shared" si="305"/>
        <v>0</v>
      </c>
      <c r="AM190" s="287">
        <f t="shared" si="305"/>
        <v>0</v>
      </c>
      <c r="AN190" s="837">
        <f t="shared" si="306"/>
        <v>0</v>
      </c>
      <c r="AO190" s="288">
        <f t="shared" si="307"/>
        <v>0</v>
      </c>
      <c r="AP190" s="287">
        <f t="shared" si="307"/>
        <v>0</v>
      </c>
      <c r="AQ190" s="287">
        <f t="shared" si="307"/>
        <v>0</v>
      </c>
      <c r="AR190" s="287">
        <f t="shared" si="307"/>
        <v>0</v>
      </c>
      <c r="AS190" s="152">
        <f t="shared" si="308"/>
        <v>0</v>
      </c>
      <c r="AT190" s="288">
        <f t="shared" si="309"/>
        <v>0</v>
      </c>
      <c r="AU190" s="287">
        <f t="shared" si="309"/>
        <v>0</v>
      </c>
      <c r="AV190" s="287">
        <f t="shared" si="309"/>
        <v>0</v>
      </c>
      <c r="AW190" s="287">
        <f t="shared" si="309"/>
        <v>0</v>
      </c>
      <c r="AX190" s="152">
        <f t="shared" si="310"/>
        <v>0</v>
      </c>
      <c r="AY190" s="88">
        <f t="shared" si="311"/>
        <v>0</v>
      </c>
      <c r="AZ190" s="358">
        <f t="shared" si="312"/>
        <v>0</v>
      </c>
      <c r="BA190" s="358">
        <f t="shared" si="312"/>
        <v>0</v>
      </c>
      <c r="BB190" s="358">
        <f t="shared" si="312"/>
        <v>0</v>
      </c>
      <c r="BC190" s="80">
        <f t="shared" si="312"/>
        <v>0</v>
      </c>
      <c r="BD190" s="97"/>
      <c r="BE190" s="1282" t="s">
        <v>366</v>
      </c>
      <c r="BF190" s="1282" t="s">
        <v>400</v>
      </c>
      <c r="BG190" s="1282" t="str">
        <f>IFERROR(INDEX('[9]Annex 2'!$J$110:$J$127,MATCH('[9]Annex 5'!BD192,'[9]Annex 2'!$G$110:$G$127,0)),"")</f>
        <v>MRD</v>
      </c>
      <c r="BH190" s="1565" t="str">
        <f t="shared" si="254"/>
        <v>MRD</v>
      </c>
      <c r="BI190" s="97"/>
    </row>
    <row r="191" spans="1:61" hidden="1">
      <c r="A191" s="75"/>
      <c r="B191" s="76" t="s">
        <v>25</v>
      </c>
      <c r="C191" s="76" t="s">
        <v>273</v>
      </c>
      <c r="D191" s="78"/>
      <c r="E191" s="97"/>
      <c r="F191" s="294" t="s">
        <v>278</v>
      </c>
      <c r="G191" s="284"/>
      <c r="H191" s="782" t="s">
        <v>174</v>
      </c>
      <c r="I191" s="784">
        <v>3780</v>
      </c>
      <c r="J191" s="1322"/>
      <c r="K191" s="788">
        <v>0</v>
      </c>
      <c r="L191" s="79">
        <v>0</v>
      </c>
      <c r="M191" s="79">
        <v>0</v>
      </c>
      <c r="N191" s="79">
        <v>0</v>
      </c>
      <c r="O191" s="764">
        <f t="shared" si="314"/>
        <v>0</v>
      </c>
      <c r="P191" s="281">
        <f>K191*$I$191/1000</f>
        <v>0</v>
      </c>
      <c r="Q191" s="281">
        <f>L191*$I$191/1000</f>
        <v>0</v>
      </c>
      <c r="R191" s="281">
        <f>M191*$I$191/1000</f>
        <v>0</v>
      </c>
      <c r="S191" s="281">
        <f>N191*$I$191/1000</f>
        <v>0</v>
      </c>
      <c r="T191" s="80">
        <f t="shared" si="313"/>
        <v>0</v>
      </c>
      <c r="U191" s="812">
        <f>IFERROR(INDEX([8]Code!I$8:I$33,MATCH('[8]$MRD-Annex'!$BG202,[8]Code!$G$8:$G$33,0)),"")</f>
        <v>1</v>
      </c>
      <c r="V191" s="844">
        <f>IFERROR(INDEX([8]Code!J$8:J$33,MATCH('[8]$MRD-Annex'!$BG202,[8]Code!$G$8:$G$33,0)),"")</f>
        <v>0</v>
      </c>
      <c r="W191" s="844">
        <f>IFERROR(INDEX([8]Code!K$8:K$33,MATCH('[8]$MRD-Annex'!$BG202,[8]Code!$G$8:$G$33,0)),"")</f>
        <v>0</v>
      </c>
      <c r="X191" s="844">
        <f>IFERROR(INDEX([8]Code!L$8:L$33,MATCH('[8]$MRD-Annex'!$BG202,[8]Code!$G$8:$G$33,0)),"")</f>
        <v>0</v>
      </c>
      <c r="Y191" s="845">
        <f>IFERROR(INDEX([8]Code!M$8:M$33,MATCH('[8]$MRD-Annex'!$BG202,[8]Code!$G$8:$G$33,0)),"")</f>
        <v>0</v>
      </c>
      <c r="Z191" s="288">
        <f t="shared" si="302"/>
        <v>0</v>
      </c>
      <c r="AA191" s="287">
        <f t="shared" si="302"/>
        <v>0</v>
      </c>
      <c r="AB191" s="287">
        <f t="shared" si="302"/>
        <v>0</v>
      </c>
      <c r="AC191" s="287">
        <f t="shared" si="302"/>
        <v>0</v>
      </c>
      <c r="AD191" s="289">
        <f t="shared" si="303"/>
        <v>0</v>
      </c>
      <c r="AE191" s="288">
        <f t="shared" si="304"/>
        <v>0</v>
      </c>
      <c r="AF191" s="287">
        <f t="shared" si="304"/>
        <v>0</v>
      </c>
      <c r="AG191" s="287">
        <f t="shared" si="304"/>
        <v>0</v>
      </c>
      <c r="AH191" s="287">
        <f t="shared" si="304"/>
        <v>0</v>
      </c>
      <c r="AI191" s="289">
        <f t="shared" si="304"/>
        <v>0</v>
      </c>
      <c r="AJ191" s="287">
        <f t="shared" si="305"/>
        <v>0</v>
      </c>
      <c r="AK191" s="287">
        <f t="shared" si="305"/>
        <v>0</v>
      </c>
      <c r="AL191" s="287">
        <f t="shared" si="305"/>
        <v>0</v>
      </c>
      <c r="AM191" s="287">
        <f t="shared" si="305"/>
        <v>0</v>
      </c>
      <c r="AN191" s="837">
        <f t="shared" si="306"/>
        <v>0</v>
      </c>
      <c r="AO191" s="288">
        <f t="shared" si="307"/>
        <v>0</v>
      </c>
      <c r="AP191" s="287">
        <f t="shared" si="307"/>
        <v>0</v>
      </c>
      <c r="AQ191" s="287">
        <f t="shared" si="307"/>
        <v>0</v>
      </c>
      <c r="AR191" s="287">
        <f t="shared" si="307"/>
        <v>0</v>
      </c>
      <c r="AS191" s="152">
        <f t="shared" si="308"/>
        <v>0</v>
      </c>
      <c r="AT191" s="288">
        <f t="shared" si="309"/>
        <v>0</v>
      </c>
      <c r="AU191" s="287">
        <f t="shared" si="309"/>
        <v>0</v>
      </c>
      <c r="AV191" s="287">
        <f t="shared" si="309"/>
        <v>0</v>
      </c>
      <c r="AW191" s="287">
        <f t="shared" si="309"/>
        <v>0</v>
      </c>
      <c r="AX191" s="152">
        <f t="shared" si="310"/>
        <v>0</v>
      </c>
      <c r="AY191" s="88">
        <f t="shared" si="311"/>
        <v>0</v>
      </c>
      <c r="AZ191" s="358">
        <f t="shared" si="312"/>
        <v>0</v>
      </c>
      <c r="BA191" s="358">
        <f t="shared" si="312"/>
        <v>0</v>
      </c>
      <c r="BB191" s="358">
        <f t="shared" si="312"/>
        <v>0</v>
      </c>
      <c r="BC191" s="80">
        <f t="shared" si="312"/>
        <v>0</v>
      </c>
      <c r="BD191" s="97"/>
      <c r="BE191" s="1282" t="s">
        <v>366</v>
      </c>
      <c r="BF191" s="1282" t="s">
        <v>400</v>
      </c>
      <c r="BG191" s="1282" t="str">
        <f>IFERROR(INDEX('[9]Annex 2'!$J$110:$J$127,MATCH('[9]Annex 5'!BD193,'[9]Annex 2'!$G$110:$G$127,0)),"")</f>
        <v>MRD</v>
      </c>
      <c r="BH191" s="1565" t="str">
        <f t="shared" si="254"/>
        <v>MRD</v>
      </c>
      <c r="BI191" s="97"/>
    </row>
    <row r="192" spans="1:61" ht="15" hidden="1">
      <c r="A192" s="75"/>
      <c r="B192" s="76" t="s">
        <v>25</v>
      </c>
      <c r="C192" s="76" t="s">
        <v>273</v>
      </c>
      <c r="D192" s="78"/>
      <c r="E192" s="97"/>
      <c r="F192" s="1323" t="s">
        <v>1073</v>
      </c>
      <c r="G192" s="284"/>
      <c r="H192" s="782" t="s">
        <v>174</v>
      </c>
      <c r="I192" s="784">
        <v>2910</v>
      </c>
      <c r="J192" s="1322"/>
      <c r="K192" s="788">
        <v>0</v>
      </c>
      <c r="L192" s="79">
        <v>0</v>
      </c>
      <c r="M192" s="79">
        <v>0</v>
      </c>
      <c r="N192" s="79">
        <v>0</v>
      </c>
      <c r="O192" s="764">
        <f t="shared" si="314"/>
        <v>0</v>
      </c>
      <c r="P192" s="281">
        <f>K192*$I$192/1000</f>
        <v>0</v>
      </c>
      <c r="Q192" s="281">
        <f>L192*$I$192/1000</f>
        <v>0</v>
      </c>
      <c r="R192" s="281">
        <f>M192*$I$192/1000</f>
        <v>0</v>
      </c>
      <c r="S192" s="281">
        <f>N192*$I$192/1000</f>
        <v>0</v>
      </c>
      <c r="T192" s="80">
        <f t="shared" si="313"/>
        <v>0</v>
      </c>
      <c r="U192" s="812">
        <f>IFERROR(INDEX([8]Code!I$8:I$33,MATCH('[8]$MRD-Annex'!$BG203,[8]Code!$G$8:$G$33,0)),"")</f>
        <v>1</v>
      </c>
      <c r="V192" s="844">
        <f>IFERROR(INDEX([8]Code!J$8:J$33,MATCH('[8]$MRD-Annex'!$BG203,[8]Code!$G$8:$G$33,0)),"")</f>
        <v>0</v>
      </c>
      <c r="W192" s="844">
        <f>IFERROR(INDEX([8]Code!K$8:K$33,MATCH('[8]$MRD-Annex'!$BG203,[8]Code!$G$8:$G$33,0)),"")</f>
        <v>0</v>
      </c>
      <c r="X192" s="844">
        <f>IFERROR(INDEX([8]Code!L$8:L$33,MATCH('[8]$MRD-Annex'!$BG203,[8]Code!$G$8:$G$33,0)),"")</f>
        <v>0</v>
      </c>
      <c r="Y192" s="845">
        <f>IFERROR(INDEX([8]Code!M$8:M$33,MATCH('[8]$MRD-Annex'!$BG203,[8]Code!$G$8:$G$33,0)),"")</f>
        <v>0</v>
      </c>
      <c r="Z192" s="288">
        <f t="shared" si="302"/>
        <v>0</v>
      </c>
      <c r="AA192" s="287">
        <f t="shared" si="302"/>
        <v>0</v>
      </c>
      <c r="AB192" s="287">
        <f t="shared" si="302"/>
        <v>0</v>
      </c>
      <c r="AC192" s="287">
        <f t="shared" si="302"/>
        <v>0</v>
      </c>
      <c r="AD192" s="289">
        <f t="shared" si="303"/>
        <v>0</v>
      </c>
      <c r="AE192" s="288">
        <f t="shared" si="304"/>
        <v>0</v>
      </c>
      <c r="AF192" s="287">
        <f t="shared" si="304"/>
        <v>0</v>
      </c>
      <c r="AG192" s="287">
        <f t="shared" si="304"/>
        <v>0</v>
      </c>
      <c r="AH192" s="287">
        <f t="shared" si="304"/>
        <v>0</v>
      </c>
      <c r="AI192" s="289">
        <f t="shared" si="304"/>
        <v>0</v>
      </c>
      <c r="AJ192" s="287">
        <f t="shared" si="305"/>
        <v>0</v>
      </c>
      <c r="AK192" s="287">
        <f t="shared" si="305"/>
        <v>0</v>
      </c>
      <c r="AL192" s="287">
        <f t="shared" si="305"/>
        <v>0</v>
      </c>
      <c r="AM192" s="287">
        <f t="shared" si="305"/>
        <v>0</v>
      </c>
      <c r="AN192" s="837">
        <f t="shared" si="306"/>
        <v>0</v>
      </c>
      <c r="AO192" s="288">
        <f t="shared" si="307"/>
        <v>0</v>
      </c>
      <c r="AP192" s="287">
        <f t="shared" si="307"/>
        <v>0</v>
      </c>
      <c r="AQ192" s="287">
        <f t="shared" si="307"/>
        <v>0</v>
      </c>
      <c r="AR192" s="287">
        <f t="shared" si="307"/>
        <v>0</v>
      </c>
      <c r="AS192" s="152">
        <f t="shared" si="308"/>
        <v>0</v>
      </c>
      <c r="AT192" s="288">
        <f t="shared" si="309"/>
        <v>0</v>
      </c>
      <c r="AU192" s="287">
        <f t="shared" si="309"/>
        <v>0</v>
      </c>
      <c r="AV192" s="287">
        <f t="shared" si="309"/>
        <v>0</v>
      </c>
      <c r="AW192" s="287">
        <f t="shared" si="309"/>
        <v>0</v>
      </c>
      <c r="AX192" s="152">
        <f t="shared" si="310"/>
        <v>0</v>
      </c>
      <c r="AY192" s="88">
        <f t="shared" si="311"/>
        <v>0</v>
      </c>
      <c r="AZ192" s="358">
        <f t="shared" si="312"/>
        <v>0</v>
      </c>
      <c r="BA192" s="358">
        <f t="shared" si="312"/>
        <v>0</v>
      </c>
      <c r="BB192" s="358">
        <f t="shared" si="312"/>
        <v>0</v>
      </c>
      <c r="BC192" s="80">
        <f t="shared" si="312"/>
        <v>0</v>
      </c>
      <c r="BD192" s="97"/>
      <c r="BE192" s="1282" t="s">
        <v>366</v>
      </c>
      <c r="BF192" s="1282" t="s">
        <v>400</v>
      </c>
      <c r="BG192" s="1282" t="str">
        <f>IFERROR(INDEX('[9]Annex 2'!$J$110:$J$127,MATCH('[9]Annex 5'!BD194,'[9]Annex 2'!$G$110:$G$127,0)),"")</f>
        <v>MRD</v>
      </c>
      <c r="BH192" s="1565" t="str">
        <f t="shared" si="254"/>
        <v>MRD</v>
      </c>
      <c r="BI192" s="97"/>
    </row>
    <row r="193" spans="1:61" hidden="1">
      <c r="A193" s="75"/>
      <c r="B193" s="76" t="s">
        <v>25</v>
      </c>
      <c r="C193" s="76" t="s">
        <v>273</v>
      </c>
      <c r="D193" s="78"/>
      <c r="E193" s="97"/>
      <c r="F193" s="294" t="s">
        <v>1076</v>
      </c>
      <c r="G193" s="284"/>
      <c r="H193" s="782" t="s">
        <v>174</v>
      </c>
      <c r="I193" s="784">
        <v>2425</v>
      </c>
      <c r="J193" s="1322"/>
      <c r="K193" s="788">
        <v>0</v>
      </c>
      <c r="L193" s="79">
        <v>0</v>
      </c>
      <c r="M193" s="79">
        <v>0</v>
      </c>
      <c r="N193" s="79">
        <v>0</v>
      </c>
      <c r="O193" s="764">
        <f t="shared" si="314"/>
        <v>0</v>
      </c>
      <c r="P193" s="281">
        <f>K193*$I$193/1000</f>
        <v>0</v>
      </c>
      <c r="Q193" s="281">
        <f>L193*$I$193/1000</f>
        <v>0</v>
      </c>
      <c r="R193" s="281">
        <f>M193*$I$193/1000</f>
        <v>0</v>
      </c>
      <c r="S193" s="281">
        <f>N193*$I$193/1000</f>
        <v>0</v>
      </c>
      <c r="T193" s="80">
        <f t="shared" si="313"/>
        <v>0</v>
      </c>
      <c r="U193" s="812">
        <f>IFERROR(INDEX([8]Code!I$8:I$33,MATCH('[8]$MRD-Annex'!$BG204,[8]Code!$G$8:$G$33,0)),"")</f>
        <v>1</v>
      </c>
      <c r="V193" s="844">
        <f>IFERROR(INDEX([8]Code!J$8:J$33,MATCH('[8]$MRD-Annex'!$BG204,[8]Code!$G$8:$G$33,0)),"")</f>
        <v>0</v>
      </c>
      <c r="W193" s="844">
        <f>IFERROR(INDEX([8]Code!K$8:K$33,MATCH('[8]$MRD-Annex'!$BG204,[8]Code!$G$8:$G$33,0)),"")</f>
        <v>0</v>
      </c>
      <c r="X193" s="844">
        <f>IFERROR(INDEX([8]Code!L$8:L$33,MATCH('[8]$MRD-Annex'!$BG204,[8]Code!$G$8:$G$33,0)),"")</f>
        <v>0</v>
      </c>
      <c r="Y193" s="845">
        <f>IFERROR(INDEX([8]Code!M$8:M$33,MATCH('[8]$MRD-Annex'!$BG204,[8]Code!$G$8:$G$33,0)),"")</f>
        <v>0</v>
      </c>
      <c r="Z193" s="288">
        <f t="shared" si="302"/>
        <v>0</v>
      </c>
      <c r="AA193" s="287">
        <f t="shared" si="302"/>
        <v>0</v>
      </c>
      <c r="AB193" s="287">
        <f t="shared" si="302"/>
        <v>0</v>
      </c>
      <c r="AC193" s="287">
        <f t="shared" si="302"/>
        <v>0</v>
      </c>
      <c r="AD193" s="289">
        <f t="shared" si="303"/>
        <v>0</v>
      </c>
      <c r="AE193" s="288">
        <f t="shared" si="304"/>
        <v>0</v>
      </c>
      <c r="AF193" s="287">
        <f t="shared" si="304"/>
        <v>0</v>
      </c>
      <c r="AG193" s="287">
        <f t="shared" si="304"/>
        <v>0</v>
      </c>
      <c r="AH193" s="287">
        <f t="shared" si="304"/>
        <v>0</v>
      </c>
      <c r="AI193" s="289">
        <f t="shared" si="304"/>
        <v>0</v>
      </c>
      <c r="AJ193" s="287">
        <f t="shared" si="305"/>
        <v>0</v>
      </c>
      <c r="AK193" s="287">
        <f t="shared" si="305"/>
        <v>0</v>
      </c>
      <c r="AL193" s="287">
        <f t="shared" si="305"/>
        <v>0</v>
      </c>
      <c r="AM193" s="287">
        <f t="shared" si="305"/>
        <v>0</v>
      </c>
      <c r="AN193" s="837">
        <f t="shared" si="306"/>
        <v>0</v>
      </c>
      <c r="AO193" s="288">
        <f t="shared" si="307"/>
        <v>0</v>
      </c>
      <c r="AP193" s="287">
        <f t="shared" si="307"/>
        <v>0</v>
      </c>
      <c r="AQ193" s="287">
        <f t="shared" si="307"/>
        <v>0</v>
      </c>
      <c r="AR193" s="287">
        <f t="shared" si="307"/>
        <v>0</v>
      </c>
      <c r="AS193" s="152">
        <f t="shared" si="308"/>
        <v>0</v>
      </c>
      <c r="AT193" s="288">
        <f t="shared" si="309"/>
        <v>0</v>
      </c>
      <c r="AU193" s="287">
        <f t="shared" si="309"/>
        <v>0</v>
      </c>
      <c r="AV193" s="287">
        <f t="shared" si="309"/>
        <v>0</v>
      </c>
      <c r="AW193" s="287">
        <f t="shared" si="309"/>
        <v>0</v>
      </c>
      <c r="AX193" s="152">
        <f t="shared" si="310"/>
        <v>0</v>
      </c>
      <c r="AY193" s="88">
        <f t="shared" si="311"/>
        <v>0</v>
      </c>
      <c r="AZ193" s="358">
        <f t="shared" si="312"/>
        <v>0</v>
      </c>
      <c r="BA193" s="358">
        <f t="shared" si="312"/>
        <v>0</v>
      </c>
      <c r="BB193" s="358">
        <f t="shared" si="312"/>
        <v>0</v>
      </c>
      <c r="BC193" s="80">
        <f t="shared" si="312"/>
        <v>0</v>
      </c>
      <c r="BD193" s="97"/>
      <c r="BE193" s="1282" t="s">
        <v>366</v>
      </c>
      <c r="BF193" s="1282" t="s">
        <v>400</v>
      </c>
      <c r="BG193" s="1282" t="str">
        <f>IFERROR(INDEX('[9]Annex 2'!$J$110:$J$127,MATCH('[9]Annex 5'!BD195,'[9]Annex 2'!$G$110:$G$127,0)),"")</f>
        <v>MRD</v>
      </c>
      <c r="BH193" s="1565" t="str">
        <f t="shared" si="254"/>
        <v>MRD</v>
      </c>
      <c r="BI193" s="97"/>
    </row>
    <row r="194" spans="1:61" hidden="1">
      <c r="A194" s="75"/>
      <c r="B194" s="76" t="s">
        <v>25</v>
      </c>
      <c r="C194" s="76" t="s">
        <v>273</v>
      </c>
      <c r="D194" s="78"/>
      <c r="E194" s="97"/>
      <c r="F194" s="294" t="s">
        <v>1077</v>
      </c>
      <c r="G194" s="284"/>
      <c r="H194" s="782" t="s">
        <v>174</v>
      </c>
      <c r="I194" s="784">
        <v>2425</v>
      </c>
      <c r="J194" s="1322"/>
      <c r="K194" s="788">
        <v>0</v>
      </c>
      <c r="L194" s="79">
        <v>0</v>
      </c>
      <c r="M194" s="79">
        <v>0</v>
      </c>
      <c r="N194" s="79">
        <v>0</v>
      </c>
      <c r="O194" s="764">
        <f t="shared" si="314"/>
        <v>0</v>
      </c>
      <c r="P194" s="281">
        <f>K194*$I$192/1000</f>
        <v>0</v>
      </c>
      <c r="Q194" s="281">
        <f>L194*$I$192/1000</f>
        <v>0</v>
      </c>
      <c r="R194" s="281">
        <f>M194*$I$192/1000</f>
        <v>0</v>
      </c>
      <c r="S194" s="281">
        <f>N194*$I$192/1000</f>
        <v>0</v>
      </c>
      <c r="T194" s="80">
        <f t="shared" si="313"/>
        <v>0</v>
      </c>
      <c r="U194" s="812">
        <f>IFERROR(INDEX([8]Code!I$8:I$33,MATCH('[8]$MRD-Annex'!$BG205,[8]Code!$G$8:$G$33,0)),"")</f>
        <v>1</v>
      </c>
      <c r="V194" s="844">
        <f>IFERROR(INDEX([8]Code!J$8:J$33,MATCH('[8]$MRD-Annex'!$BG205,[8]Code!$G$8:$G$33,0)),"")</f>
        <v>0</v>
      </c>
      <c r="W194" s="844">
        <f>IFERROR(INDEX([8]Code!K$8:K$33,MATCH('[8]$MRD-Annex'!$BG205,[8]Code!$G$8:$G$33,0)),"")</f>
        <v>0</v>
      </c>
      <c r="X194" s="844">
        <f>IFERROR(INDEX([8]Code!L$8:L$33,MATCH('[8]$MRD-Annex'!$BG205,[8]Code!$G$8:$G$33,0)),"")</f>
        <v>0</v>
      </c>
      <c r="Y194" s="845">
        <f>IFERROR(INDEX([8]Code!M$8:M$33,MATCH('[8]$MRD-Annex'!$BG205,[8]Code!$G$8:$G$33,0)),"")</f>
        <v>0</v>
      </c>
      <c r="Z194" s="288">
        <f t="shared" si="302"/>
        <v>0</v>
      </c>
      <c r="AA194" s="287">
        <f t="shared" si="302"/>
        <v>0</v>
      </c>
      <c r="AB194" s="287">
        <f t="shared" si="302"/>
        <v>0</v>
      </c>
      <c r="AC194" s="287">
        <f t="shared" si="302"/>
        <v>0</v>
      </c>
      <c r="AD194" s="289">
        <f t="shared" si="303"/>
        <v>0</v>
      </c>
      <c r="AE194" s="288">
        <f t="shared" si="304"/>
        <v>0</v>
      </c>
      <c r="AF194" s="287">
        <f t="shared" si="304"/>
        <v>0</v>
      </c>
      <c r="AG194" s="287">
        <f t="shared" si="304"/>
        <v>0</v>
      </c>
      <c r="AH194" s="287">
        <f t="shared" si="304"/>
        <v>0</v>
      </c>
      <c r="AI194" s="289">
        <f t="shared" si="304"/>
        <v>0</v>
      </c>
      <c r="AJ194" s="287">
        <f t="shared" si="305"/>
        <v>0</v>
      </c>
      <c r="AK194" s="287">
        <f t="shared" si="305"/>
        <v>0</v>
      </c>
      <c r="AL194" s="287">
        <f t="shared" si="305"/>
        <v>0</v>
      </c>
      <c r="AM194" s="287">
        <f t="shared" si="305"/>
        <v>0</v>
      </c>
      <c r="AN194" s="837">
        <f t="shared" si="306"/>
        <v>0</v>
      </c>
      <c r="AO194" s="288">
        <f t="shared" si="307"/>
        <v>0</v>
      </c>
      <c r="AP194" s="287">
        <f t="shared" si="307"/>
        <v>0</v>
      </c>
      <c r="AQ194" s="287">
        <f t="shared" si="307"/>
        <v>0</v>
      </c>
      <c r="AR194" s="287">
        <f t="shared" si="307"/>
        <v>0</v>
      </c>
      <c r="AS194" s="152">
        <f t="shared" si="308"/>
        <v>0</v>
      </c>
      <c r="AT194" s="288">
        <f t="shared" si="309"/>
        <v>0</v>
      </c>
      <c r="AU194" s="287">
        <f t="shared" si="309"/>
        <v>0</v>
      </c>
      <c r="AV194" s="287">
        <f t="shared" si="309"/>
        <v>0</v>
      </c>
      <c r="AW194" s="287">
        <f t="shared" si="309"/>
        <v>0</v>
      </c>
      <c r="AX194" s="152">
        <f t="shared" si="310"/>
        <v>0</v>
      </c>
      <c r="AY194" s="88">
        <f t="shared" si="311"/>
        <v>0</v>
      </c>
      <c r="AZ194" s="358">
        <f t="shared" si="312"/>
        <v>0</v>
      </c>
      <c r="BA194" s="358">
        <f t="shared" si="312"/>
        <v>0</v>
      </c>
      <c r="BB194" s="358">
        <f t="shared" si="312"/>
        <v>0</v>
      </c>
      <c r="BC194" s="80">
        <f t="shared" si="312"/>
        <v>0</v>
      </c>
      <c r="BD194" s="97"/>
      <c r="BE194" s="1282" t="s">
        <v>366</v>
      </c>
      <c r="BF194" s="1282" t="s">
        <v>400</v>
      </c>
      <c r="BG194" s="1282" t="str">
        <f>IFERROR(INDEX('[9]Annex 2'!$J$110:$J$127,MATCH('[9]Annex 5'!BD196,'[9]Annex 2'!$G$110:$G$127,0)),"")</f>
        <v>MRD</v>
      </c>
      <c r="BH194" s="1565" t="str">
        <f t="shared" si="254"/>
        <v>MRD</v>
      </c>
      <c r="BI194" s="97"/>
    </row>
    <row r="195" spans="1:61" hidden="1">
      <c r="A195" s="75"/>
      <c r="B195" s="76" t="s">
        <v>25</v>
      </c>
      <c r="C195" s="76" t="s">
        <v>273</v>
      </c>
      <c r="D195" s="78"/>
      <c r="E195" s="97"/>
      <c r="F195" s="294" t="s">
        <v>1078</v>
      </c>
      <c r="G195" s="284"/>
      <c r="H195" s="782" t="s">
        <v>174</v>
      </c>
      <c r="I195" s="784">
        <v>2425</v>
      </c>
      <c r="J195" s="1322"/>
      <c r="K195" s="788">
        <v>0</v>
      </c>
      <c r="L195" s="79">
        <v>0</v>
      </c>
      <c r="M195" s="79">
        <v>0</v>
      </c>
      <c r="N195" s="79">
        <v>0</v>
      </c>
      <c r="O195" s="764">
        <f t="shared" si="314"/>
        <v>0</v>
      </c>
      <c r="P195" s="281">
        <f>K195*$I$194/1000</f>
        <v>0</v>
      </c>
      <c r="Q195" s="281">
        <f>L195*$I$194/1000</f>
        <v>0</v>
      </c>
      <c r="R195" s="281">
        <f>M195*$I$194/1000</f>
        <v>0</v>
      </c>
      <c r="S195" s="281">
        <f>N195*$I$194/1000</f>
        <v>0</v>
      </c>
      <c r="T195" s="80">
        <f t="shared" si="313"/>
        <v>0</v>
      </c>
      <c r="U195" s="812">
        <f>IFERROR(INDEX([8]Code!I$8:I$33,MATCH('[8]$MRD-Annex'!$BG206,[8]Code!$G$8:$G$33,0)),"")</f>
        <v>1</v>
      </c>
      <c r="V195" s="844">
        <f>IFERROR(INDEX([8]Code!J$8:J$33,MATCH('[8]$MRD-Annex'!$BG206,[8]Code!$G$8:$G$33,0)),"")</f>
        <v>0</v>
      </c>
      <c r="W195" s="844">
        <f>IFERROR(INDEX([8]Code!K$8:K$33,MATCH('[8]$MRD-Annex'!$BG206,[8]Code!$G$8:$G$33,0)),"")</f>
        <v>0</v>
      </c>
      <c r="X195" s="844">
        <f>IFERROR(INDEX([8]Code!L$8:L$33,MATCH('[8]$MRD-Annex'!$BG206,[8]Code!$G$8:$G$33,0)),"")</f>
        <v>0</v>
      </c>
      <c r="Y195" s="845">
        <f>IFERROR(INDEX([8]Code!M$8:M$33,MATCH('[8]$MRD-Annex'!$BG206,[8]Code!$G$8:$G$33,0)),"")</f>
        <v>0</v>
      </c>
      <c r="Z195" s="288">
        <f t="shared" si="302"/>
        <v>0</v>
      </c>
      <c r="AA195" s="287">
        <f t="shared" si="302"/>
        <v>0</v>
      </c>
      <c r="AB195" s="287">
        <f t="shared" si="302"/>
        <v>0</v>
      </c>
      <c r="AC195" s="287">
        <f t="shared" si="302"/>
        <v>0</v>
      </c>
      <c r="AD195" s="289">
        <f t="shared" si="303"/>
        <v>0</v>
      </c>
      <c r="AE195" s="288">
        <f t="shared" si="304"/>
        <v>0</v>
      </c>
      <c r="AF195" s="287">
        <f t="shared" si="304"/>
        <v>0</v>
      </c>
      <c r="AG195" s="287">
        <f t="shared" si="304"/>
        <v>0</v>
      </c>
      <c r="AH195" s="287">
        <f t="shared" si="304"/>
        <v>0</v>
      </c>
      <c r="AI195" s="289">
        <f t="shared" si="304"/>
        <v>0</v>
      </c>
      <c r="AJ195" s="287">
        <f t="shared" si="305"/>
        <v>0</v>
      </c>
      <c r="AK195" s="287">
        <f t="shared" si="305"/>
        <v>0</v>
      </c>
      <c r="AL195" s="287">
        <f t="shared" si="305"/>
        <v>0</v>
      </c>
      <c r="AM195" s="287">
        <f t="shared" si="305"/>
        <v>0</v>
      </c>
      <c r="AN195" s="837">
        <f t="shared" si="306"/>
        <v>0</v>
      </c>
      <c r="AO195" s="288">
        <f t="shared" si="307"/>
        <v>0</v>
      </c>
      <c r="AP195" s="287">
        <f t="shared" si="307"/>
        <v>0</v>
      </c>
      <c r="AQ195" s="287">
        <f t="shared" si="307"/>
        <v>0</v>
      </c>
      <c r="AR195" s="287">
        <f t="shared" si="307"/>
        <v>0</v>
      </c>
      <c r="AS195" s="152">
        <f t="shared" si="308"/>
        <v>0</v>
      </c>
      <c r="AT195" s="288">
        <f t="shared" si="309"/>
        <v>0</v>
      </c>
      <c r="AU195" s="287">
        <f t="shared" si="309"/>
        <v>0</v>
      </c>
      <c r="AV195" s="287">
        <f t="shared" si="309"/>
        <v>0</v>
      </c>
      <c r="AW195" s="287">
        <f t="shared" si="309"/>
        <v>0</v>
      </c>
      <c r="AX195" s="152">
        <f t="shared" si="310"/>
        <v>0</v>
      </c>
      <c r="AY195" s="88">
        <f t="shared" si="311"/>
        <v>0</v>
      </c>
      <c r="AZ195" s="358">
        <f t="shared" si="312"/>
        <v>0</v>
      </c>
      <c r="BA195" s="358">
        <f t="shared" si="312"/>
        <v>0</v>
      </c>
      <c r="BB195" s="358">
        <f t="shared" si="312"/>
        <v>0</v>
      </c>
      <c r="BC195" s="80">
        <f t="shared" si="312"/>
        <v>0</v>
      </c>
      <c r="BD195" s="97"/>
      <c r="BE195" s="1282" t="s">
        <v>366</v>
      </c>
      <c r="BF195" s="1282" t="s">
        <v>400</v>
      </c>
      <c r="BG195" s="1282" t="str">
        <f>IFERROR(INDEX('[9]Annex 2'!$J$110:$J$127,MATCH('[9]Annex 5'!BD197,'[9]Annex 2'!$G$110:$G$127,0)),"")</f>
        <v>MRD</v>
      </c>
      <c r="BH195" s="1565" t="str">
        <f t="shared" si="254"/>
        <v>MRD</v>
      </c>
      <c r="BI195" s="97"/>
    </row>
    <row r="196" spans="1:61" hidden="1">
      <c r="A196" s="75"/>
      <c r="B196" s="76" t="s">
        <v>25</v>
      </c>
      <c r="C196" s="76" t="s">
        <v>273</v>
      </c>
      <c r="D196" s="78"/>
      <c r="E196" s="97"/>
      <c r="F196" s="294" t="s">
        <v>1079</v>
      </c>
      <c r="G196" s="284"/>
      <c r="H196" s="782" t="s">
        <v>174</v>
      </c>
      <c r="I196" s="784">
        <v>2425</v>
      </c>
      <c r="J196" s="1322"/>
      <c r="K196" s="788">
        <v>0</v>
      </c>
      <c r="L196" s="79">
        <v>0</v>
      </c>
      <c r="M196" s="79">
        <v>0</v>
      </c>
      <c r="N196" s="79">
        <v>0</v>
      </c>
      <c r="O196" s="764">
        <f t="shared" si="314"/>
        <v>0</v>
      </c>
      <c r="P196" s="281">
        <f>K196*$I$195/1000</f>
        <v>0</v>
      </c>
      <c r="Q196" s="281">
        <f>L196*$I$195/1000</f>
        <v>0</v>
      </c>
      <c r="R196" s="281">
        <f>M196*$I$195/1000</f>
        <v>0</v>
      </c>
      <c r="S196" s="281">
        <f>N196*$I$195/1000</f>
        <v>0</v>
      </c>
      <c r="T196" s="80">
        <f t="shared" si="313"/>
        <v>0</v>
      </c>
      <c r="U196" s="812">
        <f>IFERROR(INDEX([8]Code!I$8:I$33,MATCH('[8]$MRD-Annex'!$BG207,[8]Code!$G$8:$G$33,0)),"")</f>
        <v>1</v>
      </c>
      <c r="V196" s="844">
        <f>IFERROR(INDEX([8]Code!J$8:J$33,MATCH('[8]$MRD-Annex'!$BG207,[8]Code!$G$8:$G$33,0)),"")</f>
        <v>0</v>
      </c>
      <c r="W196" s="844">
        <f>IFERROR(INDEX([8]Code!K$8:K$33,MATCH('[8]$MRD-Annex'!$BG207,[8]Code!$G$8:$G$33,0)),"")</f>
        <v>0</v>
      </c>
      <c r="X196" s="844">
        <f>IFERROR(INDEX([8]Code!L$8:L$33,MATCH('[8]$MRD-Annex'!$BG207,[8]Code!$G$8:$G$33,0)),"")</f>
        <v>0</v>
      </c>
      <c r="Y196" s="845">
        <f>IFERROR(INDEX([8]Code!M$8:M$33,MATCH('[8]$MRD-Annex'!$BG207,[8]Code!$G$8:$G$33,0)),"")</f>
        <v>0</v>
      </c>
      <c r="Z196" s="288">
        <f t="shared" si="302"/>
        <v>0</v>
      </c>
      <c r="AA196" s="287">
        <f t="shared" si="302"/>
        <v>0</v>
      </c>
      <c r="AB196" s="287">
        <f t="shared" si="302"/>
        <v>0</v>
      </c>
      <c r="AC196" s="287">
        <f t="shared" si="302"/>
        <v>0</v>
      </c>
      <c r="AD196" s="289">
        <f t="shared" si="303"/>
        <v>0</v>
      </c>
      <c r="AE196" s="288">
        <f t="shared" si="304"/>
        <v>0</v>
      </c>
      <c r="AF196" s="287">
        <f t="shared" si="304"/>
        <v>0</v>
      </c>
      <c r="AG196" s="287">
        <f t="shared" si="304"/>
        <v>0</v>
      </c>
      <c r="AH196" s="287">
        <f t="shared" si="304"/>
        <v>0</v>
      </c>
      <c r="AI196" s="289">
        <f t="shared" si="304"/>
        <v>0</v>
      </c>
      <c r="AJ196" s="287">
        <f t="shared" si="305"/>
        <v>0</v>
      </c>
      <c r="AK196" s="287">
        <f t="shared" si="305"/>
        <v>0</v>
      </c>
      <c r="AL196" s="287">
        <f t="shared" si="305"/>
        <v>0</v>
      </c>
      <c r="AM196" s="287">
        <f t="shared" si="305"/>
        <v>0</v>
      </c>
      <c r="AN196" s="837">
        <f t="shared" si="306"/>
        <v>0</v>
      </c>
      <c r="AO196" s="288">
        <f t="shared" si="307"/>
        <v>0</v>
      </c>
      <c r="AP196" s="287">
        <f t="shared" si="307"/>
        <v>0</v>
      </c>
      <c r="AQ196" s="287">
        <f t="shared" si="307"/>
        <v>0</v>
      </c>
      <c r="AR196" s="287">
        <f t="shared" si="307"/>
        <v>0</v>
      </c>
      <c r="AS196" s="152">
        <f t="shared" si="308"/>
        <v>0</v>
      </c>
      <c r="AT196" s="288">
        <f t="shared" si="309"/>
        <v>0</v>
      </c>
      <c r="AU196" s="287">
        <f t="shared" si="309"/>
        <v>0</v>
      </c>
      <c r="AV196" s="287">
        <f t="shared" si="309"/>
        <v>0</v>
      </c>
      <c r="AW196" s="287">
        <f t="shared" si="309"/>
        <v>0</v>
      </c>
      <c r="AX196" s="152">
        <f t="shared" si="310"/>
        <v>0</v>
      </c>
      <c r="AY196" s="88">
        <f t="shared" si="311"/>
        <v>0</v>
      </c>
      <c r="AZ196" s="358">
        <f t="shared" si="312"/>
        <v>0</v>
      </c>
      <c r="BA196" s="358">
        <f t="shared" si="312"/>
        <v>0</v>
      </c>
      <c r="BB196" s="358">
        <f t="shared" si="312"/>
        <v>0</v>
      </c>
      <c r="BC196" s="80">
        <f t="shared" si="312"/>
        <v>0</v>
      </c>
      <c r="BE196" s="1282" t="s">
        <v>366</v>
      </c>
      <c r="BF196" s="1282" t="s">
        <v>400</v>
      </c>
      <c r="BG196" s="1282" t="str">
        <f>IFERROR(INDEX('[9]Annex 2'!$J$110:$J$127,MATCH('[9]Annex 5'!BD198,'[9]Annex 2'!$G$110:$G$127,0)),"")</f>
        <v>MRD</v>
      </c>
      <c r="BH196" s="1565" t="str">
        <f t="shared" si="254"/>
        <v>MRD</v>
      </c>
    </row>
    <row r="197" spans="1:61" ht="15" hidden="1">
      <c r="A197" s="75"/>
      <c r="B197" s="76" t="s">
        <v>25</v>
      </c>
      <c r="C197" s="76" t="s">
        <v>273</v>
      </c>
      <c r="D197" s="78"/>
      <c r="E197" s="97"/>
      <c r="F197" s="1323" t="s">
        <v>1080</v>
      </c>
      <c r="G197" s="284"/>
      <c r="H197" s="782" t="s">
        <v>174</v>
      </c>
      <c r="I197" s="784">
        <v>2910</v>
      </c>
      <c r="J197" s="1322"/>
      <c r="K197" s="788">
        <v>0</v>
      </c>
      <c r="L197" s="79">
        <v>0</v>
      </c>
      <c r="M197" s="79">
        <v>0</v>
      </c>
      <c r="N197" s="79">
        <v>0</v>
      </c>
      <c r="O197" s="764">
        <f t="shared" si="314"/>
        <v>0</v>
      </c>
      <c r="P197" s="281">
        <f>K197*$I$196/1000</f>
        <v>0</v>
      </c>
      <c r="Q197" s="281">
        <f>L197*$I$196/1000</f>
        <v>0</v>
      </c>
      <c r="R197" s="281">
        <f>M197*$I$196/1000</f>
        <v>0</v>
      </c>
      <c r="S197" s="281">
        <f>N197*$I$196/1000</f>
        <v>0</v>
      </c>
      <c r="T197" s="80">
        <f t="shared" si="313"/>
        <v>0</v>
      </c>
      <c r="U197" s="812">
        <f>IFERROR(INDEX([8]Code!I$8:I$33,MATCH('[8]$MRD-Annex'!$BG208,[8]Code!$G$8:$G$33,0)),"")</f>
        <v>1</v>
      </c>
      <c r="V197" s="844">
        <f>IFERROR(INDEX([8]Code!J$8:J$33,MATCH('[8]$MRD-Annex'!$BG208,[8]Code!$G$8:$G$33,0)),"")</f>
        <v>0</v>
      </c>
      <c r="W197" s="844">
        <f>IFERROR(INDEX([8]Code!K$8:K$33,MATCH('[8]$MRD-Annex'!$BG208,[8]Code!$G$8:$G$33,0)),"")</f>
        <v>0</v>
      </c>
      <c r="X197" s="844">
        <f>IFERROR(INDEX([8]Code!L$8:L$33,MATCH('[8]$MRD-Annex'!$BG208,[8]Code!$G$8:$G$33,0)),"")</f>
        <v>0</v>
      </c>
      <c r="Y197" s="845">
        <f>IFERROR(INDEX([8]Code!M$8:M$33,MATCH('[8]$MRD-Annex'!$BG208,[8]Code!$G$8:$G$33,0)),"")</f>
        <v>0</v>
      </c>
      <c r="Z197" s="288">
        <f t="shared" si="302"/>
        <v>0</v>
      </c>
      <c r="AA197" s="287">
        <f t="shared" si="302"/>
        <v>0</v>
      </c>
      <c r="AB197" s="287">
        <f t="shared" si="302"/>
        <v>0</v>
      </c>
      <c r="AC197" s="287">
        <f t="shared" si="302"/>
        <v>0</v>
      </c>
      <c r="AD197" s="289">
        <f t="shared" si="303"/>
        <v>0</v>
      </c>
      <c r="AE197" s="288">
        <f t="shared" si="304"/>
        <v>0</v>
      </c>
      <c r="AF197" s="287">
        <f t="shared" si="304"/>
        <v>0</v>
      </c>
      <c r="AG197" s="287">
        <f t="shared" si="304"/>
        <v>0</v>
      </c>
      <c r="AH197" s="287">
        <f t="shared" si="304"/>
        <v>0</v>
      </c>
      <c r="AI197" s="289">
        <f t="shared" si="304"/>
        <v>0</v>
      </c>
      <c r="AJ197" s="287">
        <f t="shared" si="305"/>
        <v>0</v>
      </c>
      <c r="AK197" s="287">
        <f t="shared" si="305"/>
        <v>0</v>
      </c>
      <c r="AL197" s="287">
        <f t="shared" si="305"/>
        <v>0</v>
      </c>
      <c r="AM197" s="287">
        <f t="shared" si="305"/>
        <v>0</v>
      </c>
      <c r="AN197" s="837">
        <f t="shared" si="306"/>
        <v>0</v>
      </c>
      <c r="AO197" s="288">
        <f t="shared" si="307"/>
        <v>0</v>
      </c>
      <c r="AP197" s="287">
        <f t="shared" si="307"/>
        <v>0</v>
      </c>
      <c r="AQ197" s="287">
        <f t="shared" si="307"/>
        <v>0</v>
      </c>
      <c r="AR197" s="287">
        <f t="shared" si="307"/>
        <v>0</v>
      </c>
      <c r="AS197" s="152">
        <f t="shared" si="308"/>
        <v>0</v>
      </c>
      <c r="AT197" s="288">
        <f t="shared" si="309"/>
        <v>0</v>
      </c>
      <c r="AU197" s="287">
        <f t="shared" si="309"/>
        <v>0</v>
      </c>
      <c r="AV197" s="287">
        <f t="shared" si="309"/>
        <v>0</v>
      </c>
      <c r="AW197" s="287">
        <f t="shared" si="309"/>
        <v>0</v>
      </c>
      <c r="AX197" s="152">
        <f t="shared" si="310"/>
        <v>0</v>
      </c>
      <c r="AY197" s="88">
        <f t="shared" si="311"/>
        <v>0</v>
      </c>
      <c r="AZ197" s="358">
        <f t="shared" si="312"/>
        <v>0</v>
      </c>
      <c r="BA197" s="358">
        <f t="shared" si="312"/>
        <v>0</v>
      </c>
      <c r="BB197" s="358">
        <f t="shared" si="312"/>
        <v>0</v>
      </c>
      <c r="BC197" s="80">
        <f t="shared" si="312"/>
        <v>0</v>
      </c>
      <c r="BE197" s="1282" t="s">
        <v>366</v>
      </c>
      <c r="BF197" s="1282" t="s">
        <v>400</v>
      </c>
      <c r="BG197" s="1282" t="str">
        <f>IFERROR(INDEX('[9]Annex 2'!$J$110:$J$127,MATCH('[9]Annex 5'!BD199,'[9]Annex 2'!$G$110:$G$127,0)),"")</f>
        <v>MRD</v>
      </c>
      <c r="BH197" s="1565" t="str">
        <f t="shared" si="254"/>
        <v>MRD</v>
      </c>
    </row>
    <row r="198" spans="1:61" ht="15" hidden="1">
      <c r="A198" s="75"/>
      <c r="B198" s="76" t="s">
        <v>25</v>
      </c>
      <c r="C198" s="76" t="s">
        <v>273</v>
      </c>
      <c r="D198" s="78"/>
      <c r="E198" s="97"/>
      <c r="F198" s="1323" t="s">
        <v>288</v>
      </c>
      <c r="G198" s="284"/>
      <c r="H198" s="782" t="s">
        <v>174</v>
      </c>
      <c r="I198" s="784">
        <v>2910</v>
      </c>
      <c r="J198" s="1322"/>
      <c r="K198" s="788">
        <v>0</v>
      </c>
      <c r="L198" s="79">
        <v>0</v>
      </c>
      <c r="M198" s="79">
        <v>0</v>
      </c>
      <c r="N198" s="79">
        <v>0</v>
      </c>
      <c r="O198" s="764">
        <f t="shared" si="314"/>
        <v>0</v>
      </c>
      <c r="P198" s="281">
        <f>K198*$I$197/1000</f>
        <v>0</v>
      </c>
      <c r="Q198" s="281">
        <f>L198*$I$197/1000</f>
        <v>0</v>
      </c>
      <c r="R198" s="281">
        <f>M198*$I$197/1000</f>
        <v>0</v>
      </c>
      <c r="S198" s="281">
        <f>N198*$I$197/1000</f>
        <v>0</v>
      </c>
      <c r="T198" s="80">
        <f t="shared" si="313"/>
        <v>0</v>
      </c>
      <c r="U198" s="812">
        <f>IFERROR(INDEX([8]Code!I$8:I$33,MATCH('[8]$MRD-Annex'!$BG209,[8]Code!$G$8:$G$33,0)),"")</f>
        <v>1</v>
      </c>
      <c r="V198" s="844">
        <f>IFERROR(INDEX([8]Code!J$8:J$33,MATCH('[8]$MRD-Annex'!$BG209,[8]Code!$G$8:$G$33,0)),"")</f>
        <v>0</v>
      </c>
      <c r="W198" s="844">
        <f>IFERROR(INDEX([8]Code!K$8:K$33,MATCH('[8]$MRD-Annex'!$BG209,[8]Code!$G$8:$G$33,0)),"")</f>
        <v>0</v>
      </c>
      <c r="X198" s="844">
        <f>IFERROR(INDEX([8]Code!L$8:L$33,MATCH('[8]$MRD-Annex'!$BG209,[8]Code!$G$8:$G$33,0)),"")</f>
        <v>0</v>
      </c>
      <c r="Y198" s="845">
        <f>IFERROR(INDEX([8]Code!M$8:M$33,MATCH('[8]$MRD-Annex'!$BG209,[8]Code!$G$8:$G$33,0)),"")</f>
        <v>0</v>
      </c>
      <c r="Z198" s="288">
        <f t="shared" si="302"/>
        <v>0</v>
      </c>
      <c r="AA198" s="287">
        <f t="shared" si="302"/>
        <v>0</v>
      </c>
      <c r="AB198" s="287">
        <f t="shared" si="302"/>
        <v>0</v>
      </c>
      <c r="AC198" s="287">
        <f t="shared" si="302"/>
        <v>0</v>
      </c>
      <c r="AD198" s="289">
        <f t="shared" si="303"/>
        <v>0</v>
      </c>
      <c r="AE198" s="288">
        <f t="shared" si="304"/>
        <v>0</v>
      </c>
      <c r="AF198" s="287">
        <f t="shared" si="304"/>
        <v>0</v>
      </c>
      <c r="AG198" s="287">
        <f t="shared" si="304"/>
        <v>0</v>
      </c>
      <c r="AH198" s="287">
        <f t="shared" si="304"/>
        <v>0</v>
      </c>
      <c r="AI198" s="289">
        <f t="shared" si="304"/>
        <v>0</v>
      </c>
      <c r="AJ198" s="287">
        <f t="shared" si="305"/>
        <v>0</v>
      </c>
      <c r="AK198" s="287">
        <f t="shared" si="305"/>
        <v>0</v>
      </c>
      <c r="AL198" s="287">
        <f t="shared" si="305"/>
        <v>0</v>
      </c>
      <c r="AM198" s="287">
        <f t="shared" si="305"/>
        <v>0</v>
      </c>
      <c r="AN198" s="837">
        <f t="shared" si="306"/>
        <v>0</v>
      </c>
      <c r="AO198" s="288">
        <f t="shared" si="307"/>
        <v>0</v>
      </c>
      <c r="AP198" s="287">
        <f t="shared" si="307"/>
        <v>0</v>
      </c>
      <c r="AQ198" s="287">
        <f t="shared" si="307"/>
        <v>0</v>
      </c>
      <c r="AR198" s="287">
        <f t="shared" si="307"/>
        <v>0</v>
      </c>
      <c r="AS198" s="152">
        <f t="shared" si="308"/>
        <v>0</v>
      </c>
      <c r="AT198" s="288">
        <f t="shared" si="309"/>
        <v>0</v>
      </c>
      <c r="AU198" s="287">
        <f t="shared" si="309"/>
        <v>0</v>
      </c>
      <c r="AV198" s="287">
        <f t="shared" si="309"/>
        <v>0</v>
      </c>
      <c r="AW198" s="287">
        <f t="shared" si="309"/>
        <v>0</v>
      </c>
      <c r="AX198" s="152">
        <f t="shared" si="310"/>
        <v>0</v>
      </c>
      <c r="AY198" s="88">
        <f t="shared" si="311"/>
        <v>0</v>
      </c>
      <c r="AZ198" s="358">
        <f t="shared" si="312"/>
        <v>0</v>
      </c>
      <c r="BA198" s="358">
        <f t="shared" si="312"/>
        <v>0</v>
      </c>
      <c r="BB198" s="358">
        <f t="shared" si="312"/>
        <v>0</v>
      </c>
      <c r="BC198" s="80">
        <f t="shared" si="312"/>
        <v>0</v>
      </c>
      <c r="BE198" s="1282" t="s">
        <v>366</v>
      </c>
      <c r="BF198" s="1282" t="s">
        <v>400</v>
      </c>
      <c r="BG198" s="1282" t="str">
        <f>IFERROR(INDEX('[9]Annex 2'!$J$110:$J$127,MATCH('[9]Annex 5'!BD200,'[9]Annex 2'!$G$110:$G$127,0)),"")</f>
        <v>MRD</v>
      </c>
      <c r="BH198" s="1565" t="str">
        <f t="shared" si="254"/>
        <v>MRD</v>
      </c>
    </row>
    <row r="199" spans="1:61" hidden="1">
      <c r="A199" s="75"/>
      <c r="B199" s="1267"/>
      <c r="C199" s="1568"/>
      <c r="D199" s="382"/>
      <c r="E199" s="383" t="s">
        <v>41</v>
      </c>
      <c r="F199" s="384"/>
      <c r="G199" s="385"/>
      <c r="H199" s="775" t="s">
        <v>14</v>
      </c>
      <c r="I199" s="776"/>
      <c r="J199" s="1638"/>
      <c r="K199" s="791"/>
      <c r="L199" s="386"/>
      <c r="M199" s="839"/>
      <c r="N199" s="840"/>
      <c r="O199" s="388"/>
      <c r="P199" s="387">
        <f>SUM(P181:P198)</f>
        <v>0</v>
      </c>
      <c r="Q199" s="387">
        <f t="shared" ref="Q199:S199" si="315">SUM(Q181:Q198)</f>
        <v>0</v>
      </c>
      <c r="R199" s="387">
        <f t="shared" si="315"/>
        <v>0</v>
      </c>
      <c r="S199" s="387">
        <f t="shared" si="315"/>
        <v>0</v>
      </c>
      <c r="T199" s="388">
        <f>SUM(T181:T198)</f>
        <v>0</v>
      </c>
      <c r="U199" s="813">
        <f>IFERROR(INDEX([8]Code!I$8:I$33,MATCH('[8]$MRD-Annex'!$BG210,[8]Code!$G$8:$G$33,0)),"")</f>
        <v>1</v>
      </c>
      <c r="V199" s="846">
        <f>IFERROR(INDEX([8]Code!J$8:J$33,MATCH('[8]$MRD-Annex'!$BG210,[8]Code!$G$8:$G$33,0)),"")</f>
        <v>0</v>
      </c>
      <c r="W199" s="846">
        <f>IFERROR(INDEX([8]Code!K$8:K$33,MATCH('[8]$MRD-Annex'!$BG210,[8]Code!$G$8:$G$33,0)),"")</f>
        <v>0</v>
      </c>
      <c r="X199" s="846">
        <f>IFERROR(INDEX([8]Code!L$8:L$33,MATCH('[8]$MRD-Annex'!$BG210,[8]Code!$G$8:$G$33,0)),"")</f>
        <v>0</v>
      </c>
      <c r="Y199" s="847">
        <f>IFERROR(INDEX([8]Code!M$8:M$33,MATCH('[8]$MRD-Annex'!$BG210,[8]Code!$G$8:$G$33,0)),"")</f>
        <v>0</v>
      </c>
      <c r="Z199" s="390">
        <f>SUM(Z181:Z198)</f>
        <v>0</v>
      </c>
      <c r="AA199" s="389">
        <f t="shared" ref="AA199:AC199" si="316">SUM(AA181:AA198)</f>
        <v>0</v>
      </c>
      <c r="AB199" s="389">
        <f t="shared" si="316"/>
        <v>0</v>
      </c>
      <c r="AC199" s="389">
        <f t="shared" si="316"/>
        <v>0</v>
      </c>
      <c r="AD199" s="391">
        <f>SUM(AD181:AD198)</f>
        <v>0</v>
      </c>
      <c r="AE199" s="390">
        <f t="shared" ref="AE199:AI199" si="317">SUM(AE181:AE198)</f>
        <v>0</v>
      </c>
      <c r="AF199" s="389">
        <f t="shared" si="317"/>
        <v>0</v>
      </c>
      <c r="AG199" s="389">
        <f t="shared" si="317"/>
        <v>0</v>
      </c>
      <c r="AH199" s="389">
        <f t="shared" si="317"/>
        <v>0</v>
      </c>
      <c r="AI199" s="391">
        <f t="shared" si="317"/>
        <v>0</v>
      </c>
      <c r="AJ199" s="389"/>
      <c r="AK199" s="389"/>
      <c r="AL199" s="389"/>
      <c r="AM199" s="389"/>
      <c r="AN199" s="393"/>
      <c r="AO199" s="390"/>
      <c r="AP199" s="389"/>
      <c r="AQ199" s="389"/>
      <c r="AR199" s="389"/>
      <c r="AS199" s="838"/>
      <c r="AT199" s="382"/>
      <c r="AU199" s="383"/>
      <c r="AV199" s="383"/>
      <c r="AW199" s="383"/>
      <c r="AX199" s="838"/>
      <c r="AY199" s="392">
        <f>SUM(AY181:AY198)</f>
        <v>0</v>
      </c>
      <c r="AZ199" s="393">
        <f t="shared" ref="AZ199:BC199" si="318">SUM(AZ181:AZ198)</f>
        <v>0</v>
      </c>
      <c r="BA199" s="393">
        <f t="shared" si="318"/>
        <v>0</v>
      </c>
      <c r="BB199" s="393">
        <f t="shared" si="318"/>
        <v>0</v>
      </c>
      <c r="BC199" s="388">
        <f t="shared" si="318"/>
        <v>0</v>
      </c>
      <c r="BE199" s="1282"/>
      <c r="BG199" s="1282">
        <f>IFERROR(INDEX('[9]Annex 2'!$J$110:$J$127,MATCH('[9]Annex 5'!BD201,'[9]Annex 2'!$G$110:$G$127,0)),"")</f>
        <v>0</v>
      </c>
      <c r="BH199" s="1565" t="str">
        <f t="shared" si="254"/>
        <v>0</v>
      </c>
    </row>
    <row r="200" spans="1:61" ht="13.5" hidden="1" thickBot="1">
      <c r="A200" s="75"/>
      <c r="B200" s="1316"/>
      <c r="C200" s="1582"/>
      <c r="D200" s="107" t="s">
        <v>1081</v>
      </c>
      <c r="E200" s="312"/>
      <c r="F200" s="1588"/>
      <c r="G200" s="310"/>
      <c r="H200" s="779"/>
      <c r="I200" s="780"/>
      <c r="J200" s="1639"/>
      <c r="K200" s="793"/>
      <c r="L200" s="398"/>
      <c r="M200" s="398"/>
      <c r="N200" s="398"/>
      <c r="O200" s="763"/>
      <c r="P200" s="1589">
        <f>SUM(P199,P179,P155)</f>
        <v>0</v>
      </c>
      <c r="Q200" s="1589">
        <f t="shared" ref="Q200:T200" si="319">SUM(Q199,Q179,Q155)</f>
        <v>0</v>
      </c>
      <c r="R200" s="1589">
        <f t="shared" si="319"/>
        <v>0</v>
      </c>
      <c r="S200" s="1589">
        <f t="shared" si="319"/>
        <v>0</v>
      </c>
      <c r="T200" s="1589">
        <f t="shared" si="319"/>
        <v>0</v>
      </c>
      <c r="U200" s="815" t="str">
        <f>IFERROR(INDEX([8]Code!I$8:I$33,MATCH('[8]$MRD-Annex'!$BG211,[8]Code!$G$8:$G$33,0)),"")</f>
        <v/>
      </c>
      <c r="V200" s="848" t="str">
        <f>IFERROR(INDEX([8]Code!J$8:J$33,MATCH('[8]$MRD-Annex'!$BG211,[8]Code!$G$8:$G$33,0)),"")</f>
        <v/>
      </c>
      <c r="W200" s="848" t="str">
        <f>IFERROR(INDEX([8]Code!K$8:K$33,MATCH('[8]$MRD-Annex'!$BG211,[8]Code!$G$8:$G$33,0)),"")</f>
        <v/>
      </c>
      <c r="X200" s="848" t="str">
        <f>IFERROR(INDEX([8]Code!L$8:L$33,MATCH('[8]$MRD-Annex'!$BG211,[8]Code!$G$8:$G$33,0)),"")</f>
        <v/>
      </c>
      <c r="Y200" s="849" t="str">
        <f>IFERROR(INDEX([8]Code!M$8:M$33,MATCH('[8]$MRD-Annex'!$BG211,[8]Code!$G$8:$G$33,0)),"")</f>
        <v/>
      </c>
      <c r="Z200" s="1589">
        <f>SUM(Z199,Z179,Z155)</f>
        <v>0</v>
      </c>
      <c r="AA200" s="1589">
        <f t="shared" ref="AA200:AD200" si="320">SUM(AA199,AA179,AA155)</f>
        <v>0</v>
      </c>
      <c r="AB200" s="1589">
        <f t="shared" si="320"/>
        <v>0</v>
      </c>
      <c r="AC200" s="1589">
        <f t="shared" si="320"/>
        <v>0</v>
      </c>
      <c r="AD200" s="1589">
        <f t="shared" si="320"/>
        <v>0</v>
      </c>
      <c r="AE200" s="1589">
        <f>SUM(AE199,AE179,AE155)</f>
        <v>0</v>
      </c>
      <c r="AF200" s="1589">
        <f t="shared" ref="AF200:AI200" si="321">SUM(AF199,AF179,AF155)</f>
        <v>0</v>
      </c>
      <c r="AG200" s="1589">
        <f t="shared" si="321"/>
        <v>0</v>
      </c>
      <c r="AH200" s="1589">
        <f t="shared" si="321"/>
        <v>0</v>
      </c>
      <c r="AI200" s="1589">
        <f t="shared" si="321"/>
        <v>0</v>
      </c>
      <c r="AJ200" s="1589">
        <f>SUM(AJ199,AJ179,AJ155)</f>
        <v>0</v>
      </c>
      <c r="AK200" s="1589">
        <f t="shared" ref="AK200:AN200" si="322">SUM(AK199,AK179,AK155)</f>
        <v>0</v>
      </c>
      <c r="AL200" s="1589">
        <f t="shared" si="322"/>
        <v>0</v>
      </c>
      <c r="AM200" s="1589">
        <f t="shared" si="322"/>
        <v>0</v>
      </c>
      <c r="AN200" s="1589">
        <f t="shared" si="322"/>
        <v>0</v>
      </c>
      <c r="AO200" s="1589">
        <f>SUM(AO199,AO179,AO155)</f>
        <v>0</v>
      </c>
      <c r="AP200" s="1589">
        <f t="shared" ref="AP200:AS200" si="323">SUM(AP199,AP179,AP155)</f>
        <v>0</v>
      </c>
      <c r="AQ200" s="1589">
        <f t="shared" si="323"/>
        <v>0</v>
      </c>
      <c r="AR200" s="1589">
        <f t="shared" si="323"/>
        <v>0</v>
      </c>
      <c r="AS200" s="1589">
        <f t="shared" si="323"/>
        <v>0</v>
      </c>
      <c r="AT200" s="401"/>
      <c r="AU200" s="400"/>
      <c r="AV200" s="400"/>
      <c r="AW200" s="400"/>
      <c r="AX200" s="402"/>
      <c r="AY200" s="1593"/>
      <c r="AZ200" s="1594"/>
      <c r="BA200" s="1594"/>
      <c r="BB200" s="1594"/>
      <c r="BC200" s="1590"/>
      <c r="BD200" s="97"/>
      <c r="BE200" s="1282"/>
      <c r="BF200" s="97"/>
      <c r="BG200" s="1282">
        <f>IFERROR(INDEX('[9]Annex 2'!$J$110:$J$127,MATCH('[9]Annex 5'!BD202,'[9]Annex 2'!$G$110:$G$127,0)),"")</f>
        <v>0</v>
      </c>
      <c r="BH200" s="1565" t="str">
        <f t="shared" si="254"/>
        <v>0</v>
      </c>
      <c r="BI200" s="97"/>
    </row>
    <row r="201" spans="1:61" ht="13.5" thickBot="1">
      <c r="A201" s="118"/>
      <c r="B201" s="119"/>
      <c r="C201" s="120"/>
      <c r="D201" s="100" t="s">
        <v>194</v>
      </c>
      <c r="E201" s="121"/>
      <c r="F201" s="121"/>
      <c r="G201" s="121"/>
      <c r="H201" s="785"/>
      <c r="I201" s="786"/>
      <c r="J201" s="794"/>
      <c r="K201" s="794"/>
      <c r="L201" s="101"/>
      <c r="M201" s="101"/>
      <c r="N201" s="101"/>
      <c r="O201" s="766"/>
      <c r="P201" s="1324">
        <f>SUM(P143,P115,P200)</f>
        <v>258.92165400000005</v>
      </c>
      <c r="Q201" s="1324">
        <f>SUM(Q143,Q115,Q200)</f>
        <v>1107.8458070000001</v>
      </c>
      <c r="R201" s="1324">
        <f>SUM(R143,R115,R200)</f>
        <v>1754.3372960000002</v>
      </c>
      <c r="S201" s="1324">
        <f>SUM(S143,S115,S200)</f>
        <v>3372.8279185000001</v>
      </c>
      <c r="T201" s="1324">
        <f>SUM(T143,T115,T200)</f>
        <v>6493.9326755000002</v>
      </c>
      <c r="U201" s="359"/>
      <c r="V201" s="359"/>
      <c r="W201" s="359"/>
      <c r="X201" s="359"/>
      <c r="Y201" s="360"/>
      <c r="Z201" s="407">
        <f t="shared" ref="Z201:AS201" si="324">SUM(Z143,Z115,Z200)</f>
        <v>202.15491954368096</v>
      </c>
      <c r="AA201" s="295">
        <f t="shared" si="324"/>
        <v>855.74831424000934</v>
      </c>
      <c r="AB201" s="295">
        <f t="shared" si="324"/>
        <v>1350.2772170067142</v>
      </c>
      <c r="AC201" s="295">
        <f t="shared" si="324"/>
        <v>2595.8662706331065</v>
      </c>
      <c r="AD201" s="317">
        <f t="shared" si="324"/>
        <v>5004.0467214235114</v>
      </c>
      <c r="AE201" s="407">
        <f t="shared" si="324"/>
        <v>28.16142161518901</v>
      </c>
      <c r="AF201" s="295">
        <f t="shared" si="324"/>
        <v>134.74976636858136</v>
      </c>
      <c r="AG201" s="295">
        <f t="shared" si="324"/>
        <v>216.14500234582886</v>
      </c>
      <c r="AH201" s="295">
        <f t="shared" si="324"/>
        <v>421.15832792373783</v>
      </c>
      <c r="AI201" s="317">
        <f t="shared" si="324"/>
        <v>800.21451825333702</v>
      </c>
      <c r="AJ201" s="407">
        <f t="shared" si="324"/>
        <v>23.446395841130066</v>
      </c>
      <c r="AK201" s="295">
        <f t="shared" si="324"/>
        <v>112.18880939140934</v>
      </c>
      <c r="AL201" s="295">
        <f t="shared" si="324"/>
        <v>179.95615964745664</v>
      </c>
      <c r="AM201" s="295">
        <f t="shared" si="324"/>
        <v>350.64440294315534</v>
      </c>
      <c r="AN201" s="317">
        <f t="shared" si="324"/>
        <v>666.23576782315126</v>
      </c>
      <c r="AO201" s="407">
        <f t="shared" si="324"/>
        <v>5.1589169999999998</v>
      </c>
      <c r="AP201" s="295">
        <f t="shared" si="324"/>
        <v>5.1589169999999998</v>
      </c>
      <c r="AQ201" s="295">
        <f t="shared" si="324"/>
        <v>7.9589169999999996</v>
      </c>
      <c r="AR201" s="295">
        <f t="shared" si="324"/>
        <v>5.1589169999999998</v>
      </c>
      <c r="AS201" s="317">
        <f t="shared" si="324"/>
        <v>23.435668</v>
      </c>
      <c r="AT201" s="407">
        <f>SUM(AT200,AT179,AT155,AT142,AT132,AT128,AT115)</f>
        <v>0</v>
      </c>
      <c r="AU201" s="295">
        <f>SUM(AU200,AU179,AU155,AU142,AU132,AU128,AU115)</f>
        <v>0</v>
      </c>
      <c r="AV201" s="295">
        <f>SUM(AV200,AV179,AV155,AV142,AV132,AV128,AV115)</f>
        <v>0</v>
      </c>
      <c r="AW201" s="295">
        <f>SUM(AW200,AW179,AW155,AW142,AW132,AW128,AW115)</f>
        <v>0</v>
      </c>
      <c r="AX201" s="317">
        <f>SUM(AX200,AX179,AX155,AX142,AX132,AX128,AX115)</f>
        <v>0</v>
      </c>
      <c r="AY201" s="407">
        <f>SUM(AY143,AY115,AY200)</f>
        <v>5004.0467214235114</v>
      </c>
      <c r="AZ201" s="295">
        <f>SUM(AZ143,AZ115,AZ200)</f>
        <v>800.21451825333702</v>
      </c>
      <c r="BA201" s="295">
        <f>SUM(BA143,BA115,BA200)</f>
        <v>666.23576782315126</v>
      </c>
      <c r="BB201" s="295">
        <f>SUM(BB143,BB115,BB200)</f>
        <v>23.435668</v>
      </c>
      <c r="BC201" s="317">
        <f>SUM(BC143,BC115,BC200)</f>
        <v>0</v>
      </c>
    </row>
    <row r="202" spans="1:61">
      <c r="A202" s="118"/>
      <c r="B202" s="296"/>
      <c r="C202" s="297"/>
      <c r="D202" s="118" t="s">
        <v>953</v>
      </c>
      <c r="E202" s="118"/>
      <c r="F202" s="118"/>
      <c r="G202" s="118"/>
      <c r="H202" s="157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24"/>
      <c r="V202" s="125"/>
      <c r="W202" s="125"/>
      <c r="X202" s="125"/>
      <c r="Y202" s="125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419">
        <f>SUM(AY201:BC201)</f>
        <v>6493.9326754999993</v>
      </c>
    </row>
    <row r="203" spans="1:61">
      <c r="A203" s="97"/>
      <c r="B203" s="127"/>
      <c r="C203" s="82"/>
      <c r="D203" s="97" t="s">
        <v>954</v>
      </c>
      <c r="E203" s="97"/>
      <c r="F203" s="97"/>
      <c r="G203" s="97"/>
      <c r="H203" s="816"/>
      <c r="I203" s="162"/>
      <c r="J203" s="162"/>
      <c r="K203" s="129"/>
      <c r="L203" s="129"/>
      <c r="M203" s="129"/>
      <c r="N203" s="129"/>
      <c r="O203" s="129"/>
      <c r="P203" s="129"/>
      <c r="Q203" s="129"/>
      <c r="R203" s="129"/>
      <c r="S203" s="129"/>
      <c r="T203" s="130"/>
      <c r="U203" s="131"/>
      <c r="V203" s="132"/>
      <c r="W203" s="132"/>
      <c r="X203" s="132"/>
      <c r="Y203" s="132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</row>
    <row r="204" spans="1:61">
      <c r="A204" s="97"/>
      <c r="B204" s="127"/>
      <c r="C204" s="82"/>
      <c r="D204" s="97"/>
      <c r="E204" s="97"/>
      <c r="F204" s="97"/>
      <c r="G204" s="97"/>
      <c r="H204" s="816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30"/>
      <c r="U204" s="131"/>
      <c r="V204" s="132"/>
      <c r="W204" s="132"/>
      <c r="X204" s="132"/>
      <c r="Y204" s="132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</row>
    <row r="205" spans="1:61">
      <c r="A205" s="97"/>
      <c r="B205" s="132"/>
      <c r="C205" s="133"/>
      <c r="D205" s="97"/>
      <c r="E205" s="816"/>
      <c r="F205" s="816"/>
      <c r="G205" s="816"/>
      <c r="H205" s="2153" t="s">
        <v>23</v>
      </c>
      <c r="I205" s="129"/>
      <c r="J205" s="129"/>
      <c r="K205" s="129"/>
      <c r="M205" s="129"/>
      <c r="N205" s="129"/>
      <c r="O205" s="129"/>
      <c r="P205" s="131"/>
      <c r="Q205" s="132"/>
      <c r="R205" s="132"/>
      <c r="S205" s="132"/>
      <c r="T205" s="133" t="s">
        <v>23</v>
      </c>
      <c r="U205" s="97"/>
      <c r="V205" s="298" t="s">
        <v>7</v>
      </c>
      <c r="W205" s="298" t="s">
        <v>8</v>
      </c>
      <c r="X205" s="298" t="s">
        <v>9</v>
      </c>
      <c r="Y205" s="1597" t="s">
        <v>10</v>
      </c>
      <c r="Z205" s="1598" t="s">
        <v>11</v>
      </c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97"/>
      <c r="AY205" s="1599"/>
      <c r="AZ205" s="97"/>
      <c r="BA205" s="97"/>
      <c r="BB205" s="97"/>
      <c r="BC205" s="97"/>
    </row>
    <row r="206" spans="1:61">
      <c r="A206" s="97"/>
      <c r="B206" s="132"/>
      <c r="C206" s="134"/>
      <c r="D206" s="162"/>
      <c r="E206" s="162"/>
      <c r="F206" s="162"/>
      <c r="G206" s="162"/>
      <c r="H206" s="2154" t="s">
        <v>169</v>
      </c>
      <c r="I206" s="129"/>
      <c r="J206" s="129"/>
      <c r="K206" s="129"/>
      <c r="M206" s="129"/>
      <c r="N206" s="129"/>
      <c r="O206" s="129"/>
      <c r="P206" s="131"/>
      <c r="Q206" s="132"/>
      <c r="R206" s="132"/>
      <c r="S206" s="132"/>
      <c r="T206" s="134" t="s">
        <v>169</v>
      </c>
      <c r="U206" s="1325">
        <f>SUM(V206:Y206)</f>
        <v>5004.0467214235105</v>
      </c>
      <c r="V206" s="1326">
        <f>$Z$201</f>
        <v>202.15491954368096</v>
      </c>
      <c r="W206" s="1326">
        <f>AA201</f>
        <v>855.74831424000934</v>
      </c>
      <c r="X206" s="1325">
        <f>AB201</f>
        <v>1350.2772170067142</v>
      </c>
      <c r="Y206" s="1326">
        <f>AC201</f>
        <v>2595.8662706331065</v>
      </c>
      <c r="Z206" s="1600">
        <f>SUM(V206:Y206)</f>
        <v>5004.0467214235105</v>
      </c>
      <c r="AA206" s="1327"/>
      <c r="AB206" s="1327"/>
      <c r="AC206" s="1327"/>
      <c r="AD206" s="1327"/>
      <c r="AE206" s="1327"/>
      <c r="AF206" s="1327"/>
      <c r="AG206" s="1327"/>
      <c r="AH206" s="1327"/>
      <c r="AI206" s="1327"/>
      <c r="AJ206" s="1327"/>
      <c r="AK206" s="1327"/>
      <c r="AL206" s="1327"/>
      <c r="AM206" s="1327"/>
      <c r="AN206" s="1327"/>
      <c r="AO206" s="1327"/>
      <c r="AP206" s="1327"/>
      <c r="AQ206" s="1327"/>
      <c r="AR206" s="1327"/>
      <c r="AS206" s="1327"/>
      <c r="AT206" s="1327"/>
      <c r="AU206" s="1327"/>
      <c r="AV206" s="1327"/>
      <c r="AW206" s="1327"/>
      <c r="AX206" s="1327"/>
      <c r="AY206" s="1264"/>
      <c r="AZ206" s="97"/>
      <c r="BA206" s="97"/>
      <c r="BB206" s="97"/>
      <c r="BC206" s="97"/>
    </row>
    <row r="207" spans="1:61">
      <c r="A207" s="97"/>
      <c r="B207" s="132"/>
      <c r="C207" s="134"/>
      <c r="D207" s="162"/>
      <c r="E207" s="129"/>
      <c r="F207" s="129"/>
      <c r="G207" s="129"/>
      <c r="H207" s="2154" t="s">
        <v>48</v>
      </c>
      <c r="I207" s="129"/>
      <c r="J207" s="129"/>
      <c r="K207" s="129"/>
      <c r="M207" s="129"/>
      <c r="N207" s="129"/>
      <c r="O207" s="129"/>
      <c r="P207" s="131"/>
      <c r="Q207" s="132"/>
      <c r="R207" s="132"/>
      <c r="S207" s="132"/>
      <c r="T207" s="134" t="s">
        <v>48</v>
      </c>
      <c r="U207" s="1325">
        <f t="shared" ref="U207:U210" si="325">SUM(V207:Y207)</f>
        <v>800.21451825333702</v>
      </c>
      <c r="V207" s="1328">
        <f>$AE$201</f>
        <v>28.16142161518901</v>
      </c>
      <c r="W207" s="1328">
        <f t="shared" ref="W207:Y207" si="326">AF201</f>
        <v>134.74976636858136</v>
      </c>
      <c r="X207" s="1325">
        <f t="shared" si="326"/>
        <v>216.14500234582886</v>
      </c>
      <c r="Y207" s="1326">
        <f t="shared" si="326"/>
        <v>421.15832792373783</v>
      </c>
      <c r="Z207" s="1600">
        <f t="shared" ref="Z207:Z211" si="327">SUM(V207:Y207)</f>
        <v>800.21451825333702</v>
      </c>
      <c r="AA207" s="1327"/>
      <c r="AB207" s="1327"/>
      <c r="AC207" s="1327"/>
      <c r="AD207" s="1327"/>
      <c r="AE207" s="1327"/>
      <c r="AF207" s="1327"/>
      <c r="AG207" s="1327"/>
      <c r="AH207" s="1327"/>
      <c r="AI207" s="1327"/>
      <c r="AJ207" s="1327"/>
      <c r="AK207" s="1327"/>
      <c r="AL207" s="1327"/>
      <c r="AM207" s="1327"/>
      <c r="AN207" s="1327"/>
      <c r="AO207" s="1327"/>
      <c r="AP207" s="1327"/>
      <c r="AQ207" s="1327"/>
      <c r="AR207" s="1327"/>
      <c r="AS207" s="1327"/>
      <c r="AT207" s="1327"/>
      <c r="AU207" s="1327"/>
      <c r="AV207" s="1327"/>
      <c r="AW207" s="1327"/>
      <c r="AX207" s="1327"/>
      <c r="AY207" s="1264"/>
      <c r="AZ207" s="97"/>
      <c r="BA207" s="97"/>
      <c r="BB207" s="97"/>
      <c r="BC207" s="97"/>
    </row>
    <row r="208" spans="1:61">
      <c r="A208" s="97"/>
      <c r="B208" s="132"/>
      <c r="C208" s="134"/>
      <c r="D208" s="162"/>
      <c r="E208" s="162"/>
      <c r="F208" s="162"/>
      <c r="G208" s="162"/>
      <c r="H208" s="2154" t="s">
        <v>170</v>
      </c>
      <c r="I208" s="2367"/>
      <c r="J208" s="1633"/>
      <c r="K208" s="2367"/>
      <c r="M208" s="129"/>
      <c r="N208" s="129"/>
      <c r="O208" s="129"/>
      <c r="P208" s="131"/>
      <c r="Q208" s="132"/>
      <c r="R208" s="132"/>
      <c r="S208" s="132"/>
      <c r="T208" s="134" t="s">
        <v>170</v>
      </c>
      <c r="U208" s="1325">
        <f t="shared" si="325"/>
        <v>666.23576782315138</v>
      </c>
      <c r="V208" s="1326">
        <f>$AJ$201</f>
        <v>23.446395841130066</v>
      </c>
      <c r="W208" s="1326">
        <f t="shared" ref="W208:Y208" si="328">AK201</f>
        <v>112.18880939140934</v>
      </c>
      <c r="X208" s="1325">
        <f t="shared" si="328"/>
        <v>179.95615964745664</v>
      </c>
      <c r="Y208" s="1326">
        <f t="shared" si="328"/>
        <v>350.64440294315534</v>
      </c>
      <c r="Z208" s="1600">
        <f t="shared" si="327"/>
        <v>666.23576782315138</v>
      </c>
      <c r="AA208" s="1327"/>
      <c r="AB208" s="1327"/>
      <c r="AC208" s="1327"/>
      <c r="AD208" s="1327"/>
      <c r="AE208" s="1327"/>
      <c r="AF208" s="1327"/>
      <c r="AG208" s="1327"/>
      <c r="AH208" s="1327"/>
      <c r="AI208" s="1327"/>
      <c r="AJ208" s="1327"/>
      <c r="AK208" s="1327"/>
      <c r="AL208" s="1327"/>
      <c r="AM208" s="1327"/>
      <c r="AN208" s="1327"/>
      <c r="AO208" s="1327"/>
      <c r="AP208" s="1327"/>
      <c r="AQ208" s="1327"/>
      <c r="AR208" s="1327"/>
      <c r="AS208" s="1327"/>
      <c r="AT208" s="1327"/>
      <c r="AU208" s="1327"/>
      <c r="AV208" s="1327"/>
      <c r="AW208" s="1327"/>
      <c r="AX208" s="1327"/>
      <c r="AY208" s="1264"/>
      <c r="AZ208" s="97"/>
      <c r="BA208" s="97"/>
      <c r="BB208" s="97"/>
      <c r="BC208" s="97"/>
    </row>
    <row r="209" spans="1:55">
      <c r="A209" s="97"/>
      <c r="B209" s="132"/>
      <c r="C209" s="134"/>
      <c r="D209" s="162"/>
      <c r="E209" s="1329"/>
      <c r="F209" s="1329"/>
      <c r="G209" s="1329"/>
      <c r="H209" s="2154" t="s">
        <v>27</v>
      </c>
      <c r="I209" s="2367"/>
      <c r="J209" s="1633"/>
      <c r="K209" s="2367"/>
      <c r="M209" s="129"/>
      <c r="N209" s="129"/>
      <c r="O209" s="129"/>
      <c r="P209" s="136" t="s">
        <v>14</v>
      </c>
      <c r="Q209" s="132"/>
      <c r="R209" s="132"/>
      <c r="S209" s="132"/>
      <c r="T209" s="134" t="s">
        <v>27</v>
      </c>
      <c r="U209" s="1325">
        <f t="shared" si="325"/>
        <v>23.435667999999996</v>
      </c>
      <c r="V209" s="1330">
        <f>$AO$201</f>
        <v>5.1589169999999998</v>
      </c>
      <c r="W209" s="1330">
        <f>AP201</f>
        <v>5.1589169999999998</v>
      </c>
      <c r="X209" s="1601">
        <f>AQ201</f>
        <v>7.9589169999999996</v>
      </c>
      <c r="Y209" s="1330">
        <f>AR201</f>
        <v>5.1589169999999998</v>
      </c>
      <c r="Z209" s="1600">
        <f t="shared" si="327"/>
        <v>23.435667999999996</v>
      </c>
      <c r="AA209" s="1331"/>
      <c r="AB209" s="1331"/>
      <c r="AC209" s="1331"/>
      <c r="AD209" s="1331"/>
      <c r="AE209" s="1331"/>
      <c r="AF209" s="1331"/>
      <c r="AG209" s="1331"/>
      <c r="AH209" s="1331"/>
      <c r="AI209" s="1331"/>
      <c r="AJ209" s="1331"/>
      <c r="AK209" s="1331"/>
      <c r="AL209" s="1331"/>
      <c r="AM209" s="1331"/>
      <c r="AN209" s="1331"/>
      <c r="AO209" s="1331"/>
      <c r="AP209" s="1331"/>
      <c r="AQ209" s="1331"/>
      <c r="AR209" s="1331"/>
      <c r="AS209" s="1331"/>
      <c r="AT209" s="1331"/>
      <c r="AU209" s="1331"/>
      <c r="AV209" s="1331"/>
      <c r="AW209" s="1331"/>
      <c r="AX209" s="1331"/>
      <c r="AY209" s="1264"/>
      <c r="AZ209" s="135"/>
      <c r="BA209" s="135"/>
      <c r="BB209" s="135"/>
      <c r="BC209" s="135"/>
    </row>
    <row r="210" spans="1:55" ht="15.75">
      <c r="A210" s="97"/>
      <c r="B210" s="132"/>
      <c r="C210" s="134"/>
      <c r="D210" s="162"/>
      <c r="E210" s="1329"/>
      <c r="F210" s="1329"/>
      <c r="G210" s="1329"/>
      <c r="H210" s="2154" t="s">
        <v>51</v>
      </c>
      <c r="I210" s="850"/>
      <c r="J210" s="850"/>
      <c r="K210" s="410"/>
      <c r="M210" s="129"/>
      <c r="N210" s="129"/>
      <c r="O210" s="129"/>
      <c r="P210" s="136"/>
      <c r="Q210" s="132"/>
      <c r="R210" s="132"/>
      <c r="S210" s="132"/>
      <c r="T210" s="134" t="s">
        <v>51</v>
      </c>
      <c r="U210" s="1325">
        <f t="shared" si="325"/>
        <v>0</v>
      </c>
      <c r="V210" s="1330">
        <f>$AT$201</f>
        <v>0</v>
      </c>
      <c r="W210" s="1330">
        <f t="shared" ref="W210:Y210" si="329">AU201</f>
        <v>0</v>
      </c>
      <c r="X210" s="1601">
        <f t="shared" si="329"/>
        <v>0</v>
      </c>
      <c r="Y210" s="1330">
        <f t="shared" si="329"/>
        <v>0</v>
      </c>
      <c r="Z210" s="1600">
        <f t="shared" si="327"/>
        <v>0</v>
      </c>
      <c r="AA210" s="1331"/>
      <c r="AB210" s="1331"/>
      <c r="AC210" s="1331"/>
      <c r="AD210" s="1331"/>
      <c r="AE210" s="1331"/>
      <c r="AF210" s="1331"/>
      <c r="AG210" s="1331"/>
      <c r="AH210" s="1331"/>
      <c r="AI210" s="1331"/>
      <c r="AJ210" s="1331"/>
      <c r="AK210" s="1331"/>
      <c r="AL210" s="1331"/>
      <c r="AM210" s="1331"/>
      <c r="AN210" s="1331"/>
      <c r="AO210" s="1331"/>
      <c r="AP210" s="1331"/>
      <c r="AQ210" s="1331"/>
      <c r="AR210" s="1331"/>
      <c r="AS210" s="1331"/>
      <c r="AT210" s="1331"/>
      <c r="AU210" s="1331"/>
      <c r="AV210" s="1331"/>
      <c r="AW210" s="1331"/>
      <c r="AX210" s="1331"/>
      <c r="AY210" s="1264"/>
      <c r="AZ210" s="135"/>
      <c r="BA210" s="135"/>
      <c r="BB210" s="135"/>
      <c r="BC210" s="135"/>
    </row>
    <row r="211" spans="1:55" ht="15.75">
      <c r="A211" s="97"/>
      <c r="B211" s="132"/>
      <c r="C211" s="299"/>
      <c r="D211" s="165"/>
      <c r="E211" s="162"/>
      <c r="F211" s="162"/>
      <c r="G211" s="162"/>
      <c r="H211" s="2155" t="s">
        <v>251</v>
      </c>
      <c r="I211" s="411"/>
      <c r="J211" s="411"/>
      <c r="K211" s="410"/>
      <c r="M211" s="129"/>
      <c r="N211" s="129"/>
      <c r="O211" s="129"/>
      <c r="P211" s="131"/>
      <c r="Q211" s="132"/>
      <c r="R211" s="132"/>
      <c r="S211" s="300"/>
      <c r="T211" s="138" t="s">
        <v>251</v>
      </c>
      <c r="U211" s="1332">
        <f>SUM(U206:U210)</f>
        <v>6493.9326754999984</v>
      </c>
      <c r="V211" s="1326">
        <f>SUM(V206:V210)</f>
        <v>258.92165399999999</v>
      </c>
      <c r="W211" s="1326">
        <f t="shared" ref="W211:Y211" si="330">SUM(W206:W210)</f>
        <v>1107.8458069999999</v>
      </c>
      <c r="X211" s="1325">
        <f t="shared" si="330"/>
        <v>1754.3372959999995</v>
      </c>
      <c r="Y211" s="1326">
        <f t="shared" si="330"/>
        <v>3372.8279185000001</v>
      </c>
      <c r="Z211" s="1600">
        <f t="shared" si="327"/>
        <v>6493.9326754999993</v>
      </c>
      <c r="AA211" s="1327"/>
      <c r="AB211" s="1327"/>
      <c r="AC211" s="1327"/>
      <c r="AD211" s="1327"/>
      <c r="AE211" s="1327"/>
      <c r="AF211" s="1327"/>
      <c r="AG211" s="1327"/>
      <c r="AH211" s="1327"/>
      <c r="AI211" s="1327"/>
      <c r="AJ211" s="1327"/>
      <c r="AK211" s="1327"/>
      <c r="AL211" s="1327"/>
      <c r="AM211" s="1327"/>
      <c r="AN211" s="1327"/>
      <c r="AO211" s="1327"/>
      <c r="AP211" s="1327"/>
      <c r="AQ211" s="1327"/>
      <c r="AR211" s="1327"/>
      <c r="AS211" s="1327"/>
      <c r="AT211" s="1327"/>
      <c r="AU211" s="1327"/>
      <c r="AV211" s="1327"/>
      <c r="AW211" s="1327"/>
      <c r="AX211" s="1327"/>
      <c r="AY211" s="1602"/>
      <c r="AZ211" s="97"/>
      <c r="BA211" s="97"/>
      <c r="BB211" s="97"/>
      <c r="BC211" s="97"/>
    </row>
    <row r="212" spans="1:55" ht="15.75">
      <c r="A212" s="66"/>
      <c r="B212" s="40"/>
      <c r="C212" s="154"/>
      <c r="D212" s="155"/>
      <c r="E212" s="857"/>
      <c r="F212" s="857"/>
      <c r="G212" s="857"/>
      <c r="H212" s="2156" t="s">
        <v>188</v>
      </c>
      <c r="I212" s="411"/>
      <c r="J212" s="411"/>
      <c r="K212" s="410"/>
      <c r="M212" s="36"/>
      <c r="N212" s="36"/>
      <c r="O212" s="36"/>
      <c r="P212" s="39"/>
      <c r="Q212" s="40"/>
      <c r="R212" s="40"/>
      <c r="S212" s="40"/>
      <c r="T212" s="154" t="s">
        <v>188</v>
      </c>
      <c r="U212" s="155" t="str">
        <f>IF(U211=T201,"Correct","Incorrect")</f>
        <v>Correct</v>
      </c>
      <c r="V212" s="482">
        <v>25.234916999999996</v>
      </c>
      <c r="W212" s="482">
        <v>23.734916999999996</v>
      </c>
      <c r="X212" s="1333">
        <v>1152.9660655000002</v>
      </c>
      <c r="Y212" s="482">
        <v>1717.58163975</v>
      </c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</row>
    <row r="213" spans="1:55" ht="15.75">
      <c r="A213" s="97"/>
      <c r="B213" s="127"/>
      <c r="C213" s="82"/>
      <c r="D213" s="97"/>
      <c r="E213" s="97"/>
      <c r="F213" s="408"/>
      <c r="G213" s="409"/>
      <c r="I213" s="411"/>
      <c r="J213" s="411"/>
      <c r="K213" s="410"/>
      <c r="L213" s="410"/>
      <c r="M213" s="129"/>
      <c r="N213" s="129"/>
      <c r="O213" s="129"/>
      <c r="P213" s="131"/>
      <c r="Q213" s="132"/>
      <c r="R213" s="132"/>
      <c r="S213" s="132"/>
      <c r="T213" s="132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</row>
    <row r="214" spans="1:55" ht="15.75">
      <c r="A214" s="97"/>
      <c r="B214" s="127"/>
      <c r="C214" s="82"/>
      <c r="D214" s="97"/>
      <c r="E214" s="97"/>
      <c r="F214" s="408"/>
      <c r="G214" s="409"/>
      <c r="H214" s="409"/>
      <c r="I214" s="411"/>
      <c r="J214" s="411"/>
      <c r="K214" s="410"/>
      <c r="L214" s="410"/>
      <c r="M214" s="129"/>
      <c r="N214" s="129"/>
      <c r="O214" s="129"/>
      <c r="P214" s="412"/>
      <c r="Q214" s="412"/>
      <c r="R214" s="412"/>
      <c r="S214" s="412"/>
      <c r="T214" s="412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  <c r="AV214" s="97"/>
      <c r="AW214" s="97"/>
      <c r="AX214" s="97"/>
      <c r="AY214" s="97"/>
      <c r="AZ214" s="97"/>
      <c r="BA214" s="97"/>
      <c r="BB214" s="97"/>
      <c r="BC214" s="97"/>
    </row>
    <row r="215" spans="1:55" ht="15.75">
      <c r="A215" s="102"/>
      <c r="B215" s="127"/>
      <c r="C215" s="82"/>
      <c r="D215" s="97"/>
      <c r="E215" s="97"/>
      <c r="F215" s="408"/>
      <c r="G215" s="409"/>
      <c r="H215" s="413"/>
      <c r="I215" s="411"/>
      <c r="J215" s="411"/>
      <c r="K215" s="410"/>
      <c r="L215" s="410"/>
      <c r="M215" s="129"/>
      <c r="N215" s="129"/>
      <c r="O215" s="129"/>
      <c r="P215" s="414"/>
      <c r="Q215" s="414"/>
      <c r="R215" s="414"/>
      <c r="S215" s="414"/>
      <c r="T215" s="414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</row>
    <row r="216" spans="1:55" ht="15.75">
      <c r="A216" s="102"/>
      <c r="B216" s="127"/>
      <c r="C216" s="82"/>
      <c r="D216" s="97"/>
      <c r="E216" s="97"/>
      <c r="F216" s="415"/>
      <c r="G216" s="416"/>
      <c r="H216" s="416"/>
      <c r="I216" s="417"/>
      <c r="J216" s="417"/>
      <c r="K216" s="418"/>
      <c r="L216" s="418"/>
      <c r="M216" s="129"/>
      <c r="N216" s="129"/>
      <c r="O216" s="129"/>
      <c r="P216" s="139"/>
      <c r="Q216" s="139"/>
      <c r="R216" s="139"/>
      <c r="S216" s="139"/>
      <c r="T216" s="139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  <c r="AV216" s="97"/>
      <c r="AW216" s="97"/>
      <c r="AX216" s="97"/>
      <c r="AY216" s="97"/>
      <c r="AZ216" s="97"/>
      <c r="BA216" s="97"/>
      <c r="BB216" s="97"/>
      <c r="BC216" s="97"/>
    </row>
    <row r="217" spans="1:55">
      <c r="A217" s="102"/>
      <c r="B217" s="127"/>
      <c r="C217" s="82"/>
      <c r="D217" s="97"/>
      <c r="E217" s="97"/>
      <c r="F217" s="97"/>
      <c r="G217" s="97"/>
      <c r="H217" s="816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122"/>
      <c r="U217" s="131"/>
      <c r="V217" s="132"/>
      <c r="W217" s="132"/>
      <c r="X217" s="132"/>
      <c r="Y217" s="132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  <c r="AV217" s="97"/>
      <c r="AW217" s="97"/>
      <c r="AX217" s="97"/>
      <c r="AY217" s="97"/>
      <c r="AZ217" s="97"/>
      <c r="BA217" s="97"/>
      <c r="BB217" s="97"/>
      <c r="BC217" s="97"/>
    </row>
    <row r="218" spans="1:55">
      <c r="A218" s="102"/>
      <c r="B218" s="127"/>
      <c r="C218" s="82"/>
      <c r="D218" s="97"/>
      <c r="E218" s="97"/>
      <c r="F218" s="97"/>
      <c r="G218" s="97"/>
      <c r="H218" s="816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122"/>
      <c r="U218" s="131"/>
      <c r="V218" s="132"/>
      <c r="W218" s="132"/>
      <c r="X218" s="132"/>
      <c r="Y218" s="132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  <c r="AV218" s="97"/>
      <c r="AW218" s="97"/>
      <c r="AX218" s="97"/>
      <c r="AY218" s="97"/>
      <c r="AZ218" s="97"/>
      <c r="BA218" s="97"/>
      <c r="BB218" s="97"/>
      <c r="BC218" s="97"/>
    </row>
    <row r="219" spans="1:55">
      <c r="A219" s="102"/>
      <c r="B219" s="127"/>
      <c r="C219" s="82"/>
      <c r="D219" s="97"/>
      <c r="E219" s="97"/>
      <c r="F219" s="97"/>
      <c r="G219" s="97"/>
      <c r="H219" s="816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122"/>
      <c r="U219" s="131"/>
      <c r="V219" s="132"/>
      <c r="W219" s="132"/>
      <c r="X219" s="132"/>
      <c r="Y219" s="132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  <c r="AV219" s="97"/>
      <c r="AW219" s="97"/>
      <c r="AX219" s="97"/>
      <c r="AY219" s="97"/>
      <c r="AZ219" s="97"/>
      <c r="BA219" s="97"/>
      <c r="BB219" s="97"/>
      <c r="BC219" s="97"/>
    </row>
    <row r="220" spans="1:55">
      <c r="A220" s="102"/>
      <c r="B220" s="127"/>
      <c r="C220" s="82"/>
      <c r="D220" s="97"/>
      <c r="E220" s="97"/>
      <c r="F220" s="97"/>
      <c r="G220" s="97"/>
      <c r="H220" s="816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122"/>
      <c r="U220" s="131"/>
      <c r="V220" s="132"/>
      <c r="W220" s="132"/>
      <c r="X220" s="132"/>
      <c r="Y220" s="132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  <c r="AV220" s="97"/>
      <c r="AW220" s="97"/>
      <c r="AX220" s="97"/>
      <c r="AY220" s="97"/>
      <c r="AZ220" s="97"/>
      <c r="BA220" s="97"/>
      <c r="BB220" s="97"/>
      <c r="BC220" s="97"/>
    </row>
    <row r="221" spans="1:55">
      <c r="A221" s="102"/>
      <c r="B221" s="127"/>
      <c r="C221" s="82"/>
      <c r="D221" s="97"/>
      <c r="E221" s="97"/>
      <c r="F221" s="97"/>
      <c r="G221" s="97"/>
      <c r="H221" s="816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122"/>
      <c r="U221" s="131"/>
      <c r="V221" s="132"/>
      <c r="W221" s="132"/>
      <c r="X221" s="132"/>
      <c r="Y221" s="132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  <c r="AV221" s="97"/>
      <c r="AW221" s="97"/>
      <c r="AX221" s="97"/>
      <c r="AY221" s="97"/>
      <c r="AZ221" s="97"/>
      <c r="BA221" s="97"/>
      <c r="BB221" s="97"/>
      <c r="BC221" s="97"/>
    </row>
    <row r="222" spans="1:55">
      <c r="A222" s="102"/>
      <c r="B222" s="127"/>
      <c r="C222" s="82"/>
      <c r="D222" s="97"/>
      <c r="E222" s="97"/>
      <c r="F222" s="97"/>
      <c r="G222" s="97"/>
      <c r="H222" s="816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122"/>
      <c r="U222" s="131"/>
      <c r="V222" s="132"/>
      <c r="W222" s="132"/>
      <c r="X222" s="132"/>
      <c r="Y222" s="132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  <c r="AK222" s="97"/>
      <c r="AL222" s="97"/>
      <c r="AM222" s="97"/>
      <c r="AN222" s="97"/>
      <c r="AO222" s="97"/>
      <c r="AP222" s="97"/>
      <c r="AQ222" s="97"/>
      <c r="AR222" s="97"/>
      <c r="AS222" s="97"/>
      <c r="AT222" s="97"/>
      <c r="AU222" s="97"/>
      <c r="AV222" s="97"/>
      <c r="AW222" s="97"/>
      <c r="AX222" s="97"/>
      <c r="AY222" s="97"/>
      <c r="AZ222" s="97"/>
      <c r="BA222" s="97"/>
      <c r="BB222" s="97"/>
      <c r="BC222" s="97"/>
    </row>
    <row r="223" spans="1:55">
      <c r="A223" s="102"/>
      <c r="B223" s="127"/>
      <c r="C223" s="82"/>
      <c r="D223" s="97"/>
      <c r="E223" s="97"/>
      <c r="F223" s="97"/>
      <c r="G223" s="97"/>
      <c r="H223" s="816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122"/>
      <c r="U223" s="131"/>
      <c r="V223" s="132"/>
      <c r="W223" s="132"/>
      <c r="X223" s="132"/>
      <c r="Y223" s="132"/>
      <c r="Z223" s="97"/>
      <c r="AA223" s="97"/>
      <c r="AB223" s="97"/>
      <c r="AC223" s="97"/>
      <c r="AD223" s="97"/>
      <c r="AE223" s="97"/>
      <c r="AF223" s="97"/>
      <c r="AG223" s="97"/>
      <c r="AH223" s="97"/>
      <c r="AI223" s="97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  <c r="AV223" s="97"/>
      <c r="AW223" s="97"/>
      <c r="AX223" s="97"/>
      <c r="AY223" s="97"/>
      <c r="AZ223" s="97"/>
      <c r="BA223" s="97"/>
      <c r="BB223" s="97"/>
      <c r="BC223" s="97"/>
    </row>
    <row r="224" spans="1:55">
      <c r="A224" s="102"/>
      <c r="B224" s="127"/>
      <c r="C224" s="82"/>
      <c r="D224" s="97"/>
      <c r="E224" s="97"/>
      <c r="F224" s="97"/>
      <c r="G224" s="97"/>
      <c r="H224" s="816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122"/>
      <c r="U224" s="131"/>
      <c r="V224" s="132"/>
      <c r="W224" s="132"/>
      <c r="X224" s="132"/>
      <c r="Y224" s="132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  <c r="AV224" s="97"/>
      <c r="AW224" s="97"/>
      <c r="AX224" s="97"/>
      <c r="AY224" s="97"/>
      <c r="AZ224" s="97"/>
      <c r="BA224" s="97"/>
      <c r="BB224" s="97"/>
      <c r="BC224" s="97"/>
    </row>
    <row r="225" spans="1:55">
      <c r="A225" s="102"/>
      <c r="B225" s="127"/>
      <c r="C225" s="82"/>
      <c r="D225" s="97"/>
      <c r="E225" s="97"/>
      <c r="F225" s="97"/>
      <c r="G225" s="97"/>
      <c r="H225" s="816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122"/>
      <c r="U225" s="131"/>
      <c r="V225" s="132"/>
      <c r="W225" s="132"/>
      <c r="X225" s="132"/>
      <c r="Y225" s="132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  <c r="AV225" s="97"/>
      <c r="AW225" s="97"/>
      <c r="AX225" s="97"/>
      <c r="AY225" s="97"/>
      <c r="AZ225" s="97"/>
      <c r="BA225" s="97"/>
      <c r="BB225" s="97"/>
      <c r="BC225" s="97"/>
    </row>
    <row r="226" spans="1:55">
      <c r="A226" s="102"/>
      <c r="B226" s="127"/>
      <c r="C226" s="82"/>
      <c r="D226" s="97"/>
      <c r="E226" s="97"/>
      <c r="F226" s="97"/>
      <c r="G226" s="97"/>
      <c r="H226" s="816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122"/>
      <c r="U226" s="131"/>
      <c r="V226" s="132"/>
      <c r="W226" s="132"/>
      <c r="X226" s="132"/>
      <c r="Y226" s="132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7"/>
      <c r="AV226" s="97"/>
      <c r="AW226" s="97"/>
      <c r="AX226" s="97"/>
      <c r="AY226" s="97"/>
      <c r="AZ226" s="97"/>
      <c r="BA226" s="97"/>
      <c r="BB226" s="97"/>
      <c r="BC226" s="97"/>
    </row>
  </sheetData>
  <autoFilter ref="B1:C226" xr:uid="{00000000-0009-0000-0000-000005000000}"/>
  <mergeCells count="17">
    <mergeCell ref="Z5:AX5"/>
    <mergeCell ref="Z6:AD6"/>
    <mergeCell ref="AE6:AI6"/>
    <mergeCell ref="AJ6:AN6"/>
    <mergeCell ref="AO6:AS6"/>
    <mergeCell ref="AT6:AX6"/>
    <mergeCell ref="F140:G140"/>
    <mergeCell ref="I208:I209"/>
    <mergeCell ref="K208:K209"/>
    <mergeCell ref="B5:B7"/>
    <mergeCell ref="D5:F7"/>
    <mergeCell ref="H5:H7"/>
    <mergeCell ref="I5:I7"/>
    <mergeCell ref="C5:C7"/>
    <mergeCell ref="F137:G137"/>
    <mergeCell ref="F139:G139"/>
    <mergeCell ref="J6:J7"/>
  </mergeCells>
  <printOptions horizontalCentered="1" headings="1"/>
  <pageMargins left="0.39370078740157483" right="0.39370078740157483" top="0.39370078740157483" bottom="0.39370078740157483" header="0.51181102362204722" footer="0.51181102362204722"/>
  <pageSetup paperSize="8" scale="73" fitToHeight="3" orientation="landscape" r:id="rId1"/>
  <headerFooter>
    <oddHeader>&amp;L&amp;"Arial,Italic"&amp;12&amp;K002060CFAVC&amp;R&amp;"Arial,Italic"&amp;12AWPB 2020
Annex 4c</oddHeader>
    <oddFooter>&amp;R&amp;"Calibri,Italic"&amp;12Annex 4c - 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500-000000000000}">
          <x14:formula1>
            <xm:f>'Annex 2_Code'!$G$37:$G$94</xm:f>
          </x14:formula1>
          <xm:sqref>C134:C141 C130:C131 C119:C127</xm:sqref>
        </x14:dataValidation>
        <x14:dataValidation type="list" allowBlank="1" showInputMessage="1" showErrorMessage="1" xr:uid="{00000000-0002-0000-0500-000001000000}">
          <x14:formula1>
            <xm:f>'Annex 2_Code'!$J$110:$J$127</xm:f>
          </x14:formula1>
          <xm:sqref>BG12:BG22 BG25:BG35 BG38:BG48 BG51:BG61 BG64:BG74 BG77:BG87 BG90:BG100 BG103:BG113 BG134:BG141 BG129:BG131 BG118:BG127</xm:sqref>
        </x14:dataValidation>
        <x14:dataValidation type="list" allowBlank="1" showInputMessage="1" showErrorMessage="1" xr:uid="{00000000-0002-0000-0500-000002000000}">
          <x14:formula1>
            <xm:f>'Annex 2_Code'!$G$8:$G$33</xm:f>
          </x14:formula1>
          <xm:sqref>BF134:BF141 BF12:BF22 BF25:BF35 BF38:BF48 BF51:BF61 BF64:BF74 BF77:BF87 BF90:BF100 BF103:BF113 BF118:BF127 BF130:BF131</xm:sqref>
        </x14:dataValidation>
        <x14:dataValidation type="list" allowBlank="1" showInputMessage="1" showErrorMessage="1" xr:uid="{00000000-0002-0000-0500-000003000000}">
          <x14:formula1>
            <xm:f>'Annex 2_Code'!$G$110:$G$127</xm:f>
          </x14:formula1>
          <xm:sqref>BE118:BE127 BE130:BE131 BE134:BE141 BE12:BE22 BE25:BE35 BE38:BE48 BE51:BE61 BE64:BE74 BE77:BE87 BE90:BE100 BE103:BE113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2:M32"/>
  <sheetViews>
    <sheetView showGridLines="0" topLeftCell="A5" zoomScale="90" zoomScaleNormal="90" workbookViewId="0">
      <pane ySplit="4" topLeftCell="A9" activePane="bottomLeft" state="frozen"/>
      <selection activeCell="A5" sqref="A5"/>
      <selection pane="bottomLeft" activeCell="M25" sqref="M25"/>
    </sheetView>
  </sheetViews>
  <sheetFormatPr defaultRowHeight="12.75"/>
  <cols>
    <col min="2" max="2" width="11.7109375" customWidth="1"/>
    <col min="3" max="3" width="21.85546875" bestFit="1" customWidth="1"/>
    <col min="4" max="5" width="10.7109375" customWidth="1"/>
    <col min="6" max="6" width="10.28515625" customWidth="1"/>
    <col min="7" max="7" width="10.42578125" customWidth="1"/>
    <col min="8" max="8" width="15.28515625" customWidth="1"/>
    <col min="9" max="9" width="2.5703125" customWidth="1"/>
    <col min="10" max="10" width="10.42578125" bestFit="1" customWidth="1"/>
  </cols>
  <sheetData>
    <row r="2" spans="2:11">
      <c r="B2" s="67" t="s">
        <v>39</v>
      </c>
      <c r="C2" s="6"/>
    </row>
    <row r="3" spans="2:11">
      <c r="B3" s="6" t="s">
        <v>38</v>
      </c>
      <c r="C3" s="6"/>
    </row>
    <row r="4" spans="2:11">
      <c r="B4" s="6" t="s">
        <v>247</v>
      </c>
      <c r="C4" s="6"/>
    </row>
    <row r="6" spans="2:11" ht="25.5" customHeight="1">
      <c r="B6" s="2391" t="s">
        <v>18</v>
      </c>
      <c r="C6" s="42" t="s">
        <v>5</v>
      </c>
      <c r="D6" s="2393" t="s">
        <v>199</v>
      </c>
      <c r="E6" s="2394"/>
      <c r="F6" s="2394"/>
      <c r="G6" s="2394"/>
      <c r="H6" s="2395"/>
    </row>
    <row r="7" spans="2:11">
      <c r="B7" s="2392"/>
      <c r="C7" s="43"/>
      <c r="D7" s="822" t="s">
        <v>7</v>
      </c>
      <c r="E7" s="823" t="s">
        <v>8</v>
      </c>
      <c r="F7" s="822" t="s">
        <v>9</v>
      </c>
      <c r="G7" s="822" t="s">
        <v>10</v>
      </c>
      <c r="H7" s="44" t="s">
        <v>11</v>
      </c>
    </row>
    <row r="8" spans="2:11" ht="5.0999999999999996" customHeight="1">
      <c r="B8" s="12"/>
      <c r="C8" s="7"/>
      <c r="D8" s="10"/>
      <c r="E8" s="7"/>
      <c r="F8" s="10"/>
      <c r="G8" s="7"/>
      <c r="H8" s="23"/>
    </row>
    <row r="9" spans="2:11" ht="12.75" customHeight="1">
      <c r="B9" s="2390" t="s">
        <v>15</v>
      </c>
      <c r="C9" s="13" t="s">
        <v>244</v>
      </c>
      <c r="D9" s="331">
        <f>'Annex 3_MAFF'!AA539</f>
        <v>903.82703054759861</v>
      </c>
      <c r="E9" s="331">
        <f>'Annex 3_MAFF'!AB539</f>
        <v>3724.4264120966541</v>
      </c>
      <c r="F9" s="331">
        <f>'Annex 3_MAFF'!AC539</f>
        <v>4379.4837268761103</v>
      </c>
      <c r="G9" s="331">
        <f>'Annex 3_MAFF'!AD539</f>
        <v>2637.7399371462966</v>
      </c>
      <c r="H9" s="331">
        <f>SUM(D9:G9)</f>
        <v>11645.477106666658</v>
      </c>
    </row>
    <row r="10" spans="2:11" ht="12.75" customHeight="1">
      <c r="B10" s="2390"/>
      <c r="C10" s="13" t="s">
        <v>48</v>
      </c>
      <c r="D10" s="331">
        <f>'Annex 3_MAFF'!AA540</f>
        <v>0</v>
      </c>
      <c r="E10" s="331">
        <f>'Annex 3_MAFF'!AB540</f>
        <v>0</v>
      </c>
      <c r="F10" s="331">
        <f>'Annex 3_MAFF'!AC540</f>
        <v>0</v>
      </c>
      <c r="G10" s="331">
        <f>'Annex 3_MAFF'!AD540</f>
        <v>0</v>
      </c>
      <c r="H10" s="331">
        <f>SUM(D10:G10)</f>
        <v>0</v>
      </c>
    </row>
    <row r="11" spans="2:11" ht="12.75" customHeight="1">
      <c r="B11" s="2390"/>
      <c r="C11" s="26" t="s">
        <v>49</v>
      </c>
      <c r="D11" s="331">
        <f>'Annex 3_MAFF'!AA541</f>
        <v>274.66702869705802</v>
      </c>
      <c r="E11" s="331">
        <f>'Annex 3_MAFF'!AB541</f>
        <v>1131.8284380050516</v>
      </c>
      <c r="F11" s="331">
        <f>'Annex 3_MAFF'!AC541</f>
        <v>1330.89600314275</v>
      </c>
      <c r="G11" s="331">
        <f>'Annex 3_MAFF'!AD541</f>
        <v>801.59163924604854</v>
      </c>
      <c r="H11" s="331">
        <f>SUM(D11:G11)</f>
        <v>3538.9831090909083</v>
      </c>
    </row>
    <row r="12" spans="2:11" ht="12.75" customHeight="1">
      <c r="B12" s="2390"/>
      <c r="C12" s="13" t="s">
        <v>27</v>
      </c>
      <c r="D12" s="331">
        <f>'Annex 3_MAFF'!AA542</f>
        <v>32.713500653579032</v>
      </c>
      <c r="E12" s="331">
        <f>'Annex 3_MAFF'!AB542</f>
        <v>134.80347649318779</v>
      </c>
      <c r="F12" s="331">
        <f>'Annex 3_MAFF'!AC542</f>
        <v>158.51290005643995</v>
      </c>
      <c r="G12" s="331">
        <f>'Annex 3_MAFF'!AD542</f>
        <v>95.471483194662639</v>
      </c>
      <c r="H12" s="331">
        <f>SUM(D12:G12)</f>
        <v>421.50136039786941</v>
      </c>
    </row>
    <row r="13" spans="2:11" ht="12.75" customHeight="1">
      <c r="B13" s="2390"/>
      <c r="C13" s="13" t="s">
        <v>51</v>
      </c>
      <c r="D13" s="331">
        <f>'Annex 3_MAFF'!AA543</f>
        <v>30.21256510176373</v>
      </c>
      <c r="E13" s="332">
        <f>'Annex 3_MAFF'!AB543</f>
        <v>124.49779840510375</v>
      </c>
      <c r="F13" s="331">
        <f>'Annex 3_MAFF'!AC543</f>
        <v>146.39464492469739</v>
      </c>
      <c r="G13" s="332">
        <f>'Annex 3_MAFF'!AD543</f>
        <v>88.172722079656538</v>
      </c>
      <c r="H13" s="331">
        <f>SUM(D13:G13)</f>
        <v>389.27773051122142</v>
      </c>
    </row>
    <row r="14" spans="2:11" ht="12.75" customHeight="1">
      <c r="B14" s="2396"/>
      <c r="C14" s="14" t="s">
        <v>11</v>
      </c>
      <c r="D14" s="333">
        <f>SUM(D9:D13)</f>
        <v>1241.4201249999994</v>
      </c>
      <c r="E14" s="333">
        <f>SUM(E9:E13)</f>
        <v>5115.5561249999973</v>
      </c>
      <c r="F14" s="333">
        <f>SUM(F9:F13)</f>
        <v>6015.2872749999979</v>
      </c>
      <c r="G14" s="333">
        <f>SUM(G9:G13)</f>
        <v>3622.9757816666643</v>
      </c>
      <c r="H14" s="333">
        <f>SUM(H9:H13)</f>
        <v>15995.239306666657</v>
      </c>
      <c r="J14" s="824"/>
      <c r="K14" s="825"/>
    </row>
    <row r="15" spans="2:11" ht="12.75" customHeight="1">
      <c r="B15" s="2390" t="s">
        <v>197</v>
      </c>
      <c r="C15" s="13" t="s">
        <v>244</v>
      </c>
      <c r="D15" s="331">
        <f>'Annex 4_MoWRAM'!E92</f>
        <v>67.93937202661516</v>
      </c>
      <c r="E15" s="331">
        <f>'Annex 4_MoWRAM'!F92</f>
        <v>643.06634346798444</v>
      </c>
      <c r="F15" s="331">
        <f>'Annex 4_MoWRAM'!G92</f>
        <v>2706.2171923288256</v>
      </c>
      <c r="G15" s="331">
        <f>'Annex 4_MoWRAM'!H92</f>
        <v>3548.6714159512508</v>
      </c>
      <c r="H15" s="331">
        <f>SUM(D15:G15)</f>
        <v>6965.8943237746753</v>
      </c>
      <c r="I15" s="15"/>
      <c r="J15" s="824"/>
      <c r="K15" s="825"/>
    </row>
    <row r="16" spans="2:11" ht="12.75" customHeight="1">
      <c r="B16" s="2390"/>
      <c r="C16" s="13" t="s">
        <v>48</v>
      </c>
      <c r="D16" s="331">
        <f>'Annex 4_MoWRAM'!E93</f>
        <v>8.2837850119057332</v>
      </c>
      <c r="E16" s="331">
        <f>'Annex 4_MoWRAM'!F93</f>
        <v>102.94477508842276</v>
      </c>
      <c r="F16" s="331">
        <f>'Annex 4_MoWRAM'!G93</f>
        <v>442.52179325698097</v>
      </c>
      <c r="G16" s="331">
        <f>'Annex 4_MoWRAM'!H93</f>
        <v>581.18256707251066</v>
      </c>
      <c r="H16" s="331">
        <f>SUM(D16:G16)</f>
        <v>1134.9329204298201</v>
      </c>
      <c r="I16" s="15"/>
      <c r="J16" s="824"/>
      <c r="K16" s="825"/>
    </row>
    <row r="17" spans="2:13" ht="12.75" customHeight="1">
      <c r="B17" s="2390"/>
      <c r="C17" s="26" t="s">
        <v>49</v>
      </c>
      <c r="D17" s="331">
        <f>'Annex 4_MoWRAM'!E94</f>
        <v>88.096842961479112</v>
      </c>
      <c r="E17" s="331">
        <f>'Annex 4_MoWRAM'!F94</f>
        <v>131.65888144359275</v>
      </c>
      <c r="F17" s="331">
        <f>'Annex 4_MoWRAM'!G94</f>
        <v>407.3310144141941</v>
      </c>
      <c r="G17" s="331">
        <f>'Annex 4_MoWRAM'!H94</f>
        <v>522.77601697623857</v>
      </c>
      <c r="H17" s="331">
        <f>SUM(D17:G17)</f>
        <v>1149.8627557955047</v>
      </c>
      <c r="I17" s="15"/>
      <c r="J17" s="824"/>
      <c r="K17" s="825"/>
    </row>
    <row r="18" spans="2:13" ht="12.75" customHeight="1">
      <c r="B18" s="2390"/>
      <c r="C18" s="13" t="s">
        <v>27</v>
      </c>
      <c r="D18" s="331">
        <f>'Annex 4_MoWRAM'!E95</f>
        <v>51.545000000000002</v>
      </c>
      <c r="E18" s="331">
        <f>'Annex 4_MoWRAM'!F95</f>
        <v>51.545000000000002</v>
      </c>
      <c r="F18" s="331">
        <f>'Annex 4_MoWRAM'!G95</f>
        <v>51.545000000000002</v>
      </c>
      <c r="G18" s="331">
        <f>'Annex 4_MoWRAM'!H95</f>
        <v>51.545000000000002</v>
      </c>
      <c r="H18" s="331">
        <f>SUM(D18:G18)</f>
        <v>206.18</v>
      </c>
      <c r="I18" s="15"/>
      <c r="J18" s="824"/>
      <c r="K18" s="825"/>
    </row>
    <row r="19" spans="2:13" ht="12.75" customHeight="1">
      <c r="B19" s="2390"/>
      <c r="C19" s="13" t="s">
        <v>51</v>
      </c>
      <c r="D19" s="331">
        <f>'Annex 4_MoWRAM'!E96</f>
        <v>0</v>
      </c>
      <c r="E19" s="331">
        <f>'Annex 4_MoWRAM'!F96</f>
        <v>0</v>
      </c>
      <c r="F19" s="331">
        <f>'Annex 4_MoWRAM'!G96</f>
        <v>0</v>
      </c>
      <c r="G19" s="331">
        <f>'Annex 4_MoWRAM'!H96</f>
        <v>0</v>
      </c>
      <c r="H19" s="331">
        <f>SUM(D19:G19)</f>
        <v>0</v>
      </c>
      <c r="I19" s="15"/>
      <c r="J19" s="824"/>
      <c r="K19" s="825"/>
      <c r="M19" t="s">
        <v>245</v>
      </c>
    </row>
    <row r="20" spans="2:13" ht="12.75" customHeight="1">
      <c r="B20" s="2396"/>
      <c r="C20" s="14" t="s">
        <v>11</v>
      </c>
      <c r="D20" s="333">
        <f>SUM(D15:D19)</f>
        <v>215.86500000000001</v>
      </c>
      <c r="E20" s="333">
        <f>SUM(E15:E19)</f>
        <v>929.2149999999998</v>
      </c>
      <c r="F20" s="333">
        <f>SUM(F15:F19)</f>
        <v>3607.6150000000007</v>
      </c>
      <c r="G20" s="333">
        <f>SUM(G15:G19)</f>
        <v>4704.1750000000002</v>
      </c>
      <c r="H20" s="333">
        <f>SUM(H15:H19)</f>
        <v>9456.8700000000008</v>
      </c>
      <c r="I20" s="15"/>
      <c r="J20" s="824"/>
      <c r="K20" s="825"/>
    </row>
    <row r="21" spans="2:13" ht="12.75" customHeight="1">
      <c r="B21" s="2390" t="s">
        <v>190</v>
      </c>
      <c r="C21" s="265" t="s">
        <v>244</v>
      </c>
      <c r="D21" s="334">
        <f>'Annex 5_MRD'!V206</f>
        <v>202.15491954368096</v>
      </c>
      <c r="E21" s="334">
        <f>'Annex 5_MRD'!W206</f>
        <v>855.74831424000934</v>
      </c>
      <c r="F21" s="334">
        <f>'Annex 5_MRD'!X206</f>
        <v>1350.2772170067142</v>
      </c>
      <c r="G21" s="334">
        <f>'Annex 5_MRD'!Y206</f>
        <v>2595.8662706331065</v>
      </c>
      <c r="H21" s="331">
        <f>SUM(D21:G21)</f>
        <v>5004.0467214235105</v>
      </c>
      <c r="I21" s="15"/>
      <c r="J21" s="824"/>
      <c r="K21" s="825"/>
    </row>
    <row r="22" spans="2:13" ht="12.75" customHeight="1">
      <c r="B22" s="2390"/>
      <c r="C22" s="265" t="s">
        <v>48</v>
      </c>
      <c r="D22" s="334">
        <f>'Annex 5_MRD'!V207</f>
        <v>28.16142161518901</v>
      </c>
      <c r="E22" s="334">
        <f>'Annex 5_MRD'!W207</f>
        <v>134.74976636858136</v>
      </c>
      <c r="F22" s="334">
        <f>'Annex 5_MRD'!X207</f>
        <v>216.14500234582886</v>
      </c>
      <c r="G22" s="334">
        <f>'Annex 5_MRD'!Y207</f>
        <v>421.15832792373783</v>
      </c>
      <c r="H22" s="331">
        <f>SUM(D22:G22)</f>
        <v>800.21451825333702</v>
      </c>
      <c r="I22" s="15"/>
      <c r="J22" s="824"/>
      <c r="K22" s="825"/>
    </row>
    <row r="23" spans="2:13" ht="12.75" customHeight="1">
      <c r="B23" s="2390"/>
      <c r="C23" s="266" t="s">
        <v>49</v>
      </c>
      <c r="D23" s="334">
        <f>'Annex 5_MRD'!V208</f>
        <v>23.446395841130066</v>
      </c>
      <c r="E23" s="334">
        <f>'Annex 5_MRD'!W208</f>
        <v>112.18880939140934</v>
      </c>
      <c r="F23" s="334">
        <f>'Annex 5_MRD'!X208</f>
        <v>179.95615964745664</v>
      </c>
      <c r="G23" s="334">
        <f>'Annex 5_MRD'!Y208</f>
        <v>350.64440294315534</v>
      </c>
      <c r="H23" s="331">
        <f>SUM(D23:G23)</f>
        <v>666.23576782315138</v>
      </c>
      <c r="I23" s="15"/>
      <c r="J23" s="824"/>
      <c r="K23" s="825"/>
    </row>
    <row r="24" spans="2:13" ht="12.75" customHeight="1">
      <c r="B24" s="2390"/>
      <c r="C24" s="265" t="s">
        <v>27</v>
      </c>
      <c r="D24" s="334">
        <f>'Annex 5_MRD'!V209</f>
        <v>5.1589169999999998</v>
      </c>
      <c r="E24" s="334">
        <f>'Annex 5_MRD'!W209</f>
        <v>5.1589169999999998</v>
      </c>
      <c r="F24" s="334">
        <f>'Annex 5_MRD'!X209</f>
        <v>7.9589169999999996</v>
      </c>
      <c r="G24" s="334">
        <f>'Annex 5_MRD'!Y209</f>
        <v>5.1589169999999998</v>
      </c>
      <c r="H24" s="331">
        <f>SUM(D24:G24)</f>
        <v>23.435667999999996</v>
      </c>
      <c r="I24" s="15"/>
      <c r="J24" s="824"/>
      <c r="K24" s="825"/>
    </row>
    <row r="25" spans="2:13" ht="12.75" customHeight="1">
      <c r="B25" s="2390"/>
      <c r="C25" s="265" t="s">
        <v>51</v>
      </c>
      <c r="D25" s="334">
        <v>0</v>
      </c>
      <c r="E25" s="334">
        <v>0</v>
      </c>
      <c r="F25" s="334">
        <v>0</v>
      </c>
      <c r="G25" s="334">
        <v>0</v>
      </c>
      <c r="H25" s="331">
        <f>SUM(D25:G25)</f>
        <v>0</v>
      </c>
      <c r="I25" s="15"/>
      <c r="J25" s="824"/>
      <c r="K25" s="825"/>
    </row>
    <row r="26" spans="2:13" ht="12.75" customHeight="1">
      <c r="B26" s="2396"/>
      <c r="C26" s="302" t="s">
        <v>11</v>
      </c>
      <c r="D26" s="333">
        <f>SUM(D21:D25)</f>
        <v>258.92165399999999</v>
      </c>
      <c r="E26" s="333">
        <f>SUM(E21:E25)</f>
        <v>1107.8458069999999</v>
      </c>
      <c r="F26" s="333">
        <f>SUM(F21:F25)</f>
        <v>1754.3372959999995</v>
      </c>
      <c r="G26" s="333">
        <f>SUM(G21:G25)</f>
        <v>3372.8279185000001</v>
      </c>
      <c r="H26" s="333">
        <f>SUM(H21:H25)</f>
        <v>6493.9326754999984</v>
      </c>
      <c r="I26" s="15"/>
      <c r="J26" s="824"/>
      <c r="K26" s="825"/>
    </row>
    <row r="27" spans="2:13" ht="12.75" customHeight="1">
      <c r="B27" s="2389" t="s">
        <v>19</v>
      </c>
      <c r="C27" s="13" t="s">
        <v>244</v>
      </c>
      <c r="D27" s="335">
        <f>SUM(,D21,D15,D9)</f>
        <v>1173.9213221178948</v>
      </c>
      <c r="E27" s="335">
        <f>SUM(E21,E15,E9)</f>
        <v>5223.2410698046479</v>
      </c>
      <c r="F27" s="335">
        <f>SUM(F21,F15,F9)</f>
        <v>8435.9781362116501</v>
      </c>
      <c r="G27" s="335">
        <f>SUM(G21,G15,G9)</f>
        <v>8782.2776237306534</v>
      </c>
      <c r="H27" s="336">
        <f>SUM(D27:G27)</f>
        <v>23615.418151864847</v>
      </c>
      <c r="I27" s="15"/>
    </row>
    <row r="28" spans="2:13" ht="12.75" customHeight="1">
      <c r="B28" s="2389"/>
      <c r="C28" s="13" t="s">
        <v>48</v>
      </c>
      <c r="D28" s="335">
        <f t="shared" ref="D28:D31" si="0">SUM(,D22,D16,D10)</f>
        <v>36.445206627094741</v>
      </c>
      <c r="E28" s="335">
        <f t="shared" ref="E28:G31" si="1">SUM(E22,E16,E10)</f>
        <v>237.69454145700411</v>
      </c>
      <c r="F28" s="335">
        <f t="shared" si="1"/>
        <v>658.66679560280977</v>
      </c>
      <c r="G28" s="335">
        <f t="shared" si="1"/>
        <v>1002.3408949962485</v>
      </c>
      <c r="H28" s="336">
        <f>SUM(D28:G28)</f>
        <v>1935.1474386831571</v>
      </c>
      <c r="I28" s="15"/>
    </row>
    <row r="29" spans="2:13" ht="12.75" customHeight="1">
      <c r="B29" s="2389"/>
      <c r="C29" s="26" t="s">
        <v>49</v>
      </c>
      <c r="D29" s="335">
        <f t="shared" si="0"/>
        <v>386.21026749966722</v>
      </c>
      <c r="E29" s="335">
        <f t="shared" si="1"/>
        <v>1375.6761288400537</v>
      </c>
      <c r="F29" s="335">
        <f>SUM(F23,F17,F11)</f>
        <v>1918.1831772044006</v>
      </c>
      <c r="G29" s="335">
        <f t="shared" si="1"/>
        <v>1675.0120591654425</v>
      </c>
      <c r="H29" s="336">
        <f>SUM(D29:G29)</f>
        <v>5355.0816327095636</v>
      </c>
      <c r="I29" s="15"/>
    </row>
    <row r="30" spans="2:13" ht="12.75" customHeight="1">
      <c r="B30" s="2390"/>
      <c r="C30" s="13" t="s">
        <v>27</v>
      </c>
      <c r="D30" s="335">
        <f t="shared" si="0"/>
        <v>89.417417653579037</v>
      </c>
      <c r="E30" s="335">
        <f t="shared" si="1"/>
        <v>191.50739349318781</v>
      </c>
      <c r="F30" s="335">
        <f t="shared" si="1"/>
        <v>218.01681705643995</v>
      </c>
      <c r="G30" s="335">
        <f t="shared" si="1"/>
        <v>152.17540019466264</v>
      </c>
      <c r="H30" s="336">
        <f>SUM(D30:G30)</f>
        <v>651.11702839786949</v>
      </c>
      <c r="I30" s="15"/>
    </row>
    <row r="31" spans="2:13" ht="12.75" customHeight="1">
      <c r="B31" s="269"/>
      <c r="C31" s="13" t="s">
        <v>51</v>
      </c>
      <c r="D31" s="335">
        <f t="shared" si="0"/>
        <v>30.21256510176373</v>
      </c>
      <c r="E31" s="335">
        <f t="shared" si="1"/>
        <v>124.49779840510375</v>
      </c>
      <c r="F31" s="335">
        <f>SUM(F25,F19,F13)</f>
        <v>146.39464492469739</v>
      </c>
      <c r="G31" s="335">
        <f t="shared" si="1"/>
        <v>88.172722079656538</v>
      </c>
      <c r="H31" s="336">
        <f>SUM(D31:G31)</f>
        <v>389.27773051122142</v>
      </c>
      <c r="I31" s="15"/>
    </row>
    <row r="32" spans="2:13" ht="20.100000000000001" customHeight="1">
      <c r="B32" s="16" t="s">
        <v>17</v>
      </c>
      <c r="C32" s="17"/>
      <c r="D32" s="337">
        <f>SUM(D27:D31)</f>
        <v>1716.2067789999992</v>
      </c>
      <c r="E32" s="337">
        <f>SUM(E27:E31)</f>
        <v>7152.6169319999972</v>
      </c>
      <c r="F32" s="337">
        <f>SUM(F27:F31)</f>
        <v>11377.239570999998</v>
      </c>
      <c r="G32" s="337">
        <f>SUM(G27:G31)</f>
        <v>11699.978700166665</v>
      </c>
      <c r="H32" s="337">
        <f>SUM(H27:H31)</f>
        <v>31946.041982166658</v>
      </c>
      <c r="I32" s="15"/>
      <c r="J32" s="338"/>
    </row>
  </sheetData>
  <mergeCells count="6">
    <mergeCell ref="B27:B30"/>
    <mergeCell ref="B6:B7"/>
    <mergeCell ref="D6:H6"/>
    <mergeCell ref="B9:B14"/>
    <mergeCell ref="B15:B20"/>
    <mergeCell ref="B21:B26"/>
  </mergeCells>
  <pageMargins left="0.45866141700000002" right="0.45866141700000002" top="0.74803149606299202" bottom="0.74803149606299202" header="0.31496062992126" footer="0.31496062992126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2:O34"/>
  <sheetViews>
    <sheetView tabSelected="1" topLeftCell="C3" zoomScale="110" zoomScaleNormal="110" workbookViewId="0">
      <selection activeCell="O22" sqref="O22"/>
    </sheetView>
  </sheetViews>
  <sheetFormatPr defaultRowHeight="12.75"/>
  <cols>
    <col min="1" max="1" width="73.140625" customWidth="1"/>
    <col min="2" max="2" width="14.85546875" hidden="1" customWidth="1"/>
    <col min="3" max="6" width="10.42578125" customWidth="1"/>
    <col min="8" max="8" width="11.85546875" hidden="1" customWidth="1"/>
    <col min="9" max="9" width="7.5703125" customWidth="1"/>
    <col min="10" max="10" width="12.42578125" customWidth="1"/>
    <col min="11" max="11" width="11.140625" customWidth="1"/>
    <col min="12" max="12" width="10.7109375" customWidth="1"/>
    <col min="13" max="13" width="11.140625" customWidth="1"/>
    <col min="14" max="14" width="11.85546875" customWidth="1"/>
    <col min="15" max="15" width="11.42578125" customWidth="1"/>
  </cols>
  <sheetData>
    <row r="2" spans="1:15">
      <c r="K2" t="s">
        <v>1125</v>
      </c>
    </row>
    <row r="3" spans="1:15" ht="36" customHeight="1" thickBot="1">
      <c r="A3" s="497" t="s">
        <v>570</v>
      </c>
      <c r="B3" s="832" t="s">
        <v>556</v>
      </c>
      <c r="K3" s="2407" t="s">
        <v>1123</v>
      </c>
      <c r="L3" s="2407"/>
      <c r="M3" s="2407"/>
      <c r="N3" s="2407"/>
      <c r="O3" s="2407"/>
    </row>
    <row r="4" spans="1:15" ht="20.100000000000001" customHeight="1" thickTop="1" thickBot="1">
      <c r="A4" s="994"/>
      <c r="B4" s="984"/>
      <c r="C4" s="985" t="s">
        <v>15</v>
      </c>
      <c r="D4" s="985" t="s">
        <v>197</v>
      </c>
      <c r="E4" s="985" t="s">
        <v>190</v>
      </c>
      <c r="F4" s="986" t="s">
        <v>16</v>
      </c>
      <c r="J4" s="1860" t="s">
        <v>1126</v>
      </c>
      <c r="K4" s="985" t="s">
        <v>15</v>
      </c>
      <c r="L4" s="985" t="s">
        <v>197</v>
      </c>
      <c r="M4" s="985" t="s">
        <v>190</v>
      </c>
      <c r="N4" s="986" t="s">
        <v>16</v>
      </c>
      <c r="O4" s="1856" t="s">
        <v>1124</v>
      </c>
    </row>
    <row r="5" spans="1:15" ht="14.25" thickTop="1" thickBot="1">
      <c r="A5" s="987" t="s">
        <v>471</v>
      </c>
      <c r="B5" s="988" t="s">
        <v>472</v>
      </c>
      <c r="C5" s="989">
        <f>SUMIFS('Annex 3_MAFF'!$S$8:$S$533,'Annex 3_MAFF'!$AF$8:$AF$533,Output!B5)</f>
        <v>0</v>
      </c>
      <c r="D5" s="989">
        <f>SUMIFS('Annex 4_MoWRAM'!$V$8:$V$88,'Annex 4_MoWRAM'!$BA$8:$BA$88,Output!B5)</f>
        <v>9180.25</v>
      </c>
      <c r="E5" s="989">
        <f>SUMIFS('Annex 5_MRD'!$T$8:$T$145,'Annex 5_MRD'!$BE$8:$BE$145,Output!B5)</f>
        <v>0</v>
      </c>
      <c r="F5" s="990">
        <f>SUM(C5:E5)</f>
        <v>9180.25</v>
      </c>
      <c r="H5" s="806" t="s">
        <v>252</v>
      </c>
      <c r="J5" s="1860"/>
      <c r="K5" s="1781"/>
      <c r="L5" s="1782">
        <f>9180.25-L16</f>
        <v>9117.57</v>
      </c>
      <c r="M5" s="1783"/>
      <c r="N5" s="1784">
        <f t="shared" ref="N5:N10" si="0">SUM(K5:M5)</f>
        <v>9117.57</v>
      </c>
      <c r="O5" s="1858">
        <f t="shared" ref="O5:O10" si="1">SUM(K5:M5)</f>
        <v>9117.57</v>
      </c>
    </row>
    <row r="6" spans="1:15" ht="14.25" thickTop="1" thickBot="1">
      <c r="A6" s="987" t="s">
        <v>474</v>
      </c>
      <c r="B6" s="988" t="s">
        <v>475</v>
      </c>
      <c r="C6" s="1780">
        <f>SUMIFS('Annex 3_MAFF'!$S$8:$S$533,'Annex 3_MAFF'!$AF$8:$AF$533,Output!B6)</f>
        <v>5482.99</v>
      </c>
      <c r="D6" s="989">
        <f>SUMIFS('Annex 4_MoWRAM'!$V$8:$V$88,'Annex 4_MoWRAM'!$BA$8:$BA$88,Output!B6)</f>
        <v>0</v>
      </c>
      <c r="E6" s="989">
        <f>SUMIFS('Annex 5_MRD'!$T$8:$T$145,'Annex 5_MRD'!$BE$8:$BE$145,Output!B6)</f>
        <v>0</v>
      </c>
      <c r="F6" s="990">
        <f>SUM(C6:E6)</f>
        <v>5482.99</v>
      </c>
      <c r="J6" s="1860"/>
      <c r="K6" s="1785"/>
      <c r="L6" s="1787"/>
      <c r="M6" s="1787"/>
      <c r="N6" s="1784">
        <f t="shared" si="0"/>
        <v>0</v>
      </c>
      <c r="O6" s="1858">
        <f t="shared" si="1"/>
        <v>0</v>
      </c>
    </row>
    <row r="7" spans="1:15" ht="22.5" customHeight="1" thickTop="1" thickBot="1">
      <c r="A7" s="993" t="s">
        <v>477</v>
      </c>
      <c r="B7" s="988" t="s">
        <v>366</v>
      </c>
      <c r="C7" s="1780">
        <f>SUMIFS('Annex 3_MAFF'!$S$8:$S$533,'Annex 3_MAFF'!$AF$8:$AF$533,Output!B7)</f>
        <v>0</v>
      </c>
      <c r="D7" s="989">
        <f>SUMIFS('Annex 4_MoWRAM'!$V$8:$V$88,'Annex 4_MoWRAM'!$BA$8:$BA$88,Output!B7)</f>
        <v>0</v>
      </c>
      <c r="E7" s="989">
        <f>SUMIFS('Annex 5_MRD'!$T$8:$T$145,'Annex 5_MRD'!$BE$8:$BE$145,Output!B7)</f>
        <v>6328.2730075000009</v>
      </c>
      <c r="F7" s="990">
        <f>SUM(C7:E7)</f>
        <v>6328.2730075000009</v>
      </c>
      <c r="J7" s="1860"/>
      <c r="K7" s="1785"/>
      <c r="L7" s="1787"/>
      <c r="M7" s="1790">
        <v>6328.27</v>
      </c>
      <c r="N7" s="1784">
        <f t="shared" si="0"/>
        <v>6328.27</v>
      </c>
      <c r="O7" s="1859">
        <f t="shared" si="1"/>
        <v>6328.27</v>
      </c>
    </row>
    <row r="8" spans="1:15" ht="14.25" thickTop="1" thickBot="1">
      <c r="A8" s="987" t="s">
        <v>479</v>
      </c>
      <c r="B8" s="988" t="s">
        <v>480</v>
      </c>
      <c r="C8" s="1780">
        <f>SUMIFS('Annex 3_MAFF'!$S$8:$S$533,'Annex 3_MAFF'!$AF$8:$AF$533,Output!B8)</f>
        <v>1076.0499999999995</v>
      </c>
      <c r="D8" s="989">
        <f>SUMIFS('Annex 4_MoWRAM'!$V$8:$V$88,'Annex 4_MoWRAM'!$BA$8:$BA$88,Output!B8)</f>
        <v>0</v>
      </c>
      <c r="E8" s="989">
        <f>SUMIFS('Annex 5_MRD'!$T$8:$T$145,'Annex 5_MRD'!$BE$8:$BE$145,Output!B8)</f>
        <v>0</v>
      </c>
      <c r="F8" s="990">
        <f>SUM(C8:E8)</f>
        <v>1076.0499999999995</v>
      </c>
      <c r="J8" s="1860"/>
      <c r="K8" s="1791">
        <v>6085.46</v>
      </c>
      <c r="L8" s="1787"/>
      <c r="M8" s="1787"/>
      <c r="N8" s="1784">
        <f t="shared" si="0"/>
        <v>6085.46</v>
      </c>
      <c r="O8" s="1858">
        <f t="shared" si="1"/>
        <v>6085.46</v>
      </c>
    </row>
    <row r="9" spans="1:15" ht="14.25" thickTop="1" thickBot="1">
      <c r="A9" s="987" t="s">
        <v>481</v>
      </c>
      <c r="B9" s="988" t="s">
        <v>372</v>
      </c>
      <c r="C9" s="1780">
        <f>SUMIFS('Annex 3_MAFF'!$S$8:$S$533,'Annex 3_MAFF'!$AF$8:$AF$533,Output!B9)</f>
        <v>1387.77</v>
      </c>
      <c r="D9" s="989">
        <f>SUMIFS('Annex 4_MoWRAM'!$V$8:$V$88,'Annex 4_MoWRAM'!$BA$8:$BA$88,Output!B9)</f>
        <v>0</v>
      </c>
      <c r="E9" s="989">
        <f>SUMIFS('Annex 5_MRD'!$T$8:$T$145,'Annex 5_MRD'!$BE$8:$BE$145,Output!B9)</f>
        <v>0</v>
      </c>
      <c r="F9" s="990">
        <f>SUM(C9:E9)</f>
        <v>1387.77</v>
      </c>
      <c r="J9" s="1860"/>
      <c r="K9" s="1899">
        <v>1076.05</v>
      </c>
      <c r="L9" s="1787"/>
      <c r="M9" s="1787"/>
      <c r="N9" s="1784">
        <f t="shared" si="0"/>
        <v>1076.05</v>
      </c>
      <c r="O9" s="1858">
        <f t="shared" si="1"/>
        <v>1076.05</v>
      </c>
    </row>
    <row r="10" spans="1:15" ht="14.25" thickTop="1" thickBot="1">
      <c r="A10" s="1909" t="s">
        <v>569</v>
      </c>
      <c r="B10" s="1910"/>
      <c r="C10" s="1911">
        <f>SUM(C5:C9)</f>
        <v>7946.8099999999995</v>
      </c>
      <c r="D10" s="1912">
        <f>SUM(D5:D9)</f>
        <v>9180.25</v>
      </c>
      <c r="E10" s="1912">
        <f>SUM(E5:E9)</f>
        <v>6328.2730075000009</v>
      </c>
      <c r="F10" s="1913">
        <f>SUM(F5:F9)</f>
        <v>23455.333007500001</v>
      </c>
      <c r="J10" s="1860"/>
      <c r="K10" s="1899">
        <v>1387.77</v>
      </c>
      <c r="L10" s="1787"/>
      <c r="M10" s="1787"/>
      <c r="N10" s="1784">
        <f t="shared" si="0"/>
        <v>1387.77</v>
      </c>
      <c r="O10" s="1858">
        <f t="shared" si="1"/>
        <v>1387.77</v>
      </c>
    </row>
    <row r="11" spans="1:15" ht="13.5" thickBot="1">
      <c r="A11" s="987"/>
      <c r="B11" s="992"/>
      <c r="C11" s="1007"/>
      <c r="D11" s="992"/>
      <c r="E11" s="992"/>
      <c r="F11" s="996"/>
      <c r="I11" s="997"/>
      <c r="J11" s="1860"/>
      <c r="K11" s="1792">
        <f>SUM(K5:K10)</f>
        <v>8549.2800000000007</v>
      </c>
      <c r="L11" s="1793">
        <v>9180.25</v>
      </c>
      <c r="M11" s="1793">
        <v>6328.27</v>
      </c>
      <c r="N11" s="1871">
        <f>SUM(N5:N10)</f>
        <v>23995.119999999999</v>
      </c>
      <c r="O11" s="1709">
        <f>SUM(O5:O10)</f>
        <v>23995.119999999999</v>
      </c>
    </row>
    <row r="12" spans="1:15" ht="13.5" thickTop="1">
      <c r="A12" s="987" t="s">
        <v>484</v>
      </c>
      <c r="B12" s="988" t="s">
        <v>485</v>
      </c>
      <c r="C12" s="1006">
        <f>SUMIFS('Annex 3_MAFF'!$S$8:$S$533,'Annex 3_MAFF'!$AF$8:$AF$533,Output!B12)</f>
        <v>332.30700000000002</v>
      </c>
      <c r="D12" s="989">
        <f>SUMIFS('Annex 4_MoWRAM'!$V$8:$V$88,'Annex 4_MoWRAM'!$BA$8:$BA$88,Output!B12)</f>
        <v>0</v>
      </c>
      <c r="E12" s="989">
        <f>SUMIFS('Annex 5_MRD'!$U$8:$U$145,'Annex 5_MRD'!$BH$8:$BH$145,Output!B12)</f>
        <v>0</v>
      </c>
      <c r="F12" s="990">
        <f>SUM(C12:E12)</f>
        <v>332.30700000000002</v>
      </c>
      <c r="I12" s="997"/>
      <c r="J12" s="1861" t="s">
        <v>1124</v>
      </c>
      <c r="K12" s="1857">
        <f>SUM(K8:K10)</f>
        <v>8549.2800000000007</v>
      </c>
      <c r="L12" s="1857">
        <f>SUM(L5:L10)</f>
        <v>9117.57</v>
      </c>
      <c r="M12" s="1857">
        <f t="shared" ref="M12:N12" si="2">SUM(M5:M10)</f>
        <v>6328.27</v>
      </c>
      <c r="N12" s="1857">
        <f t="shared" si="2"/>
        <v>23995.119999999999</v>
      </c>
      <c r="O12" s="1868" t="s">
        <v>1130</v>
      </c>
    </row>
    <row r="13" spans="1:15" ht="13.5" thickBot="1">
      <c r="A13" s="987" t="s">
        <v>487</v>
      </c>
      <c r="B13" s="988" t="s">
        <v>488</v>
      </c>
      <c r="C13" s="1780">
        <f>SUMIFS('Annex 3_MAFF'!$S$8:$S$533,'Annex 3_MAFF'!$AF$8:$AF$533,Output!B13)</f>
        <v>1249.625</v>
      </c>
      <c r="D13" s="989">
        <f>SUMIFS('Annex 4_MoWRAM'!$V$8:$V$88,'Annex 4_MoWRAM'!$BA$8:$BA$88,Output!B13)</f>
        <v>0</v>
      </c>
      <c r="E13" s="989">
        <f>SUMIFS('Annex 5_MRD'!$U$8:$U$145,'Annex 5_MRD'!$BH$8:$BH$145,Output!B13)</f>
        <v>0</v>
      </c>
      <c r="F13" s="990">
        <f>SUM(C13:E13)</f>
        <v>1249.625</v>
      </c>
      <c r="J13" s="1869" t="s">
        <v>1127</v>
      </c>
    </row>
    <row r="14" spans="1:15" ht="14.25" thickTop="1" thickBot="1">
      <c r="A14" s="987" t="s">
        <v>489</v>
      </c>
      <c r="B14" s="988" t="s">
        <v>490</v>
      </c>
      <c r="C14" s="1006">
        <f>SUMIFS('Annex 3_MAFF'!$S$8:$S$533,'Annex 3_MAFF'!$AF$8:$AF$533,Output!B14)</f>
        <v>1164.9187266666668</v>
      </c>
      <c r="D14" s="989">
        <f>SUMIFS('Annex 4_MoWRAM'!$V$8:$V$88,'Annex 4_MoWRAM'!$BA$8:$BA$88,Output!B14)</f>
        <v>0</v>
      </c>
      <c r="E14" s="989">
        <f>SUMIFS('Annex 5_MRD'!$U$8:$U$145,'Annex 5_MRD'!$BH$8:$BH$145,Output!B14)</f>
        <v>0</v>
      </c>
      <c r="F14" s="990">
        <f>SUM(C14:E14)</f>
        <v>1164.9187266666668</v>
      </c>
      <c r="J14" s="1860"/>
      <c r="K14" s="1900">
        <v>332.30700000000002</v>
      </c>
      <c r="L14" s="1783"/>
      <c r="M14" s="1783"/>
      <c r="N14" s="1900">
        <v>332.30700000000002</v>
      </c>
      <c r="O14" s="1857">
        <f>SUM(K14:M14)</f>
        <v>332.30700000000002</v>
      </c>
    </row>
    <row r="15" spans="1:15" ht="13.5" thickBot="1">
      <c r="A15" s="1909" t="s">
        <v>569</v>
      </c>
      <c r="B15" s="1910"/>
      <c r="C15" s="1911">
        <f>SUM(C12:C14)</f>
        <v>2746.8507266666666</v>
      </c>
      <c r="D15" s="1912">
        <f>SUM(D11:D14)</f>
        <v>0</v>
      </c>
      <c r="E15" s="1912">
        <f>SUM(E11:E14)</f>
        <v>0</v>
      </c>
      <c r="F15" s="1913">
        <f>SUM(F11:F14)</f>
        <v>2746.8507266666666</v>
      </c>
      <c r="J15" s="1860"/>
      <c r="K15" s="1899">
        <v>1249.6300000000001</v>
      </c>
      <c r="L15" s="1787"/>
      <c r="M15" s="1787"/>
      <c r="N15" s="1899">
        <v>1249.6300000000001</v>
      </c>
      <c r="O15" s="1857">
        <f>SUM(K15:M15)</f>
        <v>1249.6300000000001</v>
      </c>
    </row>
    <row r="16" spans="1:15" ht="13.5" thickBot="1">
      <c r="A16" s="987"/>
      <c r="B16" s="992"/>
      <c r="C16" s="2141"/>
      <c r="D16" s="2141"/>
      <c r="E16" s="2141"/>
      <c r="F16" s="996"/>
      <c r="J16" s="1860"/>
      <c r="K16" s="1785"/>
      <c r="L16" s="1794">
        <v>62.68</v>
      </c>
      <c r="M16" s="1787"/>
      <c r="N16" s="1785">
        <f>L16</f>
        <v>62.68</v>
      </c>
      <c r="O16" s="1857">
        <f>SUM(K16:M16)</f>
        <v>62.68</v>
      </c>
    </row>
    <row r="17" spans="1:15" ht="13.5" thickBot="1">
      <c r="A17" s="987" t="s">
        <v>492</v>
      </c>
      <c r="B17" s="988" t="s">
        <v>493</v>
      </c>
      <c r="C17" s="1780">
        <f>SUMIFS('Annex 3_MAFF'!$S$8:$S$533,'Annex 3_MAFF'!$AF$8:$AF$533,Output!B17)</f>
        <v>261.54999999999995</v>
      </c>
      <c r="D17" s="989">
        <f>SUMIFS('Annex 4_MoWRAM'!$V$8:$V$88,'Annex 4_MoWRAM'!$BA$8:$BA$88,Output!B17)</f>
        <v>0</v>
      </c>
      <c r="E17" s="989">
        <f>SUMIFS('Annex 5_MRD'!$U$8:$U$145,'Annex 5_MRD'!$BH$8:$BH$145,Output!B17)</f>
        <v>0</v>
      </c>
      <c r="F17" s="990">
        <f>SUM(C17:E17)</f>
        <v>261.54999999999995</v>
      </c>
      <c r="J17" s="1860"/>
      <c r="K17" s="1791">
        <v>1164.9190000000001</v>
      </c>
      <c r="L17" s="1787"/>
      <c r="M17" s="1787"/>
      <c r="N17" s="1791">
        <v>1164.92</v>
      </c>
      <c r="O17" s="1857">
        <f>SUM(K17:M17)</f>
        <v>1164.9190000000001</v>
      </c>
    </row>
    <row r="18" spans="1:15" ht="13.5" thickBot="1">
      <c r="A18" s="987" t="s">
        <v>495</v>
      </c>
      <c r="B18" s="988" t="s">
        <v>496</v>
      </c>
      <c r="C18" s="1780">
        <f>SUMIFS('Annex 3_MAFF'!$S$8:$S$533,'Annex 3_MAFF'!$AF$8:$AF$533,Output!B18)</f>
        <v>222.5</v>
      </c>
      <c r="D18" s="989">
        <f>SUMIFS('Annex 4_MoWRAM'!$V$8:$V$88,'Annex 4_MoWRAM'!$BA$8:$BA$88,Output!B18)</f>
        <v>0</v>
      </c>
      <c r="E18" s="989">
        <f>SUMIFS('Annex 5_MRD'!$U$8:$U$145,'Annex 5_MRD'!$BH$8:$BH$145,Output!B18)</f>
        <v>0</v>
      </c>
      <c r="F18" s="990">
        <f>SUM(C18:E18)</f>
        <v>222.5</v>
      </c>
      <c r="J18" s="1860"/>
      <c r="K18" s="1798">
        <f>SUM(K14:K17)</f>
        <v>2746.8560000000002</v>
      </c>
      <c r="L18" s="1796">
        <v>62.68</v>
      </c>
      <c r="M18" s="1797">
        <v>0</v>
      </c>
      <c r="N18" s="1870">
        <f>SUM(N14:N17)</f>
        <v>2809.5370000000003</v>
      </c>
      <c r="O18" s="1857">
        <f>SUM(K18:M18)</f>
        <v>2809.5360000000001</v>
      </c>
    </row>
    <row r="19" spans="1:15" ht="13.5" thickTop="1">
      <c r="A19" s="987" t="s">
        <v>497</v>
      </c>
      <c r="B19" s="988" t="s">
        <v>445</v>
      </c>
      <c r="C19" s="1780">
        <f>SUMIFS('Annex 3_MAFF'!$S$8:$S$533,'Annex 3_MAFF'!$AF$8:$AF$533,Output!B19)</f>
        <v>542.20000000000005</v>
      </c>
      <c r="D19" s="989">
        <f>SUMIFS('Annex 4_MoWRAM'!$V$8:$V$88,'Annex 4_MoWRAM'!$BA$8:$BA$88,Output!B19)</f>
        <v>0</v>
      </c>
      <c r="E19" s="989">
        <f>SUMIFS('Annex 5_MRD'!$U$8:$U$145,'Annex 5_MRD'!$BH$8:$BH$145,Output!B19)</f>
        <v>0</v>
      </c>
      <c r="F19" s="990">
        <f>SUM(C19:E19)</f>
        <v>542.20000000000005</v>
      </c>
      <c r="J19" s="1860"/>
      <c r="K19" s="1643">
        <f>SUM(K14:K17)</f>
        <v>2746.8560000000002</v>
      </c>
      <c r="L19" s="1643">
        <f t="shared" ref="L19:M19" si="3">SUM(L14:L17)</f>
        <v>62.68</v>
      </c>
      <c r="M19" s="1643">
        <f t="shared" si="3"/>
        <v>0</v>
      </c>
      <c r="N19" s="1643">
        <f>SUM(N14:N17)</f>
        <v>2809.5370000000003</v>
      </c>
      <c r="O19" s="1868" t="s">
        <v>1130</v>
      </c>
    </row>
    <row r="20" spans="1:15" ht="13.5" thickBot="1">
      <c r="A20" s="991" t="s">
        <v>569</v>
      </c>
      <c r="B20" s="988"/>
      <c r="C20" s="1780">
        <f>SUM(C17:C19)</f>
        <v>1026.25</v>
      </c>
      <c r="D20" s="989">
        <f>SUM(D15:D19)</f>
        <v>0</v>
      </c>
      <c r="E20" s="989">
        <f>SUM(E15:E19)</f>
        <v>0</v>
      </c>
      <c r="F20" s="995">
        <f>SUM(F17:F19)</f>
        <v>1026.25</v>
      </c>
      <c r="J20" s="1869" t="s">
        <v>1128</v>
      </c>
    </row>
    <row r="21" spans="1:15" ht="14.25" thickTop="1" thickBot="1">
      <c r="A21" s="1905" t="s">
        <v>16</v>
      </c>
      <c r="B21" s="1906"/>
      <c r="C21" s="1907">
        <f>SUM(C20,C15,C10)</f>
        <v>11719.910726666665</v>
      </c>
      <c r="D21" s="1907">
        <f>D20+D15+D10</f>
        <v>9180.25</v>
      </c>
      <c r="E21" s="1907">
        <f>E20+E15+E10</f>
        <v>6328.2730075000009</v>
      </c>
      <c r="F21" s="1908">
        <f>F20+F15+F10</f>
        <v>27228.433734166669</v>
      </c>
      <c r="J21" s="1860"/>
      <c r="K21" s="2397">
        <v>261.55</v>
      </c>
      <c r="L21" s="1783"/>
      <c r="M21" s="1783"/>
      <c r="N21" s="2400">
        <v>261.55</v>
      </c>
    </row>
    <row r="22" spans="1:15" ht="16.5" thickTop="1" thickBot="1">
      <c r="A22" s="982" t="s">
        <v>566</v>
      </c>
      <c r="B22" s="828"/>
      <c r="C22" s="828"/>
      <c r="D22" s="828"/>
      <c r="E22" s="828"/>
      <c r="F22" s="828"/>
      <c r="J22" s="1860"/>
      <c r="K22" s="2398"/>
      <c r="L22" s="1787"/>
      <c r="M22" s="1787"/>
      <c r="N22" s="2401"/>
      <c r="O22" t="e">
        <f>O23:O27</f>
        <v>#VALUE!</v>
      </c>
    </row>
    <row r="23" spans="1:15" ht="15.75" thickBot="1">
      <c r="A23" s="981" t="s">
        <v>15</v>
      </c>
      <c r="B23" s="826" t="s">
        <v>562</v>
      </c>
      <c r="C23" s="1914">
        <f>SUMIFS('Annex 3_MAFF'!$S$8:$S$533,'Annex 3_MAFF'!$AF$8:$AF$533,Output!B23)</f>
        <v>4275.3285800000012</v>
      </c>
      <c r="D23" s="331">
        <f>SUMIFS('Annex 4_MoWRAM'!$V$8:$V$88,'Annex 4_MoWRAM'!$BA$8:$BA$88,Output!B23)</f>
        <v>0</v>
      </c>
      <c r="E23" s="1645">
        <f>SUMIFS('Annex 5_MRD'!$T$8:$T$145,'Annex 5_MRD'!$BE$8:$BE$145,Output!B23)</f>
        <v>0</v>
      </c>
      <c r="F23" s="827">
        <f>SUM(C23:E23)</f>
        <v>4275.3285800000012</v>
      </c>
      <c r="J23" s="1860"/>
      <c r="K23" s="2399"/>
      <c r="L23" s="1787"/>
      <c r="M23" s="1787"/>
      <c r="N23" s="2402"/>
    </row>
    <row r="24" spans="1:15" ht="15.75" thickBot="1">
      <c r="A24" s="981" t="s">
        <v>197</v>
      </c>
      <c r="B24" s="826" t="s">
        <v>563</v>
      </c>
      <c r="C24" s="331">
        <f>SUMIFS('Annex 3_MAFF'!$S$8:$S$533,'Annex 3_MAFF'!$AF$8:$AF$533,Output!B24)</f>
        <v>0</v>
      </c>
      <c r="D24" s="331">
        <f>SUMIFS('Annex 4_MoWRAM'!$V$8:$V$88,'Annex 4_MoWRAM'!$BA$8:$BA$88,Output!B24)</f>
        <v>276.62</v>
      </c>
      <c r="E24" s="1645">
        <f>SUMIFS('Annex 5_MRD'!$T$8:$T$145,'Annex 5_MRD'!$BE$8:$BE$145,Output!B24)</f>
        <v>0</v>
      </c>
      <c r="F24" s="827">
        <f>SUM(C24:E24)</f>
        <v>276.62</v>
      </c>
      <c r="J24" s="1860"/>
      <c r="K24" s="2403">
        <v>222.5</v>
      </c>
      <c r="L24" s="1787"/>
      <c r="M24" s="1787"/>
      <c r="N24" s="2406">
        <v>222.5</v>
      </c>
    </row>
    <row r="25" spans="1:15" ht="15.75" thickBot="1">
      <c r="A25" s="981" t="s">
        <v>190</v>
      </c>
      <c r="B25" s="826" t="s">
        <v>564</v>
      </c>
      <c r="C25" s="331">
        <f>SUMIFS('Annex 3_MAFF'!$S$8:$S$533,'Annex 3_MAFF'!$AF$8:$AF$533,Output!B25)</f>
        <v>0</v>
      </c>
      <c r="D25" s="331">
        <f>SUMIFS('Annex 4_MoWRAM'!$V$8:$V$88,'Annex 4_MoWRAM'!$BA$8:$BA$88,Output!B25)</f>
        <v>0</v>
      </c>
      <c r="E25" s="1645">
        <f>SUMIFS('Annex 5_MRD'!$T$8:$T$145,'Annex 5_MRD'!$BE$8:$BE$145,Output!B25)</f>
        <v>165.65966799999998</v>
      </c>
      <c r="F25" s="827">
        <f>SUM(C25:E25)</f>
        <v>165.65966799999998</v>
      </c>
      <c r="J25" s="1860"/>
      <c r="K25" s="2404"/>
      <c r="L25" s="1787"/>
      <c r="M25" s="1787"/>
      <c r="N25" s="2401"/>
    </row>
    <row r="26" spans="1:15" ht="15.75" thickBot="1">
      <c r="A26" s="983" t="s">
        <v>252</v>
      </c>
      <c r="B26" s="829" t="s">
        <v>252</v>
      </c>
      <c r="C26" s="830">
        <f>SUMIFS('Annex 3_MAFF'!$S$8:$S$533,'Annex 3_MAFF'!$AF$8:$AF$533,Output!B26)</f>
        <v>0</v>
      </c>
      <c r="D26" s="830">
        <f>SUMIFS('Annex 4_MoWRAM'!$V$8:$V$88,'Annex 4_MoWRAM'!$BA$8:$BA$88,Output!B26)</f>
        <v>0</v>
      </c>
      <c r="E26" s="1644">
        <f>SUMIFS('Annex 5_MRD'!$T$8:$T$145,'Annex 5_MRD'!$BE$8:$BE$145,Output!B26)</f>
        <v>0</v>
      </c>
      <c r="F26" s="831">
        <f>SUM(C26:E26)</f>
        <v>0</v>
      </c>
      <c r="J26" s="1860"/>
      <c r="K26" s="2405"/>
      <c r="L26" s="1787"/>
      <c r="M26" s="1787"/>
      <c r="N26" s="2402"/>
    </row>
    <row r="27" spans="1:15" ht="15.75" thickBot="1">
      <c r="A27" s="1707" t="s">
        <v>17</v>
      </c>
      <c r="B27" s="1708"/>
      <c r="C27" s="2139">
        <f>C21+C23</f>
        <v>15995.239306666666</v>
      </c>
      <c r="D27" s="2140">
        <f>D10+D24</f>
        <v>9456.8700000000008</v>
      </c>
      <c r="E27" s="2140">
        <f>E21+E25</f>
        <v>6493.9326755000011</v>
      </c>
      <c r="F27" s="2139">
        <f>F21+F23+F24+F25+F26</f>
        <v>31946.041982166669</v>
      </c>
      <c r="J27" s="1860"/>
      <c r="K27" s="1799">
        <v>542.20000000000005</v>
      </c>
      <c r="L27" s="1800"/>
      <c r="M27" s="1800"/>
      <c r="N27" s="1801">
        <v>542.20000000000005</v>
      </c>
    </row>
    <row r="28" spans="1:15" ht="14.25" thickTop="1" thickBot="1">
      <c r="C28" s="997"/>
      <c r="E28" s="1643"/>
      <c r="F28" s="825">
        <f>SUM(C27:E27)</f>
        <v>31946.041982166666</v>
      </c>
      <c r="J28" s="1864" t="s">
        <v>1124</v>
      </c>
      <c r="K28" s="1865">
        <f>SUM(K21:K27)</f>
        <v>1026.25</v>
      </c>
      <c r="L28" s="1865">
        <f t="shared" ref="L28:M28" si="4">SUM(L21:L27)</f>
        <v>0</v>
      </c>
      <c r="M28" s="1865">
        <f t="shared" si="4"/>
        <v>0</v>
      </c>
      <c r="N28" s="1865">
        <f>SUM(N21:N27)</f>
        <v>1026.25</v>
      </c>
    </row>
    <row r="29" spans="1:15" ht="13.5" thickTop="1">
      <c r="E29" s="997"/>
      <c r="F29" s="1901">
        <f>SUM(F23:F26)</f>
        <v>4717.6082480000014</v>
      </c>
      <c r="J29" s="1864" t="s">
        <v>1124</v>
      </c>
      <c r="K29">
        <f>SUM(K21:K27)</f>
        <v>1026.25</v>
      </c>
      <c r="L29">
        <f t="shared" ref="L29:N29" si="5">SUM(L21:L27)</f>
        <v>0</v>
      </c>
      <c r="M29">
        <f t="shared" si="5"/>
        <v>0</v>
      </c>
      <c r="N29">
        <f t="shared" si="5"/>
        <v>1026.25</v>
      </c>
      <c r="O29" s="1866" t="s">
        <v>1130</v>
      </c>
    </row>
    <row r="30" spans="1:15">
      <c r="E30" s="997"/>
      <c r="F30" s="997">
        <f>F21+F29</f>
        <v>31946.041982166669</v>
      </c>
      <c r="J30" s="1862" t="s">
        <v>1129</v>
      </c>
      <c r="K30" s="1863">
        <f>K12+K19+K28</f>
        <v>12322.386</v>
      </c>
      <c r="L30" s="1863">
        <f t="shared" ref="L30:M30" si="6">L12+L19+L28</f>
        <v>9180.25</v>
      </c>
      <c r="M30" s="1863">
        <f t="shared" si="6"/>
        <v>6328.27</v>
      </c>
      <c r="N30" s="1904">
        <f>N12+N19+N28</f>
        <v>27830.906999999999</v>
      </c>
      <c r="O30" s="1868" t="s">
        <v>1130</v>
      </c>
    </row>
    <row r="31" spans="1:15" ht="13.5" thickBot="1">
      <c r="N31" s="997">
        <f>SUM(K30:M30)</f>
        <v>27830.905999999999</v>
      </c>
    </row>
    <row r="32" spans="1:15" ht="14.25" thickTop="1" thickBot="1">
      <c r="K32" s="1802">
        <v>969.63599999999997</v>
      </c>
      <c r="L32" s="1803">
        <v>276.62</v>
      </c>
      <c r="M32" s="1803">
        <v>165.66</v>
      </c>
      <c r="N32" s="1902">
        <f>SUM(K32:M32)</f>
        <v>1411.9159999999999</v>
      </c>
    </row>
    <row r="33" spans="11:14" ht="13.5" thickTop="1">
      <c r="K33" s="1643">
        <v>3305.6930000000002</v>
      </c>
      <c r="N33" s="1643">
        <f>SUM(K33:M33)</f>
        <v>3305.6930000000002</v>
      </c>
    </row>
    <row r="34" spans="11:14">
      <c r="K34" s="997">
        <f>K30+K32+K33</f>
        <v>16597.715</v>
      </c>
      <c r="L34" s="997">
        <f t="shared" ref="L34:M34" si="7">L30+L32+L33</f>
        <v>9456.8700000000008</v>
      </c>
      <c r="M34" s="997">
        <f t="shared" si="7"/>
        <v>6493.93</v>
      </c>
      <c r="N34" s="997">
        <f>N30+N32+N33</f>
        <v>32548.516</v>
      </c>
    </row>
  </sheetData>
  <mergeCells count="5">
    <mergeCell ref="K21:K23"/>
    <mergeCell ref="N21:N23"/>
    <mergeCell ref="K24:K26"/>
    <mergeCell ref="N24:N26"/>
    <mergeCell ref="K3:O3"/>
  </mergeCells>
  <pageMargins left="1.2" right="0.7" top="0.75" bottom="0.75" header="0.3" footer="0.3"/>
  <pageSetup paperSize="9" orientation="landscape" horizont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'Annex 2_Code'!$G$110:$G$127</xm:f>
          </x14:formula1>
          <xm:sqref>B29:B51 B4:B27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7"/>
  <sheetViews>
    <sheetView zoomScale="75" zoomScaleNormal="75" workbookViewId="0">
      <pane xSplit="1" ySplit="5" topLeftCell="C35" activePane="bottomRight" state="frozen"/>
      <selection pane="topRight" activeCell="B1" sqref="B1"/>
      <selection pane="bottomLeft" activeCell="A6" sqref="A6"/>
      <selection pane="bottomRight" activeCell="M39" sqref="M39"/>
    </sheetView>
  </sheetViews>
  <sheetFormatPr defaultRowHeight="12.75"/>
  <cols>
    <col min="1" max="1" width="7.5703125" customWidth="1"/>
    <col min="2" max="2" width="21.85546875" customWidth="1"/>
    <col min="3" max="3" width="12.42578125" customWidth="1"/>
    <col min="4" max="4" width="11.28515625" customWidth="1"/>
    <col min="5" max="5" width="12.5703125" customWidth="1"/>
    <col min="6" max="6" width="10.42578125" customWidth="1"/>
    <col min="7" max="7" width="11.28515625" customWidth="1"/>
    <col min="8" max="8" width="11" customWidth="1"/>
    <col min="9" max="9" width="7.42578125" customWidth="1"/>
    <col min="10" max="10" width="2.42578125" customWidth="1"/>
    <col min="11" max="11" width="6.85546875" customWidth="1"/>
    <col min="12" max="12" width="22.85546875" customWidth="1"/>
    <col min="13" max="13" width="10.85546875" customWidth="1"/>
    <col min="15" max="15" width="9.85546875" customWidth="1"/>
    <col min="17" max="17" width="12.85546875" customWidth="1"/>
    <col min="18" max="18" width="10" customWidth="1"/>
    <col min="19" max="19" width="9.7109375" customWidth="1"/>
    <col min="20" max="20" width="11.85546875" customWidth="1"/>
  </cols>
  <sheetData>
    <row r="1" spans="1:19">
      <c r="A1" s="552" t="s">
        <v>39</v>
      </c>
    </row>
    <row r="2" spans="1:19">
      <c r="A2" s="552" t="s">
        <v>707</v>
      </c>
      <c r="K2" t="s">
        <v>1125</v>
      </c>
    </row>
    <row r="3" spans="1:19">
      <c r="A3" s="553" t="s">
        <v>15</v>
      </c>
    </row>
    <row r="4" spans="1:19" ht="17.45" customHeight="1" thickBot="1">
      <c r="A4" s="1765" t="s">
        <v>1099</v>
      </c>
      <c r="K4" s="2408" t="s">
        <v>1109</v>
      </c>
      <c r="L4" s="2408"/>
    </row>
    <row r="5" spans="1:19" s="1107" customFormat="1" ht="27" thickTop="1" thickBot="1">
      <c r="A5" s="1108" t="s">
        <v>709</v>
      </c>
      <c r="B5" s="1108" t="s">
        <v>710</v>
      </c>
      <c r="C5" s="1108" t="s">
        <v>711</v>
      </c>
      <c r="D5" s="1108" t="s">
        <v>712</v>
      </c>
      <c r="E5" s="1108" t="s">
        <v>725</v>
      </c>
      <c r="F5" s="1108" t="s">
        <v>27</v>
      </c>
      <c r="G5" s="1108" t="s">
        <v>51</v>
      </c>
      <c r="H5" s="1108" t="s">
        <v>11</v>
      </c>
      <c r="I5" s="1867" t="s">
        <v>1101</v>
      </c>
      <c r="K5" s="1813" t="s">
        <v>709</v>
      </c>
      <c r="L5" s="1814" t="s">
        <v>710</v>
      </c>
      <c r="M5" s="1815" t="s">
        <v>711</v>
      </c>
      <c r="N5" s="1815" t="s">
        <v>712</v>
      </c>
      <c r="O5" s="1815" t="s">
        <v>725</v>
      </c>
      <c r="P5" s="1814" t="s">
        <v>27</v>
      </c>
      <c r="Q5" s="1814" t="s">
        <v>51</v>
      </c>
      <c r="R5" s="1816" t="s">
        <v>11</v>
      </c>
      <c r="S5" s="1886" t="s">
        <v>1124</v>
      </c>
    </row>
    <row r="6" spans="1:19" s="1107" customFormat="1" ht="51.75" thickBot="1">
      <c r="A6" s="2267"/>
      <c r="B6" s="2274" t="s">
        <v>1195</v>
      </c>
      <c r="C6" s="2294">
        <v>0</v>
      </c>
      <c r="D6" s="2294">
        <v>0</v>
      </c>
      <c r="E6" s="2294">
        <v>0</v>
      </c>
      <c r="F6" s="2294">
        <v>0</v>
      </c>
      <c r="G6" s="2294">
        <v>0</v>
      </c>
      <c r="H6" s="2294">
        <f>SUM(C6:G6)</f>
        <v>0</v>
      </c>
      <c r="I6" s="1867"/>
      <c r="K6" s="2271"/>
      <c r="L6" s="2272"/>
      <c r="M6" s="2297">
        <v>0</v>
      </c>
      <c r="N6" s="2273"/>
      <c r="O6" s="2301">
        <v>0</v>
      </c>
      <c r="P6" s="1794">
        <v>0</v>
      </c>
      <c r="Q6" s="1794">
        <v>0</v>
      </c>
      <c r="R6" s="2297">
        <f>SUM(M6:Q6)</f>
        <v>0</v>
      </c>
      <c r="S6" s="1886"/>
    </row>
    <row r="7" spans="1:19" ht="26.25" thickBot="1">
      <c r="A7" s="2416">
        <v>1</v>
      </c>
      <c r="B7" s="1109" t="s">
        <v>713</v>
      </c>
      <c r="C7" s="1111">
        <f>SUM('Annex 3_MAFF'!Y11:Y35)</f>
        <v>5482.99</v>
      </c>
      <c r="D7" s="1111">
        <f>SUM('Annex 3_MAFF'!Z11:Z35)</f>
        <v>0</v>
      </c>
      <c r="E7" s="1111">
        <f>SUM('Annex 3_MAFF'!AA11:AA35)</f>
        <v>0</v>
      </c>
      <c r="F7" s="1111">
        <f>SUM('Annex 3_MAFF'!AB11:AB35)</f>
        <v>0</v>
      </c>
      <c r="G7" s="1111">
        <f>SUM('Annex 3_MAFF'!AC11:AC35)</f>
        <v>0</v>
      </c>
      <c r="H7" s="1113">
        <f>SUM(C7:G7)</f>
        <v>5482.99</v>
      </c>
      <c r="K7" s="2419">
        <v>1</v>
      </c>
      <c r="L7" s="1823" t="s">
        <v>1112</v>
      </c>
      <c r="M7" s="2296">
        <v>6085.4592991999998</v>
      </c>
      <c r="N7" s="1826" t="s">
        <v>1110</v>
      </c>
      <c r="O7" s="2298">
        <v>0</v>
      </c>
      <c r="P7" s="2298">
        <v>0</v>
      </c>
      <c r="Q7" s="2298">
        <v>0</v>
      </c>
      <c r="R7" s="2297">
        <f t="shared" ref="R7:R9" si="0">SUM(M7:Q7)</f>
        <v>6085.4592991999998</v>
      </c>
      <c r="S7" s="1874">
        <f>SUM(M7:Q7)</f>
        <v>6085.4592991999998</v>
      </c>
    </row>
    <row r="8" spans="1:19" ht="13.5" thickBot="1">
      <c r="A8" s="2417"/>
      <c r="B8" s="1110" t="s">
        <v>714</v>
      </c>
      <c r="C8" s="1111">
        <f>SUM('Annex 3_MAFF'!Y71:Y163)</f>
        <v>1076.0499999999995</v>
      </c>
      <c r="D8" s="1111">
        <f>SUM('Annex 3_MAFF'!Z71:Z163)</f>
        <v>0</v>
      </c>
      <c r="E8" s="1111">
        <f>SUM('Annex 3_MAFF'!AA71:AA163)</f>
        <v>0</v>
      </c>
      <c r="F8" s="1111">
        <f>SUM('Annex 3_MAFF'!AB71:AB163)</f>
        <v>0</v>
      </c>
      <c r="G8" s="1111">
        <f>SUM('Annex 3_MAFF'!AC71:AC163)</f>
        <v>0</v>
      </c>
      <c r="H8" s="1113">
        <f t="shared" ref="H8:H42" si="1">SUM(C8:G8)</f>
        <v>1076.0499999999995</v>
      </c>
      <c r="K8" s="2410"/>
      <c r="L8" s="1787" t="s">
        <v>714</v>
      </c>
      <c r="M8" s="2295">
        <v>1076.0499999999995</v>
      </c>
      <c r="N8" s="1817" t="s">
        <v>1110</v>
      </c>
      <c r="O8" s="1794">
        <v>0</v>
      </c>
      <c r="P8" s="1794">
        <v>0</v>
      </c>
      <c r="Q8" s="1794">
        <v>0</v>
      </c>
      <c r="R8" s="2297">
        <f t="shared" si="0"/>
        <v>1076.0499999999995</v>
      </c>
      <c r="S8" s="1874">
        <f t="shared" ref="S8:S43" si="2">SUM(M8:Q8)</f>
        <v>1076.0499999999995</v>
      </c>
    </row>
    <row r="9" spans="1:19" ht="26.25" thickBot="1">
      <c r="A9" s="2418"/>
      <c r="B9" s="1109" t="s">
        <v>715</v>
      </c>
      <c r="C9" s="1111">
        <f>SUM('Annex 3_MAFF'!Y168:Y217)</f>
        <v>58.5</v>
      </c>
      <c r="D9" s="1111">
        <f>SUM('Annex 3_MAFF'!Z168:Z217)</f>
        <v>0</v>
      </c>
      <c r="E9" s="1809">
        <f>SUM('Annex 3_MAFF'!AA168:AA217)</f>
        <v>619.09090909090901</v>
      </c>
      <c r="F9" s="1809">
        <f>SUM('Annex 3_MAFF'!AB168:AB217)</f>
        <v>320.90136039786944</v>
      </c>
      <c r="G9" s="1809">
        <f>SUM('Annex 3_MAFF'!AC168:AC217)</f>
        <v>389.27773051122148</v>
      </c>
      <c r="H9" s="1113">
        <f>SUM(C9:G9)</f>
        <v>1387.77</v>
      </c>
      <c r="I9" s="825"/>
      <c r="J9" s="825"/>
      <c r="K9" s="2410"/>
      <c r="L9" s="1823" t="s">
        <v>1113</v>
      </c>
      <c r="M9" s="2296">
        <v>58.5</v>
      </c>
      <c r="N9" s="1826" t="s">
        <v>1110</v>
      </c>
      <c r="O9" s="2299">
        <v>619.09090909090901</v>
      </c>
      <c r="P9" s="2300">
        <v>320.90136039786944</v>
      </c>
      <c r="Q9" s="2299">
        <v>389.27773051122148</v>
      </c>
      <c r="R9" s="2297">
        <f t="shared" si="0"/>
        <v>1387.77</v>
      </c>
      <c r="S9" s="1874">
        <f t="shared" si="2"/>
        <v>1387.77</v>
      </c>
    </row>
    <row r="10" spans="1:19" ht="13.5" thickBot="1">
      <c r="A10" s="1766"/>
      <c r="B10" s="1804" t="s">
        <v>1104</v>
      </c>
      <c r="C10" s="1805">
        <f t="shared" ref="C10:H10" si="3">SUM(C6:C9)</f>
        <v>6617.5399999999991</v>
      </c>
      <c r="D10" s="1805">
        <f t="shared" si="3"/>
        <v>0</v>
      </c>
      <c r="E10" s="1805">
        <f t="shared" si="3"/>
        <v>619.09090909090901</v>
      </c>
      <c r="F10" s="1805">
        <f t="shared" si="3"/>
        <v>320.90136039786944</v>
      </c>
      <c r="G10" s="1805">
        <f t="shared" si="3"/>
        <v>389.27773051122148</v>
      </c>
      <c r="H10" s="1805">
        <f t="shared" si="3"/>
        <v>7946.8099999999995</v>
      </c>
      <c r="I10" s="1811">
        <f>H10/H44%</f>
        <v>49.68234515058392</v>
      </c>
      <c r="J10" s="825"/>
      <c r="K10" s="2410"/>
      <c r="L10" s="1878" t="s">
        <v>41</v>
      </c>
      <c r="M10" s="1879">
        <f>SUM(M6:M9)</f>
        <v>7220.0092991999991</v>
      </c>
      <c r="N10" s="1880" t="s">
        <v>1110</v>
      </c>
      <c r="O10" s="1879">
        <f>SUM(O6:O9)</f>
        <v>619.09090909090901</v>
      </c>
      <c r="P10" s="1879">
        <f t="shared" ref="P10:Q10" si="4">SUM(P6:P9)</f>
        <v>320.90136039786944</v>
      </c>
      <c r="Q10" s="1879">
        <f t="shared" si="4"/>
        <v>389.27773051122148</v>
      </c>
      <c r="R10" s="1881">
        <f>SUM(R6:R9)</f>
        <v>8549.2792991999995</v>
      </c>
      <c r="S10" s="1874">
        <f t="shared" si="2"/>
        <v>8549.2792991999995</v>
      </c>
    </row>
    <row r="11" spans="1:19" ht="13.5" thickBot="1">
      <c r="A11" s="2416">
        <v>2</v>
      </c>
      <c r="B11" s="1110" t="s">
        <v>716</v>
      </c>
      <c r="C11" s="1809">
        <f>SUM('Annex 3_MAFF'!Y223:Y235)</f>
        <v>332.30700000000002</v>
      </c>
      <c r="D11" s="1111">
        <f>SUM('Annex 3_MAFF'!Z223:Z235)</f>
        <v>0</v>
      </c>
      <c r="E11" s="1111"/>
      <c r="F11" s="1111">
        <f>SUM('Annex 3_MAFF'!AB223:AB235)</f>
        <v>0</v>
      </c>
      <c r="G11" s="1111">
        <f>SUM('Annex 3_MAFF'!AC223:AC235)</f>
        <v>0</v>
      </c>
      <c r="H11" s="1113">
        <f t="shared" si="1"/>
        <v>332.30700000000002</v>
      </c>
      <c r="K11" s="2420">
        <v>2</v>
      </c>
      <c r="L11" s="1787" t="s">
        <v>716</v>
      </c>
      <c r="M11" s="2302">
        <v>332.30700000000002</v>
      </c>
      <c r="N11" s="2302">
        <v>0</v>
      </c>
      <c r="O11" s="2303"/>
      <c r="P11" s="2302">
        <v>0</v>
      </c>
      <c r="Q11" s="2302">
        <v>0</v>
      </c>
      <c r="R11" s="2305">
        <f>SUM(M11:Q11)</f>
        <v>332.30700000000002</v>
      </c>
      <c r="S11" s="1874">
        <f t="shared" si="2"/>
        <v>332.30700000000002</v>
      </c>
    </row>
    <row r="12" spans="1:19" ht="13.5" thickBot="1">
      <c r="A12" s="2417"/>
      <c r="B12" s="1110" t="s">
        <v>994</v>
      </c>
      <c r="C12" s="1111">
        <f>SUM('Annex 3_MAFF'!Y241:Y247)</f>
        <v>0</v>
      </c>
      <c r="D12" s="1111">
        <f>SUM('Annex 3_MAFF'!Z241:Z247)</f>
        <v>0</v>
      </c>
      <c r="E12" s="1111">
        <f>SUM('Annex 3_MAFF'!AA241:AA247)</f>
        <v>479</v>
      </c>
      <c r="F12" s="1111">
        <f>SUM('Annex 3_MAFF'!AB241:AB247)</f>
        <v>0</v>
      </c>
      <c r="G12" s="1111">
        <f>SUM('Annex 3_MAFF'!AC241:AC247)</f>
        <v>0</v>
      </c>
      <c r="H12" s="1370">
        <f t="shared" si="1"/>
        <v>479</v>
      </c>
      <c r="K12" s="2410"/>
      <c r="L12" s="1787" t="s">
        <v>994</v>
      </c>
      <c r="M12" s="2302">
        <v>0</v>
      </c>
      <c r="N12" s="2302">
        <v>0</v>
      </c>
      <c r="O12" s="2302">
        <v>479</v>
      </c>
      <c r="P12" s="2302">
        <v>0</v>
      </c>
      <c r="Q12" s="2302">
        <v>0</v>
      </c>
      <c r="R12" s="2305">
        <f t="shared" ref="R12:R20" si="5">SUM(M12:Q12)</f>
        <v>479</v>
      </c>
      <c r="S12" s="1874">
        <f t="shared" si="2"/>
        <v>479</v>
      </c>
    </row>
    <row r="13" spans="1:19" ht="13.5" thickBot="1">
      <c r="A13" s="2417"/>
      <c r="B13" s="1110" t="s">
        <v>993</v>
      </c>
      <c r="C13" s="1111">
        <f>SUM('Annex 3_MAFF'!Y249:Y251)</f>
        <v>0</v>
      </c>
      <c r="D13" s="1111">
        <f>SUM('Annex 3_MAFF'!Z249:Z251)</f>
        <v>0</v>
      </c>
      <c r="E13" s="1111">
        <f>SUM('Annex 3_MAFF'!AA249:AA251)</f>
        <v>48</v>
      </c>
      <c r="F13" s="1111">
        <f>SUM('Annex 3_MAFF'!AB249:AB251)</f>
        <v>0</v>
      </c>
      <c r="G13" s="1111">
        <f>SUM('Annex 3_MAFF'!AC249:AC251)</f>
        <v>0</v>
      </c>
      <c r="H13" s="1370">
        <f t="shared" si="1"/>
        <v>48</v>
      </c>
      <c r="K13" s="2410"/>
      <c r="L13" s="1787" t="s">
        <v>993</v>
      </c>
      <c r="M13" s="2302">
        <v>0</v>
      </c>
      <c r="N13" s="2302">
        <v>0</v>
      </c>
      <c r="O13" s="2302">
        <v>48</v>
      </c>
      <c r="P13" s="2302">
        <v>0</v>
      </c>
      <c r="Q13" s="2302">
        <v>0</v>
      </c>
      <c r="R13" s="2305">
        <f t="shared" si="5"/>
        <v>48</v>
      </c>
      <c r="S13" s="1874">
        <f t="shared" si="2"/>
        <v>48</v>
      </c>
    </row>
    <row r="14" spans="1:19" ht="13.5" thickBot="1">
      <c r="A14" s="2417"/>
      <c r="B14" s="1110" t="s">
        <v>995</v>
      </c>
      <c r="C14" s="1111">
        <f>SUM('Annex 3_MAFF'!Y253:Y254)</f>
        <v>0</v>
      </c>
      <c r="D14" s="1111">
        <f>SUM('Annex 3_MAFF'!Z253:Z254)</f>
        <v>0</v>
      </c>
      <c r="E14" s="1111">
        <f>SUM('Annex 3_MAFF'!AA253:AA254)</f>
        <v>102</v>
      </c>
      <c r="F14" s="1111">
        <f>SUM('Annex 3_MAFF'!AB253:AB254)</f>
        <v>0</v>
      </c>
      <c r="G14" s="1111">
        <f>SUM('Annex 3_MAFF'!AC253:AC254)</f>
        <v>0</v>
      </c>
      <c r="H14" s="1370">
        <f t="shared" si="1"/>
        <v>102</v>
      </c>
      <c r="K14" s="2410"/>
      <c r="L14" s="1787" t="s">
        <v>995</v>
      </c>
      <c r="M14" s="2302">
        <v>0</v>
      </c>
      <c r="N14" s="2302">
        <v>0</v>
      </c>
      <c r="O14" s="2302">
        <v>102</v>
      </c>
      <c r="P14" s="2302">
        <v>0</v>
      </c>
      <c r="Q14" s="2302">
        <v>0</v>
      </c>
      <c r="R14" s="2305">
        <f t="shared" si="5"/>
        <v>102</v>
      </c>
      <c r="S14" s="1874">
        <f t="shared" si="2"/>
        <v>102</v>
      </c>
    </row>
    <row r="15" spans="1:19" ht="13.5" thickBot="1">
      <c r="A15" s="2417"/>
      <c r="B15" s="1110" t="s">
        <v>996</v>
      </c>
      <c r="C15" s="1111">
        <f>SUM('Annex 3_MAFF'!Y256:Y258)</f>
        <v>0</v>
      </c>
      <c r="D15" s="1111">
        <f>SUM('Annex 3_MAFF'!Z256:Z258)</f>
        <v>0</v>
      </c>
      <c r="E15" s="1111">
        <f>SUM('Annex 3_MAFF'!AA256:AA258)</f>
        <v>101</v>
      </c>
      <c r="F15" s="1111">
        <f>SUM('Annex 3_MAFF'!AB256:AB258)</f>
        <v>0</v>
      </c>
      <c r="G15" s="1111">
        <f>SUM('Annex 3_MAFF'!AC256:AC258)</f>
        <v>0</v>
      </c>
      <c r="H15" s="1370">
        <f t="shared" si="1"/>
        <v>101</v>
      </c>
      <c r="K15" s="2410"/>
      <c r="L15" s="1787" t="s">
        <v>996</v>
      </c>
      <c r="M15" s="2302">
        <v>0</v>
      </c>
      <c r="N15" s="2302">
        <v>0</v>
      </c>
      <c r="O15" s="2302">
        <v>101</v>
      </c>
      <c r="P15" s="2302">
        <v>0</v>
      </c>
      <c r="Q15" s="2302">
        <v>0</v>
      </c>
      <c r="R15" s="2305">
        <f t="shared" si="5"/>
        <v>101</v>
      </c>
      <c r="S15" s="1874">
        <f t="shared" si="2"/>
        <v>101</v>
      </c>
    </row>
    <row r="16" spans="1:19" ht="13.5" thickBot="1">
      <c r="A16" s="2417"/>
      <c r="B16" s="1110" t="s">
        <v>997</v>
      </c>
      <c r="C16" s="1111">
        <f>SUM('Annex 3_MAFF'!Y262:Y266)</f>
        <v>0</v>
      </c>
      <c r="D16" s="1111">
        <f>SUM('Annex 3_MAFF'!Z262:Z266)</f>
        <v>0</v>
      </c>
      <c r="E16" s="1111">
        <f>SUM('Annex 3_MAFF'!AA262:AA266)</f>
        <v>475.125</v>
      </c>
      <c r="F16" s="1111">
        <f>SUM('Annex 3_MAFF'!AB262:AB266)</f>
        <v>0</v>
      </c>
      <c r="G16" s="1111">
        <f>SUM('Annex 3_MAFF'!AC262:AC266)</f>
        <v>0</v>
      </c>
      <c r="H16" s="1370">
        <f t="shared" si="1"/>
        <v>475.125</v>
      </c>
      <c r="J16" s="825"/>
      <c r="K16" s="2410"/>
      <c r="L16" s="1787" t="s">
        <v>997</v>
      </c>
      <c r="M16" s="2302">
        <v>0</v>
      </c>
      <c r="N16" s="2302">
        <v>0</v>
      </c>
      <c r="O16" s="2302">
        <v>475.125</v>
      </c>
      <c r="P16" s="2302">
        <v>0</v>
      </c>
      <c r="Q16" s="2302">
        <v>0</v>
      </c>
      <c r="R16" s="2305">
        <f t="shared" si="5"/>
        <v>475.125</v>
      </c>
      <c r="S16" s="1874">
        <f t="shared" si="2"/>
        <v>475.125</v>
      </c>
    </row>
    <row r="17" spans="1:19" ht="13.5" thickBot="1">
      <c r="A17" s="2417"/>
      <c r="B17" s="1110" t="s">
        <v>54</v>
      </c>
      <c r="C17" s="1111"/>
      <c r="D17" s="1111"/>
      <c r="E17" s="1111"/>
      <c r="F17" s="1111"/>
      <c r="G17" s="1111"/>
      <c r="H17" s="1370">
        <f t="shared" si="1"/>
        <v>0</v>
      </c>
      <c r="J17" s="825"/>
      <c r="K17" s="2410"/>
      <c r="L17" s="1787" t="s">
        <v>54</v>
      </c>
      <c r="M17" s="2302"/>
      <c r="N17" s="2302"/>
      <c r="O17" s="2302"/>
      <c r="P17" s="2302"/>
      <c r="Q17" s="2302"/>
      <c r="R17" s="2305">
        <f t="shared" si="5"/>
        <v>0</v>
      </c>
      <c r="S17" s="1874">
        <f t="shared" si="2"/>
        <v>0</v>
      </c>
    </row>
    <row r="18" spans="1:19" ht="13.5" thickBot="1">
      <c r="A18" s="2417"/>
      <c r="B18" s="1110" t="s">
        <v>602</v>
      </c>
      <c r="C18" s="1111"/>
      <c r="D18" s="1111"/>
      <c r="E18" s="1111"/>
      <c r="F18" s="1111"/>
      <c r="G18" s="1111"/>
      <c r="H18" s="1370">
        <f t="shared" si="1"/>
        <v>0</v>
      </c>
      <c r="J18" s="825"/>
      <c r="K18" s="2410"/>
      <c r="L18" s="1787" t="s">
        <v>1111</v>
      </c>
      <c r="M18" s="2302"/>
      <c r="N18" s="2302"/>
      <c r="O18" s="2302"/>
      <c r="P18" s="2302"/>
      <c r="Q18" s="2302"/>
      <c r="R18" s="2305">
        <f t="shared" si="5"/>
        <v>0</v>
      </c>
      <c r="S18" s="1874">
        <f t="shared" si="2"/>
        <v>0</v>
      </c>
    </row>
    <row r="19" spans="1:19" ht="26.25" thickBot="1">
      <c r="A19" s="2417"/>
      <c r="B19" s="1109" t="s">
        <v>718</v>
      </c>
      <c r="C19" s="1809">
        <f>SUM('Annex 3_MAFF'!Y40:Y47)</f>
        <v>279.56450000000001</v>
      </c>
      <c r="D19" s="1111">
        <f>SUM('Annex 3_MAFF'!Z40:Z47)</f>
        <v>0</v>
      </c>
      <c r="E19" s="1111">
        <f>SUM('Annex 3_MAFF'!AA40:AA47)</f>
        <v>0</v>
      </c>
      <c r="F19" s="1111">
        <f>SUM('Annex 3_MAFF'!AB40:AB47)</f>
        <v>0</v>
      </c>
      <c r="G19" s="1111">
        <f>SUM('Annex 3_MAFF'!AC40:AC47)</f>
        <v>0</v>
      </c>
      <c r="H19" s="1113">
        <f t="shared" si="1"/>
        <v>279.56450000000001</v>
      </c>
      <c r="K19" s="2410"/>
      <c r="L19" s="1823" t="s">
        <v>1114</v>
      </c>
      <c r="M19" s="2304">
        <v>279.56450000000001</v>
      </c>
      <c r="N19" s="2304">
        <v>0</v>
      </c>
      <c r="O19" s="2304">
        <v>0</v>
      </c>
      <c r="P19" s="2304">
        <v>0</v>
      </c>
      <c r="Q19" s="2304">
        <v>0</v>
      </c>
      <c r="R19" s="2305">
        <f t="shared" si="5"/>
        <v>279.56450000000001</v>
      </c>
      <c r="S19" s="1874">
        <f t="shared" si="2"/>
        <v>279.56450000000001</v>
      </c>
    </row>
    <row r="20" spans="1:19" ht="26.25" thickBot="1">
      <c r="A20" s="2418"/>
      <c r="B20" s="1109" t="s">
        <v>719</v>
      </c>
      <c r="C20" s="1809">
        <f>SUM('Annex 3_MAFF'!Y52:Y66)</f>
        <v>885.35422666666659</v>
      </c>
      <c r="D20" s="1111">
        <f>SUM('Annex 3_MAFF'!Z52:Z66)</f>
        <v>0</v>
      </c>
      <c r="E20" s="1111">
        <f>SUM('Annex 3_MAFF'!AA52:AA66)</f>
        <v>0</v>
      </c>
      <c r="F20" s="1111">
        <f>SUM('Annex 3_MAFF'!AB52:AB66)</f>
        <v>0</v>
      </c>
      <c r="G20" s="1111">
        <f>SUM('Annex 3_MAFF'!AC52:AC66)</f>
        <v>0</v>
      </c>
      <c r="H20" s="1113">
        <f t="shared" si="1"/>
        <v>885.35422666666659</v>
      </c>
      <c r="I20" s="825"/>
      <c r="J20" s="825"/>
      <c r="K20" s="2410"/>
      <c r="L20" s="1823" t="s">
        <v>1115</v>
      </c>
      <c r="M20" s="1876">
        <v>885.35422666666659</v>
      </c>
      <c r="N20" s="1876">
        <v>0</v>
      </c>
      <c r="O20" s="1876">
        <v>0</v>
      </c>
      <c r="P20" s="1876">
        <v>0</v>
      </c>
      <c r="Q20" s="1876">
        <v>0</v>
      </c>
      <c r="R20" s="2305">
        <f t="shared" si="5"/>
        <v>885.35422666666659</v>
      </c>
      <c r="S20" s="1874">
        <f t="shared" si="2"/>
        <v>885.35422666666659</v>
      </c>
    </row>
    <row r="21" spans="1:19" ht="13.5" thickBot="1">
      <c r="A21" s="1766"/>
      <c r="B21" s="1804" t="s">
        <v>1105</v>
      </c>
      <c r="C21" s="1805">
        <f>SUM(C11:C20)</f>
        <v>1497.2257266666666</v>
      </c>
      <c r="D21" s="1805">
        <f t="shared" ref="D21:H21" si="6">SUM(D11:D20)</f>
        <v>0</v>
      </c>
      <c r="E21" s="1805">
        <f t="shared" si="6"/>
        <v>1205.125</v>
      </c>
      <c r="F21" s="1805">
        <f t="shared" si="6"/>
        <v>0</v>
      </c>
      <c r="G21" s="1805">
        <f t="shared" si="6"/>
        <v>0</v>
      </c>
      <c r="H21" s="1805">
        <f t="shared" si="6"/>
        <v>2702.3507266666666</v>
      </c>
      <c r="I21" s="1709">
        <f>H21/H44%</f>
        <v>16.89471895265957</v>
      </c>
      <c r="J21" s="825"/>
      <c r="K21" s="2421"/>
      <c r="L21" s="1882" t="s">
        <v>41</v>
      </c>
      <c r="M21" s="1879">
        <f>SUM(M11:M20)</f>
        <v>1497.2257266666666</v>
      </c>
      <c r="N21" s="1879">
        <f t="shared" ref="N21:Q21" si="7">SUM(N11:N20)</f>
        <v>0</v>
      </c>
      <c r="O21" s="1879">
        <f t="shared" si="7"/>
        <v>1205.125</v>
      </c>
      <c r="P21" s="1879">
        <f t="shared" si="7"/>
        <v>0</v>
      </c>
      <c r="Q21" s="1879">
        <f t="shared" si="7"/>
        <v>0</v>
      </c>
      <c r="R21" s="1881">
        <f>SUM(R11:R20)</f>
        <v>2702.3507266666666</v>
      </c>
      <c r="S21" s="1874">
        <f t="shared" si="2"/>
        <v>2702.3507266666666</v>
      </c>
    </row>
    <row r="22" spans="1:19" ht="13.5" thickBot="1">
      <c r="A22" s="2416">
        <v>3</v>
      </c>
      <c r="B22" s="1110" t="s">
        <v>988</v>
      </c>
      <c r="C22" s="1111">
        <f>SUM('Annex 3_MAFF'!Y273:Y279)</f>
        <v>0</v>
      </c>
      <c r="D22" s="1111">
        <f>SUM('Annex 3_MAFF'!Z273:Z279)</f>
        <v>0</v>
      </c>
      <c r="E22" s="1111">
        <f>SUM('Annex 3_MAFF'!AA273:AA279)</f>
        <v>145.1</v>
      </c>
      <c r="F22" s="1111">
        <f>SUM('Annex 3_MAFF'!AB273:AB279)</f>
        <v>0</v>
      </c>
      <c r="G22" s="1111">
        <f>SUM('Annex 3_MAFF'!AC273:AC279)</f>
        <v>0</v>
      </c>
      <c r="H22" s="1113">
        <f>SUM(C22:G22)</f>
        <v>145.1</v>
      </c>
      <c r="J22" s="825"/>
      <c r="K22" s="2409">
        <v>3</v>
      </c>
      <c r="L22" s="1787" t="s">
        <v>988</v>
      </c>
      <c r="M22" s="1794" t="s">
        <v>1110</v>
      </c>
      <c r="N22" s="1794" t="s">
        <v>1110</v>
      </c>
      <c r="O22" s="1794">
        <v>145.1</v>
      </c>
      <c r="P22" s="1817" t="s">
        <v>1110</v>
      </c>
      <c r="Q22" s="1817" t="s">
        <v>1110</v>
      </c>
      <c r="R22" s="1795">
        <f>O22</f>
        <v>145.1</v>
      </c>
      <c r="S22" s="1874">
        <f t="shared" si="2"/>
        <v>145.1</v>
      </c>
    </row>
    <row r="23" spans="1:19" ht="13.5" thickBot="1">
      <c r="A23" s="2417"/>
      <c r="B23" s="1110" t="s">
        <v>989</v>
      </c>
      <c r="C23" s="1111">
        <f>SUM('Annex 3_MAFF'!Y283:Y285)</f>
        <v>0</v>
      </c>
      <c r="D23" s="1111">
        <f>SUM('Annex 3_MAFF'!Z283:Z285)</f>
        <v>0</v>
      </c>
      <c r="E23" s="1111">
        <f>SUM('Annex 3_MAFF'!AA283:AA285)</f>
        <v>14.65</v>
      </c>
      <c r="F23" s="1111">
        <f>SUM('Annex 3_MAFF'!AB283:AB285)</f>
        <v>0</v>
      </c>
      <c r="G23" s="1111">
        <f>SUM('Annex 3_MAFF'!AC283:AC285)</f>
        <v>0</v>
      </c>
      <c r="H23" s="1113">
        <f t="shared" ref="H23:H26" si="8">SUM(C23:G23)</f>
        <v>14.65</v>
      </c>
      <c r="K23" s="2410"/>
      <c r="L23" s="1787" t="s">
        <v>989</v>
      </c>
      <c r="M23" s="1794" t="s">
        <v>1110</v>
      </c>
      <c r="N23" s="1794" t="s">
        <v>1110</v>
      </c>
      <c r="O23" s="1794">
        <v>14.65</v>
      </c>
      <c r="P23" s="1817" t="s">
        <v>1110</v>
      </c>
      <c r="Q23" s="1817" t="s">
        <v>1110</v>
      </c>
      <c r="R23" s="1795">
        <f t="shared" ref="R23:R30" si="9">O23</f>
        <v>14.65</v>
      </c>
      <c r="S23" s="1874">
        <f t="shared" si="2"/>
        <v>14.65</v>
      </c>
    </row>
    <row r="24" spans="1:19" ht="13.5" thickBot="1">
      <c r="A24" s="2417"/>
      <c r="B24" s="1110" t="s">
        <v>990</v>
      </c>
      <c r="C24" s="1111">
        <f>SUM('Annex 3_MAFF'!Y289:Y292)</f>
        <v>0</v>
      </c>
      <c r="D24" s="1111">
        <f>SUM('Annex 3_MAFF'!Z289:Z292)</f>
        <v>0</v>
      </c>
      <c r="E24" s="1111">
        <f>SUM('Annex 3_MAFF'!AA289:AA292)</f>
        <v>25.2</v>
      </c>
      <c r="F24" s="1111">
        <f>SUM('Annex 3_MAFF'!AB289:AB292)</f>
        <v>0</v>
      </c>
      <c r="G24" s="1111">
        <f>SUM('Annex 3_MAFF'!AC289:AC292)</f>
        <v>0</v>
      </c>
      <c r="H24" s="1113">
        <f t="shared" si="8"/>
        <v>25.2</v>
      </c>
      <c r="K24" s="2410"/>
      <c r="L24" s="1787" t="s">
        <v>990</v>
      </c>
      <c r="M24" s="1794" t="s">
        <v>1110</v>
      </c>
      <c r="N24" s="1794" t="s">
        <v>1110</v>
      </c>
      <c r="O24" s="1794">
        <v>25.2</v>
      </c>
      <c r="P24" s="1817" t="s">
        <v>1110</v>
      </c>
      <c r="Q24" s="1817" t="s">
        <v>1110</v>
      </c>
      <c r="R24" s="1795">
        <f t="shared" si="9"/>
        <v>25.2</v>
      </c>
      <c r="S24" s="1874">
        <f t="shared" si="2"/>
        <v>25.2</v>
      </c>
    </row>
    <row r="25" spans="1:19" ht="13.5" thickBot="1">
      <c r="A25" s="2417"/>
      <c r="B25" s="1110" t="s">
        <v>991</v>
      </c>
      <c r="C25" s="1111">
        <f>SUM('Annex 3_MAFF'!Y296:Y298)</f>
        <v>0</v>
      </c>
      <c r="D25" s="1111">
        <f>SUM('Annex 3_MAFF'!Z296:Z298)</f>
        <v>0</v>
      </c>
      <c r="E25" s="1111">
        <f>SUM('Annex 3_MAFF'!AA296:AA298)</f>
        <v>52.5</v>
      </c>
      <c r="F25" s="1111">
        <f>SUM('Annex 3_MAFF'!AB296:AB298)</f>
        <v>0</v>
      </c>
      <c r="G25" s="1111">
        <f>SUM('Annex 3_MAFF'!AC296:AC298)</f>
        <v>0</v>
      </c>
      <c r="H25" s="1113">
        <f t="shared" si="8"/>
        <v>52.5</v>
      </c>
      <c r="K25" s="2410"/>
      <c r="L25" s="1787" t="s">
        <v>991</v>
      </c>
      <c r="M25" s="1794" t="s">
        <v>1110</v>
      </c>
      <c r="N25" s="1794" t="s">
        <v>1110</v>
      </c>
      <c r="O25" s="1794">
        <v>52.5</v>
      </c>
      <c r="P25" s="1817" t="s">
        <v>1110</v>
      </c>
      <c r="Q25" s="1817" t="s">
        <v>1110</v>
      </c>
      <c r="R25" s="1795">
        <f t="shared" si="9"/>
        <v>52.5</v>
      </c>
      <c r="S25" s="1874">
        <f t="shared" si="2"/>
        <v>52.5</v>
      </c>
    </row>
    <row r="26" spans="1:19" ht="13.5" thickBot="1">
      <c r="A26" s="2417"/>
      <c r="B26" s="1110" t="s">
        <v>717</v>
      </c>
      <c r="C26" s="1111">
        <f>SUM('Annex 3_MAFF'!Y302:Y307)</f>
        <v>0</v>
      </c>
      <c r="D26" s="1111">
        <f>SUM('Annex 3_MAFF'!Z302:Z307)</f>
        <v>0</v>
      </c>
      <c r="E26" s="1111">
        <f>SUM('Annex 3_MAFF'!AA302:AA307)</f>
        <v>44.5</v>
      </c>
      <c r="F26" s="1111">
        <f>SUM('Annex 3_MAFF'!AB302:AB307)</f>
        <v>0</v>
      </c>
      <c r="G26" s="1111">
        <f>SUM('Annex 3_MAFF'!AC302:AC307)</f>
        <v>0</v>
      </c>
      <c r="H26" s="1113">
        <f t="shared" si="8"/>
        <v>44.5</v>
      </c>
      <c r="K26" s="2410"/>
      <c r="L26" s="1787" t="s">
        <v>717</v>
      </c>
      <c r="M26" s="1794" t="s">
        <v>1110</v>
      </c>
      <c r="N26" s="1794" t="s">
        <v>1110</v>
      </c>
      <c r="O26" s="1794">
        <v>44.5</v>
      </c>
      <c r="P26" s="1817" t="s">
        <v>1110</v>
      </c>
      <c r="Q26" s="1817" t="s">
        <v>1110</v>
      </c>
      <c r="R26" s="1795">
        <f t="shared" si="9"/>
        <v>44.5</v>
      </c>
      <c r="S26" s="1874">
        <f t="shared" si="2"/>
        <v>44.5</v>
      </c>
    </row>
    <row r="27" spans="1:19" ht="13.5" thickBot="1">
      <c r="A27" s="2417"/>
      <c r="B27" s="1110" t="s">
        <v>992</v>
      </c>
      <c r="C27" s="1111">
        <f>SUM('Annex 3_MAFF'!Y311:Y314)</f>
        <v>0</v>
      </c>
      <c r="D27" s="1111">
        <f>SUM('Annex 3_MAFF'!Z311:Z314)</f>
        <v>0</v>
      </c>
      <c r="E27" s="1111">
        <f>SUM('Annex 3_MAFF'!AA311:AA314)</f>
        <v>24.1</v>
      </c>
      <c r="F27" s="1111">
        <f>SUM('Annex 3_MAFF'!AB311:AB314)</f>
        <v>0</v>
      </c>
      <c r="G27" s="1111">
        <f>SUM('Annex 3_MAFF'!AC311:AC314)</f>
        <v>0</v>
      </c>
      <c r="H27" s="1113">
        <f>SUM(C27:G27)</f>
        <v>24.1</v>
      </c>
      <c r="J27" s="825"/>
      <c r="K27" s="2410"/>
      <c r="L27" s="1787" t="s">
        <v>992</v>
      </c>
      <c r="M27" s="1794" t="s">
        <v>1110</v>
      </c>
      <c r="N27" s="1794" t="s">
        <v>1110</v>
      </c>
      <c r="O27" s="1794">
        <v>24.1</v>
      </c>
      <c r="P27" s="1817" t="s">
        <v>1110</v>
      </c>
      <c r="Q27" s="1817" t="s">
        <v>1110</v>
      </c>
      <c r="R27" s="1795">
        <f t="shared" si="9"/>
        <v>24.1</v>
      </c>
      <c r="S27" s="1874">
        <f t="shared" si="2"/>
        <v>24.1</v>
      </c>
    </row>
    <row r="28" spans="1:19" ht="13.5" thickBot="1">
      <c r="A28" s="2417"/>
      <c r="B28" s="1110" t="s">
        <v>720</v>
      </c>
      <c r="C28" s="1111">
        <f>SUM('Annex 3_MAFF'!Y321:Y324)</f>
        <v>0</v>
      </c>
      <c r="D28" s="1111">
        <f>SUM('Annex 3_MAFF'!Z321:Z324)</f>
        <v>0</v>
      </c>
      <c r="E28" s="1111">
        <f>SUM('Annex 3_MAFF'!AA321:AA324)</f>
        <v>62.4</v>
      </c>
      <c r="F28" s="1111">
        <f>SUM('Annex 3_MAFF'!AB321:AB324)</f>
        <v>0</v>
      </c>
      <c r="G28" s="1111">
        <f>SUM('Annex 3_MAFF'!AC321:AC324)</f>
        <v>0</v>
      </c>
      <c r="H28" s="1113">
        <f t="shared" si="1"/>
        <v>62.4</v>
      </c>
      <c r="K28" s="2410"/>
      <c r="L28" s="1787" t="s">
        <v>720</v>
      </c>
      <c r="M28" s="1794" t="s">
        <v>1110</v>
      </c>
      <c r="N28" s="1794" t="s">
        <v>1110</v>
      </c>
      <c r="O28" s="1794">
        <v>62.4</v>
      </c>
      <c r="P28" s="1817" t="s">
        <v>1110</v>
      </c>
      <c r="Q28" s="1817" t="s">
        <v>1110</v>
      </c>
      <c r="R28" s="1795">
        <f t="shared" si="9"/>
        <v>62.4</v>
      </c>
      <c r="S28" s="1874">
        <f t="shared" si="2"/>
        <v>62.4</v>
      </c>
    </row>
    <row r="29" spans="1:19" ht="13.5" thickBot="1">
      <c r="A29" s="2417"/>
      <c r="B29" s="1110" t="s">
        <v>987</v>
      </c>
      <c r="C29" s="1111">
        <f>SUM('Annex 3_MAFF'!Y328:Y339)</f>
        <v>0</v>
      </c>
      <c r="D29" s="1111">
        <f>SUM('Annex 3_MAFF'!Z328:Z339)</f>
        <v>0</v>
      </c>
      <c r="E29" s="1111">
        <f>SUM('Annex 3_MAFF'!AA328:AA339)</f>
        <v>160.1</v>
      </c>
      <c r="F29" s="1111">
        <f>SUM('Annex 3_MAFF'!AB328:AB339)</f>
        <v>0</v>
      </c>
      <c r="G29" s="1111">
        <f>SUM('Annex 3_MAFF'!AC328:AC339)</f>
        <v>0</v>
      </c>
      <c r="H29" s="1113">
        <f t="shared" si="1"/>
        <v>160.1</v>
      </c>
      <c r="K29" s="2410"/>
      <c r="L29" s="1787" t="s">
        <v>987</v>
      </c>
      <c r="M29" s="1794" t="s">
        <v>1110</v>
      </c>
      <c r="N29" s="1794" t="s">
        <v>1110</v>
      </c>
      <c r="O29" s="1794">
        <v>160.1</v>
      </c>
      <c r="P29" s="1817" t="s">
        <v>1110</v>
      </c>
      <c r="Q29" s="1817" t="s">
        <v>1110</v>
      </c>
      <c r="R29" s="1795">
        <f t="shared" si="9"/>
        <v>160.1</v>
      </c>
      <c r="S29" s="1874">
        <f t="shared" si="2"/>
        <v>160.1</v>
      </c>
    </row>
    <row r="30" spans="1:19" ht="13.5" thickBot="1">
      <c r="A30" s="2418"/>
      <c r="B30" s="1110" t="s">
        <v>445</v>
      </c>
      <c r="C30" s="1111">
        <f>SUM('Annex 3_MAFF'!Y344:Y353)</f>
        <v>0</v>
      </c>
      <c r="D30" s="1113">
        <f>SUM('Annex 3_MAFF'!Z344:Z353)</f>
        <v>0</v>
      </c>
      <c r="E30" s="1113">
        <f>SUM('Annex 3_MAFF'!AA344:AA353)</f>
        <v>542.20000000000005</v>
      </c>
      <c r="F30" s="1113">
        <f>SUM('Annex 3_MAFF'!AB344:AB353)</f>
        <v>0</v>
      </c>
      <c r="G30" s="1113">
        <f>SUM('Annex 3_MAFF'!AC344:AC353)</f>
        <v>0</v>
      </c>
      <c r="H30" s="1113">
        <f t="shared" si="1"/>
        <v>542.20000000000005</v>
      </c>
      <c r="J30" s="825"/>
      <c r="K30" s="2410"/>
      <c r="L30" s="1787" t="s">
        <v>445</v>
      </c>
      <c r="M30" s="1794" t="s">
        <v>1110</v>
      </c>
      <c r="N30" s="1794" t="s">
        <v>1110</v>
      </c>
      <c r="O30" s="1788">
        <v>542.20000000000005</v>
      </c>
      <c r="P30" s="1817" t="s">
        <v>1110</v>
      </c>
      <c r="Q30" s="1817" t="s">
        <v>1110</v>
      </c>
      <c r="R30" s="1795">
        <f t="shared" si="9"/>
        <v>542.20000000000005</v>
      </c>
      <c r="S30" s="1874">
        <f t="shared" si="2"/>
        <v>542.20000000000005</v>
      </c>
    </row>
    <row r="31" spans="1:19" ht="13.5" thickBot="1">
      <c r="A31" s="1766"/>
      <c r="B31" s="1806" t="s">
        <v>1106</v>
      </c>
      <c r="C31" s="1805">
        <f>SUM(C22:C30)</f>
        <v>0</v>
      </c>
      <c r="D31" s="1805">
        <f t="shared" ref="D31:H31" si="10">SUM(D22:D30)</f>
        <v>0</v>
      </c>
      <c r="E31" s="1805">
        <f t="shared" si="10"/>
        <v>1070.75</v>
      </c>
      <c r="F31" s="1805">
        <f t="shared" si="10"/>
        <v>0</v>
      </c>
      <c r="G31" s="1805">
        <f t="shared" si="10"/>
        <v>0</v>
      </c>
      <c r="H31" s="1805">
        <f t="shared" si="10"/>
        <v>1070.75</v>
      </c>
      <c r="I31" s="1812">
        <f>H31/H44%</f>
        <v>6.69417930842536</v>
      </c>
      <c r="J31" s="825"/>
      <c r="K31" s="2410"/>
      <c r="L31" s="1885" t="s">
        <v>41</v>
      </c>
      <c r="M31" s="1883" t="s">
        <v>1110</v>
      </c>
      <c r="N31" s="1883" t="s">
        <v>1110</v>
      </c>
      <c r="O31" s="1879">
        <f>SUM(O22:O30)</f>
        <v>1070.75</v>
      </c>
      <c r="P31" s="1880" t="s">
        <v>1110</v>
      </c>
      <c r="Q31" s="1880" t="s">
        <v>1110</v>
      </c>
      <c r="R31" s="1881">
        <f>SUM(R22:R30)</f>
        <v>1070.75</v>
      </c>
      <c r="S31" s="1874">
        <f t="shared" si="2"/>
        <v>1070.75</v>
      </c>
    </row>
    <row r="32" spans="1:19" ht="13.5" thickBot="1">
      <c r="A32" s="2416" t="s">
        <v>724</v>
      </c>
      <c r="B32" s="1110" t="s">
        <v>405</v>
      </c>
      <c r="C32" s="1111"/>
      <c r="D32" s="1206"/>
      <c r="E32" s="1206"/>
      <c r="F32" s="1206">
        <f>SUM('Annex 3_MAFF'!S386:S387)</f>
        <v>96.6</v>
      </c>
      <c r="G32" s="1206"/>
      <c r="H32" s="1113">
        <f t="shared" si="1"/>
        <v>96.6</v>
      </c>
      <c r="J32" s="1872"/>
      <c r="K32" s="2409" t="s">
        <v>724</v>
      </c>
      <c r="L32" s="1787" t="s">
        <v>405</v>
      </c>
      <c r="M32" s="1786"/>
      <c r="N32" s="1786"/>
      <c r="O32" s="1786"/>
      <c r="P32" s="1817">
        <v>96.6</v>
      </c>
      <c r="Q32" s="1786"/>
      <c r="R32" s="1795">
        <f>SUM(M32:Q32)</f>
        <v>96.6</v>
      </c>
      <c r="S32" s="1874">
        <f t="shared" si="2"/>
        <v>96.6</v>
      </c>
    </row>
    <row r="33" spans="1:20" ht="13.5" thickBot="1">
      <c r="A33" s="2417"/>
      <c r="B33" s="1110" t="s">
        <v>379</v>
      </c>
      <c r="C33" s="1809">
        <f>SUM('Annex 3_MAFF'!Y391:Y392)+'Annex 3_MAFF'!Y378+'Annex 3_MAFF'!Y379</f>
        <v>235.44</v>
      </c>
      <c r="D33" s="1111">
        <f>SUM('Annex 3_MAFF'!Z391:Z392)+'Annex 3_MAFF'!Z378</f>
        <v>0</v>
      </c>
      <c r="E33" s="1111">
        <f>SUM('Annex 3_MAFF'!AA391:AA392)+'Annex 3_MAFF'!AA378</f>
        <v>0</v>
      </c>
      <c r="F33" s="1206">
        <f>'Annex 3_MAFF'!AB388</f>
        <v>4</v>
      </c>
      <c r="G33" s="1206"/>
      <c r="H33" s="1113">
        <f t="shared" si="1"/>
        <v>239.44</v>
      </c>
      <c r="K33" s="2410"/>
      <c r="L33" s="1787" t="s">
        <v>379</v>
      </c>
      <c r="M33" s="1794">
        <v>235.44</v>
      </c>
      <c r="N33" s="1794">
        <v>0</v>
      </c>
      <c r="O33" s="1817">
        <v>0</v>
      </c>
      <c r="P33" s="1877">
        <v>4</v>
      </c>
      <c r="Q33" s="1786"/>
      <c r="R33" s="1795">
        <f t="shared" ref="R33:R35" si="11">SUM(M33:Q33)</f>
        <v>239.44</v>
      </c>
      <c r="S33" s="1874">
        <f t="shared" si="2"/>
        <v>239.44</v>
      </c>
    </row>
    <row r="34" spans="1:20" ht="26.25" thickBot="1">
      <c r="A34" s="2417"/>
      <c r="B34" s="1109" t="s">
        <v>721</v>
      </c>
      <c r="C34" s="1809">
        <f>SUM('Annex 3_MAFF'!S393:S394)</f>
        <v>238.65600000000001</v>
      </c>
      <c r="D34" s="1206"/>
      <c r="E34" s="1206"/>
      <c r="F34" s="1206"/>
      <c r="G34" s="1206"/>
      <c r="H34" s="1113">
        <f t="shared" si="1"/>
        <v>238.65600000000001</v>
      </c>
      <c r="K34" s="2410"/>
      <c r="L34" s="1823" t="s">
        <v>1116</v>
      </c>
      <c r="M34" s="1821">
        <v>238.65600000000001</v>
      </c>
      <c r="N34" s="1822"/>
      <c r="O34" s="1822"/>
      <c r="P34" s="1822"/>
      <c r="Q34" s="1822"/>
      <c r="R34" s="1795">
        <f t="shared" si="11"/>
        <v>238.65600000000001</v>
      </c>
      <c r="S34" s="1874">
        <f t="shared" si="2"/>
        <v>238.65600000000001</v>
      </c>
    </row>
    <row r="35" spans="1:20" ht="26.25" thickBot="1">
      <c r="A35" s="2418"/>
      <c r="B35" s="1109" t="s">
        <v>722</v>
      </c>
      <c r="C35" s="1809">
        <f>SUM('Annex 3_MAFF'!S395:S396,'Annex 3_MAFF'!S397:S402)</f>
        <v>394.94</v>
      </c>
      <c r="D35" s="1206"/>
      <c r="E35" s="1206"/>
      <c r="F35" s="1206"/>
      <c r="G35" s="1206"/>
      <c r="H35" s="1113">
        <f t="shared" si="1"/>
        <v>394.94</v>
      </c>
      <c r="I35" s="825"/>
      <c r="J35" s="825"/>
      <c r="K35" s="2410"/>
      <c r="L35" s="1823" t="s">
        <v>964</v>
      </c>
      <c r="M35" s="1821">
        <v>394.94</v>
      </c>
      <c r="N35" s="1822"/>
      <c r="O35" s="1822"/>
      <c r="P35" s="1822"/>
      <c r="Q35" s="1822"/>
      <c r="R35" s="1795">
        <f t="shared" si="11"/>
        <v>394.94</v>
      </c>
      <c r="S35" s="1874">
        <f t="shared" si="2"/>
        <v>394.94</v>
      </c>
    </row>
    <row r="36" spans="1:20" ht="13.5" thickBot="1">
      <c r="A36" s="1766"/>
      <c r="B36" s="1804" t="s">
        <v>1107</v>
      </c>
      <c r="C36" s="1903">
        <f>SUM(C32:C35)</f>
        <v>869.03600000000006</v>
      </c>
      <c r="D36" s="1805">
        <f t="shared" ref="D36:H36" si="12">SUM(D32:D35)</f>
        <v>0</v>
      </c>
      <c r="E36" s="1805">
        <f t="shared" si="12"/>
        <v>0</v>
      </c>
      <c r="F36" s="1805">
        <f t="shared" si="12"/>
        <v>100.6</v>
      </c>
      <c r="G36" s="1805">
        <f t="shared" si="12"/>
        <v>0</v>
      </c>
      <c r="H36" s="1903">
        <f t="shared" si="12"/>
        <v>969.63599999999997</v>
      </c>
      <c r="I36" s="1709">
        <f>H36/H44%</f>
        <v>6.0620287162309889</v>
      </c>
      <c r="J36" s="825"/>
      <c r="K36" s="2411"/>
      <c r="L36" s="1884" t="s">
        <v>41</v>
      </c>
      <c r="M36" s="2306">
        <f>SUM(M32:M35)</f>
        <v>869.03600000000006</v>
      </c>
      <c r="N36" s="2307">
        <f t="shared" ref="N36:R36" si="13">SUM(N32:N35)</f>
        <v>0</v>
      </c>
      <c r="O36" s="2307">
        <f t="shared" si="13"/>
        <v>0</v>
      </c>
      <c r="P36" s="2307">
        <f t="shared" si="13"/>
        <v>100.6</v>
      </c>
      <c r="Q36" s="2307">
        <f t="shared" si="13"/>
        <v>0</v>
      </c>
      <c r="R36" s="1883">
        <f t="shared" si="13"/>
        <v>969.63599999999997</v>
      </c>
      <c r="S36" s="1874">
        <f t="shared" si="2"/>
        <v>969.63600000000008</v>
      </c>
    </row>
    <row r="37" spans="1:20" ht="13.5" thickBot="1">
      <c r="A37" s="2416" t="s">
        <v>25</v>
      </c>
      <c r="B37" s="1110" t="s">
        <v>303</v>
      </c>
      <c r="C37" s="1111">
        <f>'Annex 3_MAFF'!Z561</f>
        <v>1160.2763800000002</v>
      </c>
      <c r="D37" s="1206"/>
      <c r="E37" s="1206"/>
      <c r="F37" s="1206"/>
      <c r="G37" s="1206"/>
      <c r="H37" s="1113">
        <f t="shared" si="1"/>
        <v>1160.2763800000002</v>
      </c>
      <c r="J37" s="997"/>
      <c r="K37" s="2422" t="s">
        <v>25</v>
      </c>
      <c r="L37" s="1787" t="s">
        <v>303</v>
      </c>
      <c r="M37" s="1788">
        <v>1160.2763800000002</v>
      </c>
      <c r="N37" s="1786"/>
      <c r="O37" s="1786"/>
      <c r="P37" s="1786"/>
      <c r="Q37" s="1786"/>
      <c r="R37" s="1789">
        <f>SUM(M37:Q37)</f>
        <v>1160.2763800000002</v>
      </c>
      <c r="S37" s="1874">
        <f t="shared" si="2"/>
        <v>1160.2763800000002</v>
      </c>
    </row>
    <row r="38" spans="1:20" ht="13.5" thickBot="1">
      <c r="A38" s="2417"/>
      <c r="B38" s="1110" t="s">
        <v>296</v>
      </c>
      <c r="C38" s="1111">
        <f>'Annex 3_MAFF'!Z562</f>
        <v>863.94999999999993</v>
      </c>
      <c r="D38" s="1206"/>
      <c r="E38" s="1206"/>
      <c r="F38" s="1206"/>
      <c r="G38" s="1206"/>
      <c r="H38" s="1113">
        <f t="shared" si="1"/>
        <v>863.94999999999993</v>
      </c>
      <c r="K38" s="2423"/>
      <c r="L38" s="1787" t="s">
        <v>296</v>
      </c>
      <c r="M38" s="1794">
        <v>863.95</v>
      </c>
      <c r="N38" s="1786"/>
      <c r="O38" s="1786"/>
      <c r="P38" s="1786"/>
      <c r="Q38" s="1786"/>
      <c r="R38" s="1789">
        <f t="shared" ref="R38:R42" si="14">SUM(M38:Q38)</f>
        <v>863.95</v>
      </c>
      <c r="S38" s="1874">
        <f t="shared" si="2"/>
        <v>863.95</v>
      </c>
    </row>
    <row r="39" spans="1:20" ht="13.5" thickBot="1">
      <c r="A39" s="2417"/>
      <c r="B39" s="1110" t="s">
        <v>298</v>
      </c>
      <c r="C39" s="1111"/>
      <c r="D39" s="1206"/>
      <c r="E39" s="1206">
        <f>SUM('Annex 3_MAFF'!AA223:AA231)</f>
        <v>427.15719999999999</v>
      </c>
      <c r="F39" s="1206"/>
      <c r="G39" s="1206"/>
      <c r="H39" s="1113">
        <f t="shared" si="1"/>
        <v>427.15719999999999</v>
      </c>
      <c r="K39" s="2423"/>
      <c r="L39" s="1787" t="s">
        <v>298</v>
      </c>
      <c r="M39" s="1786"/>
      <c r="N39" s="1786"/>
      <c r="O39" s="1794">
        <v>427.15719999999999</v>
      </c>
      <c r="P39" s="1786"/>
      <c r="Q39" s="1786"/>
      <c r="R39" s="1789">
        <f t="shared" si="14"/>
        <v>427.15719999999999</v>
      </c>
      <c r="S39" s="1874">
        <f t="shared" si="2"/>
        <v>427.15719999999999</v>
      </c>
    </row>
    <row r="40" spans="1:20" ht="13.5" thickBot="1">
      <c r="A40" s="2417"/>
      <c r="B40" s="1110" t="s">
        <v>302</v>
      </c>
      <c r="C40" s="1111">
        <f>SUM('Annex 3_MAFF'!Y356:Y374)</f>
        <v>25</v>
      </c>
      <c r="D40" s="1111">
        <f>SUM('Annex 3_MAFF'!Z356:Z374)</f>
        <v>0</v>
      </c>
      <c r="E40" s="1206">
        <f>SUM('Annex 3_MAFF'!AA356:AA374)</f>
        <v>183.54</v>
      </c>
      <c r="F40" s="1206">
        <f>SUM('Annex 3_MAFF'!AB356:AB374)</f>
        <v>0</v>
      </c>
      <c r="G40" s="1206">
        <f>SUM('Annex 3_MAFF'!AC356:AC374)</f>
        <v>0</v>
      </c>
      <c r="H40" s="1113">
        <f t="shared" si="1"/>
        <v>208.54</v>
      </c>
      <c r="J40" s="997"/>
      <c r="K40" s="2423"/>
      <c r="L40" s="1787" t="s">
        <v>302</v>
      </c>
      <c r="M40" s="1794">
        <v>25</v>
      </c>
      <c r="N40" s="1794">
        <v>0</v>
      </c>
      <c r="O40" s="1794">
        <v>183.54</v>
      </c>
      <c r="P40" s="1817">
        <v>0</v>
      </c>
      <c r="Q40" s="1817">
        <v>0</v>
      </c>
      <c r="R40" s="1789">
        <f t="shared" si="14"/>
        <v>208.54</v>
      </c>
      <c r="S40" s="1874">
        <f t="shared" si="2"/>
        <v>208.54</v>
      </c>
    </row>
    <row r="41" spans="1:20" ht="13.5" thickBot="1">
      <c r="A41" s="2417"/>
      <c r="B41" s="1110" t="s">
        <v>273</v>
      </c>
      <c r="C41" s="1111">
        <f>'Annex 3_MAFF'!Z565</f>
        <v>612.44899999999996</v>
      </c>
      <c r="D41" s="1206"/>
      <c r="E41" s="1206"/>
      <c r="F41" s="1206"/>
      <c r="G41" s="1206"/>
      <c r="H41" s="1113">
        <f t="shared" si="1"/>
        <v>612.44899999999996</v>
      </c>
      <c r="K41" s="2423"/>
      <c r="L41" s="1787" t="s">
        <v>273</v>
      </c>
      <c r="M41" s="1788">
        <v>612.44899999999996</v>
      </c>
      <c r="N41" s="1786"/>
      <c r="O41" s="1786"/>
      <c r="P41" s="1786"/>
      <c r="Q41" s="1786"/>
      <c r="R41" s="1789">
        <f t="shared" si="14"/>
        <v>612.44899999999996</v>
      </c>
      <c r="S41" s="1874">
        <f t="shared" si="2"/>
        <v>612.44899999999996</v>
      </c>
    </row>
    <row r="42" spans="1:20" ht="13.5" thickBot="1">
      <c r="A42" s="2418"/>
      <c r="B42" s="1110" t="s">
        <v>304</v>
      </c>
      <c r="C42" s="1111"/>
      <c r="D42" s="1206"/>
      <c r="E42" s="1206">
        <f>SUM('Annex 3_MAFF'!AA453)</f>
        <v>33.32</v>
      </c>
      <c r="F42" s="1206"/>
      <c r="G42" s="1206"/>
      <c r="H42" s="1113">
        <f t="shared" si="1"/>
        <v>33.32</v>
      </c>
      <c r="J42" s="1873"/>
      <c r="K42" s="2423"/>
      <c r="L42" s="1787" t="s">
        <v>304</v>
      </c>
      <c r="M42" s="1786"/>
      <c r="N42" s="1786"/>
      <c r="O42" s="1794">
        <v>33.32</v>
      </c>
      <c r="P42" s="1786"/>
      <c r="Q42" s="1786"/>
      <c r="R42" s="1789">
        <f t="shared" si="14"/>
        <v>33.32</v>
      </c>
      <c r="S42" s="1874">
        <f t="shared" si="2"/>
        <v>33.32</v>
      </c>
    </row>
    <row r="43" spans="1:20" ht="13.5" thickBot="1">
      <c r="A43" s="1807"/>
      <c r="B43" s="1808" t="s">
        <v>1108</v>
      </c>
      <c r="C43" s="1805">
        <f>SUM(C37:C42)</f>
        <v>2661.6753800000001</v>
      </c>
      <c r="D43" s="1805">
        <f t="shared" ref="D43:H43" si="15">SUM(D37:D42)</f>
        <v>0</v>
      </c>
      <c r="E43" s="1805">
        <f t="shared" si="15"/>
        <v>644.0172</v>
      </c>
      <c r="F43" s="1805">
        <f t="shared" si="15"/>
        <v>0</v>
      </c>
      <c r="G43" s="1805">
        <f t="shared" si="15"/>
        <v>0</v>
      </c>
      <c r="H43" s="1903">
        <f t="shared" si="15"/>
        <v>3305.6925800000004</v>
      </c>
      <c r="I43" s="1810">
        <f>H43/H44%</f>
        <v>20.666727872100157</v>
      </c>
      <c r="J43" s="1873"/>
      <c r="K43" s="2424"/>
      <c r="L43" s="1885" t="s">
        <v>569</v>
      </c>
      <c r="M43" s="1879">
        <f>SUM(M37:M42)</f>
        <v>2661.6753800000001</v>
      </c>
      <c r="N43" s="1879">
        <f t="shared" ref="N43:Q43" si="16">SUM(N37:N42)</f>
        <v>0</v>
      </c>
      <c r="O43" s="1879">
        <f t="shared" si="16"/>
        <v>644.0172</v>
      </c>
      <c r="P43" s="1879">
        <f t="shared" si="16"/>
        <v>0</v>
      </c>
      <c r="Q43" s="1879">
        <f t="shared" si="16"/>
        <v>0</v>
      </c>
      <c r="R43" s="1879">
        <f>SUM(R37:R42)</f>
        <v>3305.6925800000004</v>
      </c>
      <c r="S43" s="1874">
        <f t="shared" si="2"/>
        <v>3305.6925799999999</v>
      </c>
    </row>
    <row r="44" spans="1:20" ht="13.5" thickBot="1">
      <c r="A44" s="2414" t="s">
        <v>723</v>
      </c>
      <c r="B44" s="2415"/>
      <c r="C44" s="1112">
        <f>SUM(C10,C21,C31,C36,C43)</f>
        <v>11645.477106666665</v>
      </c>
      <c r="D44" s="1112">
        <f t="shared" ref="D44:H44" si="17">SUM(D10,D21,D31,D36,D43)</f>
        <v>0</v>
      </c>
      <c r="E44" s="1112">
        <f t="shared" si="17"/>
        <v>3538.9831090909092</v>
      </c>
      <c r="F44" s="1112">
        <f t="shared" si="17"/>
        <v>421.50136039786946</v>
      </c>
      <c r="G44" s="1112">
        <f>SUM(G10,G21,G31,G36,G43)</f>
        <v>389.27773051122148</v>
      </c>
      <c r="H44" s="1112">
        <f t="shared" si="17"/>
        <v>15995.239306666666</v>
      </c>
      <c r="K44" s="2412" t="s">
        <v>723</v>
      </c>
      <c r="L44" s="2413"/>
      <c r="M44" s="1818">
        <v>13528.05</v>
      </c>
      <c r="N44" s="1819" t="s">
        <v>1110</v>
      </c>
      <c r="O44" s="1818">
        <v>7344.02</v>
      </c>
      <c r="P44" s="1887">
        <v>900.39</v>
      </c>
      <c r="Q44" s="1818">
        <v>1031.4100000000001</v>
      </c>
      <c r="R44" s="1820">
        <v>22803.87</v>
      </c>
      <c r="S44" s="1874">
        <f>SUM(M44:Q44)</f>
        <v>22803.87</v>
      </c>
      <c r="T44" s="1643"/>
    </row>
    <row r="45" spans="1:20" ht="13.5" thickTop="1">
      <c r="C45" s="824">
        <f>'Annex 3_MAFF'!Y534</f>
        <v>11645.477106666662</v>
      </c>
      <c r="D45" s="824">
        <f>'Annex 3_MAFF'!Z534</f>
        <v>0</v>
      </c>
      <c r="E45" s="824">
        <f>'Annex 3_MAFF'!AA534</f>
        <v>3538.9831090909088</v>
      </c>
      <c r="F45" s="824">
        <f>'Annex 3_MAFF'!AB534</f>
        <v>421.50136039786946</v>
      </c>
      <c r="G45" s="824">
        <f>'Annex 3_MAFF'!AC534</f>
        <v>389.27773051122148</v>
      </c>
      <c r="H45" s="1334">
        <f>'Annex 3_MAFF'!S534</f>
        <v>15995.239306666668</v>
      </c>
      <c r="K45" s="1824"/>
      <c r="L45" s="1875" t="s">
        <v>1124</v>
      </c>
      <c r="M45" s="1857">
        <f>SUM(M10,M21,M31,M36,M43)</f>
        <v>12247.946405866667</v>
      </c>
      <c r="N45" s="1857">
        <f t="shared" ref="N45:Q45" si="18">SUM(N10,N21,N31,N36,N43)</f>
        <v>0</v>
      </c>
      <c r="O45" s="1857">
        <f t="shared" si="18"/>
        <v>3538.9831090909092</v>
      </c>
      <c r="P45" s="1857">
        <f t="shared" si="18"/>
        <v>421.50136039786946</v>
      </c>
      <c r="Q45" s="1857">
        <f t="shared" si="18"/>
        <v>389.27773051122148</v>
      </c>
      <c r="R45" s="1857">
        <f>SUM(R10,R21,R31,R36,R43)</f>
        <v>16597.708605866668</v>
      </c>
      <c r="S45" s="1886" t="s">
        <v>1130</v>
      </c>
    </row>
    <row r="46" spans="1:20">
      <c r="A46" t="s">
        <v>726</v>
      </c>
      <c r="C46" s="997">
        <f>C44-C45</f>
        <v>0</v>
      </c>
      <c r="D46" s="997">
        <f t="shared" ref="D46" si="19">D44-D45</f>
        <v>0</v>
      </c>
      <c r="E46" s="997">
        <f>E44-E45</f>
        <v>0</v>
      </c>
      <c r="F46" s="997">
        <f>F44-F45</f>
        <v>0</v>
      </c>
      <c r="G46" s="997">
        <f>G44-G45</f>
        <v>0</v>
      </c>
      <c r="H46" s="997">
        <f>H44-H45</f>
        <v>0</v>
      </c>
      <c r="K46" s="1825"/>
      <c r="R46" s="1643">
        <f>SUM(M45:Q45)</f>
        <v>16597.708605866668</v>
      </c>
    </row>
    <row r="47" spans="1:20">
      <c r="C47" s="825"/>
      <c r="D47" s="825"/>
      <c r="E47" s="825"/>
      <c r="F47" s="825"/>
      <c r="G47" s="825"/>
      <c r="H47" s="825"/>
      <c r="K47" s="1825"/>
    </row>
  </sheetData>
  <mergeCells count="13">
    <mergeCell ref="K4:L4"/>
    <mergeCell ref="K22:K31"/>
    <mergeCell ref="K32:K36"/>
    <mergeCell ref="K44:L44"/>
    <mergeCell ref="A44:B44"/>
    <mergeCell ref="A7:A9"/>
    <mergeCell ref="A11:A20"/>
    <mergeCell ref="A22:A30"/>
    <mergeCell ref="A32:A35"/>
    <mergeCell ref="A37:A42"/>
    <mergeCell ref="K7:K10"/>
    <mergeCell ref="K11:K21"/>
    <mergeCell ref="K37:K43"/>
  </mergeCells>
  <printOptions horizontalCentered="1"/>
  <pageMargins left="0.2" right="0.2" top="0.75" bottom="0.2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Annex-IOC-MAFF</vt:lpstr>
      <vt:lpstr>Annex 1_Summary</vt:lpstr>
      <vt:lpstr>Annex 2_Code</vt:lpstr>
      <vt:lpstr>Annex 3_MAFF</vt:lpstr>
      <vt:lpstr>Annex 4_MoWRAM</vt:lpstr>
      <vt:lpstr>Annex 5_MRD</vt:lpstr>
      <vt:lpstr>Summary by EA, Source &amp; Qtr</vt:lpstr>
      <vt:lpstr>Output</vt:lpstr>
      <vt:lpstr>Sum Annex3_Checking Tab19</vt:lpstr>
      <vt:lpstr>Checking Tab20,21,28,31-PD</vt:lpstr>
      <vt:lpstr>Checking_Tab20,21,28 &amp;31</vt:lpstr>
      <vt:lpstr>Checking_Table 16&amp;17</vt:lpstr>
      <vt:lpstr>'Checking_Table 16&amp;17'!_Toc54002924</vt:lpstr>
      <vt:lpstr>'Checking_Table 16&amp;17'!_Toc54002925</vt:lpstr>
      <vt:lpstr>Output!_Toc54002926</vt:lpstr>
      <vt:lpstr>'Sum Annex3_Checking Tab19'!_Toc54002927</vt:lpstr>
      <vt:lpstr>'Checking_Tab20,21,28 &amp;31'!_Toc54002936</vt:lpstr>
      <vt:lpstr>'Checking_Tab20,21,28 &amp;31'!_Toc54002939</vt:lpstr>
      <vt:lpstr>'Annex 1_Summary'!Print_Area</vt:lpstr>
      <vt:lpstr>'Annex 3_MAFF'!Print_Area</vt:lpstr>
      <vt:lpstr>'Annex 4_MoWRAM'!Print_Area</vt:lpstr>
      <vt:lpstr>'Annex 5_MRD'!Print_Area</vt:lpstr>
      <vt:lpstr>Output!Print_Area</vt:lpstr>
      <vt:lpstr>'Annex 3_MAFF'!Print_Titles</vt:lpstr>
      <vt:lpstr>'Annex 4_MoWRAM'!Print_Titles</vt:lpstr>
      <vt:lpstr>'Annex 5_MRD'!Print_Titles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Leanghy</dc:creator>
  <cp:lastModifiedBy>Bunny</cp:lastModifiedBy>
  <cp:lastPrinted>2020-12-15T01:35:30Z</cp:lastPrinted>
  <dcterms:created xsi:type="dcterms:W3CDTF">2017-10-19T03:27:05Z</dcterms:created>
  <dcterms:modified xsi:type="dcterms:W3CDTF">2022-03-25T11:22:49Z</dcterms:modified>
</cp:coreProperties>
</file>